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bookViews>
    <workbookView xWindow="0" yWindow="0" windowWidth="22776" windowHeight="9852" tabRatio="689"/>
  </bookViews>
  <sheets>
    <sheet name="Introduction" sheetId="2" r:id="rId1"/>
    <sheet name="Airport Activities" sheetId="18" r:id="rId2"/>
    <sheet name="Start Data Entry" sheetId="16" r:id="rId3"/>
    <sheet name="Data Entry" sheetId="14" r:id="rId4"/>
    <sheet name="Detailed Fixture Data" sheetId="6" r:id="rId5"/>
    <sheet name="Irrigation" sheetId="23" r:id="rId6"/>
    <sheet name="Cooling Data" sheetId="11" r:id="rId7"/>
    <sheet name="Intensity of Use Assumptions" sheetId="9" r:id="rId8"/>
    <sheet name="Level of Efficiency Assumptions" sheetId="10" r:id="rId9"/>
    <sheet name="Calibrate &amp; Verify" sheetId="8" r:id="rId10"/>
    <sheet name="Water Use Calcs" sheetId="5" r:id="rId11"/>
    <sheet name="End Uses" sheetId="1" r:id="rId12"/>
    <sheet name="Summary Tables" sheetId="3" r:id="rId13"/>
    <sheet name="Summary Graphics" sheetId="7" r:id="rId14"/>
    <sheet name="Scratch Sheets" sheetId="22" r:id="rId15"/>
    <sheet name="Meter Data Template" sheetId="21" r:id="rId16"/>
    <sheet name="Water Use Data Template" sheetId="19" r:id="rId17"/>
    <sheet name="Fixture Data Template" sheetId="20" r:id="rId18"/>
    <sheet name="Climate Zones" sheetId="24" state="hidden" r:id="rId19"/>
    <sheet name="Airport Mapping" sheetId="13" state="hidden" r:id="rId20"/>
    <sheet name="Airport Statistics" sheetId="4" state="hidden" r:id="rId21"/>
    <sheet name="list" sheetId="15" state="hidden" r:id="rId22"/>
    <sheet name="listA" sheetId="17" state="hidden" r:id="rId23"/>
  </sheets>
  <definedNames>
    <definedName name="_xlnm._FilterDatabase" localSheetId="4" hidden="1">'Detailed Fixture Data'!$B$1:$AE$3477</definedName>
    <definedName name="_xlnm._FilterDatabase" localSheetId="7" hidden="1">'Intensity of Use Assumptions'!$B$1:$M$105</definedName>
    <definedName name="_xlnm._FilterDatabase" localSheetId="5" hidden="1">Irrigation!$B$22:$M$23</definedName>
    <definedName name="_xlnm._FilterDatabase" localSheetId="8" hidden="1">'Level of Efficiency Assumptions'!$B$1:$Q$1184</definedName>
    <definedName name="_xlnm._FilterDatabase" localSheetId="10" hidden="1">'Water Use Calcs'!$B$1:$W$1364</definedName>
    <definedName name="_GoBack" localSheetId="5">Irrigation!#REF!</definedName>
    <definedName name="_Ref426057056" localSheetId="1">'Airport Activities'!$I$7</definedName>
    <definedName name="building">list!$O$25:$X$25</definedName>
    <definedName name="buildingsYN">list!$AZ$3:$AZ$4</definedName>
    <definedName name="dd_building">INDEX(Table2,,MATCH(facility,building,0))</definedName>
    <definedName name="dd_building10">INDEX(Table2,,MATCH(facility10,building,0))</definedName>
    <definedName name="dd_building11">INDEX(Table2,,MATCH(facility11,building,0))</definedName>
    <definedName name="dd_building12">INDEX(Table2,,MATCH(facility12,building,0))</definedName>
    <definedName name="dd_building13">INDEX(Table2,,MATCH(facility13,building,0))</definedName>
    <definedName name="dd_building14">INDEX(Table2,,MATCH(facility14,building,0))</definedName>
    <definedName name="dd_building15">INDEX(Table2,,MATCH(facility15,building,0))</definedName>
    <definedName name="dd_building16">INDEX(Table2,,MATCH(facility16,building,0))</definedName>
    <definedName name="dd_building17">INDEX(Table2,,MATCH(facility17,building,0))</definedName>
    <definedName name="dd_building18">INDEX(Table2,,MATCH(facility18,building,0))</definedName>
    <definedName name="dd_building19">INDEX(Table2,,MATCH(facility19,building,0))</definedName>
    <definedName name="dd_building2">INDEX(Table2,,MATCH(facility2,building,0))</definedName>
    <definedName name="dd_building20">INDEX(Table2,,MATCH(facility20,building,0))</definedName>
    <definedName name="dd_building21">INDEX(Table2,,MATCH(facility21,building,0))</definedName>
    <definedName name="dd_building22">INDEX(Table2,,MATCH(facility22,building,0))</definedName>
    <definedName name="dd_building23">INDEX(Table2,,MATCH(facility23,building,0))</definedName>
    <definedName name="dd_building24">INDEX(Table2,,MATCH(facility24,building,0))</definedName>
    <definedName name="dd_building25">INDEX(Table2,,MATCH(facility25,building,0))</definedName>
    <definedName name="dd_building26">INDEX(Table2,,MATCH(facility26,building,0))</definedName>
    <definedName name="dd_building27">INDEX(Table2,,MATCH(facility27,building,0))</definedName>
    <definedName name="dd_building28">INDEX(Table2,,MATCH(facility28,building,0))</definedName>
    <definedName name="dd_building29">INDEX(Table2,,MATCH(facility29,building,0))</definedName>
    <definedName name="dd_building3">INDEX(Table2,,MATCH(facility3,building,0))</definedName>
    <definedName name="dd_building30">INDEX(Table2,,MATCH(facility30,building,0))</definedName>
    <definedName name="dd_building31">INDEX(Table2,,MATCH(facility31,building,0))</definedName>
    <definedName name="dd_building32">INDEX(Table2,,MATCH(facility32,building,0))</definedName>
    <definedName name="dd_building4">INDEX(Table2,,MATCH(facility4,building,0))</definedName>
    <definedName name="dd_building5">INDEX(Table2,,MATCH(facility5,building,0))</definedName>
    <definedName name="dd_building6">INDEX(Table2,,MATCH(facility6,building,0))</definedName>
    <definedName name="dd_building7">INDEX(Table2,,MATCH(facility7,building,0))</definedName>
    <definedName name="dd_building8">INDEX(Table2,,MATCH(facility8,building,0))</definedName>
    <definedName name="dd_building9">INDEX(Table2,,MATCH(facility9,building,0))</definedName>
    <definedName name="dd_facility">INDEX(Table1[#Data],,MATCH(facility,facility_type,0))</definedName>
    <definedName name="facility">'Data Entry'!$C$10</definedName>
    <definedName name="facility_type">Table1[#Headers]</definedName>
    <definedName name="facility10">'Data Entry'!$C$19</definedName>
    <definedName name="facility11">'Data Entry'!$C$20</definedName>
    <definedName name="facility12">'Data Entry'!$C$21</definedName>
    <definedName name="facility13">'Data Entry'!$C$22</definedName>
    <definedName name="facility14">'Data Entry'!$C$23</definedName>
    <definedName name="facility15">'Data Entry'!$C$24</definedName>
    <definedName name="facility16">'Data Entry'!$C$25</definedName>
    <definedName name="facility17">'Data Entry'!$C$26</definedName>
    <definedName name="facility18">'Data Entry'!$C$27</definedName>
    <definedName name="facility19">'Data Entry'!$C$28</definedName>
    <definedName name="facility2">'Data Entry'!$C$11</definedName>
    <definedName name="facility20">'Data Entry'!$C$29</definedName>
    <definedName name="facility21">'Data Entry'!$C$30</definedName>
    <definedName name="facility22">'Data Entry'!$C$31</definedName>
    <definedName name="facility23">'Data Entry'!$C$32</definedName>
    <definedName name="facility24">'Data Entry'!$C$33</definedName>
    <definedName name="facility25">'Data Entry'!$C$34</definedName>
    <definedName name="facility26">'Data Entry'!$C$35</definedName>
    <definedName name="facility27">'Data Entry'!$C$36</definedName>
    <definedName name="facility28">'Data Entry'!$C$37</definedName>
    <definedName name="facility29">'Data Entry'!$C$38</definedName>
    <definedName name="facility3">'Data Entry'!$C$12</definedName>
    <definedName name="facility30">'Data Entry'!$C$39</definedName>
    <definedName name="facility31">'Data Entry'!$C$40</definedName>
    <definedName name="facility32">'Data Entry'!$C$41</definedName>
    <definedName name="facility4">'Data Entry'!$C$13</definedName>
    <definedName name="facility5">'Data Entry'!$C$14</definedName>
    <definedName name="facility6">'Data Entry'!$C$15</definedName>
    <definedName name="facility7">'Data Entry'!$C$16</definedName>
    <definedName name="facility8">'Data Entry'!$C$17</definedName>
    <definedName name="facility9">'Data Entry'!$C$18</definedName>
    <definedName name="onethrusix">list!$BA$2:$BA$7</definedName>
    <definedName name="onetotwo">list!$BB$2:$BB$4</definedName>
    <definedName name="_xlnm.Print_Area" localSheetId="1">'Airport Activities'!$C$7:$P$92</definedName>
    <definedName name="_xlnm.Print_Area" localSheetId="9">'Calibrate &amp; Verify'!$C$13:$Y$54</definedName>
    <definedName name="_xlnm.Print_Area" localSheetId="6">'Cooling Data'!$B$1:$N$357</definedName>
    <definedName name="_xlnm.Print_Area" localSheetId="3">'Data Entry'!$B$7:$X$690</definedName>
    <definedName name="_xlnm.Print_Area" localSheetId="4">'Detailed Fixture Data'!$D$12:$AA$3442</definedName>
    <definedName name="_xlnm.Print_Area" localSheetId="11">'End Uses'!$C$12:$X$440</definedName>
    <definedName name="_xlnm.Print_Area" localSheetId="17">'Fixture Data Template'!$C$18:$K$109</definedName>
    <definedName name="_xlnm.Print_Area" localSheetId="7">'Intensity of Use Assumptions'!$C$11:$L$88</definedName>
    <definedName name="_xlnm.Print_Area" localSheetId="0">Introduction!$A$1:$E$109</definedName>
    <definedName name="_xlnm.Print_Area" localSheetId="8">'Level of Efficiency Assumptions'!$C$11:$Q$104</definedName>
    <definedName name="_xlnm.Print_Area" localSheetId="15">'Meter Data Template'!$B$14:$H$116</definedName>
    <definedName name="_xlnm.Print_Area" localSheetId="2">'Start Data Entry'!$B$1:$H$26</definedName>
    <definedName name="_xlnm.Print_Area" localSheetId="12">'Summary Tables'!$A$13:$BE$129</definedName>
    <definedName name="_xlnm.Print_Area" localSheetId="10">'Water Use Calcs'!$C$14:$W$1297</definedName>
    <definedName name="_xlnm.Print_Area" localSheetId="16">'Water Use Data Template'!$C$10:$L$32</definedName>
    <definedName name="_xlnm.Print_Titles" localSheetId="1">'Airport Activities'!$7:$8</definedName>
    <definedName name="_xlnm.Print_Titles" localSheetId="4">'Detailed Fixture Data'!$12:$12</definedName>
    <definedName name="_xlnm.Print_Titles" localSheetId="11">'End Uses'!$H:$J,'End Uses'!$12:$13</definedName>
    <definedName name="_xlnm.Print_Titles" localSheetId="17">'Fixture Data Template'!$29:$30</definedName>
    <definedName name="_xlnm.Print_Titles" localSheetId="7">'Intensity of Use Assumptions'!$11:$11</definedName>
    <definedName name="_xlnm.Print_Titles" localSheetId="8">'Level of Efficiency Assumptions'!$11:$11</definedName>
    <definedName name="_xlnm.Print_Titles" localSheetId="15">'Meter Data Template'!$14:$16</definedName>
    <definedName name="_xlnm.Print_Titles" localSheetId="12">'Summary Tables'!$13:$14</definedName>
    <definedName name="_xlnm.Print_Titles" localSheetId="10">'Water Use Calcs'!$14:$16</definedName>
    <definedName name="Table2">list!$O$26:$X$30</definedName>
    <definedName name="terminalsYN">list!$AZ$3:$AZ$4</definedName>
  </definedNames>
  <calcPr calcId="145621"/>
</workbook>
</file>

<file path=xl/calcChain.xml><?xml version="1.0" encoding="utf-8"?>
<calcChain xmlns="http://schemas.openxmlformats.org/spreadsheetml/2006/main">
  <c r="J352" i="11" l="1"/>
  <c r="H352" i="11"/>
  <c r="E351" i="11"/>
  <c r="E350" i="11"/>
  <c r="J349" i="11"/>
  <c r="H349" i="11"/>
  <c r="J340" i="11"/>
  <c r="H340" i="11"/>
  <c r="E339" i="11"/>
  <c r="E338" i="11"/>
  <c r="J337" i="11"/>
  <c r="H337" i="11"/>
  <c r="J328" i="11"/>
  <c r="H328" i="11"/>
  <c r="E327" i="11"/>
  <c r="E326" i="11"/>
  <c r="J325" i="11"/>
  <c r="H325" i="11"/>
  <c r="J316" i="11"/>
  <c r="H316" i="11"/>
  <c r="E315" i="11"/>
  <c r="E314" i="11"/>
  <c r="J313" i="11"/>
  <c r="H313" i="11"/>
  <c r="J304" i="11"/>
  <c r="H304" i="11"/>
  <c r="E303" i="11"/>
  <c r="E302" i="11"/>
  <c r="J301" i="11"/>
  <c r="H301" i="11"/>
  <c r="J292" i="11"/>
  <c r="H292" i="11"/>
  <c r="E291" i="11"/>
  <c r="E290" i="11"/>
  <c r="J289" i="11"/>
  <c r="H289" i="11"/>
  <c r="J280" i="11"/>
  <c r="H280" i="11"/>
  <c r="E279" i="11"/>
  <c r="E278" i="11"/>
  <c r="J277" i="11"/>
  <c r="H277" i="11"/>
  <c r="J268" i="11"/>
  <c r="H268" i="11"/>
  <c r="E267" i="11"/>
  <c r="E266" i="11"/>
  <c r="J265" i="11"/>
  <c r="H265" i="11"/>
  <c r="J256" i="11"/>
  <c r="H256" i="11"/>
  <c r="E255" i="11"/>
  <c r="E254" i="11"/>
  <c r="J253" i="11"/>
  <c r="H253" i="11"/>
  <c r="J244" i="11"/>
  <c r="H244" i="11"/>
  <c r="E243" i="11"/>
  <c r="E242" i="11"/>
  <c r="J241" i="11"/>
  <c r="H241" i="11"/>
  <c r="J232" i="11"/>
  <c r="H232" i="11"/>
  <c r="E231" i="11"/>
  <c r="E230" i="11"/>
  <c r="J229" i="11"/>
  <c r="H229" i="11"/>
  <c r="J220" i="11"/>
  <c r="H220" i="11"/>
  <c r="E219" i="11"/>
  <c r="E218" i="11"/>
  <c r="J217" i="11"/>
  <c r="H217" i="11"/>
  <c r="J208" i="11"/>
  <c r="H208" i="11"/>
  <c r="E207" i="11"/>
  <c r="E206" i="11"/>
  <c r="J205" i="11"/>
  <c r="H205" i="11"/>
  <c r="J196" i="11"/>
  <c r="H196" i="11"/>
  <c r="E195" i="11"/>
  <c r="E194" i="11"/>
  <c r="J193" i="11"/>
  <c r="H193" i="11"/>
  <c r="J184" i="11"/>
  <c r="H184" i="11"/>
  <c r="E183" i="11"/>
  <c r="E182" i="11"/>
  <c r="J181" i="11"/>
  <c r="H181" i="11"/>
  <c r="J172" i="11"/>
  <c r="H172" i="11"/>
  <c r="E171" i="11"/>
  <c r="E170" i="11"/>
  <c r="J169" i="11"/>
  <c r="H169" i="11"/>
  <c r="J160" i="11"/>
  <c r="H160" i="11"/>
  <c r="E159" i="11"/>
  <c r="E158" i="11"/>
  <c r="J157" i="11"/>
  <c r="H157" i="11"/>
  <c r="J148" i="11"/>
  <c r="H148" i="11"/>
  <c r="E147" i="11"/>
  <c r="E146" i="11"/>
  <c r="J145" i="11"/>
  <c r="H145" i="11"/>
  <c r="J136" i="11"/>
  <c r="H136" i="11"/>
  <c r="E135" i="11"/>
  <c r="E134" i="11"/>
  <c r="J133" i="11"/>
  <c r="H133" i="11"/>
  <c r="J124" i="11"/>
  <c r="H124" i="11"/>
  <c r="E123" i="11"/>
  <c r="E122" i="11"/>
  <c r="J121" i="11"/>
  <c r="H121" i="11"/>
  <c r="J112" i="11"/>
  <c r="H112" i="11"/>
  <c r="E111" i="11"/>
  <c r="E110" i="11"/>
  <c r="J109" i="11"/>
  <c r="H109" i="11"/>
  <c r="J100" i="11"/>
  <c r="H100" i="11"/>
  <c r="E99" i="11"/>
  <c r="E98" i="11"/>
  <c r="J97" i="11"/>
  <c r="H97" i="11"/>
  <c r="J88" i="11"/>
  <c r="H88" i="11"/>
  <c r="E87" i="11"/>
  <c r="E86" i="11"/>
  <c r="J85" i="11"/>
  <c r="H85" i="11"/>
  <c r="J76" i="11"/>
  <c r="H76" i="11"/>
  <c r="E75" i="11"/>
  <c r="E74" i="11"/>
  <c r="J73" i="11"/>
  <c r="H73" i="11"/>
  <c r="J64" i="11"/>
  <c r="H64" i="11"/>
  <c r="E63" i="11"/>
  <c r="E62" i="11"/>
  <c r="J61" i="11"/>
  <c r="H61" i="11"/>
  <c r="J52" i="11"/>
  <c r="H52" i="11"/>
  <c r="E51" i="11"/>
  <c r="E50" i="11"/>
  <c r="J49" i="11"/>
  <c r="H49" i="11"/>
  <c r="J40" i="11"/>
  <c r="H40" i="11"/>
  <c r="E39" i="11"/>
  <c r="E38" i="11"/>
  <c r="J37" i="11"/>
  <c r="H37" i="11"/>
  <c r="E26" i="11"/>
  <c r="E27" i="11"/>
  <c r="H28" i="11" l="1"/>
  <c r="J84" i="9" l="1"/>
  <c r="J82" i="9"/>
  <c r="J80" i="9"/>
  <c r="J78" i="9"/>
  <c r="J76" i="9"/>
  <c r="J74" i="9"/>
  <c r="J72" i="9"/>
  <c r="E49" i="24" l="1"/>
  <c r="E48" i="24"/>
  <c r="E47" i="24"/>
  <c r="E46" i="24"/>
  <c r="E45" i="24"/>
  <c r="E44" i="24"/>
  <c r="E43" i="24"/>
  <c r="E42" i="24"/>
  <c r="E41" i="24"/>
  <c r="E40" i="24"/>
  <c r="E39" i="24"/>
  <c r="E38" i="24"/>
  <c r="E37" i="24"/>
  <c r="E36" i="24"/>
  <c r="E35" i="24"/>
  <c r="E34" i="24"/>
  <c r="E33" i="24"/>
  <c r="E32" i="24"/>
  <c r="E31" i="24"/>
  <c r="E30" i="24"/>
  <c r="E29" i="24"/>
  <c r="E28" i="24"/>
  <c r="E27" i="24"/>
  <c r="E26" i="24"/>
  <c r="E25" i="24"/>
  <c r="E24" i="24"/>
  <c r="E23" i="24"/>
  <c r="E22" i="24"/>
  <c r="E21" i="24"/>
  <c r="E20" i="24"/>
  <c r="E19" i="24"/>
  <c r="E18" i="24"/>
  <c r="E17" i="24"/>
  <c r="E16" i="24"/>
  <c r="E15" i="24"/>
  <c r="E14" i="24"/>
  <c r="S13" i="24"/>
  <c r="R13" i="24"/>
  <c r="Q13" i="24"/>
  <c r="P13" i="24"/>
  <c r="O13" i="24"/>
  <c r="N13" i="24"/>
  <c r="M13" i="24"/>
  <c r="L13" i="24"/>
  <c r="K13" i="24"/>
  <c r="J13" i="24"/>
  <c r="I13" i="24"/>
  <c r="H13" i="24"/>
  <c r="G13" i="24"/>
  <c r="E13" i="24"/>
  <c r="S12" i="24"/>
  <c r="R12" i="24"/>
  <c r="Q12" i="24"/>
  <c r="P12" i="24"/>
  <c r="O12" i="24"/>
  <c r="N12" i="24"/>
  <c r="M12" i="24"/>
  <c r="L12" i="24"/>
  <c r="K12" i="24"/>
  <c r="J12" i="24"/>
  <c r="I12" i="24"/>
  <c r="H12" i="24"/>
  <c r="G12" i="24"/>
  <c r="E12" i="24"/>
  <c r="S11" i="24"/>
  <c r="R11" i="24"/>
  <c r="Q11" i="24"/>
  <c r="P11" i="24"/>
  <c r="O11" i="24"/>
  <c r="N11" i="24"/>
  <c r="M11" i="24"/>
  <c r="L11" i="24"/>
  <c r="K11" i="24"/>
  <c r="J11" i="24"/>
  <c r="I11" i="24"/>
  <c r="H11" i="24"/>
  <c r="G11" i="24"/>
  <c r="E11" i="24"/>
  <c r="S10" i="24"/>
  <c r="R10" i="24"/>
  <c r="Q10" i="24"/>
  <c r="P10" i="24"/>
  <c r="O10" i="24"/>
  <c r="N10" i="24"/>
  <c r="M10" i="24"/>
  <c r="L10" i="24"/>
  <c r="K10" i="24"/>
  <c r="J10" i="24"/>
  <c r="I10" i="24"/>
  <c r="H10" i="24"/>
  <c r="G10" i="24"/>
  <c r="E10" i="24"/>
  <c r="S9" i="24"/>
  <c r="R9" i="24"/>
  <c r="Q9" i="24"/>
  <c r="P9" i="24"/>
  <c r="O9" i="24"/>
  <c r="N9" i="24"/>
  <c r="M9" i="24"/>
  <c r="L9" i="24"/>
  <c r="K9" i="24"/>
  <c r="J9" i="24"/>
  <c r="I9" i="24"/>
  <c r="H9" i="24"/>
  <c r="G9" i="24"/>
  <c r="E9" i="24"/>
  <c r="S8" i="24"/>
  <c r="R8" i="24"/>
  <c r="Q8" i="24"/>
  <c r="P8" i="24"/>
  <c r="O8" i="24"/>
  <c r="N8" i="24"/>
  <c r="M8" i="24"/>
  <c r="L8" i="24"/>
  <c r="K8" i="24"/>
  <c r="J8" i="24"/>
  <c r="I8" i="24"/>
  <c r="H8" i="24"/>
  <c r="G8" i="24"/>
  <c r="E8" i="24"/>
  <c r="S7" i="24"/>
  <c r="R7" i="24"/>
  <c r="Q7" i="24"/>
  <c r="P7" i="24"/>
  <c r="O7" i="24"/>
  <c r="N7" i="24"/>
  <c r="M7" i="24"/>
  <c r="L7" i="24"/>
  <c r="K7" i="24"/>
  <c r="J7" i="24"/>
  <c r="I7" i="24"/>
  <c r="H7" i="24"/>
  <c r="G7" i="24"/>
  <c r="E7" i="24"/>
  <c r="S6" i="24"/>
  <c r="R6" i="24"/>
  <c r="Q6" i="24"/>
  <c r="P6" i="24"/>
  <c r="O6" i="24"/>
  <c r="N6" i="24"/>
  <c r="M6" i="24"/>
  <c r="L6" i="24"/>
  <c r="K6" i="24"/>
  <c r="J6" i="24"/>
  <c r="I6" i="24"/>
  <c r="H6" i="24"/>
  <c r="G6" i="24"/>
  <c r="E6" i="24"/>
  <c r="S5" i="24"/>
  <c r="R5" i="24"/>
  <c r="Q5" i="24"/>
  <c r="P5" i="24"/>
  <c r="O5" i="24"/>
  <c r="N5" i="24"/>
  <c r="M5" i="24"/>
  <c r="L5" i="24"/>
  <c r="K5" i="24"/>
  <c r="J5" i="24"/>
  <c r="I5" i="24"/>
  <c r="H5" i="24"/>
  <c r="G5" i="24"/>
  <c r="E5" i="24"/>
  <c r="S4" i="24"/>
  <c r="R4" i="24"/>
  <c r="Q4" i="24"/>
  <c r="P4" i="24"/>
  <c r="O4" i="24"/>
  <c r="N4" i="24"/>
  <c r="M4" i="24"/>
  <c r="L4" i="24"/>
  <c r="K4" i="24"/>
  <c r="J4" i="24"/>
  <c r="I4" i="24"/>
  <c r="H4" i="24"/>
  <c r="G4" i="24"/>
  <c r="E4" i="24"/>
  <c r="H52" i="23" l="1"/>
  <c r="G45" i="23" l="1"/>
  <c r="H49" i="23" l="1"/>
  <c r="H50" i="23"/>
  <c r="G49" i="23"/>
  <c r="H51" i="23"/>
  <c r="F51" i="23"/>
  <c r="F50" i="23"/>
  <c r="G51" i="23"/>
  <c r="F49" i="23"/>
  <c r="G50" i="23"/>
  <c r="F44" i="23"/>
  <c r="G44" i="23"/>
  <c r="J70" i="9"/>
  <c r="E74" i="23" l="1"/>
  <c r="E75" i="23"/>
  <c r="G75" i="23" s="1"/>
  <c r="E73" i="23"/>
  <c r="F73" i="23" s="1"/>
  <c r="E76" i="23"/>
  <c r="H179" i="1"/>
  <c r="H175" i="1"/>
  <c r="H174" i="1"/>
  <c r="H173" i="1"/>
  <c r="H170" i="1"/>
  <c r="E170" i="1"/>
  <c r="H167" i="1"/>
  <c r="H163" i="1"/>
  <c r="H162" i="1"/>
  <c r="H161" i="1"/>
  <c r="H158" i="1"/>
  <c r="E158" i="1"/>
  <c r="H155" i="1"/>
  <c r="H151" i="1"/>
  <c r="H150" i="1"/>
  <c r="H149" i="1"/>
  <c r="H146" i="1"/>
  <c r="E146" i="1"/>
  <c r="M520" i="5"/>
  <c r="M519" i="5"/>
  <c r="T518" i="5"/>
  <c r="P518" i="5"/>
  <c r="M518" i="5"/>
  <c r="M517" i="5"/>
  <c r="M516" i="5"/>
  <c r="T515" i="5"/>
  <c r="P515" i="5"/>
  <c r="M515" i="5"/>
  <c r="M514" i="5"/>
  <c r="M513" i="5"/>
  <c r="T512" i="5"/>
  <c r="P512" i="5"/>
  <c r="M512" i="5"/>
  <c r="H512" i="5"/>
  <c r="M511" i="5"/>
  <c r="M510" i="5"/>
  <c r="T509" i="5"/>
  <c r="P509" i="5"/>
  <c r="M509" i="5"/>
  <c r="M508" i="5"/>
  <c r="M507" i="5"/>
  <c r="T506" i="5"/>
  <c r="P506" i="5"/>
  <c r="M506" i="5"/>
  <c r="T503" i="5"/>
  <c r="M502" i="5"/>
  <c r="M501" i="5"/>
  <c r="T500" i="5"/>
  <c r="P500" i="5"/>
  <c r="M500" i="5"/>
  <c r="H500" i="5"/>
  <c r="T497" i="5"/>
  <c r="P497" i="5"/>
  <c r="H497" i="5"/>
  <c r="M496" i="5"/>
  <c r="M495" i="5"/>
  <c r="T494" i="5"/>
  <c r="P494" i="5"/>
  <c r="M494" i="5"/>
  <c r="H494" i="5"/>
  <c r="M493" i="5"/>
  <c r="M492" i="5"/>
  <c r="T491" i="5"/>
  <c r="P491" i="5"/>
  <c r="M491" i="5"/>
  <c r="M490" i="5"/>
  <c r="M489" i="5"/>
  <c r="T488" i="5"/>
  <c r="P488" i="5"/>
  <c r="M488" i="5"/>
  <c r="M487" i="5"/>
  <c r="M486" i="5"/>
  <c r="T485" i="5"/>
  <c r="P485" i="5"/>
  <c r="M485" i="5"/>
  <c r="H485" i="5"/>
  <c r="E485" i="5"/>
  <c r="M484" i="5"/>
  <c r="M483" i="5"/>
  <c r="T482" i="5"/>
  <c r="P482" i="5"/>
  <c r="M482" i="5"/>
  <c r="M481" i="5"/>
  <c r="M480" i="5"/>
  <c r="T479" i="5"/>
  <c r="P479" i="5"/>
  <c r="M479" i="5"/>
  <c r="M478" i="5"/>
  <c r="M477" i="5"/>
  <c r="T476" i="5"/>
  <c r="P476" i="5"/>
  <c r="M476" i="5"/>
  <c r="H476" i="5"/>
  <c r="M475" i="5"/>
  <c r="M474" i="5"/>
  <c r="T473" i="5"/>
  <c r="P473" i="5"/>
  <c r="M473" i="5"/>
  <c r="M472" i="5"/>
  <c r="M471" i="5"/>
  <c r="T470" i="5"/>
  <c r="P470" i="5"/>
  <c r="M470" i="5"/>
  <c r="T467" i="5"/>
  <c r="M466" i="5"/>
  <c r="M465" i="5"/>
  <c r="T464" i="5"/>
  <c r="P464" i="5"/>
  <c r="M464" i="5"/>
  <c r="H464" i="5"/>
  <c r="T461" i="5"/>
  <c r="P461" i="5"/>
  <c r="H461" i="5"/>
  <c r="M460" i="5"/>
  <c r="M459" i="5"/>
  <c r="T458" i="5"/>
  <c r="P458" i="5"/>
  <c r="M458" i="5"/>
  <c r="H458" i="5"/>
  <c r="M457" i="5"/>
  <c r="M456" i="5"/>
  <c r="T455" i="5"/>
  <c r="P455" i="5"/>
  <c r="M455" i="5"/>
  <c r="M454" i="5"/>
  <c r="M453" i="5"/>
  <c r="T452" i="5"/>
  <c r="P452" i="5"/>
  <c r="M452" i="5"/>
  <c r="M451" i="5"/>
  <c r="M450" i="5"/>
  <c r="T449" i="5"/>
  <c r="P449" i="5"/>
  <c r="M449" i="5"/>
  <c r="H449" i="5"/>
  <c r="E449" i="5"/>
  <c r="M448" i="5"/>
  <c r="M447" i="5"/>
  <c r="T446" i="5"/>
  <c r="P446" i="5"/>
  <c r="M446" i="5"/>
  <c r="M445" i="5"/>
  <c r="M444" i="5"/>
  <c r="T443" i="5"/>
  <c r="P443" i="5"/>
  <c r="M443" i="5"/>
  <c r="M442" i="5"/>
  <c r="M441" i="5"/>
  <c r="T440" i="5"/>
  <c r="P440" i="5"/>
  <c r="M440" i="5"/>
  <c r="H440" i="5"/>
  <c r="M439" i="5"/>
  <c r="M438" i="5"/>
  <c r="T437" i="5"/>
  <c r="P437" i="5"/>
  <c r="M437" i="5"/>
  <c r="M436" i="5"/>
  <c r="M435" i="5"/>
  <c r="T434" i="5"/>
  <c r="P434" i="5"/>
  <c r="M434" i="5"/>
  <c r="T431" i="5"/>
  <c r="M430" i="5"/>
  <c r="M429" i="5"/>
  <c r="T428" i="5"/>
  <c r="P428" i="5"/>
  <c r="M428" i="5"/>
  <c r="H428" i="5"/>
  <c r="T425" i="5"/>
  <c r="P425" i="5"/>
  <c r="H425" i="5"/>
  <c r="M424" i="5"/>
  <c r="M423" i="5"/>
  <c r="T422" i="5"/>
  <c r="P422" i="5"/>
  <c r="M422" i="5"/>
  <c r="H422" i="5"/>
  <c r="M421" i="5"/>
  <c r="M420" i="5"/>
  <c r="T419" i="5"/>
  <c r="P419" i="5"/>
  <c r="M419" i="5"/>
  <c r="M418" i="5"/>
  <c r="M417" i="5"/>
  <c r="T416" i="5"/>
  <c r="P416" i="5"/>
  <c r="M416" i="5"/>
  <c r="M415" i="5"/>
  <c r="M414" i="5"/>
  <c r="T413" i="5"/>
  <c r="P413" i="5"/>
  <c r="M413" i="5"/>
  <c r="H413" i="5"/>
  <c r="E413" i="5"/>
  <c r="J187" i="11"/>
  <c r="H187" i="11"/>
  <c r="J175" i="11"/>
  <c r="H175" i="11"/>
  <c r="J163" i="11"/>
  <c r="H163" i="11"/>
  <c r="D119" i="4"/>
  <c r="D120" i="4" s="1"/>
  <c r="D111" i="4"/>
  <c r="D103" i="4"/>
  <c r="G1248" i="6"/>
  <c r="Q1247" i="6"/>
  <c r="G1247" i="6"/>
  <c r="M1246" i="6"/>
  <c r="J1246" i="6"/>
  <c r="G1246" i="6"/>
  <c r="M1245" i="6"/>
  <c r="J1245" i="6"/>
  <c r="G1245" i="6"/>
  <c r="M1244" i="6"/>
  <c r="M1247" i="6" s="1"/>
  <c r="J1244" i="6"/>
  <c r="G1244" i="6"/>
  <c r="G1243" i="6"/>
  <c r="G1242" i="6"/>
  <c r="Q1241" i="6"/>
  <c r="G1241" i="6"/>
  <c r="M1240" i="6"/>
  <c r="J1240" i="6"/>
  <c r="G1240" i="6"/>
  <c r="M1239" i="6"/>
  <c r="J1239" i="6"/>
  <c r="G1239" i="6"/>
  <c r="M1238" i="6"/>
  <c r="J1238" i="6"/>
  <c r="G1238" i="6"/>
  <c r="G1237" i="6"/>
  <c r="G1236" i="6"/>
  <c r="Q1235" i="6"/>
  <c r="G1235" i="6"/>
  <c r="M1234" i="6"/>
  <c r="J1234" i="6"/>
  <c r="G1234" i="6"/>
  <c r="M1233" i="6"/>
  <c r="J1233" i="6"/>
  <c r="G1233" i="6"/>
  <c r="M1232" i="6"/>
  <c r="M1235" i="6" s="1"/>
  <c r="J1232" i="6"/>
  <c r="G1232" i="6"/>
  <c r="G1231" i="6"/>
  <c r="G1230" i="6"/>
  <c r="Q1229" i="6"/>
  <c r="G1229" i="6"/>
  <c r="G1228" i="6"/>
  <c r="G1227" i="6"/>
  <c r="G1226" i="6"/>
  <c r="M1225" i="6"/>
  <c r="J1225" i="6"/>
  <c r="G1225" i="6"/>
  <c r="M1224" i="6"/>
  <c r="M1226" i="6" s="1"/>
  <c r="N1223" i="6" s="1"/>
  <c r="J1224" i="6"/>
  <c r="G1224" i="6"/>
  <c r="M1223" i="6"/>
  <c r="J1223" i="6"/>
  <c r="G1223" i="6"/>
  <c r="G1222" i="6"/>
  <c r="G1221" i="6"/>
  <c r="Q1220" i="6"/>
  <c r="G1220" i="6"/>
  <c r="G1219" i="6"/>
  <c r="G1218" i="6"/>
  <c r="G1217" i="6"/>
  <c r="M1216" i="6"/>
  <c r="J1216" i="6"/>
  <c r="G1216" i="6"/>
  <c r="M1215" i="6"/>
  <c r="J1215" i="6"/>
  <c r="G1215" i="6"/>
  <c r="M1214" i="6"/>
  <c r="J1214" i="6"/>
  <c r="G1214" i="6"/>
  <c r="G1213" i="6"/>
  <c r="G1212" i="6"/>
  <c r="Q1211" i="6"/>
  <c r="G1211" i="6"/>
  <c r="G1210" i="6"/>
  <c r="G1209" i="6"/>
  <c r="G1208" i="6"/>
  <c r="M1207" i="6"/>
  <c r="J1207" i="6"/>
  <c r="G1207" i="6"/>
  <c r="M1206" i="6"/>
  <c r="J1206" i="6"/>
  <c r="G1206" i="6"/>
  <c r="M1205" i="6"/>
  <c r="J1205" i="6"/>
  <c r="G1205" i="6"/>
  <c r="G1204" i="6"/>
  <c r="G1203" i="6"/>
  <c r="Q1202" i="6"/>
  <c r="G1202" i="6"/>
  <c r="G1201" i="6"/>
  <c r="G1200" i="6"/>
  <c r="G1199" i="6"/>
  <c r="M1198" i="6"/>
  <c r="G1198" i="6"/>
  <c r="M1197" i="6"/>
  <c r="G1197" i="6"/>
  <c r="M1196" i="6"/>
  <c r="M1199" i="6" s="1"/>
  <c r="G1196" i="6"/>
  <c r="G1195" i="6"/>
  <c r="G1194" i="6"/>
  <c r="G1193" i="6"/>
  <c r="Q1192" i="6"/>
  <c r="G1192" i="6"/>
  <c r="G1191" i="6"/>
  <c r="G1190" i="6"/>
  <c r="M1189" i="6"/>
  <c r="J1189" i="6"/>
  <c r="G1189" i="6"/>
  <c r="M1188" i="6"/>
  <c r="M1190" i="6" s="1"/>
  <c r="N1187" i="6" s="1"/>
  <c r="J1188" i="6"/>
  <c r="G1188" i="6"/>
  <c r="M1187" i="6"/>
  <c r="J1187" i="6"/>
  <c r="G1187" i="6"/>
  <c r="G1186" i="6"/>
  <c r="G1185" i="6"/>
  <c r="Q1184" i="6"/>
  <c r="G1184" i="6"/>
  <c r="G1183" i="6"/>
  <c r="G1182" i="6"/>
  <c r="M1181" i="6"/>
  <c r="J1181" i="6"/>
  <c r="G1181" i="6"/>
  <c r="M1180" i="6"/>
  <c r="M1182" i="6" s="1"/>
  <c r="N1179" i="6" s="1"/>
  <c r="J1180" i="6"/>
  <c r="G1180" i="6"/>
  <c r="M1179" i="6"/>
  <c r="J1179" i="6"/>
  <c r="G1179" i="6"/>
  <c r="G1178" i="6"/>
  <c r="G1177" i="6"/>
  <c r="Q1176" i="6"/>
  <c r="G1176" i="6"/>
  <c r="G1175" i="6"/>
  <c r="G1174" i="6"/>
  <c r="G1173" i="6"/>
  <c r="M1172" i="6"/>
  <c r="J1172" i="6"/>
  <c r="G1172" i="6"/>
  <c r="M1171" i="6"/>
  <c r="J1171" i="6"/>
  <c r="G1171" i="6"/>
  <c r="M1170" i="6"/>
  <c r="J1170" i="6"/>
  <c r="G1170" i="6"/>
  <c r="G1169" i="6"/>
  <c r="G1168" i="6"/>
  <c r="Q1167" i="6"/>
  <c r="G1167" i="6"/>
  <c r="G1166" i="6"/>
  <c r="G1165" i="6"/>
  <c r="G1164" i="6"/>
  <c r="G1163" i="6"/>
  <c r="G1162" i="6"/>
  <c r="G1161" i="6"/>
  <c r="G1160" i="6"/>
  <c r="M1159" i="6"/>
  <c r="J1159" i="6"/>
  <c r="G1159" i="6"/>
  <c r="M1158" i="6"/>
  <c r="J1158" i="6"/>
  <c r="G1158" i="6"/>
  <c r="M1157" i="6"/>
  <c r="M1160" i="6" s="1"/>
  <c r="N1159" i="6" s="1"/>
  <c r="J1157" i="6"/>
  <c r="G1157" i="6"/>
  <c r="G1156" i="6"/>
  <c r="G1154" i="6"/>
  <c r="Q1153" i="6"/>
  <c r="G1153" i="6"/>
  <c r="M1152" i="6"/>
  <c r="J1152" i="6"/>
  <c r="G1152" i="6"/>
  <c r="M1151" i="6"/>
  <c r="J1151" i="6"/>
  <c r="G1151" i="6"/>
  <c r="M1150" i="6"/>
  <c r="J1150" i="6"/>
  <c r="G1150" i="6"/>
  <c r="G1149" i="6"/>
  <c r="G1148" i="6"/>
  <c r="Q1147" i="6"/>
  <c r="G1147" i="6"/>
  <c r="M1146" i="6"/>
  <c r="J1146" i="6"/>
  <c r="G1146" i="6"/>
  <c r="M1145" i="6"/>
  <c r="J1145" i="6"/>
  <c r="G1145" i="6"/>
  <c r="M1144" i="6"/>
  <c r="J1144" i="6"/>
  <c r="G1144" i="6"/>
  <c r="G1143" i="6"/>
  <c r="G1142" i="6"/>
  <c r="Q1141" i="6"/>
  <c r="G1141" i="6"/>
  <c r="M1140" i="6"/>
  <c r="J1140" i="6"/>
  <c r="G1140" i="6"/>
  <c r="M1139" i="6"/>
  <c r="J1139" i="6"/>
  <c r="G1139" i="6"/>
  <c r="M1138" i="6"/>
  <c r="J1138" i="6"/>
  <c r="G1138" i="6"/>
  <c r="G1137" i="6"/>
  <c r="G1136" i="6"/>
  <c r="Q1135" i="6"/>
  <c r="G1135" i="6"/>
  <c r="G1134" i="6"/>
  <c r="G1133" i="6"/>
  <c r="G1132" i="6"/>
  <c r="M1131" i="6"/>
  <c r="J1131" i="6"/>
  <c r="G1131" i="6"/>
  <c r="M1130" i="6"/>
  <c r="M1132" i="6" s="1"/>
  <c r="N1129" i="6" s="1"/>
  <c r="J1130" i="6"/>
  <c r="G1130" i="6"/>
  <c r="M1129" i="6"/>
  <c r="J1129" i="6"/>
  <c r="G1129" i="6"/>
  <c r="G1128" i="6"/>
  <c r="G1127" i="6"/>
  <c r="Q1126" i="6"/>
  <c r="G1126" i="6"/>
  <c r="G1125" i="6"/>
  <c r="G1124" i="6"/>
  <c r="G1123" i="6"/>
  <c r="M1122" i="6"/>
  <c r="J1122" i="6"/>
  <c r="G1122" i="6"/>
  <c r="M1121" i="6"/>
  <c r="J1121" i="6"/>
  <c r="G1121" i="6"/>
  <c r="M1120" i="6"/>
  <c r="J1120" i="6"/>
  <c r="G1120" i="6"/>
  <c r="G1119" i="6"/>
  <c r="G1118" i="6"/>
  <c r="Q1117" i="6"/>
  <c r="G1117" i="6"/>
  <c r="G1116" i="6"/>
  <c r="G1115" i="6"/>
  <c r="G1114" i="6"/>
  <c r="M1113" i="6"/>
  <c r="J1113" i="6"/>
  <c r="G1113" i="6"/>
  <c r="M1112" i="6"/>
  <c r="J1112" i="6"/>
  <c r="G1112" i="6"/>
  <c r="M1111" i="6"/>
  <c r="J1111" i="6"/>
  <c r="G1111" i="6"/>
  <c r="G1110" i="6"/>
  <c r="G1109" i="6"/>
  <c r="Q1108" i="6"/>
  <c r="G1108" i="6"/>
  <c r="G1107" i="6"/>
  <c r="G1106" i="6"/>
  <c r="G1105" i="6"/>
  <c r="M1104" i="6"/>
  <c r="G1104" i="6"/>
  <c r="M1103" i="6"/>
  <c r="G1103" i="6"/>
  <c r="M1102" i="6"/>
  <c r="G1102" i="6"/>
  <c r="G1101" i="6"/>
  <c r="G1100" i="6"/>
  <c r="G1099" i="6"/>
  <c r="Q1098" i="6"/>
  <c r="G1098" i="6"/>
  <c r="G1097" i="6"/>
  <c r="G1096" i="6"/>
  <c r="M1095" i="6"/>
  <c r="J1095" i="6"/>
  <c r="G1095" i="6"/>
  <c r="M1094" i="6"/>
  <c r="M1096" i="6" s="1"/>
  <c r="N1093" i="6" s="1"/>
  <c r="J1094" i="6"/>
  <c r="G1094" i="6"/>
  <c r="M1093" i="6"/>
  <c r="J1093" i="6"/>
  <c r="G1093" i="6"/>
  <c r="G1092" i="6"/>
  <c r="G1091" i="6"/>
  <c r="Q1090" i="6"/>
  <c r="G1090" i="6"/>
  <c r="G1089" i="6"/>
  <c r="G1088" i="6"/>
  <c r="M1087" i="6"/>
  <c r="J1087" i="6"/>
  <c r="G1087" i="6"/>
  <c r="M1086" i="6"/>
  <c r="M1088" i="6" s="1"/>
  <c r="N1085" i="6" s="1"/>
  <c r="J1086" i="6"/>
  <c r="G1086" i="6"/>
  <c r="M1085" i="6"/>
  <c r="J1085" i="6"/>
  <c r="G1085" i="6"/>
  <c r="G1084" i="6"/>
  <c r="G1083" i="6"/>
  <c r="Q1082" i="6"/>
  <c r="G1082" i="6"/>
  <c r="G1081" i="6"/>
  <c r="G1080" i="6"/>
  <c r="G1079" i="6"/>
  <c r="M1078" i="6"/>
  <c r="J1078" i="6"/>
  <c r="G1078" i="6"/>
  <c r="M1077" i="6"/>
  <c r="J1077" i="6"/>
  <c r="G1077" i="6"/>
  <c r="M1076" i="6"/>
  <c r="J1076" i="6"/>
  <c r="G1076" i="6"/>
  <c r="G1075" i="6"/>
  <c r="G1074" i="6"/>
  <c r="Q1073" i="6"/>
  <c r="G1073" i="6"/>
  <c r="G1072" i="6"/>
  <c r="G1071" i="6"/>
  <c r="G1070" i="6"/>
  <c r="G1069" i="6"/>
  <c r="G1068" i="6"/>
  <c r="G1067" i="6"/>
  <c r="G1066" i="6"/>
  <c r="M1065" i="6"/>
  <c r="J1065" i="6"/>
  <c r="G1065" i="6"/>
  <c r="M1064" i="6"/>
  <c r="J1064" i="6"/>
  <c r="G1064" i="6"/>
  <c r="M1063" i="6"/>
  <c r="J1063" i="6"/>
  <c r="G1063" i="6"/>
  <c r="G1062" i="6"/>
  <c r="G1060" i="6"/>
  <c r="Q1059" i="6"/>
  <c r="G1059" i="6"/>
  <c r="M1058" i="6"/>
  <c r="J1058" i="6"/>
  <c r="G1058" i="6"/>
  <c r="M1057" i="6"/>
  <c r="J1057" i="6"/>
  <c r="G1057" i="6"/>
  <c r="M1056" i="6"/>
  <c r="J1056" i="6"/>
  <c r="G1056" i="6"/>
  <c r="G1055" i="6"/>
  <c r="G1054" i="6"/>
  <c r="Q1053" i="6"/>
  <c r="G1053" i="6"/>
  <c r="M1052" i="6"/>
  <c r="J1052" i="6"/>
  <c r="G1052" i="6"/>
  <c r="M1051" i="6"/>
  <c r="J1051" i="6"/>
  <c r="G1051" i="6"/>
  <c r="M1050" i="6"/>
  <c r="J1050" i="6"/>
  <c r="G1050" i="6"/>
  <c r="G1049" i="6"/>
  <c r="G1048" i="6"/>
  <c r="Q1047" i="6"/>
  <c r="G1047" i="6"/>
  <c r="M1046" i="6"/>
  <c r="J1046" i="6"/>
  <c r="G1046" i="6"/>
  <c r="M1045" i="6"/>
  <c r="J1045" i="6"/>
  <c r="G1045" i="6"/>
  <c r="M1044" i="6"/>
  <c r="J1044" i="6"/>
  <c r="G1044" i="6"/>
  <c r="G1043" i="6"/>
  <c r="G1042" i="6"/>
  <c r="Q1041" i="6"/>
  <c r="G1041" i="6"/>
  <c r="G1040" i="6"/>
  <c r="G1039" i="6"/>
  <c r="G1038" i="6"/>
  <c r="M1037" i="6"/>
  <c r="J1037" i="6"/>
  <c r="G1037" i="6"/>
  <c r="M1036" i="6"/>
  <c r="J1036" i="6"/>
  <c r="G1036" i="6"/>
  <c r="M1035" i="6"/>
  <c r="J1035" i="6"/>
  <c r="G1035" i="6"/>
  <c r="G1034" i="6"/>
  <c r="G1033" i="6"/>
  <c r="Q1032" i="6"/>
  <c r="G1032" i="6"/>
  <c r="G1031" i="6"/>
  <c r="G1030" i="6"/>
  <c r="G1029" i="6"/>
  <c r="M1028" i="6"/>
  <c r="J1028" i="6"/>
  <c r="G1028" i="6"/>
  <c r="M1027" i="6"/>
  <c r="J1027" i="6"/>
  <c r="G1027" i="6"/>
  <c r="M1026" i="6"/>
  <c r="J1026" i="6"/>
  <c r="G1026" i="6"/>
  <c r="G1025" i="6"/>
  <c r="G1024" i="6"/>
  <c r="Q1023" i="6"/>
  <c r="G1023" i="6"/>
  <c r="G1022" i="6"/>
  <c r="G1021" i="6"/>
  <c r="G1020" i="6"/>
  <c r="M1019" i="6"/>
  <c r="J1019" i="6"/>
  <c r="G1019" i="6"/>
  <c r="M1018" i="6"/>
  <c r="J1018" i="6"/>
  <c r="G1018" i="6"/>
  <c r="M1017" i="6"/>
  <c r="J1017" i="6"/>
  <c r="G1017" i="6"/>
  <c r="G1016" i="6"/>
  <c r="G1015" i="6"/>
  <c r="Q1014" i="6"/>
  <c r="G1014" i="6"/>
  <c r="G1013" i="6"/>
  <c r="G1012" i="6"/>
  <c r="G1011" i="6"/>
  <c r="M1010" i="6"/>
  <c r="G1010" i="6"/>
  <c r="M1009" i="6"/>
  <c r="G1009" i="6"/>
  <c r="M1008" i="6"/>
  <c r="G1008" i="6"/>
  <c r="G1007" i="6"/>
  <c r="G1006" i="6"/>
  <c r="G1005" i="6"/>
  <c r="Q1004" i="6"/>
  <c r="G1004" i="6"/>
  <c r="G1003" i="6"/>
  <c r="G1002" i="6"/>
  <c r="M1001" i="6"/>
  <c r="J1001" i="6"/>
  <c r="G1001" i="6"/>
  <c r="M1000" i="6"/>
  <c r="J1000" i="6"/>
  <c r="G1000" i="6"/>
  <c r="M999" i="6"/>
  <c r="J999" i="6"/>
  <c r="G999" i="6"/>
  <c r="G998" i="6"/>
  <c r="G997" i="6"/>
  <c r="Q996" i="6"/>
  <c r="G996" i="6"/>
  <c r="G995" i="6"/>
  <c r="G994" i="6"/>
  <c r="M993" i="6"/>
  <c r="J993" i="6"/>
  <c r="G993" i="6"/>
  <c r="M992" i="6"/>
  <c r="J992" i="6"/>
  <c r="G992" i="6"/>
  <c r="M991" i="6"/>
  <c r="J991" i="6"/>
  <c r="G991" i="6"/>
  <c r="G990" i="6"/>
  <c r="G989" i="6"/>
  <c r="Q988" i="6"/>
  <c r="G988" i="6"/>
  <c r="G987" i="6"/>
  <c r="G986" i="6"/>
  <c r="G985" i="6"/>
  <c r="M984" i="6"/>
  <c r="J984" i="6"/>
  <c r="G984" i="6"/>
  <c r="M983" i="6"/>
  <c r="J983" i="6"/>
  <c r="G983" i="6"/>
  <c r="M982" i="6"/>
  <c r="J982" i="6"/>
  <c r="G982" i="6"/>
  <c r="G981" i="6"/>
  <c r="G980" i="6"/>
  <c r="Q979" i="6"/>
  <c r="G979" i="6"/>
  <c r="G978" i="6"/>
  <c r="G977" i="6"/>
  <c r="G976" i="6"/>
  <c r="G975" i="6"/>
  <c r="G974" i="6"/>
  <c r="G973" i="6"/>
  <c r="G972" i="6"/>
  <c r="M971" i="6"/>
  <c r="J971" i="6"/>
  <c r="G971" i="6"/>
  <c r="M970" i="6"/>
  <c r="J970" i="6"/>
  <c r="G970" i="6"/>
  <c r="M969" i="6"/>
  <c r="J969" i="6"/>
  <c r="G969" i="6"/>
  <c r="G968" i="6"/>
  <c r="E24" i="16"/>
  <c r="E22" i="16"/>
  <c r="E18" i="16"/>
  <c r="E27" i="16" l="1"/>
  <c r="H75" i="23"/>
  <c r="F75" i="23"/>
  <c r="F74" i="23"/>
  <c r="H74" i="23"/>
  <c r="G74" i="23"/>
  <c r="G76" i="23"/>
  <c r="H76" i="23"/>
  <c r="F76" i="23"/>
  <c r="H73" i="23"/>
  <c r="G73" i="23"/>
  <c r="D112" i="4"/>
  <c r="D113" i="4" s="1"/>
  <c r="D104" i="4"/>
  <c r="D105" i="4" s="1"/>
  <c r="D121" i="4"/>
  <c r="M1020" i="6"/>
  <c r="N1019" i="6" s="1"/>
  <c r="N1037" i="6"/>
  <c r="N1064" i="6"/>
  <c r="M1105" i="6"/>
  <c r="N1112" i="6"/>
  <c r="M1141" i="6"/>
  <c r="N1140" i="6" s="1"/>
  <c r="M994" i="6"/>
  <c r="N991" i="6" s="1"/>
  <c r="M1002" i="6"/>
  <c r="N999" i="6" s="1"/>
  <c r="M1038" i="6"/>
  <c r="N1035" i="6" s="1"/>
  <c r="M1066" i="6"/>
  <c r="N1065" i="6" s="1"/>
  <c r="N1087" i="6"/>
  <c r="N1095" i="6"/>
  <c r="M1114" i="6"/>
  <c r="N1113" i="6" s="1"/>
  <c r="N1131" i="6"/>
  <c r="N1158" i="6"/>
  <c r="N970" i="6"/>
  <c r="M972" i="6"/>
  <c r="N971" i="6" s="1"/>
  <c r="M1011" i="6"/>
  <c r="N1010" i="6" s="1"/>
  <c r="N1018" i="6"/>
  <c r="M1047" i="6"/>
  <c r="M1059" i="6"/>
  <c r="N1057" i="6" s="1"/>
  <c r="N1181" i="6"/>
  <c r="N1189" i="6"/>
  <c r="M1208" i="6"/>
  <c r="N1207" i="6" s="1"/>
  <c r="N1225" i="6"/>
  <c r="N1198" i="6"/>
  <c r="N1234" i="6"/>
  <c r="N1246" i="6"/>
  <c r="N1197" i="6"/>
  <c r="N1233" i="6"/>
  <c r="N1245" i="6"/>
  <c r="N1216" i="6"/>
  <c r="M1173" i="6"/>
  <c r="N1171" i="6" s="1"/>
  <c r="M1217" i="6"/>
  <c r="N1215" i="6" s="1"/>
  <c r="M1241" i="6"/>
  <c r="N1239" i="6" s="1"/>
  <c r="N1180" i="6"/>
  <c r="N1188" i="6"/>
  <c r="N1196" i="6"/>
  <c r="N1224" i="6"/>
  <c r="N1232" i="6"/>
  <c r="N1244" i="6"/>
  <c r="N1157" i="6"/>
  <c r="N1205" i="6"/>
  <c r="N1144" i="6"/>
  <c r="N1104" i="6"/>
  <c r="N1103" i="6"/>
  <c r="N1139" i="6"/>
  <c r="N1146" i="6"/>
  <c r="M1079" i="6"/>
  <c r="N1077" i="6" s="1"/>
  <c r="M1147" i="6"/>
  <c r="N1145" i="6" s="1"/>
  <c r="N1086" i="6"/>
  <c r="N1094" i="6"/>
  <c r="N1102" i="6"/>
  <c r="N1130" i="6"/>
  <c r="M1153" i="6"/>
  <c r="N1151" i="6" s="1"/>
  <c r="M1123" i="6"/>
  <c r="N1121" i="6" s="1"/>
  <c r="N1111" i="6"/>
  <c r="N1046" i="6"/>
  <c r="N1058" i="6"/>
  <c r="N984" i="6"/>
  <c r="N982" i="6"/>
  <c r="N1045" i="6"/>
  <c r="M985" i="6"/>
  <c r="N983" i="6" s="1"/>
  <c r="M1029" i="6"/>
  <c r="N1027" i="6" s="1"/>
  <c r="M1053" i="6"/>
  <c r="N1051" i="6" s="1"/>
  <c r="N1000" i="6"/>
  <c r="N1008" i="6"/>
  <c r="N1036" i="6"/>
  <c r="N1044" i="6"/>
  <c r="N1056" i="6"/>
  <c r="N969" i="6"/>
  <c r="N1017" i="6"/>
  <c r="G18" i="17"/>
  <c r="F18" i="17"/>
  <c r="H18" i="17" s="1"/>
  <c r="G17" i="17"/>
  <c r="F17" i="17"/>
  <c r="G16" i="17"/>
  <c r="F16" i="17"/>
  <c r="H16" i="17" s="1"/>
  <c r="H17" i="17" l="1"/>
  <c r="K74" i="23"/>
  <c r="J93" i="10" s="1"/>
  <c r="K75" i="23"/>
  <c r="J94" i="10" s="1"/>
  <c r="K76" i="23"/>
  <c r="J95" i="10" s="1"/>
  <c r="N1214" i="6"/>
  <c r="N1009" i="6"/>
  <c r="N1138" i="6"/>
  <c r="N992" i="6"/>
  <c r="N1063" i="6"/>
  <c r="N1150" i="6"/>
  <c r="N1206" i="6"/>
  <c r="N1001" i="6"/>
  <c r="N993" i="6"/>
  <c r="N1170" i="6"/>
  <c r="N1238" i="6"/>
  <c r="N1172" i="6"/>
  <c r="N1240" i="6"/>
  <c r="N1076" i="6"/>
  <c r="N1122" i="6"/>
  <c r="N1152" i="6"/>
  <c r="N1120" i="6"/>
  <c r="N1078" i="6"/>
  <c r="N1050" i="6"/>
  <c r="N1052" i="6"/>
  <c r="N1028" i="6"/>
  <c r="N1026" i="6"/>
  <c r="J62" i="9"/>
  <c r="J60" i="9"/>
  <c r="J58" i="9"/>
  <c r="M499" i="5" l="1"/>
  <c r="J1104" i="6"/>
  <c r="M427" i="5"/>
  <c r="M463" i="5"/>
  <c r="J1010" i="6"/>
  <c r="J1198" i="6"/>
  <c r="J1008" i="6"/>
  <c r="J1196" i="6"/>
  <c r="M425" i="5"/>
  <c r="M461" i="5"/>
  <c r="J1102" i="6"/>
  <c r="M497" i="5"/>
  <c r="M462" i="5"/>
  <c r="J1103" i="6"/>
  <c r="M426" i="5"/>
  <c r="J1009" i="6"/>
  <c r="M498" i="5"/>
  <c r="J1197" i="6"/>
  <c r="P629" i="5"/>
  <c r="H12" i="10" l="1"/>
  <c r="M292" i="6" l="1"/>
  <c r="M284" i="6"/>
  <c r="M16" i="6"/>
  <c r="G356" i="6" l="1"/>
  <c r="P962" i="5"/>
  <c r="P917" i="5"/>
  <c r="P872" i="5"/>
  <c r="P827" i="5"/>
  <c r="H206" i="5" l="1"/>
  <c r="H164" i="5"/>
  <c r="H122" i="5"/>
  <c r="H80" i="5"/>
  <c r="H38" i="5"/>
  <c r="K32" i="19" l="1"/>
  <c r="J32" i="19"/>
  <c r="I32" i="19"/>
  <c r="H32" i="19"/>
  <c r="G32" i="19"/>
  <c r="F32" i="19"/>
  <c r="E32" i="19"/>
  <c r="L31" i="19"/>
  <c r="L30" i="19"/>
  <c r="L29" i="19"/>
  <c r="L28" i="19"/>
  <c r="L27" i="19"/>
  <c r="L26" i="19"/>
  <c r="L25" i="19"/>
  <c r="L24" i="19"/>
  <c r="L23" i="19"/>
  <c r="L22" i="19"/>
  <c r="L21" i="19"/>
  <c r="L20" i="19"/>
  <c r="L19" i="19"/>
  <c r="L18" i="19"/>
  <c r="L17" i="19"/>
  <c r="L16" i="19"/>
  <c r="L15" i="19"/>
  <c r="L14" i="19"/>
  <c r="L13" i="19"/>
  <c r="L12" i="19"/>
  <c r="L32" i="19" s="1"/>
  <c r="P1274" i="5" l="1"/>
  <c r="P1220" i="5"/>
  <c r="P1166" i="5"/>
  <c r="P1112" i="5"/>
  <c r="P965" i="5"/>
  <c r="P920" i="5"/>
  <c r="P875" i="5"/>
  <c r="P830" i="5"/>
  <c r="P785" i="5"/>
  <c r="P731" i="5"/>
  <c r="P701" i="5"/>
  <c r="P683" i="5"/>
  <c r="P665" i="5"/>
  <c r="P647" i="5"/>
  <c r="P605" i="5"/>
  <c r="P569" i="5"/>
  <c r="P533" i="5"/>
  <c r="P389" i="5"/>
  <c r="P359" i="5"/>
  <c r="P329" i="5"/>
  <c r="P299" i="5"/>
  <c r="P269" i="5"/>
  <c r="P239" i="5"/>
  <c r="P206" i="5"/>
  <c r="P164" i="5"/>
  <c r="P122" i="5"/>
  <c r="P80" i="5"/>
  <c r="P38" i="5"/>
  <c r="P26" i="5"/>
  <c r="P35" i="5"/>
  <c r="P41" i="5"/>
  <c r="P50" i="5"/>
  <c r="P53" i="5"/>
  <c r="P56" i="5"/>
  <c r="P68" i="5"/>
  <c r="P77" i="5"/>
  <c r="P83" i="5"/>
  <c r="P92" i="5"/>
  <c r="P95" i="5"/>
  <c r="P98" i="5"/>
  <c r="P110" i="5"/>
  <c r="P119" i="5"/>
  <c r="P125" i="5"/>
  <c r="P134" i="5"/>
  <c r="P137" i="5"/>
  <c r="P140" i="5"/>
  <c r="P152" i="5"/>
  <c r="P161" i="5"/>
  <c r="P167" i="5"/>
  <c r="P176" i="5"/>
  <c r="P179" i="5"/>
  <c r="P182" i="5"/>
  <c r="P194" i="5"/>
  <c r="P203" i="5"/>
  <c r="P209" i="5"/>
  <c r="P218" i="5"/>
  <c r="P221" i="5"/>
  <c r="P224" i="5"/>
  <c r="P242" i="5"/>
  <c r="P248" i="5"/>
  <c r="P251" i="5"/>
  <c r="P254" i="5"/>
  <c r="P272" i="5"/>
  <c r="P278" i="5"/>
  <c r="P281" i="5"/>
  <c r="P284" i="5"/>
  <c r="P302" i="5"/>
  <c r="P308" i="5"/>
  <c r="P311" i="5"/>
  <c r="P314" i="5"/>
  <c r="P332" i="5"/>
  <c r="P338" i="5"/>
  <c r="P341" i="5"/>
  <c r="P344" i="5"/>
  <c r="P362" i="5"/>
  <c r="P368" i="5"/>
  <c r="P371" i="5"/>
  <c r="P374" i="5"/>
  <c r="P392" i="5"/>
  <c r="P398" i="5"/>
  <c r="P404" i="5"/>
  <c r="P407" i="5"/>
  <c r="P410" i="5"/>
  <c r="P536" i="5"/>
  <c r="P542" i="5"/>
  <c r="P548" i="5"/>
  <c r="P551" i="5"/>
  <c r="P554" i="5"/>
  <c r="P572" i="5"/>
  <c r="P578" i="5"/>
  <c r="P584" i="5"/>
  <c r="P587" i="5"/>
  <c r="P590" i="5"/>
  <c r="P608" i="5"/>
  <c r="P614" i="5"/>
  <c r="P620" i="5"/>
  <c r="P623" i="5"/>
  <c r="P626" i="5"/>
  <c r="P632" i="5"/>
  <c r="P638" i="5"/>
  <c r="P641" i="5"/>
  <c r="P644" i="5"/>
  <c r="P650" i="5"/>
  <c r="P656" i="5"/>
  <c r="P659" i="5"/>
  <c r="P662" i="5"/>
  <c r="P668" i="5"/>
  <c r="P674" i="5"/>
  <c r="P677" i="5"/>
  <c r="P680" i="5"/>
  <c r="P686" i="5"/>
  <c r="P692" i="5"/>
  <c r="P695" i="5"/>
  <c r="P698" i="5"/>
  <c r="P704" i="5"/>
  <c r="P710" i="5"/>
  <c r="P713" i="5"/>
  <c r="P716" i="5"/>
  <c r="P734" i="5"/>
  <c r="P737" i="5"/>
  <c r="P740" i="5"/>
  <c r="P743" i="5"/>
  <c r="P746" i="5"/>
  <c r="P749" i="5"/>
  <c r="P752" i="5"/>
  <c r="P758" i="5"/>
  <c r="P767" i="5"/>
  <c r="P770" i="5"/>
  <c r="P776" i="5"/>
  <c r="P779" i="5"/>
  <c r="P782" i="5"/>
  <c r="P788" i="5"/>
  <c r="P791" i="5"/>
  <c r="P794" i="5"/>
  <c r="P797" i="5"/>
  <c r="P800" i="5"/>
  <c r="P806" i="5"/>
  <c r="P815" i="5"/>
  <c r="P818" i="5"/>
  <c r="P824" i="5"/>
  <c r="P833" i="5"/>
  <c r="P836" i="5"/>
  <c r="P839" i="5"/>
  <c r="P842" i="5"/>
  <c r="P845" i="5"/>
  <c r="P851" i="5"/>
  <c r="P860" i="5"/>
  <c r="P863" i="5"/>
  <c r="P869" i="5"/>
  <c r="P878" i="5"/>
  <c r="P881" i="5"/>
  <c r="P884" i="5"/>
  <c r="P887" i="5"/>
  <c r="P890" i="5"/>
  <c r="P896" i="5"/>
  <c r="P905" i="5"/>
  <c r="P908" i="5"/>
  <c r="P914" i="5"/>
  <c r="P923" i="5"/>
  <c r="P926" i="5"/>
  <c r="P929" i="5"/>
  <c r="P932" i="5"/>
  <c r="P935" i="5"/>
  <c r="P941" i="5"/>
  <c r="P950" i="5"/>
  <c r="P953" i="5"/>
  <c r="P959" i="5"/>
  <c r="P968" i="5"/>
  <c r="P971" i="5"/>
  <c r="P974" i="5"/>
  <c r="P977" i="5"/>
  <c r="P983" i="5"/>
  <c r="P986" i="5"/>
  <c r="P989" i="5"/>
  <c r="P1007" i="5"/>
  <c r="P1010" i="5"/>
  <c r="P1013" i="5"/>
  <c r="P1016" i="5"/>
  <c r="P1019" i="5"/>
  <c r="P1022" i="5"/>
  <c r="P1025" i="5"/>
  <c r="P1040" i="5"/>
  <c r="P1046" i="5"/>
  <c r="P1049" i="5"/>
  <c r="P1052" i="5"/>
  <c r="P1055" i="5"/>
  <c r="P1058" i="5"/>
  <c r="P1061" i="5"/>
  <c r="P1067" i="5"/>
  <c r="P1073" i="5"/>
  <c r="P1076" i="5"/>
  <c r="P1079" i="5"/>
  <c r="P1094" i="5"/>
  <c r="P1100" i="5"/>
  <c r="P1103" i="5"/>
  <c r="P1106" i="5"/>
  <c r="P1109" i="5"/>
  <c r="P1115" i="5"/>
  <c r="P1121" i="5"/>
  <c r="P1127" i="5"/>
  <c r="P1130" i="5"/>
  <c r="P1133" i="5"/>
  <c r="P1148" i="5"/>
  <c r="P1154" i="5"/>
  <c r="P1157" i="5"/>
  <c r="P1160" i="5"/>
  <c r="P1163" i="5"/>
  <c r="P1169" i="5"/>
  <c r="P1175" i="5"/>
  <c r="P1181" i="5"/>
  <c r="P1184" i="5"/>
  <c r="P1187" i="5"/>
  <c r="P1202" i="5"/>
  <c r="P1208" i="5"/>
  <c r="P1211" i="5"/>
  <c r="P1214" i="5"/>
  <c r="P1217" i="5"/>
  <c r="P1223" i="5"/>
  <c r="P1229" i="5"/>
  <c r="P1235" i="5"/>
  <c r="P1238" i="5"/>
  <c r="P1241" i="5"/>
  <c r="P1256" i="5"/>
  <c r="P1262" i="5"/>
  <c r="P1265" i="5"/>
  <c r="P1268" i="5"/>
  <c r="P1271" i="5"/>
  <c r="P1277" i="5"/>
  <c r="P1283" i="5"/>
  <c r="P1289" i="5"/>
  <c r="P1292" i="5"/>
  <c r="P1295" i="5"/>
  <c r="M1018" i="5" l="1"/>
  <c r="M1017" i="5"/>
  <c r="T1016" i="5"/>
  <c r="M1016" i="5"/>
  <c r="H1016" i="5"/>
  <c r="H347" i="1" l="1"/>
  <c r="I94" i="15"/>
  <c r="J94" i="15" s="1"/>
  <c r="G38" i="17" l="1"/>
  <c r="G37" i="17"/>
  <c r="G36" i="17"/>
  <c r="G35" i="17"/>
  <c r="G34" i="17"/>
  <c r="G33" i="17"/>
  <c r="G32" i="17"/>
  <c r="G31" i="17"/>
  <c r="G30" i="17"/>
  <c r="G29" i="17"/>
  <c r="G28" i="17"/>
  <c r="G27" i="17"/>
  <c r="G26" i="17"/>
  <c r="G25" i="17"/>
  <c r="G24" i="17"/>
  <c r="G23" i="17"/>
  <c r="G22" i="17"/>
  <c r="G21" i="17"/>
  <c r="G20" i="17"/>
  <c r="G19" i="17"/>
  <c r="G15" i="17"/>
  <c r="G14" i="17"/>
  <c r="G13" i="17"/>
  <c r="G12" i="17"/>
  <c r="G11" i="17"/>
  <c r="G10" i="17"/>
  <c r="G9" i="17"/>
  <c r="G8" i="17"/>
  <c r="G7" i="17"/>
  <c r="G6" i="17"/>
  <c r="G5" i="17"/>
  <c r="G4" i="17"/>
  <c r="F38" i="17"/>
  <c r="F37" i="17"/>
  <c r="F36" i="17"/>
  <c r="F35" i="17"/>
  <c r="H35" i="17" s="1"/>
  <c r="F34" i="17"/>
  <c r="F33" i="17"/>
  <c r="F32" i="17"/>
  <c r="F31" i="17"/>
  <c r="H31" i="17" s="1"/>
  <c r="F30" i="17"/>
  <c r="H30" i="17" s="1"/>
  <c r="F29" i="17"/>
  <c r="F28" i="17"/>
  <c r="F27" i="17"/>
  <c r="F26" i="17"/>
  <c r="F25" i="17"/>
  <c r="F24" i="17"/>
  <c r="F23" i="17"/>
  <c r="F22" i="17"/>
  <c r="F21" i="17"/>
  <c r="F20" i="17"/>
  <c r="H20" i="17" s="1"/>
  <c r="F19" i="17"/>
  <c r="H19" i="17" s="1"/>
  <c r="F14" i="17"/>
  <c r="F15" i="17"/>
  <c r="F13" i="17"/>
  <c r="F12" i="17"/>
  <c r="H12" i="17" s="1"/>
  <c r="F11" i="17"/>
  <c r="F10" i="17"/>
  <c r="H10" i="17" s="1"/>
  <c r="F9" i="17"/>
  <c r="F8" i="17"/>
  <c r="H8" i="17" s="1"/>
  <c r="F7" i="17"/>
  <c r="F6" i="17"/>
  <c r="F5" i="17"/>
  <c r="F4" i="17"/>
  <c r="H4" i="17" s="1"/>
  <c r="I4" i="17" s="1"/>
  <c r="H38" i="17"/>
  <c r="H25" i="17"/>
  <c r="H32" i="17" l="1"/>
  <c r="H28" i="17"/>
  <c r="H36" i="17"/>
  <c r="H21" i="17"/>
  <c r="H37" i="17"/>
  <c r="H14" i="17"/>
  <c r="H22" i="17"/>
  <c r="H26" i="17"/>
  <c r="H34" i="17"/>
  <c r="H27" i="17"/>
  <c r="H29" i="17"/>
  <c r="H24" i="17"/>
  <c r="H33" i="17"/>
  <c r="H23" i="17"/>
  <c r="H6" i="17"/>
  <c r="H5" i="17"/>
  <c r="H7" i="17"/>
  <c r="H9" i="17"/>
  <c r="H11" i="17"/>
  <c r="H13" i="17"/>
  <c r="H15" i="17"/>
  <c r="C4" i="17"/>
  <c r="H42" i="14"/>
  <c r="I5" i="17" l="1"/>
  <c r="I6" i="17" s="1"/>
  <c r="C6" i="17" s="1"/>
  <c r="H77" i="1"/>
  <c r="H63" i="1"/>
  <c r="H49" i="1"/>
  <c r="H35" i="1"/>
  <c r="H21" i="1"/>
  <c r="C5" i="17" l="1"/>
  <c r="I7" i="17"/>
  <c r="AV26" i="3"/>
  <c r="AV27" i="3" s="1"/>
  <c r="AV28" i="3" s="1"/>
  <c r="AV48" i="3"/>
  <c r="AV49" i="3" s="1"/>
  <c r="AV50" i="3" s="1"/>
  <c r="AV66" i="3"/>
  <c r="AV67" i="3" s="1"/>
  <c r="AV68" i="3" s="1"/>
  <c r="AV76" i="3"/>
  <c r="AV77" i="3" s="1"/>
  <c r="AV78" i="3" s="1"/>
  <c r="AV91" i="3"/>
  <c r="AV92" i="3" s="1"/>
  <c r="AV93" i="3" s="1"/>
  <c r="AV126" i="3"/>
  <c r="AV127" i="3" s="1"/>
  <c r="AV128" i="3" s="1"/>
  <c r="I8" i="17" l="1"/>
  <c r="C7" i="17"/>
  <c r="I9" i="17" l="1"/>
  <c r="C8" i="17"/>
  <c r="C75" i="15"/>
  <c r="C74" i="15"/>
  <c r="C73" i="15"/>
  <c r="C72" i="15"/>
  <c r="C71" i="15"/>
  <c r="C70" i="15"/>
  <c r="C69" i="15"/>
  <c r="C68" i="15"/>
  <c r="C67" i="15"/>
  <c r="C66" i="15"/>
  <c r="C65" i="15"/>
  <c r="C64" i="15"/>
  <c r="C63" i="15"/>
  <c r="C62" i="15"/>
  <c r="C61" i="15"/>
  <c r="C60" i="15"/>
  <c r="C59" i="15"/>
  <c r="C58" i="15"/>
  <c r="C57" i="15"/>
  <c r="C56" i="15"/>
  <c r="C55" i="15"/>
  <c r="C54" i="15"/>
  <c r="C53" i="15"/>
  <c r="C52" i="15"/>
  <c r="C51" i="15"/>
  <c r="C50" i="15"/>
  <c r="C49" i="15"/>
  <c r="C48" i="15"/>
  <c r="C47" i="15"/>
  <c r="C46" i="15"/>
  <c r="C45" i="15"/>
  <c r="C44" i="15"/>
  <c r="H673" i="14"/>
  <c r="G673" i="14"/>
  <c r="H653" i="14"/>
  <c r="G653" i="14"/>
  <c r="H633" i="14"/>
  <c r="G633" i="14"/>
  <c r="H613" i="14"/>
  <c r="G613" i="14"/>
  <c r="H593" i="14"/>
  <c r="G593" i="14"/>
  <c r="H573" i="14"/>
  <c r="G573" i="14"/>
  <c r="H553" i="14"/>
  <c r="G553" i="14"/>
  <c r="H533" i="14"/>
  <c r="G533" i="14"/>
  <c r="H513" i="14"/>
  <c r="G513" i="14"/>
  <c r="H493" i="14"/>
  <c r="G493" i="14"/>
  <c r="H473" i="14"/>
  <c r="G473" i="14"/>
  <c r="H453" i="14"/>
  <c r="G453" i="14"/>
  <c r="H433" i="14"/>
  <c r="G433" i="14"/>
  <c r="H413" i="14"/>
  <c r="G413" i="14"/>
  <c r="H393" i="14"/>
  <c r="G393" i="14"/>
  <c r="H373" i="14"/>
  <c r="G373" i="14"/>
  <c r="H353" i="14"/>
  <c r="G353" i="14"/>
  <c r="H333" i="14"/>
  <c r="G333" i="14"/>
  <c r="H313" i="14"/>
  <c r="G313" i="14"/>
  <c r="H293" i="14"/>
  <c r="G293" i="14"/>
  <c r="H273" i="14"/>
  <c r="G273" i="14"/>
  <c r="H253" i="14"/>
  <c r="G253" i="14"/>
  <c r="H233" i="14"/>
  <c r="G233" i="14"/>
  <c r="H213" i="14"/>
  <c r="G213" i="14"/>
  <c r="H193" i="14"/>
  <c r="G193" i="14"/>
  <c r="H173" i="14"/>
  <c r="G173" i="14"/>
  <c r="H153" i="14"/>
  <c r="G153" i="14"/>
  <c r="H133" i="14"/>
  <c r="G133" i="14"/>
  <c r="H113" i="14"/>
  <c r="G113" i="14"/>
  <c r="H93" i="14"/>
  <c r="G93" i="14"/>
  <c r="H73" i="14"/>
  <c r="G73" i="14"/>
  <c r="H53" i="14"/>
  <c r="G53" i="14"/>
  <c r="I10" i="17" l="1"/>
  <c r="C9" i="17"/>
  <c r="D53" i="8"/>
  <c r="R690" i="14"/>
  <c r="U690" i="14" s="1"/>
  <c r="R689" i="14"/>
  <c r="U689" i="14" s="1"/>
  <c r="R688" i="14"/>
  <c r="U688" i="14" s="1"/>
  <c r="R687" i="14"/>
  <c r="U687" i="14" s="1"/>
  <c r="R686" i="14"/>
  <c r="U686" i="14" s="1"/>
  <c r="R685" i="14"/>
  <c r="U685" i="14" s="1"/>
  <c r="R684" i="14"/>
  <c r="U684" i="14" s="1"/>
  <c r="R683" i="14"/>
  <c r="U683" i="14" s="1"/>
  <c r="R682" i="14"/>
  <c r="U682" i="14" s="1"/>
  <c r="R681" i="14"/>
  <c r="U681" i="14" s="1"/>
  <c r="R680" i="14"/>
  <c r="U680" i="14" s="1"/>
  <c r="R679" i="14"/>
  <c r="U679" i="14" s="1"/>
  <c r="R678" i="14"/>
  <c r="U678" i="14" s="1"/>
  <c r="R677" i="14"/>
  <c r="U677" i="14" s="1"/>
  <c r="R676" i="14"/>
  <c r="U676" i="14" s="1"/>
  <c r="R675" i="14"/>
  <c r="U675" i="14" s="1"/>
  <c r="R674" i="14"/>
  <c r="U674" i="14" s="1"/>
  <c r="R673" i="14"/>
  <c r="U673" i="14" s="1"/>
  <c r="R670" i="14"/>
  <c r="U670" i="14" s="1"/>
  <c r="R669" i="14"/>
  <c r="U669" i="14" s="1"/>
  <c r="R668" i="14"/>
  <c r="U668" i="14" s="1"/>
  <c r="R667" i="14"/>
  <c r="U667" i="14" s="1"/>
  <c r="R666" i="14"/>
  <c r="U666" i="14" s="1"/>
  <c r="R665" i="14"/>
  <c r="U665" i="14" s="1"/>
  <c r="R664" i="14"/>
  <c r="U664" i="14" s="1"/>
  <c r="R663" i="14"/>
  <c r="U663" i="14" s="1"/>
  <c r="R662" i="14"/>
  <c r="U662" i="14" s="1"/>
  <c r="R661" i="14"/>
  <c r="U661" i="14" s="1"/>
  <c r="R660" i="14"/>
  <c r="U660" i="14" s="1"/>
  <c r="R659" i="14"/>
  <c r="U659" i="14" s="1"/>
  <c r="R658" i="14"/>
  <c r="U658" i="14" s="1"/>
  <c r="R657" i="14"/>
  <c r="U657" i="14" s="1"/>
  <c r="R656" i="14"/>
  <c r="U656" i="14" s="1"/>
  <c r="R655" i="14"/>
  <c r="U655" i="14" s="1"/>
  <c r="R654" i="14"/>
  <c r="U654" i="14" s="1"/>
  <c r="R653" i="14"/>
  <c r="U653" i="14" s="1"/>
  <c r="R650" i="14"/>
  <c r="U650" i="14" s="1"/>
  <c r="R649" i="14"/>
  <c r="U649" i="14" s="1"/>
  <c r="R648" i="14"/>
  <c r="U648" i="14" s="1"/>
  <c r="R647" i="14"/>
  <c r="U647" i="14" s="1"/>
  <c r="R646" i="14"/>
  <c r="U646" i="14" s="1"/>
  <c r="R645" i="14"/>
  <c r="U645" i="14" s="1"/>
  <c r="R644" i="14"/>
  <c r="U644" i="14" s="1"/>
  <c r="R643" i="14"/>
  <c r="U643" i="14" s="1"/>
  <c r="R642" i="14"/>
  <c r="U642" i="14" s="1"/>
  <c r="R641" i="14"/>
  <c r="U641" i="14" s="1"/>
  <c r="R640" i="14"/>
  <c r="U640" i="14" s="1"/>
  <c r="R639" i="14"/>
  <c r="U639" i="14" s="1"/>
  <c r="R638" i="14"/>
  <c r="U638" i="14" s="1"/>
  <c r="R637" i="14"/>
  <c r="U637" i="14" s="1"/>
  <c r="R636" i="14"/>
  <c r="U636" i="14" s="1"/>
  <c r="R635" i="14"/>
  <c r="U635" i="14" s="1"/>
  <c r="R634" i="14"/>
  <c r="U634" i="14" s="1"/>
  <c r="R633" i="14"/>
  <c r="U633" i="14" s="1"/>
  <c r="R630" i="14"/>
  <c r="U630" i="14" s="1"/>
  <c r="R629" i="14"/>
  <c r="U629" i="14" s="1"/>
  <c r="R628" i="14"/>
  <c r="U628" i="14" s="1"/>
  <c r="R627" i="14"/>
  <c r="U627" i="14" s="1"/>
  <c r="R626" i="14"/>
  <c r="U626" i="14" s="1"/>
  <c r="R625" i="14"/>
  <c r="U625" i="14" s="1"/>
  <c r="R624" i="14"/>
  <c r="U624" i="14" s="1"/>
  <c r="R623" i="14"/>
  <c r="U623" i="14" s="1"/>
  <c r="R622" i="14"/>
  <c r="U622" i="14" s="1"/>
  <c r="R621" i="14"/>
  <c r="U621" i="14" s="1"/>
  <c r="R620" i="14"/>
  <c r="U620" i="14" s="1"/>
  <c r="R619" i="14"/>
  <c r="U619" i="14" s="1"/>
  <c r="R618" i="14"/>
  <c r="U618" i="14" s="1"/>
  <c r="R617" i="14"/>
  <c r="U617" i="14" s="1"/>
  <c r="R616" i="14"/>
  <c r="U616" i="14" s="1"/>
  <c r="R615" i="14"/>
  <c r="U615" i="14" s="1"/>
  <c r="R614" i="14"/>
  <c r="U614" i="14" s="1"/>
  <c r="R613" i="14"/>
  <c r="U613" i="14" s="1"/>
  <c r="R610" i="14"/>
  <c r="U610" i="14" s="1"/>
  <c r="R609" i="14"/>
  <c r="U609" i="14" s="1"/>
  <c r="R608" i="14"/>
  <c r="U608" i="14" s="1"/>
  <c r="R607" i="14"/>
  <c r="U607" i="14" s="1"/>
  <c r="R606" i="14"/>
  <c r="U606" i="14" s="1"/>
  <c r="R605" i="14"/>
  <c r="U605" i="14" s="1"/>
  <c r="R604" i="14"/>
  <c r="U604" i="14" s="1"/>
  <c r="R603" i="14"/>
  <c r="U603" i="14" s="1"/>
  <c r="R602" i="14"/>
  <c r="U602" i="14" s="1"/>
  <c r="R601" i="14"/>
  <c r="U601" i="14" s="1"/>
  <c r="R600" i="14"/>
  <c r="U600" i="14" s="1"/>
  <c r="R599" i="14"/>
  <c r="U599" i="14" s="1"/>
  <c r="R598" i="14"/>
  <c r="U598" i="14" s="1"/>
  <c r="R597" i="14"/>
  <c r="U597" i="14" s="1"/>
  <c r="R596" i="14"/>
  <c r="U596" i="14" s="1"/>
  <c r="R595" i="14"/>
  <c r="U595" i="14" s="1"/>
  <c r="R594" i="14"/>
  <c r="U594" i="14" s="1"/>
  <c r="R593" i="14"/>
  <c r="U593" i="14" s="1"/>
  <c r="R590" i="14"/>
  <c r="U590" i="14" s="1"/>
  <c r="R589" i="14"/>
  <c r="U589" i="14" s="1"/>
  <c r="R588" i="14"/>
  <c r="U588" i="14" s="1"/>
  <c r="R587" i="14"/>
  <c r="U587" i="14" s="1"/>
  <c r="R586" i="14"/>
  <c r="U586" i="14" s="1"/>
  <c r="R585" i="14"/>
  <c r="U585" i="14" s="1"/>
  <c r="R584" i="14"/>
  <c r="U584" i="14" s="1"/>
  <c r="R583" i="14"/>
  <c r="U583" i="14" s="1"/>
  <c r="R582" i="14"/>
  <c r="U582" i="14" s="1"/>
  <c r="R581" i="14"/>
  <c r="U581" i="14" s="1"/>
  <c r="R580" i="14"/>
  <c r="U580" i="14" s="1"/>
  <c r="R579" i="14"/>
  <c r="U579" i="14" s="1"/>
  <c r="R578" i="14"/>
  <c r="U578" i="14" s="1"/>
  <c r="R577" i="14"/>
  <c r="U577" i="14" s="1"/>
  <c r="R576" i="14"/>
  <c r="U576" i="14" s="1"/>
  <c r="R575" i="14"/>
  <c r="U575" i="14" s="1"/>
  <c r="R574" i="14"/>
  <c r="U574" i="14" s="1"/>
  <c r="R573" i="14"/>
  <c r="U573" i="14" s="1"/>
  <c r="R570" i="14"/>
  <c r="U570" i="14" s="1"/>
  <c r="R569" i="14"/>
  <c r="U569" i="14" s="1"/>
  <c r="R568" i="14"/>
  <c r="U568" i="14" s="1"/>
  <c r="R567" i="14"/>
  <c r="U567" i="14" s="1"/>
  <c r="R566" i="14"/>
  <c r="U566" i="14" s="1"/>
  <c r="R565" i="14"/>
  <c r="U565" i="14" s="1"/>
  <c r="R564" i="14"/>
  <c r="U564" i="14" s="1"/>
  <c r="R563" i="14"/>
  <c r="U563" i="14" s="1"/>
  <c r="R562" i="14"/>
  <c r="U562" i="14" s="1"/>
  <c r="R561" i="14"/>
  <c r="U561" i="14" s="1"/>
  <c r="R560" i="14"/>
  <c r="U560" i="14" s="1"/>
  <c r="R559" i="14"/>
  <c r="U559" i="14" s="1"/>
  <c r="R558" i="14"/>
  <c r="U558" i="14" s="1"/>
  <c r="R557" i="14"/>
  <c r="U557" i="14" s="1"/>
  <c r="R556" i="14"/>
  <c r="U556" i="14" s="1"/>
  <c r="R555" i="14"/>
  <c r="U555" i="14" s="1"/>
  <c r="R554" i="14"/>
  <c r="U554" i="14" s="1"/>
  <c r="R553" i="14"/>
  <c r="U553" i="14" s="1"/>
  <c r="R550" i="14"/>
  <c r="U550" i="14" s="1"/>
  <c r="R549" i="14"/>
  <c r="U549" i="14" s="1"/>
  <c r="R548" i="14"/>
  <c r="U548" i="14" s="1"/>
  <c r="R547" i="14"/>
  <c r="U547" i="14" s="1"/>
  <c r="R546" i="14"/>
  <c r="U546" i="14" s="1"/>
  <c r="R545" i="14"/>
  <c r="U545" i="14" s="1"/>
  <c r="R544" i="14"/>
  <c r="U544" i="14" s="1"/>
  <c r="R543" i="14"/>
  <c r="U543" i="14" s="1"/>
  <c r="R542" i="14"/>
  <c r="U542" i="14" s="1"/>
  <c r="R541" i="14"/>
  <c r="U541" i="14" s="1"/>
  <c r="R540" i="14"/>
  <c r="U540" i="14" s="1"/>
  <c r="R539" i="14"/>
  <c r="U539" i="14" s="1"/>
  <c r="R538" i="14"/>
  <c r="U538" i="14" s="1"/>
  <c r="R537" i="14"/>
  <c r="U537" i="14" s="1"/>
  <c r="R536" i="14"/>
  <c r="U536" i="14" s="1"/>
  <c r="R535" i="14"/>
  <c r="U535" i="14" s="1"/>
  <c r="R534" i="14"/>
  <c r="U534" i="14" s="1"/>
  <c r="R533" i="14"/>
  <c r="U533" i="14" s="1"/>
  <c r="R530" i="14"/>
  <c r="U530" i="14" s="1"/>
  <c r="R529" i="14"/>
  <c r="U529" i="14" s="1"/>
  <c r="R528" i="14"/>
  <c r="U528" i="14" s="1"/>
  <c r="R527" i="14"/>
  <c r="U527" i="14" s="1"/>
  <c r="R526" i="14"/>
  <c r="U526" i="14" s="1"/>
  <c r="R525" i="14"/>
  <c r="U525" i="14" s="1"/>
  <c r="R524" i="14"/>
  <c r="U524" i="14" s="1"/>
  <c r="R523" i="14"/>
  <c r="U523" i="14" s="1"/>
  <c r="R522" i="14"/>
  <c r="U522" i="14" s="1"/>
  <c r="R521" i="14"/>
  <c r="U521" i="14" s="1"/>
  <c r="R520" i="14"/>
  <c r="U520" i="14" s="1"/>
  <c r="R519" i="14"/>
  <c r="U519" i="14" s="1"/>
  <c r="R518" i="14"/>
  <c r="U518" i="14" s="1"/>
  <c r="R517" i="14"/>
  <c r="U517" i="14" s="1"/>
  <c r="R516" i="14"/>
  <c r="U516" i="14" s="1"/>
  <c r="R515" i="14"/>
  <c r="U515" i="14" s="1"/>
  <c r="R514" i="14"/>
  <c r="U514" i="14" s="1"/>
  <c r="R513" i="14"/>
  <c r="U513" i="14" s="1"/>
  <c r="R510" i="14"/>
  <c r="U510" i="14" s="1"/>
  <c r="R509" i="14"/>
  <c r="U509" i="14" s="1"/>
  <c r="R508" i="14"/>
  <c r="U508" i="14" s="1"/>
  <c r="R507" i="14"/>
  <c r="U507" i="14" s="1"/>
  <c r="R506" i="14"/>
  <c r="U506" i="14" s="1"/>
  <c r="R505" i="14"/>
  <c r="U505" i="14" s="1"/>
  <c r="R504" i="14"/>
  <c r="U504" i="14" s="1"/>
  <c r="R503" i="14"/>
  <c r="U503" i="14" s="1"/>
  <c r="R502" i="14"/>
  <c r="U502" i="14" s="1"/>
  <c r="R501" i="14"/>
  <c r="U501" i="14" s="1"/>
  <c r="R500" i="14"/>
  <c r="U500" i="14" s="1"/>
  <c r="R499" i="14"/>
  <c r="U499" i="14" s="1"/>
  <c r="R498" i="14"/>
  <c r="U498" i="14" s="1"/>
  <c r="R497" i="14"/>
  <c r="U497" i="14" s="1"/>
  <c r="R496" i="14"/>
  <c r="U496" i="14" s="1"/>
  <c r="R495" i="14"/>
  <c r="U495" i="14" s="1"/>
  <c r="R494" i="14"/>
  <c r="U494" i="14" s="1"/>
  <c r="R493" i="14"/>
  <c r="U493" i="14" s="1"/>
  <c r="R490" i="14"/>
  <c r="U490" i="14" s="1"/>
  <c r="R489" i="14"/>
  <c r="U489" i="14" s="1"/>
  <c r="R488" i="14"/>
  <c r="U488" i="14" s="1"/>
  <c r="R487" i="14"/>
  <c r="U487" i="14" s="1"/>
  <c r="R486" i="14"/>
  <c r="U486" i="14" s="1"/>
  <c r="R485" i="14"/>
  <c r="U485" i="14" s="1"/>
  <c r="R484" i="14"/>
  <c r="U484" i="14" s="1"/>
  <c r="R483" i="14"/>
  <c r="U483" i="14" s="1"/>
  <c r="R482" i="14"/>
  <c r="U482" i="14" s="1"/>
  <c r="R481" i="14"/>
  <c r="U481" i="14" s="1"/>
  <c r="R480" i="14"/>
  <c r="U480" i="14" s="1"/>
  <c r="R479" i="14"/>
  <c r="U479" i="14" s="1"/>
  <c r="R478" i="14"/>
  <c r="U478" i="14" s="1"/>
  <c r="R477" i="14"/>
  <c r="U477" i="14" s="1"/>
  <c r="R476" i="14"/>
  <c r="U476" i="14" s="1"/>
  <c r="R475" i="14"/>
  <c r="U475" i="14" s="1"/>
  <c r="R474" i="14"/>
  <c r="U474" i="14" s="1"/>
  <c r="R473" i="14"/>
  <c r="U473" i="14" s="1"/>
  <c r="R470" i="14"/>
  <c r="U470" i="14" s="1"/>
  <c r="R469" i="14"/>
  <c r="U469" i="14" s="1"/>
  <c r="R468" i="14"/>
  <c r="U468" i="14" s="1"/>
  <c r="R467" i="14"/>
  <c r="U467" i="14" s="1"/>
  <c r="R466" i="14"/>
  <c r="U466" i="14" s="1"/>
  <c r="R465" i="14"/>
  <c r="U465" i="14" s="1"/>
  <c r="R464" i="14"/>
  <c r="U464" i="14" s="1"/>
  <c r="R463" i="14"/>
  <c r="U463" i="14" s="1"/>
  <c r="R462" i="14"/>
  <c r="U462" i="14" s="1"/>
  <c r="R461" i="14"/>
  <c r="U461" i="14" s="1"/>
  <c r="R460" i="14"/>
  <c r="U460" i="14" s="1"/>
  <c r="R459" i="14"/>
  <c r="U459" i="14" s="1"/>
  <c r="R458" i="14"/>
  <c r="U458" i="14" s="1"/>
  <c r="R457" i="14"/>
  <c r="U457" i="14" s="1"/>
  <c r="R456" i="14"/>
  <c r="U456" i="14" s="1"/>
  <c r="R455" i="14"/>
  <c r="U455" i="14" s="1"/>
  <c r="R454" i="14"/>
  <c r="U454" i="14" s="1"/>
  <c r="R453" i="14"/>
  <c r="U453" i="14" s="1"/>
  <c r="R450" i="14"/>
  <c r="U450" i="14" s="1"/>
  <c r="R449" i="14"/>
  <c r="U449" i="14" s="1"/>
  <c r="R448" i="14"/>
  <c r="U448" i="14" s="1"/>
  <c r="R447" i="14"/>
  <c r="U447" i="14" s="1"/>
  <c r="R446" i="14"/>
  <c r="U446" i="14" s="1"/>
  <c r="R445" i="14"/>
  <c r="U445" i="14" s="1"/>
  <c r="R444" i="14"/>
  <c r="U444" i="14" s="1"/>
  <c r="R443" i="14"/>
  <c r="U443" i="14" s="1"/>
  <c r="R442" i="14"/>
  <c r="U442" i="14" s="1"/>
  <c r="R441" i="14"/>
  <c r="U441" i="14" s="1"/>
  <c r="R440" i="14"/>
  <c r="U440" i="14" s="1"/>
  <c r="R439" i="14"/>
  <c r="U439" i="14" s="1"/>
  <c r="R438" i="14"/>
  <c r="U438" i="14" s="1"/>
  <c r="R437" i="14"/>
  <c r="U437" i="14" s="1"/>
  <c r="R436" i="14"/>
  <c r="U436" i="14" s="1"/>
  <c r="R435" i="14"/>
  <c r="U435" i="14" s="1"/>
  <c r="R434" i="14"/>
  <c r="U434" i="14" s="1"/>
  <c r="R433" i="14"/>
  <c r="U433" i="14" s="1"/>
  <c r="R430" i="14"/>
  <c r="U430" i="14" s="1"/>
  <c r="R429" i="14"/>
  <c r="U429" i="14" s="1"/>
  <c r="R428" i="14"/>
  <c r="U428" i="14" s="1"/>
  <c r="R427" i="14"/>
  <c r="U427" i="14" s="1"/>
  <c r="R426" i="14"/>
  <c r="U426" i="14" s="1"/>
  <c r="R425" i="14"/>
  <c r="U425" i="14" s="1"/>
  <c r="R424" i="14"/>
  <c r="U424" i="14" s="1"/>
  <c r="R423" i="14"/>
  <c r="U423" i="14" s="1"/>
  <c r="R422" i="14"/>
  <c r="U422" i="14" s="1"/>
  <c r="R421" i="14"/>
  <c r="U421" i="14" s="1"/>
  <c r="R420" i="14"/>
  <c r="U420" i="14" s="1"/>
  <c r="R419" i="14"/>
  <c r="U419" i="14" s="1"/>
  <c r="R418" i="14"/>
  <c r="U418" i="14" s="1"/>
  <c r="R417" i="14"/>
  <c r="U417" i="14" s="1"/>
  <c r="R416" i="14"/>
  <c r="U416" i="14" s="1"/>
  <c r="R415" i="14"/>
  <c r="U415" i="14" s="1"/>
  <c r="R414" i="14"/>
  <c r="U414" i="14" s="1"/>
  <c r="R413" i="14"/>
  <c r="U413" i="14" s="1"/>
  <c r="R410" i="14"/>
  <c r="U410" i="14" s="1"/>
  <c r="R409" i="14"/>
  <c r="U409" i="14" s="1"/>
  <c r="R408" i="14"/>
  <c r="U408" i="14" s="1"/>
  <c r="R407" i="14"/>
  <c r="U407" i="14" s="1"/>
  <c r="R406" i="14"/>
  <c r="U406" i="14" s="1"/>
  <c r="R405" i="14"/>
  <c r="U405" i="14" s="1"/>
  <c r="R404" i="14"/>
  <c r="U404" i="14" s="1"/>
  <c r="R403" i="14"/>
  <c r="U403" i="14" s="1"/>
  <c r="R402" i="14"/>
  <c r="U402" i="14" s="1"/>
  <c r="R401" i="14"/>
  <c r="U401" i="14" s="1"/>
  <c r="R400" i="14"/>
  <c r="U400" i="14" s="1"/>
  <c r="R399" i="14"/>
  <c r="U399" i="14" s="1"/>
  <c r="R398" i="14"/>
  <c r="U398" i="14" s="1"/>
  <c r="R397" i="14"/>
  <c r="U397" i="14" s="1"/>
  <c r="R396" i="14"/>
  <c r="U396" i="14" s="1"/>
  <c r="R395" i="14"/>
  <c r="U395" i="14" s="1"/>
  <c r="R394" i="14"/>
  <c r="U394" i="14" s="1"/>
  <c r="R393" i="14"/>
  <c r="U393" i="14" s="1"/>
  <c r="R390" i="14"/>
  <c r="U390" i="14" s="1"/>
  <c r="R389" i="14"/>
  <c r="U389" i="14" s="1"/>
  <c r="R388" i="14"/>
  <c r="U388" i="14" s="1"/>
  <c r="R387" i="14"/>
  <c r="U387" i="14" s="1"/>
  <c r="R386" i="14"/>
  <c r="U386" i="14" s="1"/>
  <c r="R385" i="14"/>
  <c r="U385" i="14" s="1"/>
  <c r="R384" i="14"/>
  <c r="U384" i="14" s="1"/>
  <c r="R383" i="14"/>
  <c r="U383" i="14" s="1"/>
  <c r="R382" i="14"/>
  <c r="U382" i="14" s="1"/>
  <c r="R381" i="14"/>
  <c r="U381" i="14" s="1"/>
  <c r="R380" i="14"/>
  <c r="U380" i="14" s="1"/>
  <c r="R379" i="14"/>
  <c r="U379" i="14" s="1"/>
  <c r="R378" i="14"/>
  <c r="U378" i="14" s="1"/>
  <c r="R377" i="14"/>
  <c r="U377" i="14" s="1"/>
  <c r="R376" i="14"/>
  <c r="U376" i="14" s="1"/>
  <c r="R375" i="14"/>
  <c r="U375" i="14" s="1"/>
  <c r="R374" i="14"/>
  <c r="U374" i="14" s="1"/>
  <c r="R373" i="14"/>
  <c r="U373" i="14" s="1"/>
  <c r="R370" i="14"/>
  <c r="U370" i="14" s="1"/>
  <c r="R369" i="14"/>
  <c r="U369" i="14" s="1"/>
  <c r="R368" i="14"/>
  <c r="U368" i="14" s="1"/>
  <c r="R367" i="14"/>
  <c r="U367" i="14" s="1"/>
  <c r="R366" i="14"/>
  <c r="U366" i="14" s="1"/>
  <c r="R365" i="14"/>
  <c r="U365" i="14" s="1"/>
  <c r="R364" i="14"/>
  <c r="U364" i="14" s="1"/>
  <c r="R363" i="14"/>
  <c r="U363" i="14" s="1"/>
  <c r="R362" i="14"/>
  <c r="U362" i="14" s="1"/>
  <c r="R361" i="14"/>
  <c r="U361" i="14" s="1"/>
  <c r="R360" i="14"/>
  <c r="U360" i="14" s="1"/>
  <c r="R359" i="14"/>
  <c r="U359" i="14" s="1"/>
  <c r="R358" i="14"/>
  <c r="U358" i="14" s="1"/>
  <c r="R357" i="14"/>
  <c r="U357" i="14" s="1"/>
  <c r="R356" i="14"/>
  <c r="U356" i="14" s="1"/>
  <c r="R355" i="14"/>
  <c r="U355" i="14" s="1"/>
  <c r="R354" i="14"/>
  <c r="U354" i="14" s="1"/>
  <c r="R353" i="14"/>
  <c r="U353" i="14" s="1"/>
  <c r="R350" i="14"/>
  <c r="U350" i="14" s="1"/>
  <c r="R349" i="14"/>
  <c r="U349" i="14" s="1"/>
  <c r="R348" i="14"/>
  <c r="U348" i="14" s="1"/>
  <c r="R347" i="14"/>
  <c r="U347" i="14" s="1"/>
  <c r="R346" i="14"/>
  <c r="U346" i="14" s="1"/>
  <c r="R345" i="14"/>
  <c r="U345" i="14" s="1"/>
  <c r="R344" i="14"/>
  <c r="U344" i="14" s="1"/>
  <c r="R343" i="14"/>
  <c r="U343" i="14" s="1"/>
  <c r="R342" i="14"/>
  <c r="U342" i="14" s="1"/>
  <c r="R341" i="14"/>
  <c r="U341" i="14" s="1"/>
  <c r="R340" i="14"/>
  <c r="U340" i="14" s="1"/>
  <c r="R339" i="14"/>
  <c r="U339" i="14" s="1"/>
  <c r="R338" i="14"/>
  <c r="U338" i="14" s="1"/>
  <c r="R337" i="14"/>
  <c r="U337" i="14" s="1"/>
  <c r="R336" i="14"/>
  <c r="U336" i="14" s="1"/>
  <c r="R335" i="14"/>
  <c r="U335" i="14" s="1"/>
  <c r="R334" i="14"/>
  <c r="U334" i="14" s="1"/>
  <c r="R333" i="14"/>
  <c r="U333" i="14" s="1"/>
  <c r="R330" i="14"/>
  <c r="U330" i="14" s="1"/>
  <c r="R329" i="14"/>
  <c r="U329" i="14" s="1"/>
  <c r="R328" i="14"/>
  <c r="U328" i="14" s="1"/>
  <c r="R327" i="14"/>
  <c r="U327" i="14" s="1"/>
  <c r="R326" i="14"/>
  <c r="U326" i="14" s="1"/>
  <c r="R325" i="14"/>
  <c r="U325" i="14" s="1"/>
  <c r="R324" i="14"/>
  <c r="U324" i="14" s="1"/>
  <c r="R323" i="14"/>
  <c r="U323" i="14" s="1"/>
  <c r="R322" i="14"/>
  <c r="U322" i="14" s="1"/>
  <c r="R321" i="14"/>
  <c r="U321" i="14" s="1"/>
  <c r="R320" i="14"/>
  <c r="U320" i="14" s="1"/>
  <c r="R319" i="14"/>
  <c r="U319" i="14" s="1"/>
  <c r="R318" i="14"/>
  <c r="U318" i="14" s="1"/>
  <c r="R317" i="14"/>
  <c r="U317" i="14" s="1"/>
  <c r="R316" i="14"/>
  <c r="U316" i="14" s="1"/>
  <c r="R315" i="14"/>
  <c r="U315" i="14" s="1"/>
  <c r="R314" i="14"/>
  <c r="U314" i="14" s="1"/>
  <c r="R313" i="14"/>
  <c r="U313" i="14" s="1"/>
  <c r="R310" i="14"/>
  <c r="U310" i="14" s="1"/>
  <c r="R309" i="14"/>
  <c r="U309" i="14" s="1"/>
  <c r="R308" i="14"/>
  <c r="U308" i="14" s="1"/>
  <c r="R307" i="14"/>
  <c r="U307" i="14" s="1"/>
  <c r="R306" i="14"/>
  <c r="U306" i="14" s="1"/>
  <c r="R305" i="14"/>
  <c r="U305" i="14" s="1"/>
  <c r="R304" i="14"/>
  <c r="U304" i="14" s="1"/>
  <c r="R303" i="14"/>
  <c r="U303" i="14" s="1"/>
  <c r="R302" i="14"/>
  <c r="U302" i="14" s="1"/>
  <c r="R301" i="14"/>
  <c r="U301" i="14" s="1"/>
  <c r="R300" i="14"/>
  <c r="U300" i="14" s="1"/>
  <c r="R299" i="14"/>
  <c r="U299" i="14" s="1"/>
  <c r="R298" i="14"/>
  <c r="U298" i="14" s="1"/>
  <c r="R297" i="14"/>
  <c r="U297" i="14" s="1"/>
  <c r="R296" i="14"/>
  <c r="U296" i="14" s="1"/>
  <c r="R295" i="14"/>
  <c r="U295" i="14" s="1"/>
  <c r="R294" i="14"/>
  <c r="U294" i="14" s="1"/>
  <c r="R293" i="14"/>
  <c r="U293" i="14" s="1"/>
  <c r="R290" i="14"/>
  <c r="U290" i="14" s="1"/>
  <c r="R289" i="14"/>
  <c r="U289" i="14" s="1"/>
  <c r="R288" i="14"/>
  <c r="U288" i="14" s="1"/>
  <c r="R287" i="14"/>
  <c r="U287" i="14" s="1"/>
  <c r="R286" i="14"/>
  <c r="U286" i="14" s="1"/>
  <c r="R285" i="14"/>
  <c r="U285" i="14" s="1"/>
  <c r="R284" i="14"/>
  <c r="U284" i="14" s="1"/>
  <c r="R283" i="14"/>
  <c r="U283" i="14" s="1"/>
  <c r="R282" i="14"/>
  <c r="U282" i="14" s="1"/>
  <c r="R281" i="14"/>
  <c r="U281" i="14" s="1"/>
  <c r="R280" i="14"/>
  <c r="U280" i="14" s="1"/>
  <c r="R279" i="14"/>
  <c r="U279" i="14" s="1"/>
  <c r="R278" i="14"/>
  <c r="U278" i="14" s="1"/>
  <c r="R277" i="14"/>
  <c r="U277" i="14" s="1"/>
  <c r="R276" i="14"/>
  <c r="U276" i="14" s="1"/>
  <c r="R275" i="14"/>
  <c r="U275" i="14" s="1"/>
  <c r="R274" i="14"/>
  <c r="U274" i="14" s="1"/>
  <c r="R273" i="14"/>
  <c r="U273" i="14" s="1"/>
  <c r="R270" i="14"/>
  <c r="U270" i="14" s="1"/>
  <c r="R269" i="14"/>
  <c r="U269" i="14" s="1"/>
  <c r="R268" i="14"/>
  <c r="U268" i="14" s="1"/>
  <c r="R267" i="14"/>
  <c r="U267" i="14" s="1"/>
  <c r="R266" i="14"/>
  <c r="U266" i="14" s="1"/>
  <c r="R265" i="14"/>
  <c r="U265" i="14" s="1"/>
  <c r="R264" i="14"/>
  <c r="U264" i="14" s="1"/>
  <c r="R263" i="14"/>
  <c r="U263" i="14" s="1"/>
  <c r="R262" i="14"/>
  <c r="U262" i="14" s="1"/>
  <c r="R261" i="14"/>
  <c r="U261" i="14" s="1"/>
  <c r="R260" i="14"/>
  <c r="U260" i="14" s="1"/>
  <c r="R259" i="14"/>
  <c r="U259" i="14" s="1"/>
  <c r="R258" i="14"/>
  <c r="U258" i="14" s="1"/>
  <c r="R257" i="14"/>
  <c r="U257" i="14" s="1"/>
  <c r="R256" i="14"/>
  <c r="U256" i="14" s="1"/>
  <c r="R255" i="14"/>
  <c r="U255" i="14" s="1"/>
  <c r="R254" i="14"/>
  <c r="U254" i="14" s="1"/>
  <c r="R253" i="14"/>
  <c r="U253" i="14" s="1"/>
  <c r="R250" i="14"/>
  <c r="U250" i="14" s="1"/>
  <c r="R249" i="14"/>
  <c r="U249" i="14" s="1"/>
  <c r="R248" i="14"/>
  <c r="U248" i="14" s="1"/>
  <c r="R247" i="14"/>
  <c r="U247" i="14" s="1"/>
  <c r="R246" i="14"/>
  <c r="U246" i="14" s="1"/>
  <c r="R245" i="14"/>
  <c r="U245" i="14" s="1"/>
  <c r="R244" i="14"/>
  <c r="U244" i="14" s="1"/>
  <c r="R243" i="14"/>
  <c r="U243" i="14" s="1"/>
  <c r="R242" i="14"/>
  <c r="U242" i="14" s="1"/>
  <c r="R241" i="14"/>
  <c r="U241" i="14" s="1"/>
  <c r="R240" i="14"/>
  <c r="U240" i="14" s="1"/>
  <c r="R239" i="14"/>
  <c r="U239" i="14" s="1"/>
  <c r="R238" i="14"/>
  <c r="U238" i="14" s="1"/>
  <c r="R237" i="14"/>
  <c r="U237" i="14" s="1"/>
  <c r="R236" i="14"/>
  <c r="U236" i="14" s="1"/>
  <c r="R235" i="14"/>
  <c r="U235" i="14" s="1"/>
  <c r="R234" i="14"/>
  <c r="U234" i="14" s="1"/>
  <c r="R233" i="14"/>
  <c r="U233" i="14" s="1"/>
  <c r="R230" i="14"/>
  <c r="U230" i="14" s="1"/>
  <c r="R229" i="14"/>
  <c r="U229" i="14" s="1"/>
  <c r="R228" i="14"/>
  <c r="U228" i="14" s="1"/>
  <c r="R227" i="14"/>
  <c r="U227" i="14" s="1"/>
  <c r="R226" i="14"/>
  <c r="U226" i="14" s="1"/>
  <c r="R225" i="14"/>
  <c r="U225" i="14" s="1"/>
  <c r="R224" i="14"/>
  <c r="U224" i="14" s="1"/>
  <c r="R223" i="14"/>
  <c r="U223" i="14" s="1"/>
  <c r="R222" i="14"/>
  <c r="U222" i="14" s="1"/>
  <c r="R221" i="14"/>
  <c r="U221" i="14" s="1"/>
  <c r="R220" i="14"/>
  <c r="U220" i="14" s="1"/>
  <c r="R219" i="14"/>
  <c r="U219" i="14" s="1"/>
  <c r="R218" i="14"/>
  <c r="U218" i="14" s="1"/>
  <c r="R217" i="14"/>
  <c r="U217" i="14" s="1"/>
  <c r="R216" i="14"/>
  <c r="U216" i="14" s="1"/>
  <c r="R215" i="14"/>
  <c r="U215" i="14" s="1"/>
  <c r="R214" i="14"/>
  <c r="U214" i="14" s="1"/>
  <c r="R213" i="14"/>
  <c r="U213" i="14" s="1"/>
  <c r="R210" i="14"/>
  <c r="U210" i="14" s="1"/>
  <c r="R209" i="14"/>
  <c r="U209" i="14" s="1"/>
  <c r="R208" i="14"/>
  <c r="U208" i="14" s="1"/>
  <c r="R207" i="14"/>
  <c r="U207" i="14" s="1"/>
  <c r="R206" i="14"/>
  <c r="U206" i="14" s="1"/>
  <c r="R205" i="14"/>
  <c r="U205" i="14" s="1"/>
  <c r="R204" i="14"/>
  <c r="U204" i="14" s="1"/>
  <c r="R203" i="14"/>
  <c r="U203" i="14" s="1"/>
  <c r="R202" i="14"/>
  <c r="U202" i="14" s="1"/>
  <c r="R201" i="14"/>
  <c r="U201" i="14" s="1"/>
  <c r="R200" i="14"/>
  <c r="U200" i="14" s="1"/>
  <c r="R199" i="14"/>
  <c r="U199" i="14" s="1"/>
  <c r="R198" i="14"/>
  <c r="U198" i="14" s="1"/>
  <c r="R197" i="14"/>
  <c r="U197" i="14" s="1"/>
  <c r="R196" i="14"/>
  <c r="U196" i="14" s="1"/>
  <c r="R195" i="14"/>
  <c r="U195" i="14" s="1"/>
  <c r="R194" i="14"/>
  <c r="U194" i="14" s="1"/>
  <c r="R193" i="14"/>
  <c r="U193" i="14" s="1"/>
  <c r="R190" i="14"/>
  <c r="U190" i="14" s="1"/>
  <c r="R189" i="14"/>
  <c r="U189" i="14" s="1"/>
  <c r="R188" i="14"/>
  <c r="U188" i="14" s="1"/>
  <c r="R187" i="14"/>
  <c r="U187" i="14" s="1"/>
  <c r="R186" i="14"/>
  <c r="U186" i="14" s="1"/>
  <c r="R185" i="14"/>
  <c r="U185" i="14" s="1"/>
  <c r="R184" i="14"/>
  <c r="U184" i="14" s="1"/>
  <c r="R183" i="14"/>
  <c r="U183" i="14" s="1"/>
  <c r="R182" i="14"/>
  <c r="U182" i="14" s="1"/>
  <c r="R181" i="14"/>
  <c r="U181" i="14" s="1"/>
  <c r="R180" i="14"/>
  <c r="U180" i="14" s="1"/>
  <c r="R179" i="14"/>
  <c r="U179" i="14" s="1"/>
  <c r="R178" i="14"/>
  <c r="U178" i="14" s="1"/>
  <c r="R177" i="14"/>
  <c r="U177" i="14" s="1"/>
  <c r="R176" i="14"/>
  <c r="U176" i="14" s="1"/>
  <c r="R175" i="14"/>
  <c r="U175" i="14" s="1"/>
  <c r="R174" i="14"/>
  <c r="U174" i="14" s="1"/>
  <c r="R173" i="14"/>
  <c r="U173" i="14" s="1"/>
  <c r="R170" i="14"/>
  <c r="U170" i="14" s="1"/>
  <c r="R169" i="14"/>
  <c r="U169" i="14" s="1"/>
  <c r="R168" i="14"/>
  <c r="U168" i="14" s="1"/>
  <c r="R167" i="14"/>
  <c r="U167" i="14" s="1"/>
  <c r="R166" i="14"/>
  <c r="U166" i="14" s="1"/>
  <c r="R165" i="14"/>
  <c r="U165" i="14" s="1"/>
  <c r="R164" i="14"/>
  <c r="U164" i="14" s="1"/>
  <c r="R163" i="14"/>
  <c r="U163" i="14" s="1"/>
  <c r="R162" i="14"/>
  <c r="U162" i="14" s="1"/>
  <c r="R161" i="14"/>
  <c r="U161" i="14" s="1"/>
  <c r="R160" i="14"/>
  <c r="U160" i="14" s="1"/>
  <c r="R159" i="14"/>
  <c r="U159" i="14" s="1"/>
  <c r="R158" i="14"/>
  <c r="U158" i="14" s="1"/>
  <c r="R157" i="14"/>
  <c r="U157" i="14" s="1"/>
  <c r="R156" i="14"/>
  <c r="U156" i="14" s="1"/>
  <c r="R155" i="14"/>
  <c r="U155" i="14" s="1"/>
  <c r="R154" i="14"/>
  <c r="U154" i="14" s="1"/>
  <c r="R153" i="14"/>
  <c r="U153" i="14" s="1"/>
  <c r="R150" i="14"/>
  <c r="U150" i="14" s="1"/>
  <c r="R149" i="14"/>
  <c r="U149" i="14" s="1"/>
  <c r="R148" i="14"/>
  <c r="U148" i="14" s="1"/>
  <c r="R147" i="14"/>
  <c r="U147" i="14" s="1"/>
  <c r="R146" i="14"/>
  <c r="U146" i="14" s="1"/>
  <c r="R145" i="14"/>
  <c r="U145" i="14" s="1"/>
  <c r="R144" i="14"/>
  <c r="U144" i="14" s="1"/>
  <c r="R143" i="14"/>
  <c r="U143" i="14" s="1"/>
  <c r="R142" i="14"/>
  <c r="U142" i="14" s="1"/>
  <c r="R141" i="14"/>
  <c r="U141" i="14" s="1"/>
  <c r="R140" i="14"/>
  <c r="U140" i="14" s="1"/>
  <c r="R139" i="14"/>
  <c r="U139" i="14" s="1"/>
  <c r="R138" i="14"/>
  <c r="U138" i="14" s="1"/>
  <c r="R137" i="14"/>
  <c r="U137" i="14" s="1"/>
  <c r="R136" i="14"/>
  <c r="U136" i="14" s="1"/>
  <c r="R135" i="14"/>
  <c r="U135" i="14" s="1"/>
  <c r="R134" i="14"/>
  <c r="U134" i="14" s="1"/>
  <c r="R133" i="14"/>
  <c r="U133" i="14" s="1"/>
  <c r="R130" i="14"/>
  <c r="U130" i="14" s="1"/>
  <c r="R129" i="14"/>
  <c r="U129" i="14" s="1"/>
  <c r="R128" i="14"/>
  <c r="U128" i="14" s="1"/>
  <c r="R127" i="14"/>
  <c r="U127" i="14" s="1"/>
  <c r="R126" i="14"/>
  <c r="U126" i="14" s="1"/>
  <c r="R125" i="14"/>
  <c r="U125" i="14" s="1"/>
  <c r="R124" i="14"/>
  <c r="U124" i="14" s="1"/>
  <c r="R123" i="14"/>
  <c r="U123" i="14" s="1"/>
  <c r="R122" i="14"/>
  <c r="U122" i="14" s="1"/>
  <c r="R121" i="14"/>
  <c r="U121" i="14" s="1"/>
  <c r="R120" i="14"/>
  <c r="U120" i="14" s="1"/>
  <c r="R119" i="14"/>
  <c r="U119" i="14" s="1"/>
  <c r="R118" i="14"/>
  <c r="U118" i="14" s="1"/>
  <c r="R117" i="14"/>
  <c r="U117" i="14" s="1"/>
  <c r="R116" i="14"/>
  <c r="U116" i="14" s="1"/>
  <c r="R115" i="14"/>
  <c r="U115" i="14" s="1"/>
  <c r="R114" i="14"/>
  <c r="U114" i="14" s="1"/>
  <c r="R113" i="14"/>
  <c r="U113" i="14" s="1"/>
  <c r="R110" i="14"/>
  <c r="U110" i="14" s="1"/>
  <c r="R109" i="14"/>
  <c r="U109" i="14" s="1"/>
  <c r="R108" i="14"/>
  <c r="U108" i="14" s="1"/>
  <c r="R107" i="14"/>
  <c r="U107" i="14" s="1"/>
  <c r="R106" i="14"/>
  <c r="U106" i="14" s="1"/>
  <c r="R105" i="14"/>
  <c r="U105" i="14" s="1"/>
  <c r="R104" i="14"/>
  <c r="U104" i="14" s="1"/>
  <c r="R103" i="14"/>
  <c r="U103" i="14" s="1"/>
  <c r="R102" i="14"/>
  <c r="U102" i="14" s="1"/>
  <c r="R101" i="14"/>
  <c r="U101" i="14" s="1"/>
  <c r="R100" i="14"/>
  <c r="U100" i="14" s="1"/>
  <c r="R99" i="14"/>
  <c r="U99" i="14" s="1"/>
  <c r="R98" i="14"/>
  <c r="U98" i="14" s="1"/>
  <c r="R97" i="14"/>
  <c r="U97" i="14" s="1"/>
  <c r="R96" i="14"/>
  <c r="U96" i="14" s="1"/>
  <c r="R95" i="14"/>
  <c r="U95" i="14" s="1"/>
  <c r="R94" i="14"/>
  <c r="U94" i="14" s="1"/>
  <c r="R93" i="14"/>
  <c r="U93" i="14" s="1"/>
  <c r="R90" i="14"/>
  <c r="U90" i="14" s="1"/>
  <c r="R89" i="14"/>
  <c r="U89" i="14" s="1"/>
  <c r="R88" i="14"/>
  <c r="U88" i="14" s="1"/>
  <c r="R87" i="14"/>
  <c r="U87" i="14" s="1"/>
  <c r="R86" i="14"/>
  <c r="U86" i="14" s="1"/>
  <c r="R85" i="14"/>
  <c r="U85" i="14" s="1"/>
  <c r="R84" i="14"/>
  <c r="U84" i="14" s="1"/>
  <c r="R83" i="14"/>
  <c r="U83" i="14" s="1"/>
  <c r="R82" i="14"/>
  <c r="U82" i="14" s="1"/>
  <c r="R81" i="14"/>
  <c r="U81" i="14" s="1"/>
  <c r="R80" i="14"/>
  <c r="U80" i="14" s="1"/>
  <c r="R79" i="14"/>
  <c r="U79" i="14" s="1"/>
  <c r="R78" i="14"/>
  <c r="U78" i="14" s="1"/>
  <c r="R77" i="14"/>
  <c r="U77" i="14" s="1"/>
  <c r="R76" i="14"/>
  <c r="U76" i="14" s="1"/>
  <c r="R75" i="14"/>
  <c r="U75" i="14" s="1"/>
  <c r="R74" i="14"/>
  <c r="U74" i="14" s="1"/>
  <c r="R73" i="14"/>
  <c r="U73" i="14" s="1"/>
  <c r="J355" i="11"/>
  <c r="H355" i="11"/>
  <c r="J343" i="11"/>
  <c r="H343" i="11"/>
  <c r="J331" i="11"/>
  <c r="H331" i="11"/>
  <c r="J319" i="11"/>
  <c r="H319" i="11"/>
  <c r="J307" i="11"/>
  <c r="H307" i="11"/>
  <c r="J295" i="11"/>
  <c r="H295" i="11"/>
  <c r="J283" i="11"/>
  <c r="H283" i="11"/>
  <c r="J271" i="11"/>
  <c r="H271" i="11"/>
  <c r="J259" i="11"/>
  <c r="H259" i="11"/>
  <c r="J247" i="11"/>
  <c r="H247" i="11"/>
  <c r="J235" i="11"/>
  <c r="H235" i="11"/>
  <c r="J223" i="11"/>
  <c r="H223" i="11"/>
  <c r="J211" i="11"/>
  <c r="H211" i="11"/>
  <c r="J199" i="11"/>
  <c r="H199" i="11"/>
  <c r="J151" i="11"/>
  <c r="H151" i="11"/>
  <c r="J139" i="11"/>
  <c r="H139" i="11"/>
  <c r="J127" i="11"/>
  <c r="H127" i="11"/>
  <c r="J115" i="11"/>
  <c r="H115" i="11"/>
  <c r="J103" i="11"/>
  <c r="H103" i="11"/>
  <c r="J91" i="11"/>
  <c r="H91" i="11"/>
  <c r="J79" i="11"/>
  <c r="H79" i="11"/>
  <c r="J67" i="11"/>
  <c r="H67" i="11"/>
  <c r="J55" i="11"/>
  <c r="H55" i="11"/>
  <c r="J43" i="11"/>
  <c r="H43" i="11"/>
  <c r="H31" i="11"/>
  <c r="J31" i="11"/>
  <c r="J28" i="11"/>
  <c r="J25" i="11"/>
  <c r="H25" i="11"/>
  <c r="C10" i="17" l="1"/>
  <c r="I11" i="17"/>
  <c r="S418" i="1"/>
  <c r="S400" i="1"/>
  <c r="S382" i="1"/>
  <c r="S364" i="1"/>
  <c r="M418" i="1"/>
  <c r="M400" i="1"/>
  <c r="M382" i="1"/>
  <c r="M364" i="1"/>
  <c r="T1295" i="5"/>
  <c r="T1292" i="5"/>
  <c r="T1289" i="5"/>
  <c r="T1286" i="5"/>
  <c r="T1283" i="5"/>
  <c r="T1280" i="5"/>
  <c r="T1277" i="5"/>
  <c r="T1274" i="5"/>
  <c r="T1271" i="5"/>
  <c r="T1268" i="5"/>
  <c r="T1265" i="5"/>
  <c r="T1262" i="5"/>
  <c r="T1259" i="5"/>
  <c r="T1256" i="5"/>
  <c r="T1253" i="5"/>
  <c r="T1250" i="5"/>
  <c r="T1247" i="5"/>
  <c r="T1244" i="5"/>
  <c r="T1241" i="5"/>
  <c r="T1238" i="5"/>
  <c r="T1235" i="5"/>
  <c r="T1232" i="5"/>
  <c r="T1229" i="5"/>
  <c r="T1226" i="5"/>
  <c r="T1223" i="5"/>
  <c r="T1220" i="5"/>
  <c r="T1217" i="5"/>
  <c r="T1214" i="5"/>
  <c r="T1211" i="5"/>
  <c r="T1208" i="5"/>
  <c r="T1205" i="5"/>
  <c r="T1202" i="5"/>
  <c r="T1199" i="5"/>
  <c r="T1196" i="5"/>
  <c r="T1193" i="5"/>
  <c r="T1190" i="5"/>
  <c r="T1187" i="5"/>
  <c r="T1184" i="5"/>
  <c r="T1181" i="5"/>
  <c r="T1178" i="5"/>
  <c r="T1175" i="5"/>
  <c r="T1172" i="5"/>
  <c r="T1169" i="5"/>
  <c r="T1166" i="5"/>
  <c r="T1163" i="5"/>
  <c r="T1160" i="5"/>
  <c r="T1157" i="5"/>
  <c r="T1154" i="5"/>
  <c r="T1151" i="5"/>
  <c r="T1148" i="5"/>
  <c r="T1145" i="5"/>
  <c r="T1142" i="5"/>
  <c r="T1139" i="5"/>
  <c r="T1136" i="5"/>
  <c r="T1133" i="5"/>
  <c r="T1130" i="5"/>
  <c r="T1127" i="5"/>
  <c r="T1124" i="5"/>
  <c r="T1121" i="5"/>
  <c r="T1118" i="5"/>
  <c r="T1115" i="5"/>
  <c r="T1112" i="5"/>
  <c r="T1109" i="5"/>
  <c r="T1106" i="5"/>
  <c r="T1103" i="5"/>
  <c r="T1100" i="5"/>
  <c r="T1097" i="5"/>
  <c r="T1094" i="5"/>
  <c r="T1091" i="5"/>
  <c r="T1088" i="5"/>
  <c r="T1085" i="5"/>
  <c r="T1082" i="5"/>
  <c r="T1079" i="5"/>
  <c r="T1076" i="5"/>
  <c r="T1073" i="5"/>
  <c r="T1070" i="5"/>
  <c r="T1067" i="5"/>
  <c r="T1064" i="5"/>
  <c r="T1061" i="5"/>
  <c r="T1058" i="5"/>
  <c r="T1055" i="5"/>
  <c r="T1052" i="5"/>
  <c r="T1049" i="5"/>
  <c r="T1046" i="5"/>
  <c r="T1043" i="5"/>
  <c r="T1040" i="5"/>
  <c r="T1037" i="5"/>
  <c r="T1034" i="5"/>
  <c r="T1031" i="5"/>
  <c r="T1028" i="5"/>
  <c r="T1025" i="5"/>
  <c r="T1022" i="5"/>
  <c r="T1019" i="5"/>
  <c r="T1013" i="5"/>
  <c r="T1010" i="5"/>
  <c r="T1007" i="5"/>
  <c r="T1004" i="5"/>
  <c r="T1001" i="5"/>
  <c r="T998" i="5"/>
  <c r="T995" i="5"/>
  <c r="T992" i="5"/>
  <c r="T989" i="5"/>
  <c r="T986" i="5"/>
  <c r="T983" i="5"/>
  <c r="T980" i="5"/>
  <c r="T977" i="5"/>
  <c r="T974" i="5"/>
  <c r="T971" i="5"/>
  <c r="T968" i="5"/>
  <c r="T965" i="5"/>
  <c r="T962" i="5"/>
  <c r="T959" i="5"/>
  <c r="T956" i="5"/>
  <c r="T953" i="5"/>
  <c r="T950" i="5"/>
  <c r="T947" i="5"/>
  <c r="T944" i="5"/>
  <c r="T941" i="5"/>
  <c r="T938" i="5"/>
  <c r="T935" i="5"/>
  <c r="T932" i="5"/>
  <c r="T929" i="5"/>
  <c r="T926" i="5"/>
  <c r="T923" i="5"/>
  <c r="T920" i="5"/>
  <c r="T917" i="5"/>
  <c r="T914" i="5"/>
  <c r="T911" i="5"/>
  <c r="T908" i="5"/>
  <c r="T905" i="5"/>
  <c r="T902" i="5"/>
  <c r="T899" i="5"/>
  <c r="T896" i="5"/>
  <c r="T893" i="5"/>
  <c r="T890" i="5"/>
  <c r="T887" i="5"/>
  <c r="T884" i="5"/>
  <c r="T881" i="5"/>
  <c r="T878" i="5"/>
  <c r="T875" i="5"/>
  <c r="T872" i="5"/>
  <c r="T869" i="5"/>
  <c r="T866" i="5"/>
  <c r="T863" i="5"/>
  <c r="T860" i="5"/>
  <c r="T857" i="5"/>
  <c r="T854" i="5"/>
  <c r="T851" i="5"/>
  <c r="T848" i="5"/>
  <c r="T845" i="5"/>
  <c r="T842" i="5"/>
  <c r="T839" i="5"/>
  <c r="T836" i="5"/>
  <c r="T833" i="5"/>
  <c r="T830" i="5"/>
  <c r="T827" i="5"/>
  <c r="T824" i="5"/>
  <c r="T821" i="5"/>
  <c r="T818" i="5"/>
  <c r="T815" i="5"/>
  <c r="T812" i="5"/>
  <c r="T809" i="5"/>
  <c r="T806" i="5"/>
  <c r="T803" i="5"/>
  <c r="T800" i="5"/>
  <c r="T797" i="5"/>
  <c r="T794" i="5"/>
  <c r="T791" i="5"/>
  <c r="T788" i="5"/>
  <c r="T785" i="5"/>
  <c r="T782" i="5"/>
  <c r="T779" i="5"/>
  <c r="T776" i="5"/>
  <c r="T773" i="5"/>
  <c r="T770" i="5"/>
  <c r="T767" i="5"/>
  <c r="T764" i="5"/>
  <c r="T761" i="5"/>
  <c r="T758" i="5"/>
  <c r="T755" i="5"/>
  <c r="T752" i="5"/>
  <c r="T749" i="5"/>
  <c r="T746" i="5"/>
  <c r="T743" i="5"/>
  <c r="T740" i="5"/>
  <c r="T737" i="5"/>
  <c r="T734" i="5"/>
  <c r="T731" i="5"/>
  <c r="T728" i="5"/>
  <c r="T725" i="5"/>
  <c r="T722" i="5"/>
  <c r="T719" i="5"/>
  <c r="T716" i="5"/>
  <c r="T713" i="5"/>
  <c r="T710" i="5"/>
  <c r="T707" i="5"/>
  <c r="T704" i="5"/>
  <c r="T701" i="5"/>
  <c r="T698" i="5"/>
  <c r="T695" i="5"/>
  <c r="T692" i="5"/>
  <c r="T689" i="5"/>
  <c r="T686" i="5"/>
  <c r="T683" i="5"/>
  <c r="T680" i="5"/>
  <c r="T677" i="5"/>
  <c r="T674" i="5"/>
  <c r="T671" i="5"/>
  <c r="T668" i="5"/>
  <c r="T665" i="5"/>
  <c r="T662" i="5"/>
  <c r="T659" i="5"/>
  <c r="T656" i="5"/>
  <c r="T653" i="5"/>
  <c r="T650" i="5"/>
  <c r="T647" i="5"/>
  <c r="T644" i="5"/>
  <c r="T641" i="5"/>
  <c r="T638" i="5"/>
  <c r="T635" i="5"/>
  <c r="T632" i="5"/>
  <c r="T629" i="5"/>
  <c r="T626" i="5"/>
  <c r="T623" i="5"/>
  <c r="T620" i="5"/>
  <c r="T617" i="5"/>
  <c r="T614" i="5"/>
  <c r="T611" i="5"/>
  <c r="T608" i="5"/>
  <c r="T605" i="5"/>
  <c r="T602" i="5"/>
  <c r="T599" i="5"/>
  <c r="T596" i="5"/>
  <c r="T593" i="5"/>
  <c r="T590" i="5"/>
  <c r="T587" i="5"/>
  <c r="T584" i="5"/>
  <c r="T581" i="5"/>
  <c r="T578" i="5"/>
  <c r="T575" i="5"/>
  <c r="T572" i="5"/>
  <c r="T569" i="5"/>
  <c r="T566" i="5"/>
  <c r="T563" i="5"/>
  <c r="T560" i="5"/>
  <c r="T557" i="5"/>
  <c r="T554" i="5"/>
  <c r="T551" i="5"/>
  <c r="T548" i="5"/>
  <c r="T545" i="5"/>
  <c r="T542" i="5"/>
  <c r="T539" i="5"/>
  <c r="T536" i="5"/>
  <c r="T533" i="5"/>
  <c r="T530" i="5"/>
  <c r="T527" i="5"/>
  <c r="T524" i="5"/>
  <c r="T521" i="5"/>
  <c r="T410" i="5"/>
  <c r="T407" i="5"/>
  <c r="T404" i="5"/>
  <c r="T401" i="5"/>
  <c r="T398" i="5"/>
  <c r="T395" i="5"/>
  <c r="T392" i="5"/>
  <c r="T389" i="5"/>
  <c r="T386" i="5"/>
  <c r="T383" i="5"/>
  <c r="T380" i="5"/>
  <c r="T377" i="5"/>
  <c r="T374" i="5"/>
  <c r="T371" i="5"/>
  <c r="T368" i="5"/>
  <c r="T365" i="5"/>
  <c r="T362" i="5"/>
  <c r="T359" i="5"/>
  <c r="T356" i="5"/>
  <c r="T353" i="5"/>
  <c r="T350" i="5"/>
  <c r="T347" i="5"/>
  <c r="T344" i="5"/>
  <c r="T341" i="5"/>
  <c r="T338" i="5"/>
  <c r="T335" i="5"/>
  <c r="T332" i="5"/>
  <c r="T329" i="5"/>
  <c r="T326" i="5"/>
  <c r="T323" i="5"/>
  <c r="T320" i="5"/>
  <c r="T317" i="5"/>
  <c r="T314" i="5"/>
  <c r="T311" i="5"/>
  <c r="T308" i="5"/>
  <c r="T305" i="5"/>
  <c r="T302" i="5"/>
  <c r="T299" i="5"/>
  <c r="T296" i="5"/>
  <c r="T293" i="5"/>
  <c r="T290" i="5"/>
  <c r="T287" i="5"/>
  <c r="T284" i="5"/>
  <c r="T281" i="5"/>
  <c r="T278" i="5"/>
  <c r="T275" i="5"/>
  <c r="T272" i="5"/>
  <c r="T269" i="5"/>
  <c r="T266" i="5"/>
  <c r="T263" i="5"/>
  <c r="T260" i="5"/>
  <c r="T257" i="5"/>
  <c r="T254" i="5"/>
  <c r="T251" i="5"/>
  <c r="T248" i="5"/>
  <c r="T245" i="5"/>
  <c r="T242" i="5"/>
  <c r="T239" i="5"/>
  <c r="T236" i="5"/>
  <c r="T233" i="5"/>
  <c r="T230" i="5"/>
  <c r="T227" i="5"/>
  <c r="T224" i="5"/>
  <c r="T221" i="5"/>
  <c r="T218" i="5"/>
  <c r="T215" i="5"/>
  <c r="T212" i="5"/>
  <c r="T209" i="5"/>
  <c r="T206" i="5"/>
  <c r="T203" i="5"/>
  <c r="T200" i="5"/>
  <c r="T197" i="5"/>
  <c r="T194" i="5"/>
  <c r="T191" i="5"/>
  <c r="T188" i="5"/>
  <c r="T185" i="5"/>
  <c r="T182" i="5"/>
  <c r="T179" i="5"/>
  <c r="T176" i="5"/>
  <c r="T173" i="5"/>
  <c r="T170" i="5"/>
  <c r="T167" i="5"/>
  <c r="T164" i="5"/>
  <c r="T161" i="5"/>
  <c r="T158" i="5"/>
  <c r="T155" i="5"/>
  <c r="T152" i="5"/>
  <c r="T149" i="5"/>
  <c r="T146" i="5"/>
  <c r="T143" i="5"/>
  <c r="T140" i="5"/>
  <c r="T137" i="5"/>
  <c r="T134" i="5"/>
  <c r="T131" i="5"/>
  <c r="T128" i="5"/>
  <c r="T125" i="5"/>
  <c r="T122" i="5"/>
  <c r="T119" i="5"/>
  <c r="T116" i="5"/>
  <c r="T113" i="5"/>
  <c r="T110" i="5"/>
  <c r="T107" i="5"/>
  <c r="T104" i="5"/>
  <c r="T101" i="5"/>
  <c r="T98" i="5"/>
  <c r="T95" i="5"/>
  <c r="T92" i="5"/>
  <c r="T89" i="5"/>
  <c r="T86" i="5"/>
  <c r="T83" i="5"/>
  <c r="T80" i="5"/>
  <c r="T77" i="5"/>
  <c r="T74" i="5"/>
  <c r="T71" i="5"/>
  <c r="T68" i="5"/>
  <c r="T65" i="5"/>
  <c r="T62" i="5"/>
  <c r="T59" i="5"/>
  <c r="T56" i="5"/>
  <c r="T53" i="5"/>
  <c r="T50" i="5"/>
  <c r="T47" i="5"/>
  <c r="T44" i="5"/>
  <c r="T41" i="5"/>
  <c r="T38" i="5"/>
  <c r="T35" i="5"/>
  <c r="T32" i="5"/>
  <c r="T29" i="5"/>
  <c r="T26" i="5"/>
  <c r="T23" i="5"/>
  <c r="T20" i="5"/>
  <c r="AW130" i="15"/>
  <c r="AW129" i="15"/>
  <c r="AW128" i="15"/>
  <c r="AW127" i="15"/>
  <c r="AW126" i="15"/>
  <c r="AW125" i="15"/>
  <c r="AW124" i="15"/>
  <c r="AW123" i="15"/>
  <c r="AW122" i="15"/>
  <c r="AW121" i="15"/>
  <c r="AW120" i="15"/>
  <c r="AW119" i="15"/>
  <c r="AW118" i="15"/>
  <c r="AW117" i="15"/>
  <c r="AW116" i="15"/>
  <c r="AW115" i="15"/>
  <c r="AW114" i="15"/>
  <c r="AW113" i="15"/>
  <c r="AW112" i="15"/>
  <c r="AW111" i="15"/>
  <c r="AW110" i="15"/>
  <c r="AW109" i="15"/>
  <c r="AW108" i="15"/>
  <c r="AW107" i="15"/>
  <c r="AW106" i="15"/>
  <c r="AW105" i="15"/>
  <c r="AW104" i="15"/>
  <c r="AW103" i="15"/>
  <c r="AW102" i="15"/>
  <c r="AW101" i="15"/>
  <c r="AW100" i="15"/>
  <c r="AW99" i="15"/>
  <c r="AW98" i="15"/>
  <c r="AW97" i="15"/>
  <c r="AW96" i="15"/>
  <c r="AW95" i="15"/>
  <c r="AW94" i="15"/>
  <c r="AW93" i="15"/>
  <c r="AW92" i="15"/>
  <c r="AW91" i="15"/>
  <c r="AW90" i="15"/>
  <c r="AW89" i="15"/>
  <c r="AW88" i="15"/>
  <c r="AW87" i="15"/>
  <c r="AW86" i="15"/>
  <c r="AW85" i="15"/>
  <c r="AW84" i="15"/>
  <c r="AW83" i="15"/>
  <c r="AW82" i="15"/>
  <c r="AW81" i="15"/>
  <c r="AW80" i="15"/>
  <c r="AW79" i="15"/>
  <c r="AW78" i="15"/>
  <c r="AW77" i="15"/>
  <c r="AW76" i="15"/>
  <c r="AW75" i="15"/>
  <c r="AW74" i="15"/>
  <c r="AW73" i="15"/>
  <c r="AW72" i="15"/>
  <c r="AW71" i="15"/>
  <c r="AW70" i="15"/>
  <c r="AW69" i="15"/>
  <c r="AW68" i="15"/>
  <c r="AW67" i="15"/>
  <c r="AW66" i="15"/>
  <c r="AW65" i="15"/>
  <c r="AW64" i="15"/>
  <c r="AW63" i="15"/>
  <c r="AW62" i="15"/>
  <c r="AW61" i="15"/>
  <c r="AW60" i="15"/>
  <c r="AW59" i="15"/>
  <c r="AW58" i="15"/>
  <c r="AW57" i="15"/>
  <c r="AW56" i="15"/>
  <c r="AW55" i="15"/>
  <c r="AW54" i="15"/>
  <c r="AW53" i="15"/>
  <c r="AW52" i="15"/>
  <c r="AW51" i="15"/>
  <c r="AW50" i="15"/>
  <c r="AW49" i="15"/>
  <c r="AW48" i="15"/>
  <c r="AW47" i="15"/>
  <c r="AW46" i="15"/>
  <c r="AW45" i="15"/>
  <c r="AW44" i="15"/>
  <c r="AW43" i="15"/>
  <c r="AW42" i="15"/>
  <c r="AW41" i="15"/>
  <c r="AW40" i="15"/>
  <c r="AW39" i="15"/>
  <c r="AW38" i="15"/>
  <c r="AW37" i="15"/>
  <c r="AW36" i="15"/>
  <c r="AW35" i="15"/>
  <c r="AW34" i="15"/>
  <c r="AW33" i="15"/>
  <c r="AW32" i="15"/>
  <c r="AW31" i="15"/>
  <c r="AW30" i="15"/>
  <c r="AW29" i="15"/>
  <c r="AW28" i="15"/>
  <c r="AW27" i="15"/>
  <c r="AW26" i="15"/>
  <c r="AW25" i="15"/>
  <c r="AW24" i="15"/>
  <c r="AW23" i="15"/>
  <c r="AW22" i="15"/>
  <c r="AW21" i="15"/>
  <c r="AW20" i="15"/>
  <c r="AW19" i="15"/>
  <c r="AU127" i="15"/>
  <c r="AU123" i="15"/>
  <c r="AU119" i="15"/>
  <c r="AU115" i="15"/>
  <c r="AU111" i="15"/>
  <c r="AU107" i="15"/>
  <c r="AU103" i="15"/>
  <c r="AU99" i="15"/>
  <c r="AU95" i="15"/>
  <c r="AU91" i="15"/>
  <c r="AU87" i="15"/>
  <c r="AU83" i="15"/>
  <c r="AU79" i="15"/>
  <c r="AU75" i="15"/>
  <c r="AU71" i="15"/>
  <c r="AU67" i="15"/>
  <c r="AU63" i="15"/>
  <c r="AU59" i="15"/>
  <c r="AU55" i="15"/>
  <c r="AU51" i="15"/>
  <c r="AU47" i="15"/>
  <c r="AU43" i="15"/>
  <c r="AU39" i="15"/>
  <c r="AU35" i="15"/>
  <c r="AU31" i="15"/>
  <c r="AU27" i="15"/>
  <c r="AU23" i="15"/>
  <c r="AU19" i="15"/>
  <c r="AU7" i="15"/>
  <c r="AW7" i="15"/>
  <c r="AW8" i="15"/>
  <c r="AW9" i="15"/>
  <c r="AW10" i="15"/>
  <c r="AW18" i="15"/>
  <c r="AW17" i="15"/>
  <c r="AW16" i="15"/>
  <c r="AW15" i="15"/>
  <c r="AU15" i="15"/>
  <c r="AW14" i="15"/>
  <c r="AW13" i="15"/>
  <c r="AW12" i="15"/>
  <c r="AW11" i="15"/>
  <c r="AU11" i="15"/>
  <c r="AW6" i="15"/>
  <c r="AW5" i="15"/>
  <c r="AW4" i="15"/>
  <c r="AW3" i="15"/>
  <c r="AU3" i="15"/>
  <c r="C11" i="17" l="1"/>
  <c r="I12" i="17"/>
  <c r="T17" i="5"/>
  <c r="I13" i="17" l="1"/>
  <c r="C12" i="17"/>
  <c r="R56" i="14"/>
  <c r="R55" i="14"/>
  <c r="U55" i="14" s="1"/>
  <c r="R54" i="14"/>
  <c r="R53" i="14"/>
  <c r="U53" i="14" s="1"/>
  <c r="R70" i="14"/>
  <c r="R69" i="14"/>
  <c r="U69" i="14" s="1"/>
  <c r="R68" i="14"/>
  <c r="R67" i="14"/>
  <c r="R66" i="14"/>
  <c r="R65" i="14"/>
  <c r="R64" i="14"/>
  <c r="R63" i="14"/>
  <c r="R62" i="14"/>
  <c r="R61" i="14"/>
  <c r="R60" i="14"/>
  <c r="R59" i="14"/>
  <c r="R58" i="14"/>
  <c r="R57" i="14"/>
  <c r="U54" i="14"/>
  <c r="H59" i="10"/>
  <c r="H58" i="10"/>
  <c r="H57" i="10"/>
  <c r="I14" i="17" l="1"/>
  <c r="C13" i="17"/>
  <c r="D292" i="4"/>
  <c r="D293" i="4" s="1"/>
  <c r="D294" i="4" s="1"/>
  <c r="D283" i="4"/>
  <c r="D284" i="4" s="1"/>
  <c r="D285" i="4" s="1"/>
  <c r="D274" i="4"/>
  <c r="D275" i="4" s="1"/>
  <c r="D276" i="4" s="1"/>
  <c r="D265" i="4"/>
  <c r="D266" i="4" s="1"/>
  <c r="D267" i="4" s="1"/>
  <c r="D256" i="4"/>
  <c r="D257" i="4" s="1"/>
  <c r="D258" i="4" s="1"/>
  <c r="D234" i="4"/>
  <c r="D235" i="4" s="1"/>
  <c r="D236" i="4" s="1"/>
  <c r="D223" i="4"/>
  <c r="D224" i="4" s="1"/>
  <c r="D225" i="4" s="1"/>
  <c r="D212" i="4"/>
  <c r="D213" i="4" s="1"/>
  <c r="D214" i="4" s="1"/>
  <c r="D201" i="4"/>
  <c r="D202" i="4" s="1"/>
  <c r="D203" i="4" s="1"/>
  <c r="D190" i="4"/>
  <c r="D191" i="4" s="1"/>
  <c r="D192" i="4" s="1"/>
  <c r="D179" i="4"/>
  <c r="D180" i="4" s="1"/>
  <c r="D181" i="4" s="1"/>
  <c r="D173" i="4"/>
  <c r="D174" i="4" s="1"/>
  <c r="D175" i="4" s="1"/>
  <c r="D167" i="4"/>
  <c r="D168" i="4" s="1"/>
  <c r="D169" i="4" s="1"/>
  <c r="D161" i="4"/>
  <c r="D162" i="4" s="1"/>
  <c r="D163" i="4" s="1"/>
  <c r="D155" i="4"/>
  <c r="D156" i="4" s="1"/>
  <c r="D157" i="4" s="1"/>
  <c r="D149" i="4"/>
  <c r="D150" i="4" s="1"/>
  <c r="D151" i="4" s="1"/>
  <c r="D127" i="4"/>
  <c r="D128" i="4" s="1"/>
  <c r="D129" i="4" s="1"/>
  <c r="D95" i="4"/>
  <c r="D96" i="4" s="1"/>
  <c r="D97" i="4" s="1"/>
  <c r="D52" i="4"/>
  <c r="D53" i="4" s="1"/>
  <c r="D54" i="4" s="1"/>
  <c r="D42" i="4"/>
  <c r="D43" i="4" s="1"/>
  <c r="D44" i="4" s="1"/>
  <c r="D32" i="4"/>
  <c r="D33" i="4" s="1"/>
  <c r="D34" i="4" s="1"/>
  <c r="D22" i="4"/>
  <c r="D23" i="4" s="1"/>
  <c r="D24" i="4" s="1"/>
  <c r="D12" i="4"/>
  <c r="D13" i="4" s="1"/>
  <c r="D14" i="4" s="1"/>
  <c r="C14" i="17" l="1"/>
  <c r="I15" i="17"/>
  <c r="I16" i="17" l="1"/>
  <c r="C15" i="17"/>
  <c r="C111" i="15"/>
  <c r="C110" i="15"/>
  <c r="C109" i="15"/>
  <c r="C108" i="15"/>
  <c r="C107" i="15"/>
  <c r="C106" i="15"/>
  <c r="C105" i="15"/>
  <c r="C104" i="15"/>
  <c r="C103" i="15"/>
  <c r="C102" i="15"/>
  <c r="C101" i="15"/>
  <c r="C100" i="15"/>
  <c r="C99" i="15"/>
  <c r="C98" i="15"/>
  <c r="C97" i="15"/>
  <c r="C95" i="15"/>
  <c r="C94" i="15"/>
  <c r="C93" i="15"/>
  <c r="C92" i="15"/>
  <c r="C91" i="15"/>
  <c r="C90" i="15"/>
  <c r="C89" i="15"/>
  <c r="C88" i="15"/>
  <c r="C87" i="15"/>
  <c r="C86" i="15"/>
  <c r="C85" i="15"/>
  <c r="C84" i="15"/>
  <c r="C83" i="15"/>
  <c r="C82" i="15"/>
  <c r="C81" i="15"/>
  <c r="I17" i="17" l="1"/>
  <c r="C16" i="17"/>
  <c r="G3439" i="6"/>
  <c r="G3438" i="6"/>
  <c r="G3437" i="6"/>
  <c r="G3436" i="6"/>
  <c r="G3435" i="6"/>
  <c r="G3434" i="6"/>
  <c r="G3433" i="6"/>
  <c r="G3432" i="6"/>
  <c r="G3431" i="6"/>
  <c r="G3430" i="6"/>
  <c r="G3429" i="6"/>
  <c r="G3428" i="6"/>
  <c r="G3427" i="6"/>
  <c r="G3426" i="6"/>
  <c r="G3425" i="6"/>
  <c r="G3424" i="6"/>
  <c r="G3423" i="6"/>
  <c r="G3422" i="6"/>
  <c r="G3421" i="6"/>
  <c r="G3420" i="6"/>
  <c r="G3419" i="6"/>
  <c r="G3418" i="6"/>
  <c r="G3417" i="6"/>
  <c r="G3416" i="6"/>
  <c r="G3415" i="6"/>
  <c r="G3414" i="6"/>
  <c r="G3413" i="6"/>
  <c r="G3412" i="6"/>
  <c r="G3411" i="6"/>
  <c r="G3410" i="6"/>
  <c r="G3409" i="6"/>
  <c r="G3408" i="6"/>
  <c r="G3407" i="6"/>
  <c r="G3406" i="6"/>
  <c r="G3405" i="6"/>
  <c r="G3404" i="6"/>
  <c r="G3403" i="6"/>
  <c r="G3402" i="6"/>
  <c r="G3401" i="6"/>
  <c r="G3400" i="6"/>
  <c r="G3399" i="6"/>
  <c r="G3398" i="6"/>
  <c r="G3397" i="6"/>
  <c r="G3396" i="6"/>
  <c r="G3395" i="6"/>
  <c r="G3394" i="6"/>
  <c r="G3393" i="6"/>
  <c r="G3392" i="6"/>
  <c r="G3391" i="6"/>
  <c r="G3390" i="6"/>
  <c r="G3389" i="6"/>
  <c r="G3388" i="6"/>
  <c r="G3387" i="6"/>
  <c r="G3386" i="6"/>
  <c r="G3385" i="6"/>
  <c r="G3384" i="6"/>
  <c r="G3383" i="6"/>
  <c r="G3382" i="6"/>
  <c r="G3381" i="6"/>
  <c r="G3380" i="6"/>
  <c r="G3379" i="6"/>
  <c r="G3378" i="6"/>
  <c r="G3377" i="6"/>
  <c r="G3376" i="6"/>
  <c r="G3375" i="6"/>
  <c r="G3374" i="6"/>
  <c r="G3373" i="6"/>
  <c r="G3372" i="6"/>
  <c r="G3371" i="6"/>
  <c r="G3370" i="6"/>
  <c r="G3369" i="6"/>
  <c r="G3368" i="6"/>
  <c r="G3367" i="6"/>
  <c r="G3366" i="6"/>
  <c r="G3365" i="6"/>
  <c r="G3364" i="6"/>
  <c r="G3363" i="6"/>
  <c r="G3362" i="6"/>
  <c r="G3361" i="6"/>
  <c r="G3360" i="6"/>
  <c r="G3359" i="6"/>
  <c r="G3358" i="6"/>
  <c r="G3357" i="6"/>
  <c r="G3356" i="6"/>
  <c r="G3355" i="6"/>
  <c r="G3354" i="6"/>
  <c r="G3353" i="6"/>
  <c r="G3352" i="6"/>
  <c r="G3351" i="6"/>
  <c r="G3350" i="6"/>
  <c r="G3349" i="6"/>
  <c r="G3348" i="6"/>
  <c r="G3347" i="6"/>
  <c r="G3346" i="6"/>
  <c r="G3345" i="6"/>
  <c r="G3344" i="6"/>
  <c r="G3343" i="6"/>
  <c r="G3342" i="6"/>
  <c r="G3341" i="6"/>
  <c r="G3340" i="6"/>
  <c r="G3339" i="6"/>
  <c r="G3338" i="6"/>
  <c r="G3337" i="6"/>
  <c r="G3336" i="6"/>
  <c r="G3335" i="6"/>
  <c r="G3334" i="6"/>
  <c r="G3333" i="6"/>
  <c r="G3332" i="6"/>
  <c r="G3331" i="6"/>
  <c r="G3330" i="6"/>
  <c r="G3329" i="6"/>
  <c r="G3328" i="6"/>
  <c r="G3327" i="6"/>
  <c r="G3326" i="6"/>
  <c r="G3325" i="6"/>
  <c r="G3324" i="6"/>
  <c r="G3323" i="6"/>
  <c r="G3322" i="6"/>
  <c r="G3321" i="6"/>
  <c r="G3320" i="6"/>
  <c r="G3319" i="6"/>
  <c r="G3318" i="6"/>
  <c r="G3317" i="6"/>
  <c r="G3316" i="6"/>
  <c r="G3315" i="6"/>
  <c r="G3314" i="6"/>
  <c r="G3313" i="6"/>
  <c r="G3312" i="6"/>
  <c r="G3311" i="6"/>
  <c r="G3310" i="6"/>
  <c r="G3309" i="6"/>
  <c r="G3308" i="6"/>
  <c r="G3307" i="6"/>
  <c r="G3306" i="6"/>
  <c r="G3305" i="6"/>
  <c r="G3304" i="6"/>
  <c r="G3303" i="6"/>
  <c r="G3302" i="6"/>
  <c r="G3301" i="6"/>
  <c r="G3300" i="6"/>
  <c r="G3299" i="6"/>
  <c r="G3298" i="6"/>
  <c r="G3297" i="6"/>
  <c r="G3296" i="6"/>
  <c r="G3295" i="6"/>
  <c r="G3294" i="6"/>
  <c r="G3293" i="6"/>
  <c r="G3292" i="6"/>
  <c r="G3291" i="6"/>
  <c r="G3290" i="6"/>
  <c r="G3289" i="6"/>
  <c r="G3288" i="6"/>
  <c r="G3287" i="6"/>
  <c r="G3286" i="6"/>
  <c r="G3285" i="6"/>
  <c r="G3284" i="6"/>
  <c r="G3283" i="6"/>
  <c r="G3282" i="6"/>
  <c r="G3281" i="6"/>
  <c r="G3280" i="6"/>
  <c r="G3279" i="6"/>
  <c r="G3278" i="6"/>
  <c r="G3277" i="6"/>
  <c r="G3276" i="6"/>
  <c r="G3275" i="6"/>
  <c r="G3274" i="6"/>
  <c r="G3273" i="6"/>
  <c r="G3272" i="6"/>
  <c r="G3271" i="6"/>
  <c r="G3270" i="6"/>
  <c r="G3269" i="6"/>
  <c r="G3268" i="6"/>
  <c r="G3267" i="6"/>
  <c r="G3266" i="6"/>
  <c r="G3265" i="6"/>
  <c r="G3264" i="6"/>
  <c r="G3263" i="6"/>
  <c r="G3262" i="6"/>
  <c r="G3261" i="6"/>
  <c r="G3260" i="6"/>
  <c r="G3259" i="6"/>
  <c r="G3258" i="6"/>
  <c r="G3257" i="6"/>
  <c r="G3256" i="6"/>
  <c r="G3255" i="6"/>
  <c r="G3254" i="6"/>
  <c r="G3253" i="6"/>
  <c r="G3252" i="6"/>
  <c r="G3251" i="6"/>
  <c r="G3250" i="6"/>
  <c r="G3249" i="6"/>
  <c r="G3248" i="6"/>
  <c r="G3247" i="6"/>
  <c r="G3246" i="6"/>
  <c r="G3245" i="6"/>
  <c r="G3244" i="6"/>
  <c r="G3243" i="6"/>
  <c r="G3242" i="6"/>
  <c r="G3241" i="6"/>
  <c r="G3240" i="6"/>
  <c r="G3239" i="6"/>
  <c r="G3238" i="6"/>
  <c r="G3237" i="6"/>
  <c r="G3236" i="6"/>
  <c r="G3235" i="6"/>
  <c r="G3234" i="6"/>
  <c r="G3233" i="6"/>
  <c r="G3232" i="6"/>
  <c r="G3231" i="6"/>
  <c r="G3230" i="6"/>
  <c r="G3229" i="6"/>
  <c r="G3228" i="6"/>
  <c r="G3227" i="6"/>
  <c r="G3226" i="6"/>
  <c r="G3225" i="6"/>
  <c r="G3224" i="6"/>
  <c r="G3223" i="6"/>
  <c r="G3222" i="6"/>
  <c r="G3221" i="6"/>
  <c r="G3220" i="6"/>
  <c r="G3219" i="6"/>
  <c r="G3218" i="6"/>
  <c r="G3217" i="6"/>
  <c r="G3216" i="6"/>
  <c r="G3215" i="6"/>
  <c r="G3214" i="6"/>
  <c r="G3213" i="6"/>
  <c r="G3212" i="6"/>
  <c r="G3211" i="6"/>
  <c r="G3210" i="6"/>
  <c r="G3209" i="6"/>
  <c r="G3208" i="6"/>
  <c r="G3207" i="6"/>
  <c r="G3206" i="6"/>
  <c r="G3205" i="6"/>
  <c r="G3204" i="6"/>
  <c r="G3203" i="6"/>
  <c r="G3202" i="6"/>
  <c r="G3201" i="6"/>
  <c r="G3200" i="6"/>
  <c r="G3199" i="6"/>
  <c r="G3198" i="6"/>
  <c r="G3197" i="6"/>
  <c r="G3196" i="6"/>
  <c r="G3195" i="6"/>
  <c r="G3194" i="6"/>
  <c r="G3193" i="6"/>
  <c r="G3192" i="6"/>
  <c r="G3191" i="6"/>
  <c r="G3190" i="6"/>
  <c r="G3189" i="6"/>
  <c r="G3188" i="6"/>
  <c r="G3187" i="6"/>
  <c r="G3186" i="6"/>
  <c r="G3185" i="6"/>
  <c r="G3184" i="6"/>
  <c r="G3183" i="6"/>
  <c r="G3182" i="6"/>
  <c r="G3181" i="6"/>
  <c r="G3180" i="6"/>
  <c r="G3179" i="6"/>
  <c r="G3178" i="6"/>
  <c r="G3177" i="6"/>
  <c r="G3176" i="6"/>
  <c r="G3175" i="6"/>
  <c r="G3174" i="6"/>
  <c r="G3173" i="6"/>
  <c r="G3172" i="6"/>
  <c r="G3171" i="6"/>
  <c r="G3170" i="6"/>
  <c r="G3169" i="6"/>
  <c r="G3168" i="6"/>
  <c r="G3167" i="6"/>
  <c r="G3166" i="6"/>
  <c r="G3165" i="6"/>
  <c r="G3164" i="6"/>
  <c r="G3163" i="6"/>
  <c r="G3162" i="6"/>
  <c r="G3161" i="6"/>
  <c r="G3160" i="6"/>
  <c r="G3159" i="6"/>
  <c r="G3158" i="6"/>
  <c r="G3157" i="6"/>
  <c r="G3156" i="6"/>
  <c r="G3155" i="6"/>
  <c r="G3154" i="6"/>
  <c r="G3153" i="6"/>
  <c r="G3152" i="6"/>
  <c r="G3151" i="6"/>
  <c r="G3150" i="6"/>
  <c r="G3149" i="6"/>
  <c r="G3148" i="6"/>
  <c r="G3147" i="6"/>
  <c r="G3146" i="6"/>
  <c r="G3145" i="6"/>
  <c r="G3144" i="6"/>
  <c r="G3143" i="6"/>
  <c r="G3142" i="6"/>
  <c r="G3141" i="6"/>
  <c r="G3140" i="6"/>
  <c r="G3139" i="6"/>
  <c r="G3138" i="6"/>
  <c r="G3137" i="6"/>
  <c r="G3136" i="6"/>
  <c r="G3135" i="6"/>
  <c r="G3134" i="6"/>
  <c r="G3133" i="6"/>
  <c r="G3132" i="6"/>
  <c r="G3131" i="6"/>
  <c r="G3130" i="6"/>
  <c r="G3129" i="6"/>
  <c r="G3128" i="6"/>
  <c r="G3127" i="6"/>
  <c r="G3126" i="6"/>
  <c r="G3125" i="6"/>
  <c r="G3124" i="6"/>
  <c r="G3123" i="6"/>
  <c r="G3122" i="6"/>
  <c r="G3121" i="6"/>
  <c r="G3120" i="6"/>
  <c r="G3119" i="6"/>
  <c r="G3118" i="6"/>
  <c r="G3117" i="6"/>
  <c r="G3116" i="6"/>
  <c r="G3115" i="6"/>
  <c r="G3114" i="6"/>
  <c r="G3113" i="6"/>
  <c r="G3112" i="6"/>
  <c r="G3111" i="6"/>
  <c r="G3110" i="6"/>
  <c r="G3109" i="6"/>
  <c r="G3108" i="6"/>
  <c r="G3107" i="6"/>
  <c r="G3106" i="6"/>
  <c r="G3105" i="6"/>
  <c r="G3104" i="6"/>
  <c r="G3103" i="6"/>
  <c r="G3102" i="6"/>
  <c r="G3101" i="6"/>
  <c r="G3100" i="6"/>
  <c r="G3099" i="6"/>
  <c r="G3098" i="6"/>
  <c r="G3097" i="6"/>
  <c r="G3096" i="6"/>
  <c r="G3095" i="6"/>
  <c r="G3094" i="6"/>
  <c r="G3093" i="6"/>
  <c r="G3092" i="6"/>
  <c r="G3091" i="6"/>
  <c r="G3090" i="6"/>
  <c r="G3089" i="6"/>
  <c r="G3088" i="6"/>
  <c r="G3087" i="6"/>
  <c r="G3086" i="6"/>
  <c r="G3085" i="6"/>
  <c r="G3084" i="6"/>
  <c r="G3083" i="6"/>
  <c r="G3082" i="6"/>
  <c r="G3081" i="6"/>
  <c r="G3080" i="6"/>
  <c r="G3079" i="6"/>
  <c r="G3078" i="6"/>
  <c r="G3077" i="6"/>
  <c r="G3076" i="6"/>
  <c r="G3075" i="6"/>
  <c r="G3074" i="6"/>
  <c r="G3073" i="6"/>
  <c r="G3072" i="6"/>
  <c r="G3071" i="6"/>
  <c r="G3070" i="6"/>
  <c r="G3069" i="6"/>
  <c r="G3068" i="6"/>
  <c r="G3067" i="6"/>
  <c r="G3066" i="6"/>
  <c r="G3065" i="6"/>
  <c r="G3064" i="6"/>
  <c r="G3063" i="6"/>
  <c r="G3062" i="6"/>
  <c r="G3061" i="6"/>
  <c r="G3060" i="6"/>
  <c r="G3059" i="6"/>
  <c r="G3058" i="6"/>
  <c r="G3057" i="6"/>
  <c r="G3056" i="6"/>
  <c r="G3055" i="6"/>
  <c r="G3054" i="6"/>
  <c r="G3053" i="6"/>
  <c r="G3052" i="6"/>
  <c r="G3051" i="6"/>
  <c r="G3050" i="6"/>
  <c r="G3049" i="6"/>
  <c r="G3048" i="6"/>
  <c r="G3047" i="6"/>
  <c r="G3046" i="6"/>
  <c r="G3045" i="6"/>
  <c r="G3044" i="6"/>
  <c r="G3043" i="6"/>
  <c r="G3042" i="6"/>
  <c r="G3041" i="6"/>
  <c r="G3040" i="6"/>
  <c r="G3039" i="6"/>
  <c r="G3038" i="6"/>
  <c r="G3037" i="6"/>
  <c r="G3036" i="6"/>
  <c r="G3035" i="6"/>
  <c r="G3034" i="6"/>
  <c r="G3033" i="6"/>
  <c r="G3032" i="6"/>
  <c r="G3031" i="6"/>
  <c r="G3030" i="6"/>
  <c r="G3029" i="6"/>
  <c r="G3028" i="6"/>
  <c r="G3027" i="6"/>
  <c r="G3026" i="6"/>
  <c r="G3025" i="6"/>
  <c r="G3024" i="6"/>
  <c r="G3023" i="6"/>
  <c r="G3022" i="6"/>
  <c r="G3021" i="6"/>
  <c r="G3020" i="6"/>
  <c r="G3019" i="6"/>
  <c r="G3018" i="6"/>
  <c r="G3017" i="6"/>
  <c r="G3016" i="6"/>
  <c r="G3015" i="6"/>
  <c r="G3014" i="6"/>
  <c r="G3013" i="6"/>
  <c r="G3012" i="6"/>
  <c r="G3011" i="6"/>
  <c r="G3010" i="6"/>
  <c r="G3009" i="6"/>
  <c r="G3008" i="6"/>
  <c r="G3007" i="6"/>
  <c r="G3006" i="6"/>
  <c r="G3005" i="6"/>
  <c r="G3004" i="6"/>
  <c r="G3003" i="6"/>
  <c r="G3002" i="6"/>
  <c r="G3001" i="6"/>
  <c r="G3000" i="6"/>
  <c r="G2999" i="6"/>
  <c r="G2998" i="6"/>
  <c r="G2997" i="6"/>
  <c r="G2996" i="6"/>
  <c r="G2995" i="6"/>
  <c r="G2994" i="6"/>
  <c r="G2993" i="6"/>
  <c r="G2992" i="6"/>
  <c r="G2991" i="6"/>
  <c r="G2990" i="6"/>
  <c r="G2989" i="6"/>
  <c r="G2988" i="6"/>
  <c r="G2987" i="6"/>
  <c r="G2986" i="6"/>
  <c r="G2985" i="6"/>
  <c r="G2984" i="6"/>
  <c r="G2983" i="6"/>
  <c r="G2982" i="6"/>
  <c r="G2981" i="6"/>
  <c r="G2980" i="6"/>
  <c r="G2979" i="6"/>
  <c r="G2978" i="6"/>
  <c r="G2977" i="6"/>
  <c r="G2976" i="6"/>
  <c r="G2975" i="6"/>
  <c r="G2974" i="6"/>
  <c r="G2973" i="6"/>
  <c r="G2972" i="6"/>
  <c r="G2971" i="6"/>
  <c r="G2970" i="6"/>
  <c r="G2969" i="6"/>
  <c r="G2968" i="6"/>
  <c r="G2967" i="6"/>
  <c r="G2966" i="6"/>
  <c r="G2965" i="6"/>
  <c r="G2964" i="6"/>
  <c r="G2963" i="6"/>
  <c r="G2962" i="6"/>
  <c r="G2961" i="6"/>
  <c r="G2960" i="6"/>
  <c r="G2959" i="6"/>
  <c r="G2958" i="6"/>
  <c r="G2957" i="6"/>
  <c r="G2956" i="6"/>
  <c r="G2955" i="6"/>
  <c r="G2954" i="6"/>
  <c r="G2953" i="6"/>
  <c r="G2952" i="6"/>
  <c r="G2951" i="6"/>
  <c r="G2950" i="6"/>
  <c r="G2949" i="6"/>
  <c r="G2948" i="6"/>
  <c r="G2947" i="6"/>
  <c r="G2946" i="6"/>
  <c r="G2945" i="6"/>
  <c r="G2944" i="6"/>
  <c r="G2943" i="6"/>
  <c r="G2942" i="6"/>
  <c r="G2941" i="6"/>
  <c r="G2940" i="6"/>
  <c r="G2939" i="6"/>
  <c r="G2938" i="6"/>
  <c r="G2937" i="6"/>
  <c r="G2936" i="6"/>
  <c r="G2935" i="6"/>
  <c r="G2934" i="6"/>
  <c r="G2933" i="6"/>
  <c r="G2932" i="6"/>
  <c r="G2931" i="6"/>
  <c r="G2930" i="6"/>
  <c r="G2929" i="6"/>
  <c r="G2928" i="6"/>
  <c r="G2927" i="6"/>
  <c r="G2926" i="6"/>
  <c r="G2925" i="6"/>
  <c r="G2924" i="6"/>
  <c r="G2923" i="6"/>
  <c r="G2922" i="6"/>
  <c r="G2921" i="6"/>
  <c r="G2920" i="6"/>
  <c r="G2919" i="6"/>
  <c r="G2918" i="6"/>
  <c r="G2917" i="6"/>
  <c r="G2916" i="6"/>
  <c r="G2915" i="6"/>
  <c r="G2914" i="6"/>
  <c r="G2913" i="6"/>
  <c r="G2912" i="6"/>
  <c r="G2911" i="6"/>
  <c r="G2910" i="6"/>
  <c r="G2909" i="6"/>
  <c r="G2908" i="6"/>
  <c r="G2907" i="6"/>
  <c r="G2906" i="6"/>
  <c r="G2905" i="6"/>
  <c r="G2904" i="6"/>
  <c r="G2903" i="6"/>
  <c r="G2902" i="6"/>
  <c r="G2901" i="6"/>
  <c r="G2900" i="6"/>
  <c r="G2899" i="6"/>
  <c r="G2898" i="6"/>
  <c r="G2897" i="6"/>
  <c r="G2896" i="6"/>
  <c r="G2895" i="6"/>
  <c r="G2894" i="6"/>
  <c r="G2893" i="6"/>
  <c r="G2892" i="6"/>
  <c r="G2891" i="6"/>
  <c r="G2890" i="6"/>
  <c r="G2889" i="6"/>
  <c r="G2888" i="6"/>
  <c r="G2887" i="6"/>
  <c r="G2886" i="6"/>
  <c r="G2885" i="6"/>
  <c r="G2884" i="6"/>
  <c r="G2883" i="6"/>
  <c r="G2882" i="6"/>
  <c r="G2881" i="6"/>
  <c r="G2880" i="6"/>
  <c r="G2879" i="6"/>
  <c r="G2878" i="6"/>
  <c r="G2877" i="6"/>
  <c r="G2876" i="6"/>
  <c r="G2875" i="6"/>
  <c r="G2874" i="6"/>
  <c r="G2873" i="6"/>
  <c r="G2872" i="6"/>
  <c r="G2871" i="6"/>
  <c r="G2870" i="6"/>
  <c r="G2869" i="6"/>
  <c r="G2868" i="6"/>
  <c r="G2867" i="6"/>
  <c r="G2866" i="6"/>
  <c r="G2865" i="6"/>
  <c r="G2864" i="6"/>
  <c r="G2863" i="6"/>
  <c r="G2862" i="6"/>
  <c r="G2861" i="6"/>
  <c r="G2860" i="6"/>
  <c r="G2859" i="6"/>
  <c r="G2858" i="6"/>
  <c r="G2857" i="6"/>
  <c r="G2856" i="6"/>
  <c r="G2855" i="6"/>
  <c r="G2854" i="6"/>
  <c r="G2853" i="6"/>
  <c r="G2852" i="6"/>
  <c r="G2851" i="6"/>
  <c r="G2850" i="6"/>
  <c r="G2849" i="6"/>
  <c r="G2848" i="6"/>
  <c r="G2847" i="6"/>
  <c r="G2846" i="6"/>
  <c r="G2845" i="6"/>
  <c r="G2844" i="6"/>
  <c r="G2843" i="6"/>
  <c r="G2842" i="6"/>
  <c r="G2841" i="6"/>
  <c r="G2840" i="6"/>
  <c r="G2839" i="6"/>
  <c r="G2838" i="6"/>
  <c r="G2837" i="6"/>
  <c r="G2836" i="6"/>
  <c r="G2835" i="6"/>
  <c r="G2834" i="6"/>
  <c r="G2833" i="6"/>
  <c r="G2832" i="6"/>
  <c r="G2831" i="6"/>
  <c r="G2830" i="6"/>
  <c r="G2829" i="6"/>
  <c r="G2828" i="6"/>
  <c r="G2827" i="6"/>
  <c r="G2826" i="6"/>
  <c r="G2825" i="6"/>
  <c r="G2824" i="6"/>
  <c r="G2823" i="6"/>
  <c r="G2822" i="6"/>
  <c r="G2821" i="6"/>
  <c r="G2820" i="6"/>
  <c r="G2819" i="6"/>
  <c r="G2818" i="6"/>
  <c r="G2817" i="6"/>
  <c r="G2816" i="6"/>
  <c r="G2815" i="6"/>
  <c r="G2814" i="6"/>
  <c r="G2813" i="6"/>
  <c r="G2812" i="6"/>
  <c r="G2811" i="6"/>
  <c r="G2810" i="6"/>
  <c r="G2809" i="6"/>
  <c r="G2808" i="6"/>
  <c r="G2807" i="6"/>
  <c r="G2806" i="6"/>
  <c r="G2805" i="6"/>
  <c r="G2804" i="6"/>
  <c r="G2803" i="6"/>
  <c r="G2802" i="6"/>
  <c r="G2801" i="6"/>
  <c r="G2800" i="6"/>
  <c r="G2799" i="6"/>
  <c r="G2798" i="6"/>
  <c r="G2797" i="6"/>
  <c r="G2796" i="6"/>
  <c r="G2795" i="6"/>
  <c r="G2794" i="6"/>
  <c r="G2793" i="6"/>
  <c r="G2792" i="6"/>
  <c r="G2791" i="6"/>
  <c r="G2790" i="6"/>
  <c r="G2789" i="6"/>
  <c r="G2788" i="6"/>
  <c r="G2787" i="6"/>
  <c r="G2786" i="6"/>
  <c r="G2785" i="6"/>
  <c r="G2784" i="6"/>
  <c r="G2783" i="6"/>
  <c r="G2782" i="6"/>
  <c r="G2781" i="6"/>
  <c r="G2780" i="6"/>
  <c r="G2779" i="6"/>
  <c r="G2778" i="6"/>
  <c r="G2777" i="6"/>
  <c r="G2776" i="6"/>
  <c r="G2775" i="6"/>
  <c r="G2774" i="6"/>
  <c r="G2773" i="6"/>
  <c r="G2772" i="6"/>
  <c r="G2771" i="6"/>
  <c r="G2770" i="6"/>
  <c r="G2769" i="6"/>
  <c r="G2768" i="6"/>
  <c r="G2767" i="6"/>
  <c r="G2766" i="6"/>
  <c r="G2765" i="6"/>
  <c r="G2764" i="6"/>
  <c r="G2763" i="6"/>
  <c r="G2762" i="6"/>
  <c r="G2761" i="6"/>
  <c r="G2760" i="6"/>
  <c r="G2759" i="6"/>
  <c r="G2758" i="6"/>
  <c r="G2757" i="6"/>
  <c r="G2756" i="6"/>
  <c r="G2755" i="6"/>
  <c r="G2754" i="6"/>
  <c r="G2753" i="6"/>
  <c r="G2752" i="6"/>
  <c r="G2751" i="6"/>
  <c r="G2750" i="6"/>
  <c r="G2749" i="6"/>
  <c r="G2748" i="6"/>
  <c r="G2747" i="6"/>
  <c r="G2746" i="6"/>
  <c r="G2745" i="6"/>
  <c r="G2744" i="6"/>
  <c r="G2743" i="6"/>
  <c r="G2742" i="6"/>
  <c r="G2741" i="6"/>
  <c r="G2740" i="6"/>
  <c r="G2739" i="6"/>
  <c r="G2738" i="6"/>
  <c r="G2737" i="6"/>
  <c r="G2736" i="6"/>
  <c r="G2735" i="6"/>
  <c r="G2734" i="6"/>
  <c r="G2733" i="6"/>
  <c r="G2732" i="6"/>
  <c r="G2731" i="6"/>
  <c r="G2730" i="6"/>
  <c r="G2729" i="6"/>
  <c r="G2728" i="6"/>
  <c r="G2727" i="6"/>
  <c r="G2726" i="6"/>
  <c r="G2725" i="6"/>
  <c r="G2724" i="6"/>
  <c r="G2723" i="6"/>
  <c r="G2722" i="6"/>
  <c r="G2721" i="6"/>
  <c r="G2720" i="6"/>
  <c r="G2719" i="6"/>
  <c r="G2718" i="6"/>
  <c r="G2717" i="6"/>
  <c r="G2716" i="6"/>
  <c r="G2715" i="6"/>
  <c r="G2714" i="6"/>
  <c r="G2713" i="6"/>
  <c r="G2712" i="6"/>
  <c r="G2711" i="6"/>
  <c r="G2710" i="6"/>
  <c r="G2709" i="6"/>
  <c r="G2708" i="6"/>
  <c r="G2707" i="6"/>
  <c r="G2706" i="6"/>
  <c r="G2705" i="6"/>
  <c r="G2704" i="6"/>
  <c r="G2703" i="6"/>
  <c r="G2702" i="6"/>
  <c r="G2701" i="6"/>
  <c r="G2700" i="6"/>
  <c r="G2699" i="6"/>
  <c r="G2698" i="6"/>
  <c r="G2697" i="6"/>
  <c r="G2696" i="6"/>
  <c r="G2695" i="6"/>
  <c r="G2694" i="6"/>
  <c r="G2693" i="6"/>
  <c r="G2692" i="6"/>
  <c r="G2691" i="6"/>
  <c r="G2690" i="6"/>
  <c r="G2689" i="6"/>
  <c r="G2688" i="6"/>
  <c r="G2687" i="6"/>
  <c r="G2686" i="6"/>
  <c r="G2685" i="6"/>
  <c r="G2684" i="6"/>
  <c r="G2683" i="6"/>
  <c r="G2682" i="6"/>
  <c r="G2681" i="6"/>
  <c r="G2680" i="6"/>
  <c r="G2679" i="6"/>
  <c r="G2678" i="6"/>
  <c r="G2677" i="6"/>
  <c r="G2676" i="6"/>
  <c r="G2675" i="6"/>
  <c r="G2674" i="6"/>
  <c r="G2673" i="6"/>
  <c r="G2672" i="6"/>
  <c r="G2671" i="6"/>
  <c r="G2670" i="6"/>
  <c r="G2669" i="6"/>
  <c r="G2668" i="6"/>
  <c r="G2667" i="6"/>
  <c r="G2666" i="6"/>
  <c r="G2665" i="6"/>
  <c r="G2664" i="6"/>
  <c r="G2663" i="6"/>
  <c r="G2662" i="6"/>
  <c r="G2661" i="6"/>
  <c r="G2660" i="6"/>
  <c r="G2659" i="6"/>
  <c r="G2658" i="6"/>
  <c r="G2657" i="6"/>
  <c r="G2656" i="6"/>
  <c r="G2655" i="6"/>
  <c r="G2654" i="6"/>
  <c r="G2653" i="6"/>
  <c r="G2652" i="6"/>
  <c r="G2651" i="6"/>
  <c r="G2650" i="6"/>
  <c r="G2649" i="6"/>
  <c r="G2648" i="6"/>
  <c r="G2647" i="6"/>
  <c r="G2646" i="6"/>
  <c r="G2645" i="6"/>
  <c r="G2644" i="6"/>
  <c r="G2643" i="6"/>
  <c r="G2642" i="6"/>
  <c r="G2641" i="6"/>
  <c r="G2640" i="6"/>
  <c r="G2639" i="6"/>
  <c r="G2638" i="6"/>
  <c r="G2637" i="6"/>
  <c r="G2636" i="6"/>
  <c r="G2635" i="6"/>
  <c r="G2634" i="6"/>
  <c r="G2633" i="6"/>
  <c r="G2632" i="6"/>
  <c r="G2631" i="6"/>
  <c r="G2630" i="6"/>
  <c r="G2629" i="6"/>
  <c r="G2628" i="6"/>
  <c r="G2627" i="6"/>
  <c r="G2626" i="6"/>
  <c r="G2625" i="6"/>
  <c r="G2624" i="6"/>
  <c r="G2623" i="6"/>
  <c r="G2622" i="6"/>
  <c r="G2621" i="6"/>
  <c r="G2620" i="6"/>
  <c r="G2619" i="6"/>
  <c r="G2618" i="6"/>
  <c r="G2617" i="6"/>
  <c r="G2616" i="6"/>
  <c r="G2615" i="6"/>
  <c r="G2614" i="6"/>
  <c r="G2613" i="6"/>
  <c r="G2612" i="6"/>
  <c r="G2611" i="6"/>
  <c r="G2610" i="6"/>
  <c r="G2609" i="6"/>
  <c r="G2608" i="6"/>
  <c r="G2607" i="6"/>
  <c r="G2606" i="6"/>
  <c r="G2605" i="6"/>
  <c r="G2604" i="6"/>
  <c r="G2603" i="6"/>
  <c r="G2602" i="6"/>
  <c r="G2601" i="6"/>
  <c r="G2600" i="6"/>
  <c r="G2599" i="6"/>
  <c r="G2598" i="6"/>
  <c r="G2597" i="6"/>
  <c r="G2596" i="6"/>
  <c r="G2595" i="6"/>
  <c r="G2594" i="6"/>
  <c r="G2593" i="6"/>
  <c r="G2592" i="6"/>
  <c r="G2591" i="6"/>
  <c r="G2590" i="6"/>
  <c r="G2589" i="6"/>
  <c r="G2588" i="6"/>
  <c r="G2587" i="6"/>
  <c r="G2586" i="6"/>
  <c r="G2585" i="6"/>
  <c r="G2584" i="6"/>
  <c r="G2583" i="6"/>
  <c r="G2582" i="6"/>
  <c r="G2581" i="6"/>
  <c r="G2580" i="6"/>
  <c r="G2579" i="6"/>
  <c r="G2578" i="6"/>
  <c r="G2577" i="6"/>
  <c r="G2576" i="6"/>
  <c r="G2575" i="6"/>
  <c r="G2574" i="6"/>
  <c r="G2573" i="6"/>
  <c r="G2572" i="6"/>
  <c r="G2571" i="6"/>
  <c r="G2570" i="6"/>
  <c r="G2569" i="6"/>
  <c r="G2568" i="6"/>
  <c r="G2567" i="6"/>
  <c r="G2566" i="6"/>
  <c r="G2565" i="6"/>
  <c r="G2564" i="6"/>
  <c r="G2563" i="6"/>
  <c r="G2562" i="6"/>
  <c r="G2561" i="6"/>
  <c r="G2560" i="6"/>
  <c r="G2559" i="6"/>
  <c r="G2558" i="6"/>
  <c r="G2557" i="6"/>
  <c r="G2556" i="6"/>
  <c r="G2555" i="6"/>
  <c r="G2554" i="6"/>
  <c r="G2553" i="6"/>
  <c r="G2552" i="6"/>
  <c r="G2551" i="6"/>
  <c r="G2550" i="6"/>
  <c r="G2549" i="6"/>
  <c r="G2548" i="6"/>
  <c r="G2547" i="6"/>
  <c r="G2546" i="6"/>
  <c r="G2545" i="6"/>
  <c r="G2544" i="6"/>
  <c r="G2543" i="6"/>
  <c r="G2542" i="6"/>
  <c r="G2541" i="6"/>
  <c r="G2540" i="6"/>
  <c r="G2539" i="6"/>
  <c r="G2538" i="6"/>
  <c r="G2537" i="6"/>
  <c r="G2536" i="6"/>
  <c r="G2535" i="6"/>
  <c r="G2534" i="6"/>
  <c r="G2533" i="6"/>
  <c r="G2532" i="6"/>
  <c r="G2531" i="6"/>
  <c r="G2530" i="6"/>
  <c r="G2529" i="6"/>
  <c r="G2528" i="6"/>
  <c r="G2527" i="6"/>
  <c r="G2526" i="6"/>
  <c r="G2525" i="6"/>
  <c r="G2524" i="6"/>
  <c r="G2523" i="6"/>
  <c r="G2522" i="6"/>
  <c r="G2521" i="6"/>
  <c r="G2520" i="6"/>
  <c r="G2519" i="6"/>
  <c r="G2518" i="6"/>
  <c r="G2517" i="6"/>
  <c r="G2516" i="6"/>
  <c r="G2515" i="6"/>
  <c r="G2514" i="6"/>
  <c r="G2513" i="6"/>
  <c r="G2512" i="6"/>
  <c r="G2511" i="6"/>
  <c r="G2510" i="6"/>
  <c r="G2509" i="6"/>
  <c r="G2508" i="6"/>
  <c r="G2507" i="6"/>
  <c r="G2506" i="6"/>
  <c r="G2505" i="6"/>
  <c r="G2504" i="6"/>
  <c r="G2503" i="6"/>
  <c r="G2502" i="6"/>
  <c r="G2501" i="6"/>
  <c r="G2500" i="6"/>
  <c r="G2499" i="6"/>
  <c r="G2498" i="6"/>
  <c r="G2497" i="6"/>
  <c r="G2496" i="6"/>
  <c r="G2495" i="6"/>
  <c r="G2494" i="6"/>
  <c r="G2493" i="6"/>
  <c r="G2492" i="6"/>
  <c r="G2491" i="6"/>
  <c r="G2490" i="6"/>
  <c r="G2489" i="6"/>
  <c r="G2488" i="6"/>
  <c r="G2487" i="6"/>
  <c r="G2486" i="6"/>
  <c r="G2485" i="6"/>
  <c r="G2484" i="6"/>
  <c r="G2483" i="6"/>
  <c r="G2482" i="6"/>
  <c r="G2481" i="6"/>
  <c r="G2480" i="6"/>
  <c r="G2479" i="6"/>
  <c r="G2478" i="6"/>
  <c r="G2477" i="6"/>
  <c r="G2476" i="6"/>
  <c r="G2475" i="6"/>
  <c r="G2474" i="6"/>
  <c r="G2473" i="6"/>
  <c r="G2472" i="6"/>
  <c r="G2471" i="6"/>
  <c r="G2470" i="6"/>
  <c r="G2469" i="6"/>
  <c r="G2468" i="6"/>
  <c r="G2467" i="6"/>
  <c r="G2466" i="6"/>
  <c r="G2465" i="6"/>
  <c r="G2464" i="6"/>
  <c r="G2463" i="6"/>
  <c r="G2462" i="6"/>
  <c r="G2461" i="6"/>
  <c r="G2460" i="6"/>
  <c r="G2459" i="6"/>
  <c r="G2458" i="6"/>
  <c r="G2457" i="6"/>
  <c r="G2456" i="6"/>
  <c r="G2455" i="6"/>
  <c r="G2454" i="6"/>
  <c r="G2453" i="6"/>
  <c r="G2452" i="6"/>
  <c r="G2451" i="6"/>
  <c r="G2450" i="6"/>
  <c r="G2449" i="6"/>
  <c r="G2448" i="6"/>
  <c r="G2447" i="6"/>
  <c r="G2446" i="6"/>
  <c r="G2445" i="6"/>
  <c r="G2444" i="6"/>
  <c r="G2443" i="6"/>
  <c r="G2442" i="6"/>
  <c r="G2441" i="6"/>
  <c r="G2440" i="6"/>
  <c r="G2439" i="6"/>
  <c r="G2438" i="6"/>
  <c r="G2437" i="6"/>
  <c r="G2436" i="6"/>
  <c r="G2435" i="6"/>
  <c r="G2434" i="6"/>
  <c r="G2433" i="6"/>
  <c r="G2432" i="6"/>
  <c r="G2431" i="6"/>
  <c r="G2430" i="6"/>
  <c r="G2429" i="6"/>
  <c r="G2428" i="6"/>
  <c r="G2427" i="6"/>
  <c r="G2426" i="6"/>
  <c r="G2425" i="6"/>
  <c r="G2424" i="6"/>
  <c r="G2423" i="6"/>
  <c r="G2422" i="6"/>
  <c r="G2421" i="6"/>
  <c r="G2420" i="6"/>
  <c r="G2419" i="6"/>
  <c r="G2418" i="6"/>
  <c r="G2417" i="6"/>
  <c r="G2416" i="6"/>
  <c r="G2415" i="6"/>
  <c r="G2414" i="6"/>
  <c r="G2413" i="6"/>
  <c r="G2412" i="6"/>
  <c r="G2411" i="6"/>
  <c r="G2410" i="6"/>
  <c r="G2409" i="6"/>
  <c r="G2408" i="6"/>
  <c r="G2407" i="6"/>
  <c r="G2406" i="6"/>
  <c r="G2405" i="6"/>
  <c r="G2404" i="6"/>
  <c r="G2403" i="6"/>
  <c r="G2402" i="6"/>
  <c r="G2401" i="6"/>
  <c r="G2400" i="6"/>
  <c r="G2399" i="6"/>
  <c r="G2398" i="6"/>
  <c r="G2397" i="6"/>
  <c r="G2396" i="6"/>
  <c r="G2395" i="6"/>
  <c r="G2394" i="6"/>
  <c r="G2393" i="6"/>
  <c r="G2392" i="6"/>
  <c r="G2391" i="6"/>
  <c r="G2390" i="6"/>
  <c r="G2389" i="6"/>
  <c r="G2388" i="6"/>
  <c r="G2387" i="6"/>
  <c r="G2386" i="6"/>
  <c r="G2385" i="6"/>
  <c r="G2384" i="6"/>
  <c r="G2383" i="6"/>
  <c r="G2382" i="6"/>
  <c r="G2381" i="6"/>
  <c r="G2380" i="6"/>
  <c r="G2379" i="6"/>
  <c r="G2378" i="6"/>
  <c r="G2377" i="6"/>
  <c r="G2376" i="6"/>
  <c r="G2375" i="6"/>
  <c r="G2374" i="6"/>
  <c r="G2373" i="6"/>
  <c r="G2372" i="6"/>
  <c r="G2371" i="6"/>
  <c r="G2370" i="6"/>
  <c r="G2369" i="6"/>
  <c r="G2368" i="6"/>
  <c r="G2367" i="6"/>
  <c r="G2366" i="6"/>
  <c r="G2365" i="6"/>
  <c r="G2364" i="6"/>
  <c r="G2363" i="6"/>
  <c r="G2362" i="6"/>
  <c r="G2361" i="6"/>
  <c r="G2360" i="6"/>
  <c r="G2359" i="6"/>
  <c r="G2358" i="6"/>
  <c r="G2357" i="6"/>
  <c r="G2356" i="6"/>
  <c r="G2355" i="6"/>
  <c r="G2354" i="6"/>
  <c r="G2353" i="6"/>
  <c r="G2352" i="6"/>
  <c r="G2351" i="6"/>
  <c r="G2350" i="6"/>
  <c r="G2349" i="6"/>
  <c r="G2348" i="6"/>
  <c r="G2347" i="6"/>
  <c r="G2346" i="6"/>
  <c r="G2345" i="6"/>
  <c r="G2344" i="6"/>
  <c r="G2343" i="6"/>
  <c r="G2342" i="6"/>
  <c r="G2341" i="6"/>
  <c r="G2340" i="6"/>
  <c r="G2339" i="6"/>
  <c r="G2338" i="6"/>
  <c r="G2337" i="6"/>
  <c r="G2336" i="6"/>
  <c r="G2335" i="6"/>
  <c r="G2334" i="6"/>
  <c r="G2333" i="6"/>
  <c r="G2332" i="6"/>
  <c r="G2331" i="6"/>
  <c r="G2330" i="6"/>
  <c r="G2329" i="6"/>
  <c r="G2328" i="6"/>
  <c r="G2327" i="6"/>
  <c r="G2326" i="6"/>
  <c r="G2325" i="6"/>
  <c r="G2324" i="6"/>
  <c r="G2323" i="6"/>
  <c r="G2322" i="6"/>
  <c r="G2321" i="6"/>
  <c r="G2320" i="6"/>
  <c r="G2319" i="6"/>
  <c r="G2318" i="6"/>
  <c r="G2317" i="6"/>
  <c r="G2316" i="6"/>
  <c r="G2315" i="6"/>
  <c r="G2314" i="6"/>
  <c r="G2313" i="6"/>
  <c r="G2312" i="6"/>
  <c r="G2311" i="6"/>
  <c r="G2310" i="6"/>
  <c r="G2309" i="6"/>
  <c r="G2308" i="6"/>
  <c r="G2307" i="6"/>
  <c r="G2306" i="6"/>
  <c r="G2305" i="6"/>
  <c r="G2304" i="6"/>
  <c r="G2303" i="6"/>
  <c r="G2302" i="6"/>
  <c r="G2301" i="6"/>
  <c r="G2300" i="6"/>
  <c r="G2299" i="6"/>
  <c r="G2298" i="6"/>
  <c r="G2297" i="6"/>
  <c r="G2296" i="6"/>
  <c r="G2295" i="6"/>
  <c r="G2294" i="6"/>
  <c r="G2293" i="6"/>
  <c r="G2292" i="6"/>
  <c r="G2291" i="6"/>
  <c r="G2290" i="6"/>
  <c r="G2289" i="6"/>
  <c r="G2288" i="6"/>
  <c r="G2287" i="6"/>
  <c r="G2286" i="6"/>
  <c r="G2285" i="6"/>
  <c r="G2284" i="6"/>
  <c r="G2283" i="6"/>
  <c r="G2282" i="6"/>
  <c r="G2281" i="6"/>
  <c r="G2280" i="6"/>
  <c r="G2279" i="6"/>
  <c r="G2278" i="6"/>
  <c r="G2277" i="6"/>
  <c r="G2276" i="6"/>
  <c r="G2275" i="6"/>
  <c r="G2274" i="6"/>
  <c r="G2273" i="6"/>
  <c r="G2272" i="6"/>
  <c r="G2271" i="6"/>
  <c r="G2270" i="6"/>
  <c r="G2269" i="6"/>
  <c r="G2268" i="6"/>
  <c r="G2267" i="6"/>
  <c r="G2266" i="6"/>
  <c r="G2265" i="6"/>
  <c r="G2264" i="6"/>
  <c r="G2263" i="6"/>
  <c r="G2262" i="6"/>
  <c r="G2261" i="6"/>
  <c r="G2260" i="6"/>
  <c r="G2259" i="6"/>
  <c r="G2258" i="6"/>
  <c r="G2257" i="6"/>
  <c r="G2256" i="6"/>
  <c r="G2255" i="6"/>
  <c r="G2254" i="6"/>
  <c r="G2253" i="6"/>
  <c r="G2252" i="6"/>
  <c r="G2251" i="6"/>
  <c r="G2250" i="6"/>
  <c r="G2249" i="6"/>
  <c r="G2248" i="6"/>
  <c r="G2247" i="6"/>
  <c r="G2246" i="6"/>
  <c r="G2245" i="6"/>
  <c r="G2244" i="6"/>
  <c r="G2243" i="6"/>
  <c r="G2242" i="6"/>
  <c r="G2241" i="6"/>
  <c r="G2240" i="6"/>
  <c r="G2239" i="6"/>
  <c r="G2238" i="6"/>
  <c r="G2237" i="6"/>
  <c r="G2236" i="6"/>
  <c r="G2235" i="6"/>
  <c r="G2234" i="6"/>
  <c r="G2233" i="6"/>
  <c r="G2232" i="6"/>
  <c r="G2231" i="6"/>
  <c r="G2230" i="6"/>
  <c r="G2229" i="6"/>
  <c r="G2228" i="6"/>
  <c r="G2227" i="6"/>
  <c r="G2226" i="6"/>
  <c r="G2225" i="6"/>
  <c r="G2224" i="6"/>
  <c r="G2223" i="6"/>
  <c r="G2222" i="6"/>
  <c r="G2221" i="6"/>
  <c r="G2220" i="6"/>
  <c r="G2219" i="6"/>
  <c r="G2218" i="6"/>
  <c r="G2217" i="6"/>
  <c r="G2216" i="6"/>
  <c r="G2215" i="6"/>
  <c r="G2214" i="6"/>
  <c r="G2213" i="6"/>
  <c r="G2212" i="6"/>
  <c r="G2211" i="6"/>
  <c r="G2210" i="6"/>
  <c r="G2209" i="6"/>
  <c r="G2208" i="6"/>
  <c r="G2207" i="6"/>
  <c r="G2206" i="6"/>
  <c r="G2205" i="6"/>
  <c r="G2204" i="6"/>
  <c r="G2203" i="6"/>
  <c r="G2202" i="6"/>
  <c r="G2201" i="6"/>
  <c r="G2200" i="6"/>
  <c r="G2199" i="6"/>
  <c r="G2198" i="6"/>
  <c r="G2197" i="6"/>
  <c r="G2196" i="6"/>
  <c r="G2195" i="6"/>
  <c r="G2194" i="6"/>
  <c r="G2193" i="6"/>
  <c r="G2192" i="6"/>
  <c r="G2191" i="6"/>
  <c r="G2190" i="6"/>
  <c r="G2189" i="6"/>
  <c r="G2188" i="6"/>
  <c r="G2187" i="6"/>
  <c r="G2186" i="6"/>
  <c r="G2185" i="6"/>
  <c r="G2184" i="6"/>
  <c r="G2183" i="6"/>
  <c r="G2182" i="6"/>
  <c r="G2181" i="6"/>
  <c r="G2180" i="6"/>
  <c r="G2179" i="6"/>
  <c r="G2178" i="6"/>
  <c r="G2177" i="6"/>
  <c r="G2176" i="6"/>
  <c r="G2175" i="6"/>
  <c r="G2174" i="6"/>
  <c r="G2173" i="6"/>
  <c r="G2172" i="6"/>
  <c r="G2171" i="6"/>
  <c r="G2170" i="6"/>
  <c r="G2169" i="6"/>
  <c r="G2168" i="6"/>
  <c r="G2167" i="6"/>
  <c r="G2166" i="6"/>
  <c r="G2165" i="6"/>
  <c r="G2164" i="6"/>
  <c r="G2163" i="6"/>
  <c r="G2162" i="6"/>
  <c r="G2161" i="6"/>
  <c r="G2160" i="6"/>
  <c r="G2159" i="6"/>
  <c r="G2158" i="6"/>
  <c r="G2157" i="6"/>
  <c r="G2156" i="6"/>
  <c r="G2155" i="6"/>
  <c r="G2154" i="6"/>
  <c r="G2153" i="6"/>
  <c r="G2152" i="6"/>
  <c r="G2151" i="6"/>
  <c r="G2150" i="6"/>
  <c r="G2149" i="6"/>
  <c r="G2148" i="6"/>
  <c r="G2147" i="6"/>
  <c r="G2146" i="6"/>
  <c r="G2145" i="6"/>
  <c r="G2144" i="6"/>
  <c r="G2143" i="6"/>
  <c r="G2142" i="6"/>
  <c r="G2141" i="6"/>
  <c r="G2140" i="6"/>
  <c r="G2139" i="6"/>
  <c r="G2138" i="6"/>
  <c r="G2137" i="6"/>
  <c r="G2136" i="6"/>
  <c r="G2135" i="6"/>
  <c r="G2134" i="6"/>
  <c r="G2133" i="6"/>
  <c r="G2132" i="6"/>
  <c r="G2131" i="6"/>
  <c r="G2130" i="6"/>
  <c r="G2129" i="6"/>
  <c r="G2128" i="6"/>
  <c r="G2127" i="6"/>
  <c r="G2126" i="6"/>
  <c r="G2125" i="6"/>
  <c r="G2124" i="6"/>
  <c r="G2123" i="6"/>
  <c r="G2122" i="6"/>
  <c r="G2121" i="6"/>
  <c r="G2120" i="6"/>
  <c r="G2119" i="6"/>
  <c r="G2118" i="6"/>
  <c r="G2117" i="6"/>
  <c r="G2116" i="6"/>
  <c r="G2115" i="6"/>
  <c r="G2114" i="6"/>
  <c r="G2113" i="6"/>
  <c r="G2112" i="6"/>
  <c r="G2111" i="6"/>
  <c r="G2110" i="6"/>
  <c r="G2109" i="6"/>
  <c r="G2108" i="6"/>
  <c r="G2107" i="6"/>
  <c r="G2106" i="6"/>
  <c r="G2105" i="6"/>
  <c r="G2104" i="6"/>
  <c r="G2103" i="6"/>
  <c r="G2102" i="6"/>
  <c r="G2101" i="6"/>
  <c r="G2100" i="6"/>
  <c r="G2099" i="6"/>
  <c r="G2098" i="6"/>
  <c r="G2097" i="6"/>
  <c r="G2096" i="6"/>
  <c r="G2095" i="6"/>
  <c r="G2094" i="6"/>
  <c r="G2093" i="6"/>
  <c r="G2092" i="6"/>
  <c r="G2091" i="6"/>
  <c r="G2090" i="6"/>
  <c r="G2089" i="6"/>
  <c r="G2088" i="6"/>
  <c r="G2087" i="6"/>
  <c r="G2086" i="6"/>
  <c r="G2085" i="6"/>
  <c r="G2084" i="6"/>
  <c r="G2083" i="6"/>
  <c r="G2082" i="6"/>
  <c r="G2081" i="6"/>
  <c r="G2080" i="6"/>
  <c r="G2079" i="6"/>
  <c r="G2078" i="6"/>
  <c r="G2077" i="6"/>
  <c r="G2076" i="6"/>
  <c r="G2075" i="6"/>
  <c r="G2074" i="6"/>
  <c r="G2073" i="6"/>
  <c r="G2072" i="6"/>
  <c r="G2071" i="6"/>
  <c r="G2070" i="6"/>
  <c r="G2069" i="6"/>
  <c r="G2068" i="6"/>
  <c r="G2067" i="6"/>
  <c r="G2066" i="6"/>
  <c r="G2065" i="6"/>
  <c r="G2064" i="6"/>
  <c r="G2063" i="6"/>
  <c r="G2062" i="6"/>
  <c r="G2061" i="6"/>
  <c r="G2060" i="6"/>
  <c r="G2059" i="6"/>
  <c r="G2058" i="6"/>
  <c r="G2057" i="6"/>
  <c r="G2056" i="6"/>
  <c r="G2055" i="6"/>
  <c r="G2054" i="6"/>
  <c r="G2053" i="6"/>
  <c r="G2052" i="6"/>
  <c r="G2051" i="6"/>
  <c r="G2050" i="6"/>
  <c r="G2049" i="6"/>
  <c r="G2048" i="6"/>
  <c r="G2047" i="6"/>
  <c r="G2046" i="6"/>
  <c r="G2045" i="6"/>
  <c r="G2044" i="6"/>
  <c r="G2043" i="6"/>
  <c r="G2042" i="6"/>
  <c r="G2041" i="6"/>
  <c r="G2040" i="6"/>
  <c r="G2039" i="6"/>
  <c r="G2038" i="6"/>
  <c r="G2037" i="6"/>
  <c r="G2036" i="6"/>
  <c r="G2035" i="6"/>
  <c r="G2034" i="6"/>
  <c r="G2033" i="6"/>
  <c r="G2032" i="6"/>
  <c r="G2031" i="6"/>
  <c r="G2030" i="6"/>
  <c r="G2029" i="6"/>
  <c r="G2028" i="6"/>
  <c r="G2027" i="6"/>
  <c r="G2026" i="6"/>
  <c r="G2025" i="6"/>
  <c r="G2024" i="6"/>
  <c r="G2023" i="6"/>
  <c r="G2022" i="6"/>
  <c r="G2021" i="6"/>
  <c r="G2020" i="6"/>
  <c r="G2019" i="6"/>
  <c r="G2018" i="6"/>
  <c r="G2017" i="6"/>
  <c r="G2016" i="6"/>
  <c r="G2015" i="6"/>
  <c r="G2014" i="6"/>
  <c r="G2013" i="6"/>
  <c r="G2012" i="6"/>
  <c r="G2011" i="6"/>
  <c r="G2010" i="6"/>
  <c r="G2009" i="6"/>
  <c r="G2008" i="6"/>
  <c r="G2007" i="6"/>
  <c r="G2006" i="6"/>
  <c r="G2005" i="6"/>
  <c r="G2004" i="6"/>
  <c r="G2003" i="6"/>
  <c r="G2002" i="6"/>
  <c r="G2001" i="6"/>
  <c r="G2000" i="6"/>
  <c r="G1999" i="6"/>
  <c r="G1998" i="6"/>
  <c r="G1997" i="6"/>
  <c r="G1996" i="6"/>
  <c r="G1995" i="6"/>
  <c r="G1994" i="6"/>
  <c r="G1993" i="6"/>
  <c r="G1992" i="6"/>
  <c r="G1991" i="6"/>
  <c r="G1990" i="6"/>
  <c r="G1989" i="6"/>
  <c r="G1988" i="6"/>
  <c r="G1987" i="6"/>
  <c r="G1986" i="6"/>
  <c r="G1985" i="6"/>
  <c r="G1984" i="6"/>
  <c r="G1983" i="6"/>
  <c r="G1982" i="6"/>
  <c r="G1981" i="6"/>
  <c r="G1980" i="6"/>
  <c r="G1979" i="6"/>
  <c r="G1978" i="6"/>
  <c r="G1977" i="6"/>
  <c r="G1976" i="6"/>
  <c r="G1975" i="6"/>
  <c r="G1974" i="6"/>
  <c r="G1973" i="6"/>
  <c r="G1972" i="6"/>
  <c r="G1971" i="6"/>
  <c r="G1970" i="6"/>
  <c r="G1969" i="6"/>
  <c r="G1968" i="6"/>
  <c r="G1967" i="6"/>
  <c r="G1966" i="6"/>
  <c r="G1965" i="6"/>
  <c r="G1964" i="6"/>
  <c r="G1963" i="6"/>
  <c r="G1962" i="6"/>
  <c r="G1961" i="6"/>
  <c r="G1960" i="6"/>
  <c r="G1959" i="6"/>
  <c r="G1958" i="6"/>
  <c r="G1957" i="6"/>
  <c r="G1956" i="6"/>
  <c r="G1955" i="6"/>
  <c r="G1954" i="6"/>
  <c r="G1953" i="6"/>
  <c r="G1952" i="6"/>
  <c r="G1951" i="6"/>
  <c r="G1950" i="6"/>
  <c r="G1949" i="6"/>
  <c r="G1948" i="6"/>
  <c r="G1947" i="6"/>
  <c r="G1946" i="6"/>
  <c r="G1945" i="6"/>
  <c r="G1944" i="6"/>
  <c r="G1943" i="6"/>
  <c r="G1942" i="6"/>
  <c r="G1941" i="6"/>
  <c r="G1940" i="6"/>
  <c r="G1939" i="6"/>
  <c r="G1938" i="6"/>
  <c r="G1937" i="6"/>
  <c r="G1936" i="6"/>
  <c r="G1935" i="6"/>
  <c r="G1934" i="6"/>
  <c r="G1933" i="6"/>
  <c r="G1932" i="6"/>
  <c r="G1931" i="6"/>
  <c r="G1930" i="6"/>
  <c r="G1929" i="6"/>
  <c r="G1928" i="6"/>
  <c r="G1927" i="6"/>
  <c r="G1926" i="6"/>
  <c r="G1925" i="6"/>
  <c r="G1924" i="6"/>
  <c r="G1923" i="6"/>
  <c r="G1922" i="6"/>
  <c r="G1921" i="6"/>
  <c r="G1920" i="6"/>
  <c r="G1919" i="6"/>
  <c r="G1918" i="6"/>
  <c r="G1917" i="6"/>
  <c r="G1916" i="6"/>
  <c r="G1915" i="6"/>
  <c r="G1914" i="6"/>
  <c r="G1913" i="6"/>
  <c r="G1912" i="6"/>
  <c r="G1911" i="6"/>
  <c r="G1910" i="6"/>
  <c r="G1909" i="6"/>
  <c r="G1908" i="6"/>
  <c r="G1907" i="6"/>
  <c r="G1906" i="6"/>
  <c r="G1905" i="6"/>
  <c r="G1904" i="6"/>
  <c r="G1903" i="6"/>
  <c r="G1902" i="6"/>
  <c r="G1901" i="6"/>
  <c r="G1900" i="6"/>
  <c r="G1899" i="6"/>
  <c r="G1898" i="6"/>
  <c r="G1897" i="6"/>
  <c r="G1896" i="6"/>
  <c r="G1895" i="6"/>
  <c r="G1894" i="6"/>
  <c r="G1893" i="6"/>
  <c r="G1892" i="6"/>
  <c r="G1891" i="6"/>
  <c r="G1890" i="6"/>
  <c r="G1889" i="6"/>
  <c r="G1888" i="6"/>
  <c r="G1887" i="6"/>
  <c r="G1886" i="6"/>
  <c r="G1885" i="6"/>
  <c r="G1884" i="6"/>
  <c r="G1883" i="6"/>
  <c r="G1882" i="6"/>
  <c r="G1881" i="6"/>
  <c r="G1880" i="6"/>
  <c r="G1879" i="6"/>
  <c r="G1878" i="6"/>
  <c r="G1877" i="6"/>
  <c r="G1876" i="6"/>
  <c r="G1875" i="6"/>
  <c r="G1874" i="6"/>
  <c r="G1873" i="6"/>
  <c r="G1872" i="6"/>
  <c r="G1871" i="6"/>
  <c r="G1870" i="6"/>
  <c r="G1869" i="6"/>
  <c r="G1868" i="6"/>
  <c r="G1867" i="6"/>
  <c r="G1866" i="6"/>
  <c r="G1865" i="6"/>
  <c r="G1864" i="6"/>
  <c r="G1863" i="6"/>
  <c r="G1862" i="6"/>
  <c r="G1861" i="6"/>
  <c r="G1860" i="6"/>
  <c r="G1859" i="6"/>
  <c r="G1858" i="6"/>
  <c r="G1857" i="6"/>
  <c r="G1856" i="6"/>
  <c r="G1855" i="6"/>
  <c r="G1854" i="6"/>
  <c r="G1853" i="6"/>
  <c r="G1852" i="6"/>
  <c r="G1851" i="6"/>
  <c r="G1850" i="6"/>
  <c r="G1849" i="6"/>
  <c r="G1848" i="6"/>
  <c r="G1847" i="6"/>
  <c r="G1846" i="6"/>
  <c r="G1845" i="6"/>
  <c r="G1844" i="6"/>
  <c r="G1843" i="6"/>
  <c r="G1842" i="6"/>
  <c r="G1841" i="6"/>
  <c r="G1840" i="6"/>
  <c r="G1839" i="6"/>
  <c r="G1838" i="6"/>
  <c r="G1837" i="6"/>
  <c r="G1836" i="6"/>
  <c r="G1835" i="6"/>
  <c r="G1834" i="6"/>
  <c r="G1833" i="6"/>
  <c r="G1832" i="6"/>
  <c r="G1831" i="6"/>
  <c r="G1830" i="6"/>
  <c r="G1829" i="6"/>
  <c r="G1828" i="6"/>
  <c r="G1827" i="6"/>
  <c r="G1826" i="6"/>
  <c r="G1825" i="6"/>
  <c r="G1824" i="6"/>
  <c r="G1823" i="6"/>
  <c r="G1822" i="6"/>
  <c r="G1821" i="6"/>
  <c r="G1820" i="6"/>
  <c r="G1819" i="6"/>
  <c r="G1818" i="6"/>
  <c r="G1817" i="6"/>
  <c r="G1816" i="6"/>
  <c r="G1815" i="6"/>
  <c r="G1814" i="6"/>
  <c r="G1813" i="6"/>
  <c r="G1812" i="6"/>
  <c r="G1811" i="6"/>
  <c r="G1810" i="6"/>
  <c r="G1809" i="6"/>
  <c r="G1808" i="6"/>
  <c r="G1807" i="6"/>
  <c r="G1806" i="6"/>
  <c r="G1805" i="6"/>
  <c r="G1804" i="6"/>
  <c r="G1803" i="6"/>
  <c r="G1802" i="6"/>
  <c r="G1801" i="6"/>
  <c r="G1800" i="6"/>
  <c r="G1799" i="6"/>
  <c r="G1798" i="6"/>
  <c r="G1797" i="6"/>
  <c r="G1796" i="6"/>
  <c r="G1795" i="6"/>
  <c r="G1794" i="6"/>
  <c r="G1793" i="6"/>
  <c r="G1792" i="6"/>
  <c r="G1791" i="6"/>
  <c r="G1790" i="6"/>
  <c r="G1789" i="6"/>
  <c r="G1788" i="6"/>
  <c r="G1787" i="6"/>
  <c r="G1786" i="6"/>
  <c r="G1785" i="6"/>
  <c r="G1784" i="6"/>
  <c r="G1783" i="6"/>
  <c r="G1782" i="6"/>
  <c r="G1781" i="6"/>
  <c r="G1780" i="6"/>
  <c r="G1779" i="6"/>
  <c r="G1778" i="6"/>
  <c r="G1777" i="6"/>
  <c r="G1776" i="6"/>
  <c r="G1775" i="6"/>
  <c r="G1774" i="6"/>
  <c r="G1773" i="6"/>
  <c r="G1772" i="6"/>
  <c r="G1771" i="6"/>
  <c r="G1770" i="6"/>
  <c r="G1769" i="6"/>
  <c r="G1768" i="6"/>
  <c r="G1767" i="6"/>
  <c r="G1766" i="6"/>
  <c r="G1765" i="6"/>
  <c r="G1764" i="6"/>
  <c r="G1763" i="6"/>
  <c r="G1762" i="6"/>
  <c r="G1761" i="6"/>
  <c r="G1760" i="6"/>
  <c r="G1759" i="6"/>
  <c r="G1758" i="6"/>
  <c r="G1757" i="6"/>
  <c r="G1756" i="6"/>
  <c r="G1755" i="6"/>
  <c r="G1754" i="6"/>
  <c r="G1753" i="6"/>
  <c r="G1752" i="6"/>
  <c r="G1751" i="6"/>
  <c r="G1750" i="6"/>
  <c r="G1749" i="6"/>
  <c r="G1748" i="6"/>
  <c r="G1747" i="6"/>
  <c r="G1746" i="6"/>
  <c r="G1745" i="6"/>
  <c r="G1744" i="6"/>
  <c r="G1743" i="6"/>
  <c r="G1742" i="6"/>
  <c r="G1741" i="6"/>
  <c r="G1740" i="6"/>
  <c r="G1739" i="6"/>
  <c r="G1738" i="6"/>
  <c r="G1737" i="6"/>
  <c r="G1736" i="6"/>
  <c r="G1735" i="6"/>
  <c r="G1734" i="6"/>
  <c r="G1733" i="6"/>
  <c r="G1732" i="6"/>
  <c r="G1731" i="6"/>
  <c r="G1730" i="6"/>
  <c r="G1729" i="6"/>
  <c r="G1728" i="6"/>
  <c r="G1727" i="6"/>
  <c r="G1726" i="6"/>
  <c r="G1725" i="6"/>
  <c r="G1724" i="6"/>
  <c r="G1723" i="6"/>
  <c r="G1722" i="6"/>
  <c r="G1721" i="6"/>
  <c r="G1720" i="6"/>
  <c r="G1719" i="6"/>
  <c r="G1718" i="6"/>
  <c r="G1717" i="6"/>
  <c r="G1716" i="6"/>
  <c r="G1715" i="6"/>
  <c r="G1714" i="6"/>
  <c r="G1713" i="6"/>
  <c r="G1712" i="6"/>
  <c r="G1711" i="6"/>
  <c r="G1710" i="6"/>
  <c r="G1709" i="6"/>
  <c r="G1708" i="6"/>
  <c r="G1707" i="6"/>
  <c r="G1706" i="6"/>
  <c r="G1705" i="6"/>
  <c r="G1704" i="6"/>
  <c r="G1703" i="6"/>
  <c r="G1702" i="6"/>
  <c r="G1701" i="6"/>
  <c r="G1700" i="6"/>
  <c r="G1699" i="6"/>
  <c r="G1698" i="6"/>
  <c r="G1697" i="6"/>
  <c r="G1696" i="6"/>
  <c r="G1695" i="6"/>
  <c r="G1694" i="6"/>
  <c r="G1693" i="6"/>
  <c r="G1692" i="6"/>
  <c r="G1691" i="6"/>
  <c r="G1690" i="6"/>
  <c r="G1689" i="6"/>
  <c r="G1688" i="6"/>
  <c r="G1687" i="6"/>
  <c r="G1686" i="6"/>
  <c r="G1685" i="6"/>
  <c r="G1684" i="6"/>
  <c r="G1683" i="6"/>
  <c r="G1682" i="6"/>
  <c r="G1681" i="6"/>
  <c r="G1680" i="6"/>
  <c r="G1679" i="6"/>
  <c r="G1678" i="6"/>
  <c r="G1677" i="6"/>
  <c r="G1676" i="6"/>
  <c r="G1675" i="6"/>
  <c r="G1674" i="6"/>
  <c r="G1673" i="6"/>
  <c r="G1672" i="6"/>
  <c r="G1671" i="6"/>
  <c r="G1670" i="6"/>
  <c r="G1669" i="6"/>
  <c r="G1668" i="6"/>
  <c r="G1667" i="6"/>
  <c r="G1666" i="6"/>
  <c r="G1665" i="6"/>
  <c r="G1664" i="6"/>
  <c r="G1663" i="6"/>
  <c r="G1662" i="6"/>
  <c r="G1661" i="6"/>
  <c r="G1660" i="6"/>
  <c r="G1659" i="6"/>
  <c r="G1658" i="6"/>
  <c r="G1657" i="6"/>
  <c r="G1656" i="6"/>
  <c r="G1655" i="6"/>
  <c r="G1654" i="6"/>
  <c r="G1653" i="6"/>
  <c r="G1652" i="6"/>
  <c r="G1651" i="6"/>
  <c r="G1650" i="6"/>
  <c r="G1649" i="6"/>
  <c r="G1648" i="6"/>
  <c r="G1647" i="6"/>
  <c r="G1646" i="6"/>
  <c r="G1645" i="6"/>
  <c r="G1644" i="6"/>
  <c r="G1643" i="6"/>
  <c r="G1642" i="6"/>
  <c r="G1641" i="6"/>
  <c r="G1640" i="6"/>
  <c r="G1639" i="6"/>
  <c r="G1638" i="6"/>
  <c r="G1637" i="6"/>
  <c r="G1636" i="6"/>
  <c r="G1635" i="6"/>
  <c r="G1634" i="6"/>
  <c r="G1633" i="6"/>
  <c r="G1632" i="6"/>
  <c r="G1631" i="6"/>
  <c r="G1630" i="6"/>
  <c r="G1629" i="6"/>
  <c r="G1628" i="6"/>
  <c r="G1627" i="6"/>
  <c r="G1626" i="6"/>
  <c r="G1625" i="6"/>
  <c r="G1624" i="6"/>
  <c r="G1623" i="6"/>
  <c r="G1622" i="6"/>
  <c r="G1621" i="6"/>
  <c r="G1620" i="6"/>
  <c r="G1619" i="6"/>
  <c r="G1618" i="6"/>
  <c r="G1617" i="6"/>
  <c r="G1616" i="6"/>
  <c r="G1615" i="6"/>
  <c r="G1614" i="6"/>
  <c r="G1613" i="6"/>
  <c r="G1612" i="6"/>
  <c r="G1611" i="6"/>
  <c r="G1610" i="6"/>
  <c r="G1609" i="6"/>
  <c r="G1608" i="6"/>
  <c r="G1607" i="6"/>
  <c r="G1606" i="6"/>
  <c r="G1605" i="6"/>
  <c r="G1604" i="6"/>
  <c r="G1603" i="6"/>
  <c r="G1602" i="6"/>
  <c r="G1601" i="6"/>
  <c r="G1600" i="6"/>
  <c r="G1599" i="6"/>
  <c r="G1598" i="6"/>
  <c r="G1597" i="6"/>
  <c r="G1596" i="6"/>
  <c r="G1595" i="6"/>
  <c r="G1594" i="6"/>
  <c r="G1593" i="6"/>
  <c r="G1592" i="6"/>
  <c r="G1591" i="6"/>
  <c r="G1590" i="6"/>
  <c r="G1589" i="6"/>
  <c r="G1588" i="6"/>
  <c r="G1587" i="6"/>
  <c r="G1586" i="6"/>
  <c r="G1585" i="6"/>
  <c r="G1584" i="6"/>
  <c r="G1583" i="6"/>
  <c r="G1582" i="6"/>
  <c r="G1581" i="6"/>
  <c r="G1580" i="6"/>
  <c r="G1579" i="6"/>
  <c r="G1578" i="6"/>
  <c r="G1577" i="6"/>
  <c r="G1576" i="6"/>
  <c r="G1575" i="6"/>
  <c r="G1574" i="6"/>
  <c r="G1573" i="6"/>
  <c r="G1572" i="6"/>
  <c r="G1571" i="6"/>
  <c r="G1570" i="6"/>
  <c r="G1569" i="6"/>
  <c r="G1568" i="6"/>
  <c r="G1567" i="6"/>
  <c r="G1566" i="6"/>
  <c r="G1565" i="6"/>
  <c r="G1564" i="6"/>
  <c r="G1563" i="6"/>
  <c r="G1562" i="6"/>
  <c r="G1561" i="6"/>
  <c r="G1560" i="6"/>
  <c r="G1559" i="6"/>
  <c r="G1558" i="6"/>
  <c r="G1557" i="6"/>
  <c r="G1556" i="6"/>
  <c r="G1555" i="6"/>
  <c r="G1554" i="6"/>
  <c r="G1553" i="6"/>
  <c r="G1552" i="6"/>
  <c r="G1551" i="6"/>
  <c r="G1550" i="6"/>
  <c r="G1549" i="6"/>
  <c r="G1548" i="6"/>
  <c r="G1547" i="6"/>
  <c r="G1546" i="6"/>
  <c r="G1545" i="6"/>
  <c r="G1544" i="6"/>
  <c r="G1543" i="6"/>
  <c r="G1542" i="6"/>
  <c r="G1541" i="6"/>
  <c r="G1540" i="6"/>
  <c r="G1539" i="6"/>
  <c r="G1538" i="6"/>
  <c r="G1537" i="6"/>
  <c r="G1536" i="6"/>
  <c r="G1535" i="6"/>
  <c r="G1534" i="6"/>
  <c r="G1533" i="6"/>
  <c r="G1532" i="6"/>
  <c r="G1531" i="6"/>
  <c r="G1530" i="6"/>
  <c r="G1529" i="6"/>
  <c r="G1528" i="6"/>
  <c r="G1527" i="6"/>
  <c r="G1526" i="6"/>
  <c r="G1525" i="6"/>
  <c r="G1524" i="6"/>
  <c r="G1523" i="6"/>
  <c r="G1522" i="6"/>
  <c r="G1521" i="6"/>
  <c r="G1520" i="6"/>
  <c r="G1519" i="6"/>
  <c r="G1518" i="6"/>
  <c r="G1517" i="6"/>
  <c r="G1516" i="6"/>
  <c r="G1515" i="6"/>
  <c r="G1514" i="6"/>
  <c r="G1513" i="6"/>
  <c r="G1512" i="6"/>
  <c r="G1511" i="6"/>
  <c r="G1510" i="6"/>
  <c r="G1509" i="6"/>
  <c r="G1508" i="6"/>
  <c r="G1507" i="6"/>
  <c r="G1506" i="6"/>
  <c r="G1505" i="6"/>
  <c r="G1504" i="6"/>
  <c r="G1503" i="6"/>
  <c r="G1502" i="6"/>
  <c r="G1501" i="6"/>
  <c r="G1500" i="6"/>
  <c r="G1499" i="6"/>
  <c r="G1498" i="6"/>
  <c r="G1497" i="6"/>
  <c r="G1496" i="6"/>
  <c r="G1495" i="6"/>
  <c r="G1494" i="6"/>
  <c r="G1493" i="6"/>
  <c r="G1492" i="6"/>
  <c r="G1491" i="6"/>
  <c r="G1490" i="6"/>
  <c r="G1489" i="6"/>
  <c r="G1488" i="6"/>
  <c r="G1487" i="6"/>
  <c r="G1486" i="6"/>
  <c r="G1485" i="6"/>
  <c r="G1484" i="6"/>
  <c r="G1483" i="6"/>
  <c r="G1482" i="6"/>
  <c r="G1481" i="6"/>
  <c r="G1480" i="6"/>
  <c r="G1479" i="6"/>
  <c r="G1478" i="6"/>
  <c r="G1477" i="6"/>
  <c r="G1476" i="6"/>
  <c r="G1475" i="6"/>
  <c r="G1474" i="6"/>
  <c r="G1473" i="6"/>
  <c r="G1472" i="6"/>
  <c r="G1471" i="6"/>
  <c r="G1470" i="6"/>
  <c r="G1469" i="6"/>
  <c r="G1468" i="6"/>
  <c r="G1467" i="6"/>
  <c r="G1466" i="6"/>
  <c r="G1465" i="6"/>
  <c r="G1464" i="6"/>
  <c r="G1463" i="6"/>
  <c r="G1462" i="6"/>
  <c r="G1461" i="6"/>
  <c r="G1460" i="6"/>
  <c r="G1459" i="6"/>
  <c r="G1458" i="6"/>
  <c r="G1457" i="6"/>
  <c r="G1456" i="6"/>
  <c r="G1455" i="6"/>
  <c r="G1454" i="6"/>
  <c r="G1453" i="6"/>
  <c r="G1452" i="6"/>
  <c r="G1451" i="6"/>
  <c r="G1450" i="6"/>
  <c r="G1449" i="6"/>
  <c r="G1448" i="6"/>
  <c r="G1447" i="6"/>
  <c r="G1446" i="6"/>
  <c r="G1445" i="6"/>
  <c r="G1444" i="6"/>
  <c r="G1443" i="6"/>
  <c r="G1442" i="6"/>
  <c r="G1441" i="6"/>
  <c r="G1440" i="6"/>
  <c r="G1439" i="6"/>
  <c r="G1438" i="6"/>
  <c r="G1437" i="6"/>
  <c r="G1436" i="6"/>
  <c r="G1435" i="6"/>
  <c r="G1434" i="6"/>
  <c r="G1433" i="6"/>
  <c r="G1432" i="6"/>
  <c r="G1431" i="6"/>
  <c r="G1430" i="6"/>
  <c r="G1429" i="6"/>
  <c r="G1428" i="6"/>
  <c r="G1427" i="6"/>
  <c r="G1426" i="6"/>
  <c r="G1425" i="6"/>
  <c r="G1424" i="6"/>
  <c r="G1423" i="6"/>
  <c r="G1422" i="6"/>
  <c r="G1421" i="6"/>
  <c r="G1420" i="6"/>
  <c r="G1419" i="6"/>
  <c r="G1418" i="6"/>
  <c r="G1417" i="6"/>
  <c r="G1416" i="6"/>
  <c r="G1415" i="6"/>
  <c r="G1414" i="6"/>
  <c r="G1413" i="6"/>
  <c r="G1412" i="6"/>
  <c r="G1411" i="6"/>
  <c r="G1410" i="6"/>
  <c r="G1409" i="6"/>
  <c r="G1408" i="6"/>
  <c r="G1407" i="6"/>
  <c r="G1406" i="6"/>
  <c r="G1405" i="6"/>
  <c r="G1404" i="6"/>
  <c r="G1403" i="6"/>
  <c r="G1402" i="6"/>
  <c r="G1401" i="6"/>
  <c r="G1400" i="6"/>
  <c r="G1399" i="6"/>
  <c r="G1398" i="6"/>
  <c r="G1397" i="6"/>
  <c r="G1396" i="6"/>
  <c r="G1395" i="6"/>
  <c r="G1394" i="6"/>
  <c r="G1393" i="6"/>
  <c r="G1392" i="6"/>
  <c r="G1391" i="6"/>
  <c r="G1390" i="6"/>
  <c r="G1389" i="6"/>
  <c r="G1388" i="6"/>
  <c r="G1387" i="6"/>
  <c r="G1386" i="6"/>
  <c r="G1385" i="6"/>
  <c r="G1384" i="6"/>
  <c r="G1383" i="6"/>
  <c r="G1382" i="6"/>
  <c r="G1381" i="6"/>
  <c r="G1380" i="6"/>
  <c r="G1379" i="6"/>
  <c r="G1378" i="6"/>
  <c r="G1377" i="6"/>
  <c r="G1376" i="6"/>
  <c r="G1375" i="6"/>
  <c r="G1374" i="6"/>
  <c r="G1373" i="6"/>
  <c r="G1372" i="6"/>
  <c r="G1371" i="6"/>
  <c r="G1370" i="6"/>
  <c r="G1369" i="6"/>
  <c r="G1368" i="6"/>
  <c r="G1367" i="6"/>
  <c r="G1366" i="6"/>
  <c r="G1365" i="6"/>
  <c r="G1364" i="6"/>
  <c r="G1363" i="6"/>
  <c r="G1362" i="6"/>
  <c r="G1361" i="6"/>
  <c r="G1360" i="6"/>
  <c r="G1359" i="6"/>
  <c r="G1358" i="6"/>
  <c r="G1357" i="6"/>
  <c r="G1356" i="6"/>
  <c r="G1355" i="6"/>
  <c r="G1354" i="6"/>
  <c r="G1353" i="6"/>
  <c r="G1352" i="6"/>
  <c r="G1351" i="6"/>
  <c r="G1350" i="6"/>
  <c r="G1349" i="6"/>
  <c r="G1348" i="6"/>
  <c r="G1347" i="6"/>
  <c r="G1346" i="6"/>
  <c r="G1345" i="6"/>
  <c r="G1344" i="6"/>
  <c r="G1343" i="6"/>
  <c r="G1342" i="6"/>
  <c r="G1341" i="6"/>
  <c r="G1340" i="6"/>
  <c r="G1339" i="6"/>
  <c r="G1338" i="6"/>
  <c r="G1337" i="6"/>
  <c r="G1336" i="6"/>
  <c r="G1335" i="6"/>
  <c r="G1334" i="6"/>
  <c r="G1333" i="6"/>
  <c r="G1332" i="6"/>
  <c r="G1331" i="6"/>
  <c r="G1330" i="6"/>
  <c r="G1329" i="6"/>
  <c r="G1328" i="6"/>
  <c r="G1327" i="6"/>
  <c r="G1326" i="6"/>
  <c r="G1325" i="6"/>
  <c r="G1324" i="6"/>
  <c r="G1323" i="6"/>
  <c r="G1322" i="6"/>
  <c r="G1321" i="6"/>
  <c r="G1320" i="6"/>
  <c r="G1319" i="6"/>
  <c r="G1318" i="6"/>
  <c r="G1317" i="6"/>
  <c r="G1316" i="6"/>
  <c r="G1315" i="6"/>
  <c r="G1314" i="6"/>
  <c r="G1313" i="6"/>
  <c r="G1312" i="6"/>
  <c r="G1311" i="6"/>
  <c r="G1310" i="6"/>
  <c r="G1309" i="6"/>
  <c r="G1308" i="6"/>
  <c r="G1307" i="6"/>
  <c r="G1306" i="6"/>
  <c r="G1305" i="6"/>
  <c r="G1304" i="6"/>
  <c r="G1303" i="6"/>
  <c r="G1302" i="6"/>
  <c r="G1301" i="6"/>
  <c r="G1300" i="6"/>
  <c r="G1299" i="6"/>
  <c r="G1298" i="6"/>
  <c r="G1297" i="6"/>
  <c r="G1296" i="6"/>
  <c r="G1295" i="6"/>
  <c r="G1294" i="6"/>
  <c r="G1293" i="6"/>
  <c r="G1292" i="6"/>
  <c r="G1291" i="6"/>
  <c r="G1290" i="6"/>
  <c r="G1289" i="6"/>
  <c r="G1288" i="6"/>
  <c r="G1287" i="6"/>
  <c r="G1286" i="6"/>
  <c r="G1285" i="6"/>
  <c r="G1284" i="6"/>
  <c r="G1283" i="6"/>
  <c r="G1282" i="6"/>
  <c r="G1281" i="6"/>
  <c r="G1280" i="6"/>
  <c r="G1279" i="6"/>
  <c r="G1278" i="6"/>
  <c r="G1277" i="6"/>
  <c r="G1276" i="6"/>
  <c r="G1275" i="6"/>
  <c r="G1274" i="6"/>
  <c r="G1273" i="6"/>
  <c r="G1272" i="6"/>
  <c r="G1271" i="6"/>
  <c r="G1270" i="6"/>
  <c r="G1269" i="6"/>
  <c r="G1268" i="6"/>
  <c r="G1267" i="6"/>
  <c r="G1266" i="6"/>
  <c r="G1265" i="6"/>
  <c r="G1264" i="6"/>
  <c r="G1263" i="6"/>
  <c r="G1262" i="6"/>
  <c r="G1261" i="6"/>
  <c r="G1260" i="6"/>
  <c r="G1259" i="6"/>
  <c r="G1258" i="6"/>
  <c r="G1257" i="6"/>
  <c r="G1256" i="6"/>
  <c r="G1255" i="6"/>
  <c r="G1254" i="6"/>
  <c r="G1253" i="6"/>
  <c r="G1252" i="6"/>
  <c r="G1251" i="6"/>
  <c r="G1250"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C17" i="17" l="1"/>
  <c r="I18" i="17"/>
  <c r="G14" i="6"/>
  <c r="I19" i="17" l="1"/>
  <c r="C18" i="17"/>
  <c r="C19" i="17" l="1"/>
  <c r="I20" i="17"/>
  <c r="F5" i="13"/>
  <c r="I21" i="17" l="1"/>
  <c r="C21" i="17" s="1"/>
  <c r="C20" i="17"/>
  <c r="H104" i="10"/>
  <c r="H103" i="10"/>
  <c r="H102" i="10"/>
  <c r="B111" i="15" s="1"/>
  <c r="H101" i="10"/>
  <c r="H100" i="10"/>
  <c r="H99" i="10"/>
  <c r="B110" i="15" s="1"/>
  <c r="H98" i="10"/>
  <c r="H97" i="10"/>
  <c r="H96" i="10"/>
  <c r="B109" i="15" s="1"/>
  <c r="H95" i="10"/>
  <c r="H94" i="10"/>
  <c r="H93" i="10"/>
  <c r="B108" i="15" s="1"/>
  <c r="H92" i="10"/>
  <c r="H91" i="10"/>
  <c r="H90" i="10"/>
  <c r="B107" i="15" s="1"/>
  <c r="H89" i="10"/>
  <c r="H88" i="10"/>
  <c r="H87" i="10"/>
  <c r="B106" i="15" s="1"/>
  <c r="H86" i="10"/>
  <c r="H85" i="10"/>
  <c r="H84" i="10"/>
  <c r="B105" i="15" s="1"/>
  <c r="H83" i="10"/>
  <c r="H82" i="10"/>
  <c r="H81" i="10"/>
  <c r="B104" i="15" s="1"/>
  <c r="H80" i="10"/>
  <c r="H79" i="10"/>
  <c r="H78" i="10"/>
  <c r="B103" i="15" s="1"/>
  <c r="H77" i="10"/>
  <c r="H76" i="10"/>
  <c r="H75" i="10"/>
  <c r="B102" i="15" s="1"/>
  <c r="H74" i="10"/>
  <c r="H73" i="10"/>
  <c r="H72" i="10"/>
  <c r="B101" i="15" s="1"/>
  <c r="H71" i="10"/>
  <c r="H70" i="10"/>
  <c r="H69" i="10"/>
  <c r="B100" i="15" s="1"/>
  <c r="H68" i="10"/>
  <c r="H67" i="10"/>
  <c r="H66" i="10"/>
  <c r="B99" i="15" s="1"/>
  <c r="H65" i="10"/>
  <c r="H64" i="10"/>
  <c r="H63" i="10"/>
  <c r="B98" i="15" s="1"/>
  <c r="H62" i="10"/>
  <c r="H61" i="10"/>
  <c r="H60" i="10"/>
  <c r="B97" i="15" s="1"/>
  <c r="H56" i="10"/>
  <c r="H55" i="10"/>
  <c r="H54" i="10"/>
  <c r="B95" i="15" s="1"/>
  <c r="H53" i="10"/>
  <c r="H52" i="10"/>
  <c r="H51" i="10"/>
  <c r="B94" i="15" s="1"/>
  <c r="H50" i="10"/>
  <c r="H49" i="10"/>
  <c r="H48" i="10"/>
  <c r="B93" i="15" s="1"/>
  <c r="H47" i="10"/>
  <c r="H46" i="10"/>
  <c r="H45" i="10"/>
  <c r="B92" i="15" s="1"/>
  <c r="H44" i="10"/>
  <c r="H43" i="10"/>
  <c r="H42" i="10"/>
  <c r="B91" i="15" s="1"/>
  <c r="H41" i="10"/>
  <c r="H40" i="10"/>
  <c r="H39" i="10"/>
  <c r="B90" i="15" s="1"/>
  <c r="H38" i="10"/>
  <c r="H37" i="10"/>
  <c r="H36" i="10"/>
  <c r="B89" i="15" s="1"/>
  <c r="H35" i="10"/>
  <c r="H34" i="10"/>
  <c r="H33" i="10"/>
  <c r="B88" i="15" s="1"/>
  <c r="H32" i="10"/>
  <c r="H31" i="10"/>
  <c r="H30" i="10"/>
  <c r="B87" i="15" s="1"/>
  <c r="H29" i="10"/>
  <c r="H28" i="10"/>
  <c r="H27" i="10"/>
  <c r="B86" i="15" s="1"/>
  <c r="H26" i="10"/>
  <c r="H25" i="10"/>
  <c r="H24" i="10"/>
  <c r="B85" i="15" s="1"/>
  <c r="H23" i="10"/>
  <c r="H22" i="10"/>
  <c r="H21" i="10"/>
  <c r="B84" i="15" s="1"/>
  <c r="H20" i="10"/>
  <c r="H19" i="10"/>
  <c r="H18" i="10"/>
  <c r="B83" i="15" s="1"/>
  <c r="H17" i="10"/>
  <c r="H16" i="10"/>
  <c r="H15" i="10"/>
  <c r="B82" i="15" s="1"/>
  <c r="H14" i="10"/>
  <c r="H13" i="10"/>
  <c r="B81" i="15"/>
  <c r="I117" i="15"/>
  <c r="J117" i="15" s="1"/>
  <c r="I116" i="15"/>
  <c r="J116" i="15" s="1"/>
  <c r="I115" i="15"/>
  <c r="J115" i="15" s="1"/>
  <c r="I114" i="15"/>
  <c r="J114" i="15" s="1"/>
  <c r="I113" i="15"/>
  <c r="J113" i="15" s="1"/>
  <c r="I112" i="15"/>
  <c r="J112" i="15" s="1"/>
  <c r="I111" i="15"/>
  <c r="J111" i="15" s="1"/>
  <c r="I110" i="15"/>
  <c r="J110" i="15" s="1"/>
  <c r="I109" i="15"/>
  <c r="J109" i="15" s="1"/>
  <c r="I108" i="15"/>
  <c r="J108" i="15" s="1"/>
  <c r="I107" i="15"/>
  <c r="J107" i="15" s="1"/>
  <c r="I106" i="15"/>
  <c r="J106" i="15" s="1"/>
  <c r="I105" i="15"/>
  <c r="J105" i="15" s="1"/>
  <c r="I104" i="15"/>
  <c r="J104" i="15" s="1"/>
  <c r="I103" i="15"/>
  <c r="J103" i="15" s="1"/>
  <c r="I102" i="15"/>
  <c r="J102" i="15" s="1"/>
  <c r="I101" i="15"/>
  <c r="J101" i="15" s="1"/>
  <c r="I100" i="15"/>
  <c r="J100" i="15" s="1"/>
  <c r="I99" i="15"/>
  <c r="J99" i="15" s="1"/>
  <c r="I98" i="15"/>
  <c r="J98" i="15" s="1"/>
  <c r="I97" i="15"/>
  <c r="J97" i="15" s="1"/>
  <c r="I96" i="15"/>
  <c r="J96" i="15" s="1"/>
  <c r="I95" i="15"/>
  <c r="J95" i="15" s="1"/>
  <c r="I93" i="15"/>
  <c r="J93" i="15" s="1"/>
  <c r="I92" i="15"/>
  <c r="J92" i="15" s="1"/>
  <c r="I91" i="15"/>
  <c r="J91" i="15" s="1"/>
  <c r="I90" i="15"/>
  <c r="J90" i="15" s="1"/>
  <c r="I89" i="15"/>
  <c r="J89" i="15" s="1"/>
  <c r="I88" i="15"/>
  <c r="J88" i="15" s="1"/>
  <c r="I87" i="15"/>
  <c r="J87" i="15" s="1"/>
  <c r="I86" i="15"/>
  <c r="J86" i="15" s="1"/>
  <c r="I85" i="15"/>
  <c r="J85" i="15" s="1"/>
  <c r="I84" i="15"/>
  <c r="J84" i="15" s="1"/>
  <c r="I83" i="15"/>
  <c r="J83" i="15" s="1"/>
  <c r="I82" i="15"/>
  <c r="J82" i="15" s="1"/>
  <c r="I81" i="15"/>
  <c r="J81" i="15" s="1"/>
  <c r="I80" i="15"/>
  <c r="J80" i="15" s="1"/>
  <c r="I79" i="15"/>
  <c r="J79" i="15" s="1"/>
  <c r="I78" i="15"/>
  <c r="J78" i="15" s="1"/>
  <c r="I77" i="15"/>
  <c r="J77" i="15" s="1"/>
  <c r="I76" i="15"/>
  <c r="J76" i="15" s="1"/>
  <c r="I75" i="15"/>
  <c r="J75" i="15" s="1"/>
  <c r="I74" i="15"/>
  <c r="J74" i="15" s="1"/>
  <c r="I73" i="15"/>
  <c r="J73" i="15" s="1"/>
  <c r="I72" i="15"/>
  <c r="J72" i="15" s="1"/>
  <c r="I71" i="15"/>
  <c r="J71" i="15" s="1"/>
  <c r="I70" i="15"/>
  <c r="J70" i="15" s="1"/>
  <c r="I69" i="15"/>
  <c r="J69" i="15" s="1"/>
  <c r="I68" i="15"/>
  <c r="J68" i="15" s="1"/>
  <c r="I67" i="15"/>
  <c r="J67" i="15" s="1"/>
  <c r="I66" i="15"/>
  <c r="J66" i="15" s="1"/>
  <c r="I65" i="15"/>
  <c r="J65" i="15" s="1"/>
  <c r="I64" i="15"/>
  <c r="J64" i="15" s="1"/>
  <c r="I63" i="15"/>
  <c r="J63" i="15" s="1"/>
  <c r="I62" i="15"/>
  <c r="J62" i="15" s="1"/>
  <c r="I61" i="15"/>
  <c r="J61" i="15" s="1"/>
  <c r="I60" i="15"/>
  <c r="J60" i="15" s="1"/>
  <c r="I59" i="15"/>
  <c r="J59" i="15" s="1"/>
  <c r="I58" i="15"/>
  <c r="J58" i="15" s="1"/>
  <c r="I57" i="15"/>
  <c r="J57" i="15" s="1"/>
  <c r="I56" i="15"/>
  <c r="J56" i="15" s="1"/>
  <c r="I55" i="15"/>
  <c r="J55" i="15" s="1"/>
  <c r="I54" i="15"/>
  <c r="J54" i="15" s="1"/>
  <c r="I53" i="15"/>
  <c r="J53" i="15" s="1"/>
  <c r="I52" i="15"/>
  <c r="J52" i="15" s="1"/>
  <c r="I51" i="15"/>
  <c r="J51" i="15" s="1"/>
  <c r="I50" i="15"/>
  <c r="J50" i="15" s="1"/>
  <c r="I49" i="15"/>
  <c r="J49" i="15" s="1"/>
  <c r="I48" i="15"/>
  <c r="J48" i="15" s="1"/>
  <c r="I47" i="15"/>
  <c r="J47" i="15" s="1"/>
  <c r="I46" i="15"/>
  <c r="J46" i="15" s="1"/>
  <c r="I45" i="15"/>
  <c r="J45" i="15" s="1"/>
  <c r="I44" i="15"/>
  <c r="J44" i="15" s="1"/>
  <c r="I43" i="15"/>
  <c r="J43" i="15" s="1"/>
  <c r="I42" i="15"/>
  <c r="J42" i="15" s="1"/>
  <c r="I41" i="15"/>
  <c r="J41" i="15" s="1"/>
  <c r="I40" i="15"/>
  <c r="J40" i="15" s="1"/>
  <c r="I39" i="15"/>
  <c r="J39" i="15" s="1"/>
  <c r="I38" i="15"/>
  <c r="J38" i="15" s="1"/>
  <c r="I37" i="15"/>
  <c r="J37" i="15" s="1"/>
  <c r="I36" i="15"/>
  <c r="J36" i="15" s="1"/>
  <c r="I35" i="15"/>
  <c r="J35" i="15" s="1"/>
  <c r="I34" i="15"/>
  <c r="J34" i="15" s="1"/>
  <c r="I33" i="15"/>
  <c r="J33" i="15" s="1"/>
  <c r="I32" i="15"/>
  <c r="J32" i="15" s="1"/>
  <c r="I31" i="15"/>
  <c r="J31" i="15" s="1"/>
  <c r="I30" i="15"/>
  <c r="J30" i="15" s="1"/>
  <c r="I29" i="15"/>
  <c r="J29" i="15" s="1"/>
  <c r="I28" i="15"/>
  <c r="J28" i="15" s="1"/>
  <c r="I27" i="15"/>
  <c r="J27" i="15" s="1"/>
  <c r="I26" i="15"/>
  <c r="J26" i="15" s="1"/>
  <c r="I25" i="15"/>
  <c r="J25" i="15" s="1"/>
  <c r="I24" i="15"/>
  <c r="J24" i="15" s="1"/>
  <c r="I23" i="15"/>
  <c r="J23" i="15" s="1"/>
  <c r="I22" i="15"/>
  <c r="J22" i="15" s="1"/>
  <c r="I21" i="15"/>
  <c r="J21" i="15" s="1"/>
  <c r="I20" i="15"/>
  <c r="J20" i="15" s="1"/>
  <c r="I19" i="15"/>
  <c r="J19" i="15" s="1"/>
  <c r="I18" i="15"/>
  <c r="J18" i="15" s="1"/>
  <c r="I17" i="15"/>
  <c r="J17" i="15" s="1"/>
  <c r="I16" i="15"/>
  <c r="J16" i="15" s="1"/>
  <c r="I15" i="15"/>
  <c r="J15" i="15" s="1"/>
  <c r="I14" i="15"/>
  <c r="J14" i="15" s="1"/>
  <c r="I13" i="15"/>
  <c r="J13" i="15" s="1"/>
  <c r="I12" i="15"/>
  <c r="J12" i="15" s="1"/>
  <c r="I11" i="15"/>
  <c r="J11" i="15" s="1"/>
  <c r="I10" i="15"/>
  <c r="J10" i="15" s="1"/>
  <c r="I9" i="15"/>
  <c r="J9" i="15" s="1"/>
  <c r="I8" i="15"/>
  <c r="J8" i="15" s="1"/>
  <c r="I7" i="15"/>
  <c r="J7" i="15" s="1"/>
  <c r="I6" i="15"/>
  <c r="J6" i="15" s="1"/>
  <c r="I5" i="15"/>
  <c r="J5" i="15" s="1"/>
  <c r="I4" i="15"/>
  <c r="J4" i="15" s="1"/>
  <c r="U70" i="14"/>
  <c r="U68" i="14"/>
  <c r="U67" i="14"/>
  <c r="U66" i="14"/>
  <c r="U65" i="14"/>
  <c r="U64" i="14"/>
  <c r="U63" i="14"/>
  <c r="U62" i="14"/>
  <c r="U61" i="14"/>
  <c r="U60" i="14"/>
  <c r="U59" i="14"/>
  <c r="U58" i="14"/>
  <c r="U57" i="14"/>
  <c r="U56" i="14"/>
  <c r="I22" i="17" l="1"/>
  <c r="I23" i="17" s="1"/>
  <c r="C22" i="17"/>
  <c r="I24" i="17" l="1"/>
  <c r="C23" i="17"/>
  <c r="I25" i="17" l="1"/>
  <c r="C24" i="17"/>
  <c r="Q3413" i="6"/>
  <c r="Q3404" i="6"/>
  <c r="Q3395" i="6"/>
  <c r="Q3385" i="6"/>
  <c r="Q3376" i="6"/>
  <c r="Q3367" i="6"/>
  <c r="Q3358" i="6"/>
  <c r="Q3347" i="6"/>
  <c r="Q3336" i="6"/>
  <c r="Q3262" i="6"/>
  <c r="Q3253" i="6"/>
  <c r="Q3244" i="6"/>
  <c r="Q3234" i="6"/>
  <c r="Q3225" i="6"/>
  <c r="Q3216" i="6"/>
  <c r="Q3207" i="6"/>
  <c r="Q3196" i="6"/>
  <c r="Q3185" i="6"/>
  <c r="Q3111" i="6"/>
  <c r="Q3102" i="6"/>
  <c r="Q3093" i="6"/>
  <c r="Q3083" i="6"/>
  <c r="Q3074" i="6"/>
  <c r="Q3065" i="6"/>
  <c r="Q3056" i="6"/>
  <c r="Q3045" i="6"/>
  <c r="Q3034" i="6"/>
  <c r="Q2960" i="6"/>
  <c r="Q2951" i="6"/>
  <c r="Q2942" i="6"/>
  <c r="Q2932" i="6"/>
  <c r="Q2923" i="6"/>
  <c r="Q2914" i="6"/>
  <c r="Q2905" i="6"/>
  <c r="Q2894" i="6"/>
  <c r="Q2883" i="6"/>
  <c r="Q2732" i="6"/>
  <c r="Q2743" i="6"/>
  <c r="Q2754" i="6"/>
  <c r="Q2497" i="6"/>
  <c r="Q2486" i="6"/>
  <c r="Q2478" i="6"/>
  <c r="Q2373" i="6"/>
  <c r="Q2362" i="6"/>
  <c r="Q2354" i="6"/>
  <c r="Q2249" i="6"/>
  <c r="Q2238" i="6"/>
  <c r="Q2230" i="6"/>
  <c r="Q2125" i="6"/>
  <c r="Q2114" i="6"/>
  <c r="Q2106" i="6"/>
  <c r="Q2001" i="6"/>
  <c r="Q1990" i="6"/>
  <c r="Q1982" i="6"/>
  <c r="Q528" i="6"/>
  <c r="Q517" i="6"/>
  <c r="Q509" i="6"/>
  <c r="Q413" i="6"/>
  <c r="Q402" i="6"/>
  <c r="Q394" i="6"/>
  <c r="Q298" i="6"/>
  <c r="Q287" i="6"/>
  <c r="Q279" i="6"/>
  <c r="Q183" i="6"/>
  <c r="Q172" i="6"/>
  <c r="Q164" i="6"/>
  <c r="Q3434" i="6"/>
  <c r="Q3428" i="6"/>
  <c r="Q3283" i="6"/>
  <c r="Q3277" i="6"/>
  <c r="Q3132" i="6"/>
  <c r="Q3126" i="6"/>
  <c r="Q2981" i="6"/>
  <c r="Q2975" i="6"/>
  <c r="Q2830" i="6"/>
  <c r="Q2824" i="6"/>
  <c r="Q2679" i="6"/>
  <c r="Q2673" i="6"/>
  <c r="Q2557" i="6"/>
  <c r="Q2551" i="6"/>
  <c r="Q2433" i="6"/>
  <c r="Q2427" i="6"/>
  <c r="Q2309" i="6"/>
  <c r="Q2303" i="6"/>
  <c r="Q2185" i="6"/>
  <c r="Q2179" i="6"/>
  <c r="Q2061" i="6"/>
  <c r="Q2055" i="6"/>
  <c r="Q1937" i="6"/>
  <c r="Q1931" i="6"/>
  <c r="Q1852" i="6"/>
  <c r="Q1846" i="6"/>
  <c r="Q1805" i="6"/>
  <c r="Q1799" i="6"/>
  <c r="Q1758" i="6"/>
  <c r="Q1752" i="6"/>
  <c r="Q1711" i="6"/>
  <c r="Q1705" i="6"/>
  <c r="Q1664" i="6"/>
  <c r="Q1658" i="6"/>
  <c r="Q1617" i="6"/>
  <c r="Q1611" i="6"/>
  <c r="Q1523" i="6"/>
  <c r="Q1517" i="6"/>
  <c r="Q1429" i="6"/>
  <c r="Q1423" i="6"/>
  <c r="Q1335" i="6"/>
  <c r="Q1329" i="6"/>
  <c r="Q3320" i="6"/>
  <c r="Q3312" i="6"/>
  <c r="Q3303" i="6"/>
  <c r="Q3169" i="6"/>
  <c r="Q3161" i="6"/>
  <c r="Q3152" i="6"/>
  <c r="Q3018" i="6"/>
  <c r="Q3010" i="6"/>
  <c r="Q3001" i="6"/>
  <c r="Q2867" i="6"/>
  <c r="Q2859" i="6"/>
  <c r="Q2850" i="6"/>
  <c r="Q2716" i="6"/>
  <c r="Q2708" i="6"/>
  <c r="Q2699" i="6"/>
  <c r="Q2623" i="6"/>
  <c r="Q2615" i="6"/>
  <c r="Q2606" i="6"/>
  <c r="Q2470" i="6"/>
  <c r="Q2462" i="6"/>
  <c r="Q2453" i="6"/>
  <c r="Q2346" i="6"/>
  <c r="Q2338" i="6"/>
  <c r="Q2329" i="6"/>
  <c r="Q2222" i="6"/>
  <c r="Q2214" i="6"/>
  <c r="Q2205" i="6"/>
  <c r="Q2098" i="6"/>
  <c r="Q2090" i="6"/>
  <c r="Q2081" i="6"/>
  <c r="Q1974" i="6"/>
  <c r="Q1966" i="6"/>
  <c r="Q1957" i="6"/>
  <c r="Q1889" i="6"/>
  <c r="Q1881" i="6"/>
  <c r="Q1872" i="6"/>
  <c r="Q1560" i="6"/>
  <c r="Q1552" i="6"/>
  <c r="Q1543" i="6"/>
  <c r="Q1466" i="6"/>
  <c r="Q1458" i="6"/>
  <c r="Q1449" i="6"/>
  <c r="Q1372" i="6"/>
  <c r="Q1364" i="6"/>
  <c r="Q1355" i="6"/>
  <c r="Q1341" i="6"/>
  <c r="Q1278" i="6"/>
  <c r="Q1270" i="6"/>
  <c r="Q1261" i="6"/>
  <c r="Q965" i="6"/>
  <c r="Q959" i="6"/>
  <c r="Q953" i="6"/>
  <c r="Q920" i="6"/>
  <c r="Q912" i="6"/>
  <c r="Q903" i="6"/>
  <c r="Q889" i="6"/>
  <c r="Q883" i="6"/>
  <c r="Q877" i="6"/>
  <c r="Q844" i="6"/>
  <c r="Q836" i="6"/>
  <c r="Q827" i="6"/>
  <c r="Q813" i="6"/>
  <c r="Q807" i="6"/>
  <c r="Q801" i="6"/>
  <c r="Q768" i="6"/>
  <c r="Q760" i="6"/>
  <c r="Q751" i="6"/>
  <c r="Q737" i="6"/>
  <c r="Q731" i="6"/>
  <c r="Q725" i="6"/>
  <c r="Q692" i="6"/>
  <c r="Q684" i="6"/>
  <c r="Q675" i="6"/>
  <c r="Q649" i="6"/>
  <c r="Q655" i="6"/>
  <c r="Q661" i="6"/>
  <c r="Q608" i="6"/>
  <c r="Q599" i="6"/>
  <c r="Q585" i="6"/>
  <c r="Q579" i="6"/>
  <c r="Q573" i="6"/>
  <c r="Q493" i="6"/>
  <c r="Q484" i="6"/>
  <c r="Q470" i="6"/>
  <c r="Q464" i="6"/>
  <c r="Q458" i="6"/>
  <c r="Q378" i="6"/>
  <c r="Q369" i="6"/>
  <c r="Q355" i="6"/>
  <c r="Q349" i="6"/>
  <c r="Q343" i="6"/>
  <c r="Q263" i="6"/>
  <c r="Q254" i="6"/>
  <c r="Q240" i="6"/>
  <c r="Q234" i="6"/>
  <c r="Q228" i="6"/>
  <c r="Q148" i="6"/>
  <c r="Q139" i="6"/>
  <c r="Q3440" i="6"/>
  <c r="Q3422" i="6"/>
  <c r="Q3328" i="6"/>
  <c r="Q3289" i="6"/>
  <c r="Q3271" i="6"/>
  <c r="Q3177" i="6"/>
  <c r="Q3138" i="6"/>
  <c r="Q3120" i="6"/>
  <c r="Q3026" i="6"/>
  <c r="Q2987" i="6"/>
  <c r="Q2969" i="6"/>
  <c r="Q2875" i="6"/>
  <c r="Q2836" i="6"/>
  <c r="Q2818" i="6"/>
  <c r="Q2809" i="6"/>
  <c r="Q2800" i="6"/>
  <c r="Q2791" i="6"/>
  <c r="Q2781" i="6"/>
  <c r="Q2772" i="6"/>
  <c r="Q2763" i="6"/>
  <c r="Q2724" i="6"/>
  <c r="Q2685" i="6"/>
  <c r="Q2667" i="6"/>
  <c r="Q2661" i="6"/>
  <c r="Q2652" i="6"/>
  <c r="Q2646" i="6"/>
  <c r="Q2640" i="6"/>
  <c r="Q2631" i="6"/>
  <c r="Q2592" i="6"/>
  <c r="Q2586" i="6"/>
  <c r="Q2580" i="6"/>
  <c r="Q2573" i="6"/>
  <c r="Q2563" i="6"/>
  <c r="Q2545" i="6"/>
  <c r="Q2535" i="6"/>
  <c r="Q2526" i="6"/>
  <c r="Q2517" i="6"/>
  <c r="Q2508" i="6"/>
  <c r="Q2439" i="6"/>
  <c r="Q2421" i="6"/>
  <c r="Q2411" i="6"/>
  <c r="Q2402" i="6"/>
  <c r="Q2393" i="6"/>
  <c r="Q2384" i="6"/>
  <c r="Q2315" i="6"/>
  <c r="Q2297" i="6"/>
  <c r="Q2287" i="6"/>
  <c r="Q2278" i="6"/>
  <c r="Q2269" i="6"/>
  <c r="Q2260" i="6"/>
  <c r="Q2191" i="6"/>
  <c r="Q2173" i="6"/>
  <c r="Q2163" i="6"/>
  <c r="Q2154" i="6"/>
  <c r="Q2145" i="6"/>
  <c r="Q2136" i="6"/>
  <c r="Q2067" i="6"/>
  <c r="Q2049" i="6"/>
  <c r="Q2039" i="6"/>
  <c r="Q2030" i="6"/>
  <c r="Q2021" i="6"/>
  <c r="Q2012" i="6"/>
  <c r="Q1943" i="6"/>
  <c r="Q1925" i="6"/>
  <c r="Q1916" i="6"/>
  <c r="Q1907" i="6"/>
  <c r="Q1897" i="6"/>
  <c r="Q1858" i="6"/>
  <c r="Q1840" i="6"/>
  <c r="Q1831" i="6"/>
  <c r="Q1822" i="6"/>
  <c r="Q1811" i="6"/>
  <c r="Q1793" i="6"/>
  <c r="Q1784" i="6"/>
  <c r="Q1775" i="6"/>
  <c r="Q1764" i="6"/>
  <c r="Q1746" i="6"/>
  <c r="Q1737" i="6"/>
  <c r="Q1728" i="6"/>
  <c r="Q1717" i="6"/>
  <c r="Q1699" i="6"/>
  <c r="Q1690" i="6"/>
  <c r="Q1681" i="6"/>
  <c r="Q1670" i="6"/>
  <c r="Q1652" i="6"/>
  <c r="Q1643" i="6"/>
  <c r="Q1634" i="6"/>
  <c r="Q1623" i="6"/>
  <c r="Q1605" i="6"/>
  <c r="Q1596" i="6"/>
  <c r="Q1587" i="6"/>
  <c r="Q1578" i="6"/>
  <c r="Q1568" i="6"/>
  <c r="Q1529" i="6"/>
  <c r="Q1511" i="6"/>
  <c r="Q1502" i="6"/>
  <c r="Q1493" i="6"/>
  <c r="Q1484" i="6"/>
  <c r="Q1474" i="6"/>
  <c r="Q1435" i="6"/>
  <c r="Q1417" i="6"/>
  <c r="Q1408" i="6"/>
  <c r="Q1399" i="6"/>
  <c r="Q1390" i="6"/>
  <c r="Q1380" i="6"/>
  <c r="Q1323" i="6"/>
  <c r="Q1314" i="6"/>
  <c r="Q1305" i="6"/>
  <c r="Q1296" i="6"/>
  <c r="Q1286" i="6"/>
  <c r="Q947" i="6"/>
  <c r="Q938" i="6"/>
  <c r="Q928" i="6"/>
  <c r="Q871" i="6"/>
  <c r="Q862" i="6"/>
  <c r="Q852" i="6"/>
  <c r="Q795" i="6"/>
  <c r="Q786" i="6"/>
  <c r="Q776" i="6"/>
  <c r="Q719" i="6"/>
  <c r="Q710" i="6"/>
  <c r="Q700" i="6"/>
  <c r="Q643" i="6"/>
  <c r="Q634" i="6"/>
  <c r="Q624" i="6"/>
  <c r="Q616" i="6"/>
  <c r="Q567" i="6"/>
  <c r="Q558" i="6"/>
  <c r="Q549" i="6"/>
  <c r="Q539" i="6"/>
  <c r="Q501" i="6"/>
  <c r="Q452" i="6"/>
  <c r="Q443" i="6"/>
  <c r="Q434" i="6"/>
  <c r="Q424" i="6"/>
  <c r="Q386" i="6"/>
  <c r="Q337" i="6"/>
  <c r="Q328" i="6"/>
  <c r="Q319" i="6"/>
  <c r="Q309" i="6"/>
  <c r="Q271" i="6"/>
  <c r="Q222" i="6"/>
  <c r="Q213" i="6"/>
  <c r="Q204" i="6"/>
  <c r="Q194" i="6"/>
  <c r="Q156" i="6"/>
  <c r="Q125" i="6"/>
  <c r="Q119" i="6"/>
  <c r="Q113" i="6"/>
  <c r="Q107" i="6"/>
  <c r="Q98" i="6"/>
  <c r="Q89" i="6"/>
  <c r="Q79" i="6"/>
  <c r="Q68" i="6"/>
  <c r="Q57" i="6"/>
  <c r="Q49" i="6"/>
  <c r="Q41" i="6"/>
  <c r="Q33" i="6"/>
  <c r="Q24" i="6"/>
  <c r="I26" i="17" l="1"/>
  <c r="C25" i="17"/>
  <c r="I27" i="17" l="1"/>
  <c r="C26" i="17"/>
  <c r="J34" i="9"/>
  <c r="J33" i="9"/>
  <c r="I28" i="17" l="1"/>
  <c r="C27" i="17"/>
  <c r="P29" i="5"/>
  <c r="P197" i="5"/>
  <c r="P761" i="5"/>
  <c r="P854" i="5"/>
  <c r="P944" i="5"/>
  <c r="P71" i="5"/>
  <c r="P155" i="5"/>
  <c r="P113" i="5"/>
  <c r="P809" i="5"/>
  <c r="P899" i="5"/>
  <c r="P158" i="5"/>
  <c r="P32" i="5"/>
  <c r="P200" i="5"/>
  <c r="P764" i="5"/>
  <c r="P857" i="5"/>
  <c r="P947" i="5"/>
  <c r="P116" i="5"/>
  <c r="P812" i="5"/>
  <c r="P902" i="5"/>
  <c r="P74" i="5"/>
  <c r="I29" i="17" l="1"/>
  <c r="C28" i="17"/>
  <c r="I30" i="17" l="1"/>
  <c r="C29" i="17"/>
  <c r="I31" i="17" l="1"/>
  <c r="C30" i="17"/>
  <c r="J49" i="9"/>
  <c r="J53" i="9"/>
  <c r="J55" i="9"/>
  <c r="I32" i="17" l="1"/>
  <c r="C31" i="17"/>
  <c r="P545" i="5"/>
  <c r="P401" i="5"/>
  <c r="P653" i="5"/>
  <c r="P671" i="5"/>
  <c r="P707" i="5"/>
  <c r="P635" i="5"/>
  <c r="P689" i="5"/>
  <c r="P1070" i="5"/>
  <c r="P1124" i="5"/>
  <c r="P1178" i="5"/>
  <c r="P1232" i="5"/>
  <c r="P1286" i="5"/>
  <c r="P1004" i="5"/>
  <c r="J3437" i="6"/>
  <c r="I33" i="17" l="1"/>
  <c r="I34" i="17" s="1"/>
  <c r="C32" i="17"/>
  <c r="C33" i="17" l="1"/>
  <c r="I35" i="17"/>
  <c r="C34" i="17"/>
  <c r="J24" i="9"/>
  <c r="J22" i="9"/>
  <c r="J19" i="9"/>
  <c r="J17" i="9"/>
  <c r="J15" i="9"/>
  <c r="J12" i="9"/>
  <c r="I36" i="17" l="1"/>
  <c r="C35" i="17"/>
  <c r="P998" i="5"/>
  <c r="P725" i="5"/>
  <c r="P1034" i="5"/>
  <c r="P233" i="5"/>
  <c r="P263" i="5"/>
  <c r="P383" i="5"/>
  <c r="P1088" i="5"/>
  <c r="P1142" i="5"/>
  <c r="P1196" i="5"/>
  <c r="P1250" i="5"/>
  <c r="P293" i="5"/>
  <c r="P323" i="5"/>
  <c r="P353" i="5"/>
  <c r="P107" i="5"/>
  <c r="P149" i="5"/>
  <c r="P527" i="5"/>
  <c r="P599" i="5"/>
  <c r="P65" i="5"/>
  <c r="P23" i="5"/>
  <c r="P191" i="5"/>
  <c r="P563" i="5"/>
  <c r="P146" i="5"/>
  <c r="P524" i="5"/>
  <c r="P596" i="5"/>
  <c r="P20" i="5"/>
  <c r="P188" i="5"/>
  <c r="P104" i="5"/>
  <c r="P62" i="5"/>
  <c r="P560" i="5"/>
  <c r="P1082" i="5"/>
  <c r="P1136" i="5"/>
  <c r="P1190" i="5"/>
  <c r="P1244" i="5"/>
  <c r="P227" i="5"/>
  <c r="P257" i="5"/>
  <c r="P287" i="5"/>
  <c r="P317" i="5"/>
  <c r="P347" i="5"/>
  <c r="P377" i="5"/>
  <c r="P719" i="5"/>
  <c r="P1028" i="5"/>
  <c r="P992" i="5"/>
  <c r="P17" i="5"/>
  <c r="P185" i="5"/>
  <c r="P59" i="5"/>
  <c r="P557" i="5"/>
  <c r="P521" i="5"/>
  <c r="P101" i="5"/>
  <c r="P143" i="5"/>
  <c r="P593" i="5"/>
  <c r="P722" i="5"/>
  <c r="P1031" i="5"/>
  <c r="P1085" i="5"/>
  <c r="P1193" i="5"/>
  <c r="P1247" i="5"/>
  <c r="P995" i="5"/>
  <c r="P1139" i="5"/>
  <c r="P230" i="5"/>
  <c r="P260" i="5"/>
  <c r="P290" i="5"/>
  <c r="P320" i="5"/>
  <c r="P350" i="5"/>
  <c r="P380" i="5"/>
  <c r="E237" i="4"/>
  <c r="I37" i="17" l="1"/>
  <c r="C36" i="17"/>
  <c r="J2657" i="6"/>
  <c r="I38" i="17" l="1"/>
  <c r="C37" i="17"/>
  <c r="C38" i="17" l="1"/>
  <c r="C39" i="17"/>
  <c r="M3439" i="6"/>
  <c r="M3438" i="6"/>
  <c r="M3437" i="6"/>
  <c r="M3433" i="6"/>
  <c r="M3432" i="6"/>
  <c r="M3431" i="6"/>
  <c r="M3427" i="6"/>
  <c r="M3426" i="6"/>
  <c r="M3425" i="6"/>
  <c r="M3418" i="6"/>
  <c r="M3417" i="6"/>
  <c r="M3416" i="6"/>
  <c r="M3409" i="6"/>
  <c r="M3408" i="6"/>
  <c r="M3407" i="6"/>
  <c r="M3400" i="6"/>
  <c r="M3399" i="6"/>
  <c r="M3398" i="6"/>
  <c r="M3391" i="6"/>
  <c r="M3390" i="6"/>
  <c r="M3389" i="6"/>
  <c r="M3381" i="6"/>
  <c r="M3380" i="6"/>
  <c r="M3379" i="6"/>
  <c r="M3372" i="6"/>
  <c r="M3371" i="6"/>
  <c r="M3370" i="6"/>
  <c r="M3363" i="6"/>
  <c r="M3362" i="6"/>
  <c r="M3361" i="6"/>
  <c r="M3353" i="6"/>
  <c r="M3352" i="6"/>
  <c r="M3351" i="6"/>
  <c r="T3346" i="6"/>
  <c r="M3342" i="6"/>
  <c r="M3341" i="6"/>
  <c r="M3340" i="6"/>
  <c r="M3333" i="6"/>
  <c r="M3332" i="6"/>
  <c r="M3331" i="6"/>
  <c r="M3325" i="6"/>
  <c r="M3324" i="6"/>
  <c r="M3323" i="6"/>
  <c r="M3317" i="6"/>
  <c r="M3316" i="6"/>
  <c r="M3315" i="6"/>
  <c r="M3308" i="6"/>
  <c r="M3307" i="6"/>
  <c r="M3306" i="6"/>
  <c r="M3295" i="6"/>
  <c r="M3294" i="6"/>
  <c r="M3293" i="6"/>
  <c r="M3288" i="6"/>
  <c r="M3287" i="6"/>
  <c r="M3286" i="6"/>
  <c r="M3282" i="6"/>
  <c r="M3281" i="6"/>
  <c r="M3280" i="6"/>
  <c r="M3276" i="6"/>
  <c r="M3275" i="6"/>
  <c r="M3274" i="6"/>
  <c r="M3267" i="6"/>
  <c r="M3266" i="6"/>
  <c r="M3265" i="6"/>
  <c r="M3258" i="6"/>
  <c r="M3257" i="6"/>
  <c r="M3256" i="6"/>
  <c r="M3249" i="6"/>
  <c r="M3248" i="6"/>
  <c r="M3247" i="6"/>
  <c r="M3240" i="6"/>
  <c r="M3239" i="6"/>
  <c r="M3238" i="6"/>
  <c r="M3230" i="6"/>
  <c r="M3229" i="6"/>
  <c r="M3228" i="6"/>
  <c r="M3221" i="6"/>
  <c r="M3220" i="6"/>
  <c r="M3219" i="6"/>
  <c r="M3212" i="6"/>
  <c r="M3211" i="6"/>
  <c r="M3210" i="6"/>
  <c r="M3202" i="6"/>
  <c r="M3201" i="6"/>
  <c r="M3200" i="6"/>
  <c r="T3195" i="6"/>
  <c r="M3191" i="6"/>
  <c r="M3190" i="6"/>
  <c r="M3189" i="6"/>
  <c r="M3182" i="6"/>
  <c r="M3181" i="6"/>
  <c r="M3180" i="6"/>
  <c r="M3174" i="6"/>
  <c r="M3173" i="6"/>
  <c r="M3172" i="6"/>
  <c r="M3166" i="6"/>
  <c r="M3165" i="6"/>
  <c r="M3164" i="6"/>
  <c r="M3157" i="6"/>
  <c r="M3156" i="6"/>
  <c r="M3155" i="6"/>
  <c r="M3144" i="6"/>
  <c r="M3143" i="6"/>
  <c r="M3142" i="6"/>
  <c r="M3137" i="6"/>
  <c r="M3136" i="6"/>
  <c r="M3135" i="6"/>
  <c r="M3131" i="6"/>
  <c r="M3130" i="6"/>
  <c r="M3129" i="6"/>
  <c r="M3125" i="6"/>
  <c r="M3124" i="6"/>
  <c r="M3123" i="6"/>
  <c r="M3116" i="6"/>
  <c r="M3115" i="6"/>
  <c r="M3114" i="6"/>
  <c r="M3107" i="6"/>
  <c r="M3106" i="6"/>
  <c r="M3105" i="6"/>
  <c r="M3098" i="6"/>
  <c r="M3097" i="6"/>
  <c r="M3096" i="6"/>
  <c r="M3089" i="6"/>
  <c r="M3088" i="6"/>
  <c r="M3087" i="6"/>
  <c r="M3079" i="6"/>
  <c r="M3078" i="6"/>
  <c r="M3077" i="6"/>
  <c r="M3070" i="6"/>
  <c r="M3069" i="6"/>
  <c r="M3068" i="6"/>
  <c r="M3061" i="6"/>
  <c r="M3060" i="6"/>
  <c r="M3059" i="6"/>
  <c r="M3051" i="6"/>
  <c r="M3050" i="6"/>
  <c r="M3049" i="6"/>
  <c r="T3044" i="6"/>
  <c r="M3040" i="6"/>
  <c r="M3039" i="6"/>
  <c r="M3038" i="6"/>
  <c r="M3031" i="6"/>
  <c r="M3030" i="6"/>
  <c r="M3029" i="6"/>
  <c r="M3023" i="6"/>
  <c r="M3022" i="6"/>
  <c r="M3021" i="6"/>
  <c r="M3015" i="6"/>
  <c r="M3014" i="6"/>
  <c r="M3013" i="6"/>
  <c r="M3006" i="6"/>
  <c r="M3005" i="6"/>
  <c r="M3004" i="6"/>
  <c r="M2993" i="6"/>
  <c r="M2992" i="6"/>
  <c r="M2991" i="6"/>
  <c r="M2986" i="6"/>
  <c r="M2985" i="6"/>
  <c r="M2984" i="6"/>
  <c r="M2980" i="6"/>
  <c r="M2979" i="6"/>
  <c r="M2978" i="6"/>
  <c r="M2974" i="6"/>
  <c r="M2973" i="6"/>
  <c r="M2972" i="6"/>
  <c r="M2965" i="6"/>
  <c r="M2964" i="6"/>
  <c r="M2963" i="6"/>
  <c r="M2956" i="6"/>
  <c r="M2955" i="6"/>
  <c r="M2954" i="6"/>
  <c r="M2947" i="6"/>
  <c r="M2946" i="6"/>
  <c r="M2945" i="6"/>
  <c r="M2938" i="6"/>
  <c r="M2937" i="6"/>
  <c r="M2936" i="6"/>
  <c r="M2928" i="6"/>
  <c r="M2927" i="6"/>
  <c r="M2926" i="6"/>
  <c r="M2919" i="6"/>
  <c r="M2918" i="6"/>
  <c r="M2917" i="6"/>
  <c r="M2910" i="6"/>
  <c r="M2909" i="6"/>
  <c r="M2908" i="6"/>
  <c r="M2900" i="6"/>
  <c r="M2899" i="6"/>
  <c r="M2898" i="6"/>
  <c r="T2893" i="6"/>
  <c r="M2889" i="6"/>
  <c r="M2888" i="6"/>
  <c r="M2887" i="6"/>
  <c r="M2880" i="6"/>
  <c r="M2879" i="6"/>
  <c r="M2878" i="6"/>
  <c r="M2872" i="6"/>
  <c r="M2871" i="6"/>
  <c r="M2870" i="6"/>
  <c r="M2864" i="6"/>
  <c r="M2863" i="6"/>
  <c r="M2862" i="6"/>
  <c r="M2855" i="6"/>
  <c r="M2854" i="6"/>
  <c r="M2853" i="6"/>
  <c r="M2842" i="6"/>
  <c r="M2841" i="6"/>
  <c r="M2840" i="6"/>
  <c r="M2835" i="6"/>
  <c r="M2834" i="6"/>
  <c r="M2833" i="6"/>
  <c r="M2829" i="6"/>
  <c r="M2828" i="6"/>
  <c r="M2827" i="6"/>
  <c r="M2823" i="6"/>
  <c r="M2822" i="6"/>
  <c r="M2821" i="6"/>
  <c r="M2814" i="6"/>
  <c r="M2813" i="6"/>
  <c r="M2812" i="6"/>
  <c r="M2805" i="6"/>
  <c r="M2804" i="6"/>
  <c r="M2803" i="6"/>
  <c r="M2796" i="6"/>
  <c r="M2795" i="6"/>
  <c r="M2794" i="6"/>
  <c r="M2787" i="6"/>
  <c r="M2786" i="6"/>
  <c r="M2785" i="6"/>
  <c r="M2777" i="6"/>
  <c r="M2776" i="6"/>
  <c r="M2775" i="6"/>
  <c r="M2768" i="6"/>
  <c r="M2767" i="6"/>
  <c r="M2766" i="6"/>
  <c r="M2759" i="6"/>
  <c r="M2758" i="6"/>
  <c r="M2757" i="6"/>
  <c r="M2729" i="6"/>
  <c r="M2728" i="6"/>
  <c r="M2727" i="6"/>
  <c r="M2749" i="6"/>
  <c r="M2748" i="6"/>
  <c r="M2747" i="6"/>
  <c r="T2742" i="6"/>
  <c r="M2738" i="6"/>
  <c r="M2737" i="6"/>
  <c r="M2736" i="6"/>
  <c r="M2721" i="6"/>
  <c r="M2720" i="6"/>
  <c r="M2719" i="6"/>
  <c r="M2713" i="6"/>
  <c r="M2712" i="6"/>
  <c r="M2711" i="6"/>
  <c r="M2704" i="6"/>
  <c r="M2703" i="6"/>
  <c r="M2702" i="6"/>
  <c r="M2691" i="6"/>
  <c r="M2690" i="6"/>
  <c r="M2689" i="6"/>
  <c r="M2684" i="6"/>
  <c r="M2683" i="6"/>
  <c r="M2682" i="6"/>
  <c r="M2678" i="6"/>
  <c r="M2677" i="6"/>
  <c r="M2676" i="6"/>
  <c r="M2672" i="6"/>
  <c r="M2671" i="6"/>
  <c r="M2670" i="6"/>
  <c r="M2666" i="6"/>
  <c r="M2665" i="6"/>
  <c r="M2664" i="6"/>
  <c r="M2657" i="6"/>
  <c r="M2656" i="6"/>
  <c r="M2655" i="6"/>
  <c r="M2651" i="6"/>
  <c r="M2650" i="6"/>
  <c r="M2649" i="6"/>
  <c r="M2645" i="6"/>
  <c r="M2644" i="6"/>
  <c r="M2643" i="6"/>
  <c r="M2636" i="6"/>
  <c r="M2635" i="6"/>
  <c r="M2634" i="6"/>
  <c r="M2628" i="6"/>
  <c r="M2627" i="6"/>
  <c r="M2626" i="6"/>
  <c r="M2620" i="6"/>
  <c r="M2619" i="6"/>
  <c r="M2618" i="6"/>
  <c r="M2611" i="6"/>
  <c r="M2610" i="6"/>
  <c r="M2609" i="6"/>
  <c r="M2598" i="6"/>
  <c r="M2597" i="6"/>
  <c r="M2596" i="6"/>
  <c r="M2591" i="6"/>
  <c r="M2590" i="6"/>
  <c r="M2589" i="6"/>
  <c r="M2585" i="6"/>
  <c r="M2584" i="6"/>
  <c r="M2583" i="6"/>
  <c r="M2579" i="6"/>
  <c r="M2578" i="6"/>
  <c r="M2577" i="6"/>
  <c r="M2569" i="6"/>
  <c r="M2568" i="6"/>
  <c r="M2567" i="6"/>
  <c r="C15" i="14" l="1"/>
  <c r="I156" i="14" s="1"/>
  <c r="E11" i="14"/>
  <c r="C11" i="14"/>
  <c r="C12" i="14"/>
  <c r="E10" i="14"/>
  <c r="C10" i="14"/>
  <c r="E12" i="14"/>
  <c r="C13" i="14"/>
  <c r="I123" i="14" s="1"/>
  <c r="I159" i="14"/>
  <c r="P159" i="14" s="1"/>
  <c r="C153" i="14"/>
  <c r="I154" i="14"/>
  <c r="Q154" i="14" s="1"/>
  <c r="E13" i="14"/>
  <c r="F13" i="14" s="1"/>
  <c r="E15" i="14"/>
  <c r="I160" i="14"/>
  <c r="P160" i="14" s="1"/>
  <c r="D15" i="14"/>
  <c r="D154" i="14" s="1"/>
  <c r="I161" i="14"/>
  <c r="N161" i="14" s="1"/>
  <c r="I153" i="14"/>
  <c r="Q153" i="14" s="1"/>
  <c r="I166" i="14"/>
  <c r="P166" i="14" s="1"/>
  <c r="I157" i="14"/>
  <c r="Q157" i="14" s="1"/>
  <c r="C14" i="14"/>
  <c r="C17" i="14"/>
  <c r="I204" i="14" s="1"/>
  <c r="I168" i="14"/>
  <c r="N168" i="14" s="1"/>
  <c r="I158" i="14"/>
  <c r="N158" i="14" s="1"/>
  <c r="E14" i="14"/>
  <c r="C16" i="14"/>
  <c r="E16" i="14"/>
  <c r="E17" i="14"/>
  <c r="E193" i="14" s="1"/>
  <c r="C22" i="14"/>
  <c r="P153" i="14"/>
  <c r="C20" i="14"/>
  <c r="E21" i="14"/>
  <c r="E19" i="14"/>
  <c r="E22" i="14"/>
  <c r="C18" i="14"/>
  <c r="E18" i="14"/>
  <c r="C19" i="14"/>
  <c r="C21" i="14"/>
  <c r="E20" i="14"/>
  <c r="E29" i="14"/>
  <c r="E433" i="14" s="1"/>
  <c r="E23" i="14"/>
  <c r="E24" i="14"/>
  <c r="C23" i="14"/>
  <c r="C24" i="14"/>
  <c r="I337" i="14" s="1"/>
  <c r="C29" i="14"/>
  <c r="C34" i="14"/>
  <c r="I538" i="14" s="1"/>
  <c r="Q538" i="14" s="1"/>
  <c r="C25" i="14"/>
  <c r="C28" i="14"/>
  <c r="C26" i="14"/>
  <c r="E25" i="14"/>
  <c r="E26" i="14"/>
  <c r="E27" i="14"/>
  <c r="E28" i="14"/>
  <c r="C27" i="14"/>
  <c r="E30" i="14"/>
  <c r="E34" i="14"/>
  <c r="C31" i="14"/>
  <c r="C33" i="14"/>
  <c r="C32" i="14"/>
  <c r="E33" i="14"/>
  <c r="C30" i="14"/>
  <c r="E32" i="14"/>
  <c r="E31" i="14"/>
  <c r="E40" i="14"/>
  <c r="F40" i="14" s="1"/>
  <c r="F653" i="14" s="1"/>
  <c r="E37" i="14"/>
  <c r="E35" i="14"/>
  <c r="E36" i="14"/>
  <c r="C38" i="14"/>
  <c r="C36" i="14"/>
  <c r="E38" i="14"/>
  <c r="C37" i="14"/>
  <c r="C35" i="14"/>
  <c r="E39" i="14"/>
  <c r="C39" i="14"/>
  <c r="D39" i="14" s="1"/>
  <c r="C40" i="14"/>
  <c r="C41" i="14"/>
  <c r="I679" i="14" s="1"/>
  <c r="E41" i="14"/>
  <c r="E673" i="14" s="1"/>
  <c r="M3052" i="6"/>
  <c r="N3050" i="6" s="1"/>
  <c r="M3062" i="6"/>
  <c r="N3061" i="6" s="1"/>
  <c r="M3071" i="6"/>
  <c r="M3080" i="6"/>
  <c r="N3078" i="6" s="1"/>
  <c r="M3090" i="6"/>
  <c r="N3089" i="6" s="1"/>
  <c r="M3099" i="6"/>
  <c r="N3096" i="6" s="1"/>
  <c r="M3108" i="6"/>
  <c r="N3105" i="6" s="1"/>
  <c r="M3117" i="6"/>
  <c r="M3126" i="6"/>
  <c r="N3123" i="6" s="1"/>
  <c r="M3132" i="6"/>
  <c r="N3130" i="6" s="1"/>
  <c r="M3138" i="6"/>
  <c r="M3354" i="6"/>
  <c r="N3352" i="6" s="1"/>
  <c r="M3364" i="6"/>
  <c r="N3362" i="6" s="1"/>
  <c r="M3373" i="6"/>
  <c r="N3372" i="6" s="1"/>
  <c r="M3382" i="6"/>
  <c r="N3379" i="6" s="1"/>
  <c r="M3392" i="6"/>
  <c r="N3390" i="6" s="1"/>
  <c r="M3401" i="6"/>
  <c r="N3400" i="6" s="1"/>
  <c r="M3410" i="6"/>
  <c r="M3419" i="6"/>
  <c r="M3428" i="6"/>
  <c r="N3427" i="6" s="1"/>
  <c r="M3434" i="6"/>
  <c r="N3433" i="6" s="1"/>
  <c r="M3440" i="6"/>
  <c r="M2843" i="6"/>
  <c r="N2840" i="6" s="1"/>
  <c r="M2856" i="6"/>
  <c r="N2853" i="6" s="1"/>
  <c r="M2865" i="6"/>
  <c r="N2864" i="6" s="1"/>
  <c r="M2873" i="6"/>
  <c r="M2881" i="6"/>
  <c r="N2879" i="6" s="1"/>
  <c r="M2890" i="6"/>
  <c r="N2887" i="6" s="1"/>
  <c r="M2901" i="6"/>
  <c r="N2900" i="6" s="1"/>
  <c r="M2911" i="6"/>
  <c r="N2909" i="6" s="1"/>
  <c r="M2920" i="6"/>
  <c r="N2919" i="6" s="1"/>
  <c r="M2929" i="6"/>
  <c r="N2926" i="6" s="1"/>
  <c r="M2939" i="6"/>
  <c r="N2937" i="6" s="1"/>
  <c r="M2948" i="6"/>
  <c r="M2957" i="6"/>
  <c r="M2966" i="6"/>
  <c r="N2963" i="6" s="1"/>
  <c r="M2975" i="6"/>
  <c r="M2981" i="6"/>
  <c r="N2980" i="6" s="1"/>
  <c r="M2987" i="6"/>
  <c r="N2984" i="6" s="1"/>
  <c r="M2994" i="6"/>
  <c r="N2991" i="6" s="1"/>
  <c r="M3007" i="6"/>
  <c r="N3005" i="6" s="1"/>
  <c r="M3016" i="6"/>
  <c r="N3015" i="6" s="1"/>
  <c r="M3024" i="6"/>
  <c r="M3032" i="6"/>
  <c r="M3041" i="6"/>
  <c r="N3039" i="6" s="1"/>
  <c r="M3203" i="6"/>
  <c r="N3202" i="6" s="1"/>
  <c r="M3213" i="6"/>
  <c r="N3212" i="6" s="1"/>
  <c r="M3222" i="6"/>
  <c r="N3221" i="6" s="1"/>
  <c r="M3231" i="6"/>
  <c r="N3228" i="6" s="1"/>
  <c r="M3241" i="6"/>
  <c r="N3239" i="6" s="1"/>
  <c r="M3250" i="6"/>
  <c r="N3249" i="6" s="1"/>
  <c r="M3259" i="6"/>
  <c r="M3268" i="6"/>
  <c r="M3277" i="6"/>
  <c r="N3275" i="6" s="1"/>
  <c r="M3283" i="6"/>
  <c r="N3280" i="6" s="1"/>
  <c r="M3289" i="6"/>
  <c r="M3296" i="6"/>
  <c r="N3293" i="6" s="1"/>
  <c r="M3309" i="6"/>
  <c r="N3307" i="6" s="1"/>
  <c r="M3318" i="6"/>
  <c r="N3315" i="6" s="1"/>
  <c r="M3326" i="6"/>
  <c r="N3323" i="6" s="1"/>
  <c r="M3334" i="6"/>
  <c r="N3331" i="6" s="1"/>
  <c r="M3343" i="6"/>
  <c r="N3341" i="6" s="1"/>
  <c r="M3145" i="6"/>
  <c r="N3142" i="6" s="1"/>
  <c r="M3158" i="6"/>
  <c r="N3157" i="6" s="1"/>
  <c r="M3167" i="6"/>
  <c r="N3164" i="6" s="1"/>
  <c r="M3175" i="6"/>
  <c r="N3172" i="6" s="1"/>
  <c r="M3183" i="6"/>
  <c r="N3181" i="6" s="1"/>
  <c r="M3192" i="6"/>
  <c r="N3190" i="6" s="1"/>
  <c r="M2730" i="6"/>
  <c r="M2760" i="6"/>
  <c r="M2769" i="6"/>
  <c r="M2778" i="6"/>
  <c r="M2788" i="6"/>
  <c r="M2797" i="6"/>
  <c r="M2806" i="6"/>
  <c r="M2815" i="6"/>
  <c r="M2824" i="6"/>
  <c r="M2830" i="6"/>
  <c r="N2828" i="6" s="1"/>
  <c r="M2836" i="6"/>
  <c r="N2835" i="6" s="1"/>
  <c r="M2692" i="6"/>
  <c r="M2705" i="6"/>
  <c r="N2703" i="6" s="1"/>
  <c r="M2714" i="6"/>
  <c r="M2722" i="6"/>
  <c r="M2739" i="6"/>
  <c r="M2750" i="6"/>
  <c r="M2646" i="6"/>
  <c r="M2652" i="6"/>
  <c r="M2658" i="6"/>
  <c r="M2679" i="6"/>
  <c r="M2673" i="6"/>
  <c r="M2685" i="6"/>
  <c r="M2667" i="6"/>
  <c r="M2637" i="6"/>
  <c r="M2599" i="6"/>
  <c r="M2612" i="6"/>
  <c r="M2621" i="6"/>
  <c r="M2629" i="6"/>
  <c r="M2580" i="6"/>
  <c r="M2586" i="6"/>
  <c r="M2592" i="6"/>
  <c r="M2570" i="6"/>
  <c r="M2562" i="6"/>
  <c r="M2561" i="6"/>
  <c r="M2560" i="6"/>
  <c r="M2556" i="6"/>
  <c r="M2555" i="6"/>
  <c r="M2554" i="6"/>
  <c r="M2550" i="6"/>
  <c r="M2549" i="6"/>
  <c r="M2548" i="6"/>
  <c r="M2541" i="6"/>
  <c r="M2540" i="6"/>
  <c r="M2539" i="6"/>
  <c r="M2531" i="6"/>
  <c r="M2530" i="6"/>
  <c r="M2529" i="6"/>
  <c r="M2522" i="6"/>
  <c r="M2521" i="6"/>
  <c r="M2520" i="6"/>
  <c r="M2513" i="6"/>
  <c r="M2512" i="6"/>
  <c r="M2511" i="6"/>
  <c r="M2503" i="6"/>
  <c r="M2502" i="6"/>
  <c r="M2501" i="6"/>
  <c r="T2496" i="6"/>
  <c r="M2492" i="6"/>
  <c r="M2491" i="6"/>
  <c r="M2490" i="6"/>
  <c r="M2483" i="6"/>
  <c r="M2482" i="6"/>
  <c r="M2481" i="6"/>
  <c r="M2475" i="6"/>
  <c r="M2474" i="6"/>
  <c r="M2473" i="6"/>
  <c r="M2467" i="6"/>
  <c r="M2466" i="6"/>
  <c r="M2465" i="6"/>
  <c r="M2458" i="6"/>
  <c r="M2457" i="6"/>
  <c r="M2456" i="6"/>
  <c r="M2445" i="6"/>
  <c r="M2444" i="6"/>
  <c r="M2443" i="6"/>
  <c r="M2438" i="6"/>
  <c r="M2437" i="6"/>
  <c r="M2436" i="6"/>
  <c r="M2432" i="6"/>
  <c r="M2431" i="6"/>
  <c r="M2430" i="6"/>
  <c r="M2426" i="6"/>
  <c r="M2425" i="6"/>
  <c r="M2424" i="6"/>
  <c r="M2417" i="6"/>
  <c r="M2416" i="6"/>
  <c r="M2415" i="6"/>
  <c r="M2407" i="6"/>
  <c r="M2406" i="6"/>
  <c r="M2405" i="6"/>
  <c r="M2398" i="6"/>
  <c r="M2397" i="6"/>
  <c r="M2396" i="6"/>
  <c r="M2389" i="6"/>
  <c r="M2388" i="6"/>
  <c r="M2387" i="6"/>
  <c r="M2379" i="6"/>
  <c r="M2378" i="6"/>
  <c r="M2377" i="6"/>
  <c r="T2372" i="6"/>
  <c r="M2368" i="6"/>
  <c r="M2367" i="6"/>
  <c r="M2366" i="6"/>
  <c r="M2359" i="6"/>
  <c r="M2358" i="6"/>
  <c r="M2357" i="6"/>
  <c r="M2351" i="6"/>
  <c r="M2350" i="6"/>
  <c r="M2349" i="6"/>
  <c r="M2343" i="6"/>
  <c r="M2342" i="6"/>
  <c r="M2341" i="6"/>
  <c r="M2334" i="6"/>
  <c r="M2333" i="6"/>
  <c r="M2332" i="6"/>
  <c r="M2321" i="6"/>
  <c r="M2320" i="6"/>
  <c r="M2319" i="6"/>
  <c r="M2314" i="6"/>
  <c r="M2313" i="6"/>
  <c r="M2312" i="6"/>
  <c r="M2308" i="6"/>
  <c r="M2307" i="6"/>
  <c r="M2306" i="6"/>
  <c r="M2302" i="6"/>
  <c r="M2301" i="6"/>
  <c r="M2300" i="6"/>
  <c r="M2293" i="6"/>
  <c r="M2292" i="6"/>
  <c r="M2291" i="6"/>
  <c r="M2283" i="6"/>
  <c r="M2282" i="6"/>
  <c r="M2281" i="6"/>
  <c r="M2274" i="6"/>
  <c r="M2273" i="6"/>
  <c r="M2272" i="6"/>
  <c r="M2265" i="6"/>
  <c r="M2264" i="6"/>
  <c r="M2263" i="6"/>
  <c r="M2255" i="6"/>
  <c r="M2254" i="6"/>
  <c r="M2253" i="6"/>
  <c r="T2248" i="6"/>
  <c r="M2244" i="6"/>
  <c r="M2243" i="6"/>
  <c r="M2242" i="6"/>
  <c r="M2235" i="6"/>
  <c r="M2234" i="6"/>
  <c r="M2233" i="6"/>
  <c r="M2227" i="6"/>
  <c r="M2226" i="6"/>
  <c r="M2225" i="6"/>
  <c r="M2219" i="6"/>
  <c r="M2218" i="6"/>
  <c r="M2217" i="6"/>
  <c r="M2210" i="6"/>
  <c r="M2209" i="6"/>
  <c r="M2208" i="6"/>
  <c r="M2197" i="6"/>
  <c r="M2196" i="6"/>
  <c r="M2195" i="6"/>
  <c r="M2190" i="6"/>
  <c r="M2189" i="6"/>
  <c r="M2188" i="6"/>
  <c r="M2184" i="6"/>
  <c r="M2183" i="6"/>
  <c r="M2182" i="6"/>
  <c r="M2178" i="6"/>
  <c r="M2177" i="6"/>
  <c r="M2176" i="6"/>
  <c r="M2169" i="6"/>
  <c r="M2168" i="6"/>
  <c r="M2167" i="6"/>
  <c r="M2159" i="6"/>
  <c r="M2158" i="6"/>
  <c r="M2157" i="6"/>
  <c r="M2150" i="6"/>
  <c r="M2149" i="6"/>
  <c r="M2148" i="6"/>
  <c r="M2141" i="6"/>
  <c r="M2140" i="6"/>
  <c r="M2139" i="6"/>
  <c r="M2131" i="6"/>
  <c r="M2130" i="6"/>
  <c r="M2129" i="6"/>
  <c r="T2124" i="6"/>
  <c r="M2120" i="6"/>
  <c r="M2119" i="6"/>
  <c r="M2118" i="6"/>
  <c r="M2111" i="6"/>
  <c r="M2110" i="6"/>
  <c r="M2109" i="6"/>
  <c r="M2103" i="6"/>
  <c r="M2102" i="6"/>
  <c r="M2101" i="6"/>
  <c r="M2095" i="6"/>
  <c r="M2094" i="6"/>
  <c r="M2093" i="6"/>
  <c r="M2086" i="6"/>
  <c r="M2085" i="6"/>
  <c r="M2084" i="6"/>
  <c r="M2073" i="6"/>
  <c r="M2072" i="6"/>
  <c r="M2071" i="6"/>
  <c r="M2045" i="6"/>
  <c r="M2044" i="6"/>
  <c r="M2043" i="6"/>
  <c r="M2035" i="6"/>
  <c r="M2034" i="6"/>
  <c r="M2033" i="6"/>
  <c r="M2066" i="6"/>
  <c r="M2065" i="6"/>
  <c r="M2064" i="6"/>
  <c r="M2060" i="6"/>
  <c r="M2059" i="6"/>
  <c r="M2058" i="6"/>
  <c r="M2054" i="6"/>
  <c r="M2053" i="6"/>
  <c r="M2052" i="6"/>
  <c r="M2026" i="6"/>
  <c r="M2025" i="6"/>
  <c r="M2024" i="6"/>
  <c r="M2017" i="6"/>
  <c r="M2016" i="6"/>
  <c r="M2015" i="6"/>
  <c r="M2007" i="6"/>
  <c r="M2006" i="6"/>
  <c r="M2005" i="6"/>
  <c r="T2000" i="6"/>
  <c r="M1996" i="6"/>
  <c r="M1995" i="6"/>
  <c r="M1994" i="6"/>
  <c r="M1987" i="6"/>
  <c r="M1986" i="6"/>
  <c r="M1985" i="6"/>
  <c r="M1979" i="6"/>
  <c r="M1978" i="6"/>
  <c r="M1977" i="6"/>
  <c r="M1971" i="6"/>
  <c r="M1970" i="6"/>
  <c r="M1969" i="6"/>
  <c r="M1962" i="6"/>
  <c r="M1961" i="6"/>
  <c r="M1960" i="6"/>
  <c r="M1949" i="6"/>
  <c r="M1948" i="6"/>
  <c r="M1947" i="6"/>
  <c r="M1942" i="6"/>
  <c r="M1941" i="6"/>
  <c r="M1940" i="6"/>
  <c r="M1936" i="6"/>
  <c r="M1935" i="6"/>
  <c r="M1934" i="6"/>
  <c r="M1930" i="6"/>
  <c r="M1929" i="6"/>
  <c r="M1928" i="6"/>
  <c r="M1921" i="6"/>
  <c r="M1920" i="6"/>
  <c r="M1919" i="6"/>
  <c r="M1912" i="6"/>
  <c r="M1911" i="6"/>
  <c r="M1910" i="6"/>
  <c r="M1903" i="6"/>
  <c r="M1902" i="6"/>
  <c r="M1901" i="6"/>
  <c r="M1894" i="6"/>
  <c r="M1893" i="6"/>
  <c r="M1892" i="6"/>
  <c r="M1886" i="6"/>
  <c r="M1885" i="6"/>
  <c r="M1884" i="6"/>
  <c r="M1877" i="6"/>
  <c r="M1876" i="6"/>
  <c r="M1875" i="6"/>
  <c r="M1864" i="6"/>
  <c r="M1863" i="6"/>
  <c r="M1862" i="6"/>
  <c r="M1857" i="6"/>
  <c r="M1856" i="6"/>
  <c r="M1855" i="6"/>
  <c r="M1851" i="6"/>
  <c r="M1850" i="6"/>
  <c r="M1849" i="6"/>
  <c r="M1845" i="6"/>
  <c r="M1844" i="6"/>
  <c r="M1843" i="6"/>
  <c r="M1836" i="6"/>
  <c r="M1835" i="6"/>
  <c r="M1834" i="6"/>
  <c r="M1827" i="6"/>
  <c r="M1826" i="6"/>
  <c r="M1825" i="6"/>
  <c r="M1818" i="6"/>
  <c r="M1817" i="6"/>
  <c r="M1816" i="6"/>
  <c r="M1810" i="6"/>
  <c r="M1809" i="6"/>
  <c r="M1808" i="6"/>
  <c r="M1804" i="6"/>
  <c r="M1803" i="6"/>
  <c r="M1802" i="6"/>
  <c r="M1798" i="6"/>
  <c r="M1797" i="6"/>
  <c r="M1796" i="6"/>
  <c r="M1789" i="6"/>
  <c r="M1788" i="6"/>
  <c r="M1787" i="6"/>
  <c r="M1780" i="6"/>
  <c r="M1779" i="6"/>
  <c r="M1778" i="6"/>
  <c r="M1771" i="6"/>
  <c r="M1770" i="6"/>
  <c r="M1769" i="6"/>
  <c r="M1763" i="6"/>
  <c r="M1762" i="6"/>
  <c r="M1761" i="6"/>
  <c r="M1757" i="6"/>
  <c r="M1756" i="6"/>
  <c r="M1755" i="6"/>
  <c r="M1751" i="6"/>
  <c r="M1750" i="6"/>
  <c r="M1749" i="6"/>
  <c r="M1742" i="6"/>
  <c r="M1741" i="6"/>
  <c r="M1740" i="6"/>
  <c r="M1733" i="6"/>
  <c r="M1732" i="6"/>
  <c r="M1731" i="6"/>
  <c r="M1724" i="6"/>
  <c r="M1723" i="6"/>
  <c r="M1722" i="6"/>
  <c r="M1716" i="6"/>
  <c r="M1715" i="6"/>
  <c r="M1714" i="6"/>
  <c r="M1710" i="6"/>
  <c r="M1709" i="6"/>
  <c r="M1708" i="6"/>
  <c r="M1704" i="6"/>
  <c r="M1703" i="6"/>
  <c r="M1702" i="6"/>
  <c r="M1695" i="6"/>
  <c r="M1694" i="6"/>
  <c r="M1693" i="6"/>
  <c r="M1686" i="6"/>
  <c r="M1685" i="6"/>
  <c r="M1684" i="6"/>
  <c r="M1677" i="6"/>
  <c r="M1676" i="6"/>
  <c r="M1675" i="6"/>
  <c r="M1669" i="6"/>
  <c r="M1668" i="6"/>
  <c r="M1667" i="6"/>
  <c r="M1663" i="6"/>
  <c r="M1662" i="6"/>
  <c r="M1661" i="6"/>
  <c r="M1657" i="6"/>
  <c r="M1656" i="6"/>
  <c r="M1655" i="6"/>
  <c r="M1648" i="6"/>
  <c r="M1647" i="6"/>
  <c r="M1646" i="6"/>
  <c r="M1639" i="6"/>
  <c r="M1638" i="6"/>
  <c r="M1637" i="6"/>
  <c r="M1630" i="6"/>
  <c r="M1629" i="6"/>
  <c r="M1628" i="6"/>
  <c r="M1622" i="6"/>
  <c r="M1621" i="6"/>
  <c r="M1620" i="6"/>
  <c r="M1616" i="6"/>
  <c r="M1615" i="6"/>
  <c r="M1614" i="6"/>
  <c r="M1610" i="6"/>
  <c r="M1609" i="6"/>
  <c r="M1608" i="6"/>
  <c r="M1601" i="6"/>
  <c r="M1600" i="6"/>
  <c r="M1599" i="6"/>
  <c r="M1592" i="6"/>
  <c r="M1591" i="6"/>
  <c r="M1590" i="6"/>
  <c r="M1583" i="6"/>
  <c r="M1582" i="6"/>
  <c r="M1581" i="6"/>
  <c r="M1574" i="6"/>
  <c r="M1573" i="6"/>
  <c r="M1572" i="6"/>
  <c r="M1565" i="6"/>
  <c r="M1564" i="6"/>
  <c r="M1563" i="6"/>
  <c r="M1557" i="6"/>
  <c r="M1556" i="6"/>
  <c r="M1555" i="6"/>
  <c r="M1548" i="6"/>
  <c r="M1547" i="6"/>
  <c r="M1546" i="6"/>
  <c r="M1535" i="6"/>
  <c r="M1534" i="6"/>
  <c r="M1533" i="6"/>
  <c r="M1528" i="6"/>
  <c r="M1527" i="6"/>
  <c r="M1526" i="6"/>
  <c r="M1522" i="6"/>
  <c r="M1521" i="6"/>
  <c r="M1520" i="6"/>
  <c r="M1516" i="6"/>
  <c r="M1515" i="6"/>
  <c r="M1514" i="6"/>
  <c r="M1507" i="6"/>
  <c r="M1506" i="6"/>
  <c r="M1505" i="6"/>
  <c r="M1498" i="6"/>
  <c r="M1497" i="6"/>
  <c r="M1496" i="6"/>
  <c r="M1489" i="6"/>
  <c r="M1488" i="6"/>
  <c r="M1487" i="6"/>
  <c r="M1480" i="6"/>
  <c r="M1479" i="6"/>
  <c r="M1478" i="6"/>
  <c r="M1471" i="6"/>
  <c r="M1470" i="6"/>
  <c r="M1469" i="6"/>
  <c r="M1463" i="6"/>
  <c r="M1462" i="6"/>
  <c r="M1461" i="6"/>
  <c r="M1454" i="6"/>
  <c r="M1453" i="6"/>
  <c r="M1452" i="6"/>
  <c r="M1441" i="6"/>
  <c r="M1440" i="6"/>
  <c r="M1439" i="6"/>
  <c r="J1358" i="6"/>
  <c r="J1359" i="6"/>
  <c r="J1360" i="6"/>
  <c r="M1345" i="6"/>
  <c r="M1346" i="6"/>
  <c r="M1347" i="6"/>
  <c r="M1358" i="6"/>
  <c r="M1359" i="6"/>
  <c r="M1360" i="6"/>
  <c r="M1367" i="6"/>
  <c r="M1368" i="6"/>
  <c r="M1369" i="6"/>
  <c r="M1375" i="6"/>
  <c r="M1376" i="6"/>
  <c r="M1377" i="6"/>
  <c r="M1384" i="6"/>
  <c r="M1385" i="6"/>
  <c r="M1386" i="6"/>
  <c r="M1393" i="6"/>
  <c r="M1394" i="6"/>
  <c r="M1395" i="6"/>
  <c r="M1402" i="6"/>
  <c r="M1403" i="6"/>
  <c r="M1404" i="6"/>
  <c r="M1411" i="6"/>
  <c r="M1412" i="6"/>
  <c r="M1413" i="6"/>
  <c r="M1420" i="6"/>
  <c r="M1421" i="6"/>
  <c r="M1422" i="6"/>
  <c r="M1426" i="6"/>
  <c r="M1427" i="6"/>
  <c r="M1428" i="6"/>
  <c r="M1432" i="6"/>
  <c r="M1433" i="6"/>
  <c r="M1434" i="6"/>
  <c r="M1319" i="6"/>
  <c r="M1318" i="6"/>
  <c r="M1317" i="6"/>
  <c r="M1310" i="6"/>
  <c r="M1309" i="6"/>
  <c r="M1308" i="6"/>
  <c r="M1340" i="6"/>
  <c r="M1339" i="6"/>
  <c r="M1338" i="6"/>
  <c r="M1334" i="6"/>
  <c r="M1333" i="6"/>
  <c r="M1332" i="6"/>
  <c r="M1328" i="6"/>
  <c r="M1327" i="6"/>
  <c r="M1326" i="6"/>
  <c r="M1301" i="6"/>
  <c r="M1300" i="6"/>
  <c r="M1299" i="6"/>
  <c r="M1292" i="6"/>
  <c r="M1291" i="6"/>
  <c r="M1290" i="6"/>
  <c r="M1283" i="6"/>
  <c r="M1282" i="6"/>
  <c r="M1281" i="6"/>
  <c r="M1275" i="6"/>
  <c r="M1274" i="6"/>
  <c r="M1273" i="6"/>
  <c r="M1266" i="6"/>
  <c r="M1265" i="6"/>
  <c r="M1264" i="6"/>
  <c r="M1253" i="6"/>
  <c r="M1252" i="6"/>
  <c r="M1251" i="6"/>
  <c r="M964" i="6"/>
  <c r="M963" i="6"/>
  <c r="M962" i="6"/>
  <c r="M958" i="6"/>
  <c r="M957" i="6"/>
  <c r="M956" i="6"/>
  <c r="M952" i="6"/>
  <c r="M951" i="6"/>
  <c r="M950" i="6"/>
  <c r="M943" i="6"/>
  <c r="M942" i="6"/>
  <c r="M941" i="6"/>
  <c r="M934" i="6"/>
  <c r="M933" i="6"/>
  <c r="M932" i="6"/>
  <c r="M925" i="6"/>
  <c r="M924" i="6"/>
  <c r="M923" i="6"/>
  <c r="M917" i="6"/>
  <c r="M916" i="6"/>
  <c r="M915" i="6"/>
  <c r="M908" i="6"/>
  <c r="M907" i="6"/>
  <c r="M906" i="6"/>
  <c r="M895" i="6"/>
  <c r="M894" i="6"/>
  <c r="M893" i="6"/>
  <c r="M888" i="6"/>
  <c r="M887" i="6"/>
  <c r="M886" i="6"/>
  <c r="M882" i="6"/>
  <c r="M881" i="6"/>
  <c r="M880" i="6"/>
  <c r="M876" i="6"/>
  <c r="M875" i="6"/>
  <c r="M874" i="6"/>
  <c r="M867" i="6"/>
  <c r="M866" i="6"/>
  <c r="M865" i="6"/>
  <c r="M858" i="6"/>
  <c r="M857" i="6"/>
  <c r="M856" i="6"/>
  <c r="M849" i="6"/>
  <c r="M848" i="6"/>
  <c r="M847" i="6"/>
  <c r="M841" i="6"/>
  <c r="M840" i="6"/>
  <c r="M839" i="6"/>
  <c r="M832" i="6"/>
  <c r="M831" i="6"/>
  <c r="M830" i="6"/>
  <c r="M819" i="6"/>
  <c r="M818" i="6"/>
  <c r="M817" i="6"/>
  <c r="M812" i="6"/>
  <c r="M811" i="6"/>
  <c r="M810" i="6"/>
  <c r="M806" i="6"/>
  <c r="M805" i="6"/>
  <c r="M804" i="6"/>
  <c r="M800" i="6"/>
  <c r="M799" i="6"/>
  <c r="M798" i="6"/>
  <c r="M791" i="6"/>
  <c r="M790" i="6"/>
  <c r="M789" i="6"/>
  <c r="M782" i="6"/>
  <c r="M781" i="6"/>
  <c r="M780" i="6"/>
  <c r="M773" i="6"/>
  <c r="M772" i="6"/>
  <c r="M771" i="6"/>
  <c r="M765" i="6"/>
  <c r="M764" i="6"/>
  <c r="M763" i="6"/>
  <c r="M756" i="6"/>
  <c r="M755" i="6"/>
  <c r="M754" i="6"/>
  <c r="M743" i="6"/>
  <c r="M742" i="6"/>
  <c r="M741" i="6"/>
  <c r="M736" i="6"/>
  <c r="M735" i="6"/>
  <c r="M734" i="6"/>
  <c r="M730" i="6"/>
  <c r="M729" i="6"/>
  <c r="M728" i="6"/>
  <c r="M724" i="6"/>
  <c r="M723" i="6"/>
  <c r="M722" i="6"/>
  <c r="M715" i="6"/>
  <c r="M714" i="6"/>
  <c r="M713" i="6"/>
  <c r="M706" i="6"/>
  <c r="M705" i="6"/>
  <c r="M704" i="6"/>
  <c r="M697" i="6"/>
  <c r="M696" i="6"/>
  <c r="M695" i="6"/>
  <c r="M689" i="6"/>
  <c r="M688" i="6"/>
  <c r="M687" i="6"/>
  <c r="M680" i="6"/>
  <c r="M679" i="6"/>
  <c r="M678" i="6"/>
  <c r="M667" i="6"/>
  <c r="M666" i="6"/>
  <c r="M665" i="6"/>
  <c r="K154" i="14" l="1"/>
  <c r="I165" i="14"/>
  <c r="P165" i="14" s="1"/>
  <c r="P156" i="14"/>
  <c r="O156" i="14"/>
  <c r="Q158" i="14"/>
  <c r="I170" i="14"/>
  <c r="N170" i="14" s="1"/>
  <c r="I164" i="14"/>
  <c r="N164" i="14" s="1"/>
  <c r="I169" i="14"/>
  <c r="Q169" i="14" s="1"/>
  <c r="I163" i="14"/>
  <c r="O163" i="14" s="1"/>
  <c r="O157" i="14"/>
  <c r="I155" i="14"/>
  <c r="Q155" i="14" s="1"/>
  <c r="I167" i="14"/>
  <c r="P167" i="14" s="1"/>
  <c r="I162" i="14"/>
  <c r="P162" i="14" s="1"/>
  <c r="N154" i="14"/>
  <c r="Q165" i="14"/>
  <c r="I116" i="14"/>
  <c r="Q116" i="14" s="1"/>
  <c r="Q166" i="14"/>
  <c r="K163" i="14"/>
  <c r="I127" i="14"/>
  <c r="N127" i="14" s="1"/>
  <c r="I129" i="14"/>
  <c r="Q129" i="14" s="1"/>
  <c r="F17" i="14"/>
  <c r="B51" i="15" s="1"/>
  <c r="I130" i="14"/>
  <c r="P130" i="14" s="1"/>
  <c r="I126" i="14"/>
  <c r="O126" i="14" s="1"/>
  <c r="N160" i="14"/>
  <c r="O165" i="14"/>
  <c r="P154" i="14"/>
  <c r="I122" i="14"/>
  <c r="Q122" i="14" s="1"/>
  <c r="I121" i="14"/>
  <c r="O121" i="14" s="1"/>
  <c r="F10" i="14"/>
  <c r="E53" i="14"/>
  <c r="I124" i="14"/>
  <c r="N124" i="14" s="1"/>
  <c r="I113" i="14"/>
  <c r="K113" i="14" s="1"/>
  <c r="I120" i="14"/>
  <c r="P120" i="14" s="1"/>
  <c r="I114" i="14"/>
  <c r="P114" i="14" s="1"/>
  <c r="F12" i="14"/>
  <c r="E93" i="14"/>
  <c r="I83" i="14"/>
  <c r="I75" i="14"/>
  <c r="I85" i="14"/>
  <c r="D11" i="14"/>
  <c r="I90" i="14"/>
  <c r="I87" i="14"/>
  <c r="I89" i="14"/>
  <c r="C73" i="14"/>
  <c r="I86" i="14"/>
  <c r="I73" i="14"/>
  <c r="I74" i="14"/>
  <c r="I77" i="14"/>
  <c r="I88" i="14"/>
  <c r="I81" i="14"/>
  <c r="I78" i="14"/>
  <c r="I82" i="14"/>
  <c r="I79" i="14"/>
  <c r="I80" i="14"/>
  <c r="I84" i="14"/>
  <c r="I76" i="14"/>
  <c r="I196" i="14"/>
  <c r="P196" i="14" s="1"/>
  <c r="I105" i="14"/>
  <c r="I104" i="14"/>
  <c r="I107" i="14"/>
  <c r="D12" i="14"/>
  <c r="I94" i="14"/>
  <c r="I99" i="14"/>
  <c r="I95" i="14"/>
  <c r="I93" i="14"/>
  <c r="I110" i="14"/>
  <c r="I98" i="14"/>
  <c r="I100" i="14"/>
  <c r="I97" i="14"/>
  <c r="I108" i="14"/>
  <c r="I101" i="14"/>
  <c r="I109" i="14"/>
  <c r="I96" i="14"/>
  <c r="J96" i="14" s="1"/>
  <c r="L96" i="14" s="1"/>
  <c r="I103" i="14"/>
  <c r="I106" i="14"/>
  <c r="C93" i="14"/>
  <c r="I102" i="14"/>
  <c r="N159" i="14"/>
  <c r="P126" i="14"/>
  <c r="I117" i="14"/>
  <c r="O117" i="14" s="1"/>
  <c r="C113" i="14"/>
  <c r="I118" i="14"/>
  <c r="Q118" i="14" s="1"/>
  <c r="D13" i="14"/>
  <c r="D114" i="14" s="1"/>
  <c r="D115" i="14" s="1"/>
  <c r="C53" i="14"/>
  <c r="I54" i="14"/>
  <c r="I56" i="14"/>
  <c r="I55" i="14"/>
  <c r="I58" i="14"/>
  <c r="I59" i="14"/>
  <c r="I65" i="14"/>
  <c r="J65" i="14" s="1"/>
  <c r="L65" i="14" s="1"/>
  <c r="I67" i="14"/>
  <c r="I61" i="14"/>
  <c r="I68" i="14"/>
  <c r="I66" i="14"/>
  <c r="I70" i="14"/>
  <c r="I69" i="14"/>
  <c r="I57" i="14"/>
  <c r="I63" i="14"/>
  <c r="D10" i="14"/>
  <c r="I64" i="14"/>
  <c r="I62" i="14"/>
  <c r="I53" i="14"/>
  <c r="I60" i="14"/>
  <c r="F11" i="14"/>
  <c r="E73" i="14"/>
  <c r="P158" i="14"/>
  <c r="N157" i="14"/>
  <c r="O162" i="14"/>
  <c r="N165" i="14"/>
  <c r="O154" i="14"/>
  <c r="N156" i="14"/>
  <c r="O158" i="14"/>
  <c r="O153" i="14"/>
  <c r="Q156" i="14"/>
  <c r="O168" i="14"/>
  <c r="J153" i="14"/>
  <c r="L153" i="14" s="1"/>
  <c r="I545" i="14"/>
  <c r="O545" i="14" s="1"/>
  <c r="Q160" i="14"/>
  <c r="O166" i="14"/>
  <c r="P168" i="14"/>
  <c r="Q161" i="14"/>
  <c r="N162" i="14"/>
  <c r="Q159" i="14"/>
  <c r="E113" i="14"/>
  <c r="F113" i="14"/>
  <c r="F114" i="14"/>
  <c r="F115" i="14" s="1"/>
  <c r="F116" i="14" s="1"/>
  <c r="O123" i="14"/>
  <c r="N123" i="14"/>
  <c r="P123" i="14"/>
  <c r="Q123" i="14"/>
  <c r="I677" i="14"/>
  <c r="P677" i="14" s="1"/>
  <c r="I540" i="14"/>
  <c r="P540" i="14" s="1"/>
  <c r="P161" i="14"/>
  <c r="Q162" i="14"/>
  <c r="O160" i="14"/>
  <c r="N166" i="14"/>
  <c r="O159" i="14"/>
  <c r="Q168" i="14"/>
  <c r="P127" i="14"/>
  <c r="I115" i="14"/>
  <c r="I119" i="14"/>
  <c r="O119" i="14" s="1"/>
  <c r="I125" i="14"/>
  <c r="I128" i="14"/>
  <c r="P163" i="14"/>
  <c r="N163" i="14"/>
  <c r="Q163" i="14"/>
  <c r="E153" i="14"/>
  <c r="F15" i="14"/>
  <c r="I208" i="14"/>
  <c r="Q208" i="14" s="1"/>
  <c r="I206" i="14"/>
  <c r="P206" i="14" s="1"/>
  <c r="P170" i="14"/>
  <c r="N155" i="14"/>
  <c r="P157" i="14"/>
  <c r="K153" i="14"/>
  <c r="N153" i="14"/>
  <c r="B47" i="15"/>
  <c r="D14" i="14"/>
  <c r="I143" i="14"/>
  <c r="I150" i="14"/>
  <c r="I147" i="14"/>
  <c r="K147" i="14" s="1"/>
  <c r="I140" i="14"/>
  <c r="K140" i="14" s="1"/>
  <c r="I148" i="14"/>
  <c r="I149" i="14"/>
  <c r="I138" i="14"/>
  <c r="I142" i="14"/>
  <c r="I136" i="14"/>
  <c r="K136" i="14" s="1"/>
  <c r="C133" i="14"/>
  <c r="I144" i="14"/>
  <c r="I146" i="14"/>
  <c r="K146" i="14" s="1"/>
  <c r="I135" i="14"/>
  <c r="K135" i="14" s="1"/>
  <c r="I134" i="14"/>
  <c r="J134" i="14" s="1"/>
  <c r="L134" i="14" s="1"/>
  <c r="I133" i="14"/>
  <c r="I139" i="14"/>
  <c r="I141" i="14"/>
  <c r="I145" i="14"/>
  <c r="I137" i="14"/>
  <c r="K137" i="14" s="1"/>
  <c r="P116" i="14"/>
  <c r="I642" i="14"/>
  <c r="Q642" i="14" s="1"/>
  <c r="D17" i="14"/>
  <c r="D194" i="14" s="1"/>
  <c r="I194" i="14"/>
  <c r="N194" i="14" s="1"/>
  <c r="I207" i="14"/>
  <c r="O207" i="14" s="1"/>
  <c r="I200" i="14"/>
  <c r="P200" i="14" s="1"/>
  <c r="I203" i="14"/>
  <c r="Q203" i="14" s="1"/>
  <c r="Q124" i="14"/>
  <c r="N130" i="14"/>
  <c r="O118" i="14"/>
  <c r="D153" i="14"/>
  <c r="I209" i="14"/>
  <c r="Q209" i="14" s="1"/>
  <c r="I205" i="14"/>
  <c r="N205" i="14" s="1"/>
  <c r="I195" i="14"/>
  <c r="Q195" i="14" s="1"/>
  <c r="I199" i="14"/>
  <c r="N199" i="14" s="1"/>
  <c r="C193" i="14"/>
  <c r="I193" i="14"/>
  <c r="N193" i="14" s="1"/>
  <c r="I210" i="14"/>
  <c r="N210" i="14" s="1"/>
  <c r="O170" i="14"/>
  <c r="P164" i="14"/>
  <c r="O122" i="14"/>
  <c r="O161" i="14"/>
  <c r="K160" i="14"/>
  <c r="I201" i="14"/>
  <c r="N201" i="14" s="1"/>
  <c r="I197" i="14"/>
  <c r="P197" i="14" s="1"/>
  <c r="I198" i="14"/>
  <c r="Q198" i="14" s="1"/>
  <c r="I202" i="14"/>
  <c r="N202" i="14" s="1"/>
  <c r="O155" i="14"/>
  <c r="O164" i="14"/>
  <c r="F14" i="14"/>
  <c r="E133" i="14"/>
  <c r="F16" i="14"/>
  <c r="E173" i="14"/>
  <c r="I547" i="14"/>
  <c r="N547" i="14" s="1"/>
  <c r="J114" i="14"/>
  <c r="L114" i="14" s="1"/>
  <c r="F29" i="14"/>
  <c r="F434" i="14" s="1"/>
  <c r="I535" i="14"/>
  <c r="P535" i="14" s="1"/>
  <c r="I537" i="14"/>
  <c r="N537" i="14" s="1"/>
  <c r="K156" i="14"/>
  <c r="I187" i="14"/>
  <c r="I185" i="14"/>
  <c r="C173" i="14"/>
  <c r="I175" i="14"/>
  <c r="I173" i="14"/>
  <c r="I177" i="14"/>
  <c r="I179" i="14"/>
  <c r="I188" i="14"/>
  <c r="I190" i="14"/>
  <c r="D16" i="14"/>
  <c r="I181" i="14"/>
  <c r="I176" i="14"/>
  <c r="I174" i="14"/>
  <c r="I189" i="14"/>
  <c r="I182" i="14"/>
  <c r="I180" i="14"/>
  <c r="I183" i="14"/>
  <c r="I186" i="14"/>
  <c r="I178" i="14"/>
  <c r="I184" i="14"/>
  <c r="I335" i="14"/>
  <c r="N335" i="14" s="1"/>
  <c r="I344" i="14"/>
  <c r="Q344" i="14" s="1"/>
  <c r="I333" i="14"/>
  <c r="N333" i="14" s="1"/>
  <c r="I348" i="14"/>
  <c r="O348" i="14" s="1"/>
  <c r="I336" i="14"/>
  <c r="Q336" i="14" s="1"/>
  <c r="I343" i="14"/>
  <c r="P343" i="14" s="1"/>
  <c r="D24" i="14"/>
  <c r="D334" i="14" s="1"/>
  <c r="I350" i="14"/>
  <c r="P350" i="14" s="1"/>
  <c r="I283" i="14"/>
  <c r="K283" i="14" s="1"/>
  <c r="I284" i="14"/>
  <c r="K284" i="14" s="1"/>
  <c r="I278" i="14"/>
  <c r="K278" i="14" s="1"/>
  <c r="I274" i="14"/>
  <c r="I273" i="14"/>
  <c r="I281" i="14"/>
  <c r="K281" i="14" s="1"/>
  <c r="I276" i="14"/>
  <c r="K276" i="14" s="1"/>
  <c r="I290" i="14"/>
  <c r="I287" i="14"/>
  <c r="I286" i="14"/>
  <c r="I282" i="14"/>
  <c r="K282" i="14" s="1"/>
  <c r="I288" i="14"/>
  <c r="I277" i="14"/>
  <c r="K277" i="14" s="1"/>
  <c r="C273" i="14"/>
  <c r="I279" i="14"/>
  <c r="K279" i="14" s="1"/>
  <c r="I289" i="14"/>
  <c r="K289" i="14" s="1"/>
  <c r="I280" i="14"/>
  <c r="K280" i="14" s="1"/>
  <c r="I285" i="14"/>
  <c r="D21" i="14"/>
  <c r="I275" i="14"/>
  <c r="K275" i="14" s="1"/>
  <c r="E293" i="14"/>
  <c r="F22" i="14"/>
  <c r="O195" i="14"/>
  <c r="I341" i="14"/>
  <c r="Q341" i="14" s="1"/>
  <c r="C333" i="14"/>
  <c r="E213" i="14"/>
  <c r="F18" i="14"/>
  <c r="E273" i="14"/>
  <c r="F21" i="14"/>
  <c r="Q194" i="14"/>
  <c r="F194" i="14"/>
  <c r="F195" i="14" s="1"/>
  <c r="F196" i="14" s="1"/>
  <c r="F197" i="14" s="1"/>
  <c r="F198" i="14" s="1"/>
  <c r="F199" i="14" s="1"/>
  <c r="F200" i="14" s="1"/>
  <c r="F201" i="14" s="1"/>
  <c r="K165" i="14"/>
  <c r="K159" i="14"/>
  <c r="K155" i="14"/>
  <c r="W154" i="14"/>
  <c r="D155" i="14"/>
  <c r="E253" i="14"/>
  <c r="F20" i="14"/>
  <c r="I222" i="14"/>
  <c r="I218" i="14"/>
  <c r="I223" i="14"/>
  <c r="I224" i="14"/>
  <c r="I220" i="14"/>
  <c r="I226" i="14"/>
  <c r="C213" i="14"/>
  <c r="I219" i="14"/>
  <c r="I216" i="14"/>
  <c r="I225" i="14"/>
  <c r="I221" i="14"/>
  <c r="I229" i="14"/>
  <c r="I213" i="14"/>
  <c r="I227" i="14"/>
  <c r="I228" i="14"/>
  <c r="I214" i="14"/>
  <c r="I230" i="14"/>
  <c r="I215" i="14"/>
  <c r="I217" i="14"/>
  <c r="D18" i="14"/>
  <c r="I267" i="14"/>
  <c r="I264" i="14"/>
  <c r="I253" i="14"/>
  <c r="I256" i="14"/>
  <c r="I259" i="14"/>
  <c r="I262" i="14"/>
  <c r="I269" i="14"/>
  <c r="I263" i="14"/>
  <c r="I254" i="14"/>
  <c r="J254" i="14" s="1"/>
  <c r="L254" i="14" s="1"/>
  <c r="I266" i="14"/>
  <c r="I265" i="14"/>
  <c r="C253" i="14"/>
  <c r="I258" i="14"/>
  <c r="I260" i="14"/>
  <c r="I255" i="14"/>
  <c r="K255" i="14" s="1"/>
  <c r="I261" i="14"/>
  <c r="I257" i="14"/>
  <c r="I268" i="14"/>
  <c r="D20" i="14"/>
  <c r="I270" i="14"/>
  <c r="K196" i="14"/>
  <c r="J154" i="14"/>
  <c r="L154" i="14" s="1"/>
  <c r="K158" i="14"/>
  <c r="K164" i="14"/>
  <c r="K161" i="14"/>
  <c r="K162" i="14"/>
  <c r="C233" i="14"/>
  <c r="I240" i="14"/>
  <c r="I243" i="14"/>
  <c r="I249" i="14"/>
  <c r="I247" i="14"/>
  <c r="I248" i="14"/>
  <c r="I244" i="14"/>
  <c r="D19" i="14"/>
  <c r="I233" i="14"/>
  <c r="I237" i="14"/>
  <c r="I239" i="14"/>
  <c r="I246" i="14"/>
  <c r="I245" i="14"/>
  <c r="I241" i="14"/>
  <c r="I234" i="14"/>
  <c r="I235" i="14"/>
  <c r="I250" i="14"/>
  <c r="I236" i="14"/>
  <c r="I238" i="14"/>
  <c r="I242" i="14"/>
  <c r="E233" i="14"/>
  <c r="F19" i="14"/>
  <c r="O204" i="14"/>
  <c r="N204" i="14"/>
  <c r="P204" i="14"/>
  <c r="Q204" i="14"/>
  <c r="O198" i="14"/>
  <c r="P198" i="14"/>
  <c r="K198" i="14"/>
  <c r="K157" i="14"/>
  <c r="I310" i="14"/>
  <c r="I307" i="14"/>
  <c r="I299" i="14"/>
  <c r="D22" i="14"/>
  <c r="I303" i="14"/>
  <c r="I301" i="14"/>
  <c r="I305" i="14"/>
  <c r="I295" i="14"/>
  <c r="I306" i="14"/>
  <c r="I296" i="14"/>
  <c r="I309" i="14"/>
  <c r="I294" i="14"/>
  <c r="J294" i="14" s="1"/>
  <c r="L294" i="14" s="1"/>
  <c r="I297" i="14"/>
  <c r="K297" i="14" s="1"/>
  <c r="I302" i="14"/>
  <c r="K302" i="14" s="1"/>
  <c r="I298" i="14"/>
  <c r="C293" i="14"/>
  <c r="I304" i="14"/>
  <c r="I308" i="14"/>
  <c r="I300" i="14"/>
  <c r="I293" i="14"/>
  <c r="E333" i="14"/>
  <c r="F24" i="14"/>
  <c r="I543" i="14"/>
  <c r="Q543" i="14" s="1"/>
  <c r="I534" i="14"/>
  <c r="O534" i="14" s="1"/>
  <c r="I340" i="14"/>
  <c r="P340" i="14" s="1"/>
  <c r="I334" i="14"/>
  <c r="N334" i="14" s="1"/>
  <c r="I347" i="14"/>
  <c r="O347" i="14" s="1"/>
  <c r="I339" i="14"/>
  <c r="O339" i="14" s="1"/>
  <c r="I338" i="14"/>
  <c r="O338" i="14" s="1"/>
  <c r="F23" i="14"/>
  <c r="E313" i="14"/>
  <c r="I541" i="14"/>
  <c r="N541" i="14" s="1"/>
  <c r="I548" i="14"/>
  <c r="O548" i="14" s="1"/>
  <c r="I546" i="14"/>
  <c r="N546" i="14" s="1"/>
  <c r="I342" i="14"/>
  <c r="N342" i="14" s="1"/>
  <c r="I349" i="14"/>
  <c r="O349" i="14" s="1"/>
  <c r="I345" i="14"/>
  <c r="O345" i="14" s="1"/>
  <c r="I346" i="14"/>
  <c r="Q346" i="14" s="1"/>
  <c r="I319" i="14"/>
  <c r="I324" i="14"/>
  <c r="I322" i="14"/>
  <c r="I313" i="14"/>
  <c r="I314" i="14"/>
  <c r="I315" i="14"/>
  <c r="I327" i="14"/>
  <c r="I316" i="14"/>
  <c r="I329" i="14"/>
  <c r="I318" i="14"/>
  <c r="I323" i="14"/>
  <c r="I330" i="14"/>
  <c r="I326" i="14"/>
  <c r="I325" i="14"/>
  <c r="I317" i="14"/>
  <c r="I328" i="14"/>
  <c r="C313" i="14"/>
  <c r="I321" i="14"/>
  <c r="I320" i="14"/>
  <c r="D23" i="14"/>
  <c r="I635" i="14"/>
  <c r="P635" i="14" s="1"/>
  <c r="I645" i="14"/>
  <c r="Q645" i="14" s="1"/>
  <c r="I644" i="14"/>
  <c r="N644" i="14" s="1"/>
  <c r="I639" i="14"/>
  <c r="Q639" i="14" s="1"/>
  <c r="E633" i="14"/>
  <c r="F39" i="14"/>
  <c r="F634" i="14" s="1"/>
  <c r="F635" i="14" s="1"/>
  <c r="F636" i="14" s="1"/>
  <c r="I403" i="14"/>
  <c r="I402" i="14"/>
  <c r="I397" i="14"/>
  <c r="I404" i="14"/>
  <c r="I407" i="14"/>
  <c r="I408" i="14"/>
  <c r="I398" i="14"/>
  <c r="I406" i="14"/>
  <c r="I396" i="14"/>
  <c r="I394" i="14"/>
  <c r="K394" i="14" s="1"/>
  <c r="I409" i="14"/>
  <c r="D27" i="14"/>
  <c r="I399" i="14"/>
  <c r="I393" i="14"/>
  <c r="I410" i="14"/>
  <c r="I401" i="14"/>
  <c r="I405" i="14"/>
  <c r="I395" i="14"/>
  <c r="C393" i="14"/>
  <c r="I400" i="14"/>
  <c r="E353" i="14"/>
  <c r="F25" i="14"/>
  <c r="Q337" i="14"/>
  <c r="P337" i="14"/>
  <c r="N337" i="14"/>
  <c r="O337" i="14"/>
  <c r="N341" i="14"/>
  <c r="F654" i="14"/>
  <c r="F655" i="14" s="1"/>
  <c r="F656" i="14" s="1"/>
  <c r="F657" i="14" s="1"/>
  <c r="F658" i="14" s="1"/>
  <c r="F659" i="14" s="1"/>
  <c r="F660" i="14" s="1"/>
  <c r="F661" i="14" s="1"/>
  <c r="F662" i="14" s="1"/>
  <c r="F663" i="14" s="1"/>
  <c r="F664" i="14" s="1"/>
  <c r="F665" i="14" s="1"/>
  <c r="F666" i="14" s="1"/>
  <c r="F667" i="14" s="1"/>
  <c r="F668" i="14" s="1"/>
  <c r="F669" i="14" s="1"/>
  <c r="F670" i="14" s="1"/>
  <c r="I550" i="14"/>
  <c r="Q550" i="14" s="1"/>
  <c r="I539" i="14"/>
  <c r="N539" i="14" s="1"/>
  <c r="I533" i="14"/>
  <c r="O533" i="14" s="1"/>
  <c r="I542" i="14"/>
  <c r="P542" i="14" s="1"/>
  <c r="I536" i="14"/>
  <c r="O536" i="14" s="1"/>
  <c r="F28" i="14"/>
  <c r="E413" i="14"/>
  <c r="I382" i="14"/>
  <c r="I385" i="14"/>
  <c r="I383" i="14"/>
  <c r="I381" i="14"/>
  <c r="I374" i="14"/>
  <c r="I378" i="14"/>
  <c r="I388" i="14"/>
  <c r="I375" i="14"/>
  <c r="I373" i="14"/>
  <c r="I380" i="14"/>
  <c r="I386" i="14"/>
  <c r="I390" i="14"/>
  <c r="I389" i="14"/>
  <c r="C373" i="14"/>
  <c r="I384" i="14"/>
  <c r="I377" i="14"/>
  <c r="I376" i="14"/>
  <c r="I387" i="14"/>
  <c r="I379" i="14"/>
  <c r="D26" i="14"/>
  <c r="E393" i="14"/>
  <c r="F27" i="14"/>
  <c r="I413" i="14"/>
  <c r="I424" i="14"/>
  <c r="I425" i="14"/>
  <c r="C413" i="14"/>
  <c r="I430" i="14"/>
  <c r="I419" i="14"/>
  <c r="I416" i="14"/>
  <c r="I415" i="14"/>
  <c r="K415" i="14" s="1"/>
  <c r="I426" i="14"/>
  <c r="I418" i="14"/>
  <c r="I422" i="14"/>
  <c r="I428" i="14"/>
  <c r="D28" i="14"/>
  <c r="I427" i="14"/>
  <c r="I417" i="14"/>
  <c r="K417" i="14" s="1"/>
  <c r="I420" i="14"/>
  <c r="I429" i="14"/>
  <c r="I414" i="14"/>
  <c r="K414" i="14" s="1"/>
  <c r="I421" i="14"/>
  <c r="I423" i="14"/>
  <c r="I544" i="14"/>
  <c r="O544" i="14" s="1"/>
  <c r="I549" i="14"/>
  <c r="P549" i="14" s="1"/>
  <c r="D34" i="14"/>
  <c r="D533" i="14" s="1"/>
  <c r="C533" i="14"/>
  <c r="E373" i="14"/>
  <c r="F26" i="14"/>
  <c r="I360" i="14"/>
  <c r="I362" i="14"/>
  <c r="I356" i="14"/>
  <c r="I359" i="14"/>
  <c r="D25" i="14"/>
  <c r="I358" i="14"/>
  <c r="I354" i="14"/>
  <c r="I361" i="14"/>
  <c r="I365" i="14"/>
  <c r="I367" i="14"/>
  <c r="I369" i="14"/>
  <c r="I363" i="14"/>
  <c r="I370" i="14"/>
  <c r="I357" i="14"/>
  <c r="I364" i="14"/>
  <c r="I355" i="14"/>
  <c r="I368" i="14"/>
  <c r="I366" i="14"/>
  <c r="I353" i="14"/>
  <c r="C353" i="14"/>
  <c r="I435" i="14"/>
  <c r="I438" i="14"/>
  <c r="I449" i="14"/>
  <c r="D29" i="14"/>
  <c r="I450" i="14"/>
  <c r="I446" i="14"/>
  <c r="I448" i="14"/>
  <c r="I443" i="14"/>
  <c r="I440" i="14"/>
  <c r="I437" i="14"/>
  <c r="I433" i="14"/>
  <c r="K433" i="14" s="1"/>
  <c r="I441" i="14"/>
  <c r="C433" i="14"/>
  <c r="I434" i="14"/>
  <c r="I447" i="14"/>
  <c r="I442" i="14"/>
  <c r="I436" i="14"/>
  <c r="I439" i="14"/>
  <c r="I445" i="14"/>
  <c r="I444" i="14"/>
  <c r="I467" i="14"/>
  <c r="I455" i="14"/>
  <c r="I466" i="14"/>
  <c r="I460" i="14"/>
  <c r="I464" i="14"/>
  <c r="C453" i="14"/>
  <c r="I469" i="14"/>
  <c r="I465" i="14"/>
  <c r="I453" i="14"/>
  <c r="I463" i="14"/>
  <c r="I457" i="14"/>
  <c r="D30" i="14"/>
  <c r="I459" i="14"/>
  <c r="I458" i="14"/>
  <c r="I456" i="14"/>
  <c r="I461" i="14"/>
  <c r="I454" i="14"/>
  <c r="I468" i="14"/>
  <c r="I462" i="14"/>
  <c r="I470" i="14"/>
  <c r="I478" i="14"/>
  <c r="I481" i="14"/>
  <c r="D31" i="14"/>
  <c r="C473" i="14"/>
  <c r="I476" i="14"/>
  <c r="I483" i="14"/>
  <c r="I488" i="14"/>
  <c r="I475" i="14"/>
  <c r="I479" i="14"/>
  <c r="I487" i="14"/>
  <c r="I480" i="14"/>
  <c r="I474" i="14"/>
  <c r="I477" i="14"/>
  <c r="I484" i="14"/>
  <c r="I490" i="14"/>
  <c r="I482" i="14"/>
  <c r="I486" i="14"/>
  <c r="I473" i="14"/>
  <c r="I485" i="14"/>
  <c r="I489" i="14"/>
  <c r="P538" i="14"/>
  <c r="O538" i="14"/>
  <c r="N538" i="14"/>
  <c r="I675" i="14"/>
  <c r="Q675" i="14" s="1"/>
  <c r="I650" i="14"/>
  <c r="P650" i="14" s="1"/>
  <c r="I633" i="14"/>
  <c r="O633" i="14" s="1"/>
  <c r="I646" i="14"/>
  <c r="P646" i="14" s="1"/>
  <c r="I636" i="14"/>
  <c r="O636" i="14" s="1"/>
  <c r="I648" i="14"/>
  <c r="P648" i="14" s="1"/>
  <c r="E513" i="14"/>
  <c r="F33" i="14"/>
  <c r="F34" i="14"/>
  <c r="E533" i="14"/>
  <c r="Q545" i="14"/>
  <c r="I687" i="14"/>
  <c r="N687" i="14" s="1"/>
  <c r="I685" i="14"/>
  <c r="P685" i="14" s="1"/>
  <c r="I638" i="14"/>
  <c r="O638" i="14" s="1"/>
  <c r="I647" i="14"/>
  <c r="N647" i="14" s="1"/>
  <c r="I640" i="14"/>
  <c r="Q640" i="14" s="1"/>
  <c r="C633" i="14"/>
  <c r="I634" i="14"/>
  <c r="O634" i="14" s="1"/>
  <c r="E473" i="14"/>
  <c r="F31" i="14"/>
  <c r="C493" i="14"/>
  <c r="I508" i="14"/>
  <c r="I502" i="14"/>
  <c r="I498" i="14"/>
  <c r="K498" i="14" s="1"/>
  <c r="I497" i="14"/>
  <c r="K497" i="14" s="1"/>
  <c r="I501" i="14"/>
  <c r="I509" i="14"/>
  <c r="I507" i="14"/>
  <c r="I510" i="14"/>
  <c r="I494" i="14"/>
  <c r="K494" i="14" s="1"/>
  <c r="I493" i="14"/>
  <c r="D32" i="14"/>
  <c r="I499" i="14"/>
  <c r="K499" i="14" s="1"/>
  <c r="I503" i="14"/>
  <c r="I506" i="14"/>
  <c r="I500" i="14"/>
  <c r="I505" i="14"/>
  <c r="I504" i="14"/>
  <c r="I495" i="14"/>
  <c r="I496" i="14"/>
  <c r="K496" i="14" s="1"/>
  <c r="F30" i="14"/>
  <c r="E453" i="14"/>
  <c r="I678" i="14"/>
  <c r="O678" i="14" s="1"/>
  <c r="I641" i="14"/>
  <c r="O641" i="14" s="1"/>
  <c r="I637" i="14"/>
  <c r="Q637" i="14" s="1"/>
  <c r="I649" i="14"/>
  <c r="Q649" i="14" s="1"/>
  <c r="I643" i="14"/>
  <c r="P643" i="14" s="1"/>
  <c r="F32" i="14"/>
  <c r="E493" i="14"/>
  <c r="I528" i="14"/>
  <c r="I520" i="14"/>
  <c r="I521" i="14"/>
  <c r="I522" i="14"/>
  <c r="I518" i="14"/>
  <c r="I530" i="14"/>
  <c r="I516" i="14"/>
  <c r="I514" i="14"/>
  <c r="J514" i="14" s="1"/>
  <c r="L514" i="14" s="1"/>
  <c r="C513" i="14"/>
  <c r="I524" i="14"/>
  <c r="I523" i="14"/>
  <c r="I513" i="14"/>
  <c r="I515" i="14"/>
  <c r="I529" i="14"/>
  <c r="I526" i="14"/>
  <c r="D33" i="14"/>
  <c r="I525" i="14"/>
  <c r="I519" i="14"/>
  <c r="I517" i="14"/>
  <c r="I527" i="14"/>
  <c r="D36" i="14"/>
  <c r="I589" i="14"/>
  <c r="I590" i="14"/>
  <c r="I573" i="14"/>
  <c r="I574" i="14"/>
  <c r="I586" i="14"/>
  <c r="I577" i="14"/>
  <c r="I581" i="14"/>
  <c r="I580" i="14"/>
  <c r="I584" i="14"/>
  <c r="I576" i="14"/>
  <c r="I578" i="14"/>
  <c r="I575" i="14"/>
  <c r="I579" i="14"/>
  <c r="I582" i="14"/>
  <c r="I583" i="14"/>
  <c r="I588" i="14"/>
  <c r="C573" i="14"/>
  <c r="I585" i="14"/>
  <c r="I587" i="14"/>
  <c r="E593" i="14"/>
  <c r="F37" i="14"/>
  <c r="D38" i="14"/>
  <c r="I625" i="14"/>
  <c r="I627" i="14"/>
  <c r="I624" i="14"/>
  <c r="C613" i="14"/>
  <c r="I616" i="14"/>
  <c r="I626" i="14"/>
  <c r="I630" i="14"/>
  <c r="I622" i="14"/>
  <c r="I629" i="14"/>
  <c r="I617" i="14"/>
  <c r="I618" i="14"/>
  <c r="I621" i="14"/>
  <c r="I615" i="14"/>
  <c r="J615" i="14" s="1"/>
  <c r="L615" i="14" s="1"/>
  <c r="I628" i="14"/>
  <c r="I619" i="14"/>
  <c r="I614" i="14"/>
  <c r="I613" i="14"/>
  <c r="I623" i="14"/>
  <c r="I620" i="14"/>
  <c r="I600" i="14"/>
  <c r="C593" i="14"/>
  <c r="D37" i="14"/>
  <c r="I595" i="14"/>
  <c r="J595" i="14" s="1"/>
  <c r="L595" i="14" s="1"/>
  <c r="I605" i="14"/>
  <c r="I597" i="14"/>
  <c r="I610" i="14"/>
  <c r="I606" i="14"/>
  <c r="I594" i="14"/>
  <c r="I609" i="14"/>
  <c r="I603" i="14"/>
  <c r="I598" i="14"/>
  <c r="I599" i="14"/>
  <c r="I607" i="14"/>
  <c r="I596" i="14"/>
  <c r="I601" i="14"/>
  <c r="I602" i="14"/>
  <c r="I604" i="14"/>
  <c r="I608" i="14"/>
  <c r="I593" i="14"/>
  <c r="F36" i="14"/>
  <c r="E573" i="14"/>
  <c r="I558" i="14"/>
  <c r="I567" i="14"/>
  <c r="I554" i="14"/>
  <c r="I556" i="14"/>
  <c r="I564" i="14"/>
  <c r="I560" i="14"/>
  <c r="I557" i="14"/>
  <c r="I559" i="14"/>
  <c r="I561" i="14"/>
  <c r="I570" i="14"/>
  <c r="C553" i="14"/>
  <c r="I566" i="14"/>
  <c r="I565" i="14"/>
  <c r="I563" i="14"/>
  <c r="I553" i="14"/>
  <c r="D35" i="14"/>
  <c r="I569" i="14"/>
  <c r="I562" i="14"/>
  <c r="I568" i="14"/>
  <c r="I555" i="14"/>
  <c r="B74" i="15"/>
  <c r="E653" i="14"/>
  <c r="E613" i="14"/>
  <c r="F38" i="14"/>
  <c r="E553" i="14"/>
  <c r="F35" i="14"/>
  <c r="I664" i="14"/>
  <c r="C653" i="14"/>
  <c r="I653" i="14"/>
  <c r="I659" i="14"/>
  <c r="K659" i="14" s="1"/>
  <c r="I665" i="14"/>
  <c r="K665" i="14" s="1"/>
  <c r="I669" i="14"/>
  <c r="K669" i="14" s="1"/>
  <c r="D40" i="14"/>
  <c r="I658" i="14"/>
  <c r="K658" i="14" s="1"/>
  <c r="I654" i="14"/>
  <c r="K654" i="14" s="1"/>
  <c r="I656" i="14"/>
  <c r="K656" i="14" s="1"/>
  <c r="I660" i="14"/>
  <c r="I655" i="14"/>
  <c r="I662" i="14"/>
  <c r="K662" i="14" s="1"/>
  <c r="I667" i="14"/>
  <c r="K667" i="14" s="1"/>
  <c r="I661" i="14"/>
  <c r="K661" i="14" s="1"/>
  <c r="I668" i="14"/>
  <c r="K668" i="14" s="1"/>
  <c r="I657" i="14"/>
  <c r="K657" i="14" s="1"/>
  <c r="I670" i="14"/>
  <c r="K670" i="14" s="1"/>
  <c r="I663" i="14"/>
  <c r="K663" i="14" s="1"/>
  <c r="I666" i="14"/>
  <c r="K666" i="14" s="1"/>
  <c r="C673" i="14"/>
  <c r="I686" i="14"/>
  <c r="O686" i="14" s="1"/>
  <c r="I688" i="14"/>
  <c r="Q688" i="14" s="1"/>
  <c r="I674" i="14"/>
  <c r="P674" i="14" s="1"/>
  <c r="I684" i="14"/>
  <c r="O684" i="14" s="1"/>
  <c r="I690" i="14"/>
  <c r="P690" i="14" s="1"/>
  <c r="I689" i="14"/>
  <c r="P689" i="14" s="1"/>
  <c r="I676" i="14"/>
  <c r="Q676" i="14" s="1"/>
  <c r="I681" i="14"/>
  <c r="O681" i="14" s="1"/>
  <c r="I680" i="14"/>
  <c r="O680" i="14" s="1"/>
  <c r="I682" i="14"/>
  <c r="Q682" i="14" s="1"/>
  <c r="F41" i="14"/>
  <c r="F674" i="14" s="1"/>
  <c r="F675" i="14" s="1"/>
  <c r="F676" i="14" s="1"/>
  <c r="F677" i="14" s="1"/>
  <c r="F678" i="14" s="1"/>
  <c r="F679" i="14" s="1"/>
  <c r="F680" i="14" s="1"/>
  <c r="F681" i="14" s="1"/>
  <c r="F682" i="14" s="1"/>
  <c r="F683" i="14" s="1"/>
  <c r="D634" i="14"/>
  <c r="D633" i="14"/>
  <c r="I673" i="14"/>
  <c r="J673" i="14" s="1"/>
  <c r="L673" i="14" s="1"/>
  <c r="D41" i="14"/>
  <c r="D674" i="14" s="1"/>
  <c r="I683" i="14"/>
  <c r="Q683" i="14" s="1"/>
  <c r="P679" i="14"/>
  <c r="Q679" i="14"/>
  <c r="N679" i="14"/>
  <c r="O679" i="14"/>
  <c r="J89" i="14"/>
  <c r="L89" i="14" s="1"/>
  <c r="N2936" i="6"/>
  <c r="N3351" i="6"/>
  <c r="N3353" i="6"/>
  <c r="N3332" i="6"/>
  <c r="N3088" i="6"/>
  <c r="N3087" i="6"/>
  <c r="N3038" i="6"/>
  <c r="N3051" i="6"/>
  <c r="N3426" i="6"/>
  <c r="N3174" i="6"/>
  <c r="N2955" i="6"/>
  <c r="N3059" i="6"/>
  <c r="N3040" i="6"/>
  <c r="N3282" i="6"/>
  <c r="N3276" i="6"/>
  <c r="N3425" i="6"/>
  <c r="N3431" i="6"/>
  <c r="N2829" i="6"/>
  <c r="N2880" i="6"/>
  <c r="N2889" i="6"/>
  <c r="N3098" i="6"/>
  <c r="N3211" i="6"/>
  <c r="N3106" i="6"/>
  <c r="N2985" i="6"/>
  <c r="N2954" i="6"/>
  <c r="N3125" i="6"/>
  <c r="N3006" i="6"/>
  <c r="N3274" i="6"/>
  <c r="N3201" i="6"/>
  <c r="N3173" i="6"/>
  <c r="N2855" i="6"/>
  <c r="N2854" i="6"/>
  <c r="N2842" i="6"/>
  <c r="N2841" i="6"/>
  <c r="N3325" i="6"/>
  <c r="N3324" i="6"/>
  <c r="N3381" i="6"/>
  <c r="N3380" i="6"/>
  <c r="N3409" i="6"/>
  <c r="N3316" i="6"/>
  <c r="N3418" i="6"/>
  <c r="N3371" i="6"/>
  <c r="N3417" i="6"/>
  <c r="N3370" i="6"/>
  <c r="N3439" i="6"/>
  <c r="N3399" i="6"/>
  <c r="N3306" i="6"/>
  <c r="N3408" i="6"/>
  <c r="N3361" i="6"/>
  <c r="N3295" i="6"/>
  <c r="N3407" i="6"/>
  <c r="N3308" i="6"/>
  <c r="N3416" i="6"/>
  <c r="N3363" i="6"/>
  <c r="N3317" i="6"/>
  <c r="N3432" i="6"/>
  <c r="N3389" i="6"/>
  <c r="N3340" i="6"/>
  <c r="N3438" i="6"/>
  <c r="N3398" i="6"/>
  <c r="N3333" i="6"/>
  <c r="N3437" i="6"/>
  <c r="N3391" i="6"/>
  <c r="N3342" i="6"/>
  <c r="N3294" i="6"/>
  <c r="N3156" i="6"/>
  <c r="N3230" i="6"/>
  <c r="N3229" i="6"/>
  <c r="N3258" i="6"/>
  <c r="N3165" i="6"/>
  <c r="N3267" i="6"/>
  <c r="N3220" i="6"/>
  <c r="N3266" i="6"/>
  <c r="N3219" i="6"/>
  <c r="N3180" i="6"/>
  <c r="N3288" i="6"/>
  <c r="N3248" i="6"/>
  <c r="N3200" i="6"/>
  <c r="N3155" i="6"/>
  <c r="N3257" i="6"/>
  <c r="N3210" i="6"/>
  <c r="N3144" i="6"/>
  <c r="N3256" i="6"/>
  <c r="N3265" i="6"/>
  <c r="N3166" i="6"/>
  <c r="N3281" i="6"/>
  <c r="N3238" i="6"/>
  <c r="N3189" i="6"/>
  <c r="N3287" i="6"/>
  <c r="N3247" i="6"/>
  <c r="N3182" i="6"/>
  <c r="N3286" i="6"/>
  <c r="N3240" i="6"/>
  <c r="N3191" i="6"/>
  <c r="N3143" i="6"/>
  <c r="N3129" i="6"/>
  <c r="N3079" i="6"/>
  <c r="N3022" i="6"/>
  <c r="N3030" i="6"/>
  <c r="N3131" i="6"/>
  <c r="N3107" i="6"/>
  <c r="N3060" i="6"/>
  <c r="N3014" i="6"/>
  <c r="N2993" i="6"/>
  <c r="N3114" i="6"/>
  <c r="N3136" i="6"/>
  <c r="N3031" i="6"/>
  <c r="N3135" i="6"/>
  <c r="N2992" i="6"/>
  <c r="N3070" i="6"/>
  <c r="N3023" i="6"/>
  <c r="N3116" i="6"/>
  <c r="N3069" i="6"/>
  <c r="N3013" i="6"/>
  <c r="N3115" i="6"/>
  <c r="N3068" i="6"/>
  <c r="N3021" i="6"/>
  <c r="N3124" i="6"/>
  <c r="N3077" i="6"/>
  <c r="N3029" i="6"/>
  <c r="N3137" i="6"/>
  <c r="N3097" i="6"/>
  <c r="N3049" i="6"/>
  <c r="N3004" i="6"/>
  <c r="N2908" i="6"/>
  <c r="N2910" i="6"/>
  <c r="N2979" i="6"/>
  <c r="N2945" i="6"/>
  <c r="N2938" i="6"/>
  <c r="N2947" i="6"/>
  <c r="N2899" i="6"/>
  <c r="N2972" i="6"/>
  <c r="N2872" i="6"/>
  <c r="N2978" i="6"/>
  <c r="N2928" i="6"/>
  <c r="N2871" i="6"/>
  <c r="N2974" i="6"/>
  <c r="N2927" i="6"/>
  <c r="N2888" i="6"/>
  <c r="N2956" i="6"/>
  <c r="N2863" i="6"/>
  <c r="N2965" i="6"/>
  <c r="N2918" i="6"/>
  <c r="N2862" i="6"/>
  <c r="N2964" i="6"/>
  <c r="N2917" i="6"/>
  <c r="N2870" i="6"/>
  <c r="N2973" i="6"/>
  <c r="N2878" i="6"/>
  <c r="N2986" i="6"/>
  <c r="N2946" i="6"/>
  <c r="N2898" i="6"/>
  <c r="N2834" i="6"/>
  <c r="N2833" i="6"/>
  <c r="N2827" i="6"/>
  <c r="N2823" i="6"/>
  <c r="N2822" i="6"/>
  <c r="N2821" i="6"/>
  <c r="N2814" i="6"/>
  <c r="N2813" i="6"/>
  <c r="N2812" i="6"/>
  <c r="N2805" i="6"/>
  <c r="N2804" i="6"/>
  <c r="N2803" i="6"/>
  <c r="N2795" i="6"/>
  <c r="N2796" i="6"/>
  <c r="N2794" i="6"/>
  <c r="N2787" i="6"/>
  <c r="N2786" i="6"/>
  <c r="N2785" i="6"/>
  <c r="N2776" i="6"/>
  <c r="N2777" i="6"/>
  <c r="N2775" i="6"/>
  <c r="N2768" i="6"/>
  <c r="N2767" i="6"/>
  <c r="N2766" i="6"/>
  <c r="N2758" i="6"/>
  <c r="N2759" i="6"/>
  <c r="N2757" i="6"/>
  <c r="N2749" i="6"/>
  <c r="N2748" i="6"/>
  <c r="N2747" i="6"/>
  <c r="N2738" i="6"/>
  <c r="N2737" i="6"/>
  <c r="N2736" i="6"/>
  <c r="N2728" i="6"/>
  <c r="N2729" i="6"/>
  <c r="N2727" i="6"/>
  <c r="N2720" i="6"/>
  <c r="N2721" i="6"/>
  <c r="N2711" i="6"/>
  <c r="N2712" i="6"/>
  <c r="N2719" i="6"/>
  <c r="N2713" i="6"/>
  <c r="N2702" i="6"/>
  <c r="N2704" i="6"/>
  <c r="N2691" i="6"/>
  <c r="N2690" i="6"/>
  <c r="N2689" i="6"/>
  <c r="N2683" i="6"/>
  <c r="N2684" i="6"/>
  <c r="N2682" i="6"/>
  <c r="N2678" i="6"/>
  <c r="N2677" i="6"/>
  <c r="N2676" i="6"/>
  <c r="N2672" i="6"/>
  <c r="N2671" i="6"/>
  <c r="N2670" i="6"/>
  <c r="N2666" i="6"/>
  <c r="N2665" i="6"/>
  <c r="N2664" i="6"/>
  <c r="N2657" i="6"/>
  <c r="N2656" i="6"/>
  <c r="N2655" i="6"/>
  <c r="N2651" i="6"/>
  <c r="N2650" i="6"/>
  <c r="N2649" i="6"/>
  <c r="N2645" i="6"/>
  <c r="N2644" i="6"/>
  <c r="N2643" i="6"/>
  <c r="N2636" i="6"/>
  <c r="N2635" i="6"/>
  <c r="N2634" i="6"/>
  <c r="N2628" i="6"/>
  <c r="N2627" i="6"/>
  <c r="N2626" i="6"/>
  <c r="N2620" i="6"/>
  <c r="N2619" i="6"/>
  <c r="N2618" i="6"/>
  <c r="N2611" i="6"/>
  <c r="N2610" i="6"/>
  <c r="N2609" i="6"/>
  <c r="N2598" i="6"/>
  <c r="N2597" i="6"/>
  <c r="N2596" i="6"/>
  <c r="N2590" i="6"/>
  <c r="N2591" i="6"/>
  <c r="N2589" i="6"/>
  <c r="N2585" i="6"/>
  <c r="N2584" i="6"/>
  <c r="N2583" i="6"/>
  <c r="N2579" i="6"/>
  <c r="N2578" i="6"/>
  <c r="N2577" i="6"/>
  <c r="N2569" i="6"/>
  <c r="N2568" i="6"/>
  <c r="N2567" i="6"/>
  <c r="M2018" i="6"/>
  <c r="M2027" i="6"/>
  <c r="M2046" i="6"/>
  <c r="M2459" i="6"/>
  <c r="N2457" i="6" s="1"/>
  <c r="M2504" i="6"/>
  <c r="N2503" i="6" s="1"/>
  <c r="M2514" i="6"/>
  <c r="N2512" i="6" s="1"/>
  <c r="M2523" i="6"/>
  <c r="N2520" i="6" s="1"/>
  <c r="M2542" i="6"/>
  <c r="M2551" i="6"/>
  <c r="N2548" i="6" s="1"/>
  <c r="M2557" i="6"/>
  <c r="N2555" i="6" s="1"/>
  <c r="M2087" i="6"/>
  <c r="M2160" i="6"/>
  <c r="M2170" i="6"/>
  <c r="N2167" i="6" s="1"/>
  <c r="M2179" i="6"/>
  <c r="M2185" i="6"/>
  <c r="M2198" i="6"/>
  <c r="N2195" i="6" s="1"/>
  <c r="M2211" i="6"/>
  <c r="M2220" i="6"/>
  <c r="N2218" i="6" s="1"/>
  <c r="M2228" i="6"/>
  <c r="N2227" i="6" s="1"/>
  <c r="M2236" i="6"/>
  <c r="N2234" i="6" s="1"/>
  <c r="M2245" i="6"/>
  <c r="M2322" i="6"/>
  <c r="N2321" i="6" s="1"/>
  <c r="M2335" i="6"/>
  <c r="M2344" i="6"/>
  <c r="M2369" i="6"/>
  <c r="N2367" i="6" s="1"/>
  <c r="M2380" i="6"/>
  <c r="N2378" i="6" s="1"/>
  <c r="M2408" i="6"/>
  <c r="N2406" i="6" s="1"/>
  <c r="M2418" i="6"/>
  <c r="N2415" i="6" s="1"/>
  <c r="M2427" i="6"/>
  <c r="N2425" i="6" s="1"/>
  <c r="M2433" i="6"/>
  <c r="N2430" i="6" s="1"/>
  <c r="M2446" i="6"/>
  <c r="N2443" i="6" s="1"/>
  <c r="M2468" i="6"/>
  <c r="N2467" i="6" s="1"/>
  <c r="M2476" i="6"/>
  <c r="N2475" i="6" s="1"/>
  <c r="M2484" i="6"/>
  <c r="N2482" i="6" s="1"/>
  <c r="M2493" i="6"/>
  <c r="N2492" i="6" s="1"/>
  <c r="M2532" i="6"/>
  <c r="N2530" i="6" s="1"/>
  <c r="M2563" i="6"/>
  <c r="N2562" i="6" s="1"/>
  <c r="M2352" i="6"/>
  <c r="N2350" i="6" s="1"/>
  <c r="M2360" i="6"/>
  <c r="N2357" i="6" s="1"/>
  <c r="M2390" i="6"/>
  <c r="N2388" i="6" s="1"/>
  <c r="M2399" i="6"/>
  <c r="N2396" i="6" s="1"/>
  <c r="M2439" i="6"/>
  <c r="N2438" i="6" s="1"/>
  <c r="M2256" i="6"/>
  <c r="M2266" i="6"/>
  <c r="M2275" i="6"/>
  <c r="N2274" i="6" s="1"/>
  <c r="M2284" i="6"/>
  <c r="M2294" i="6"/>
  <c r="N2291" i="6" s="1"/>
  <c r="M2303" i="6"/>
  <c r="M2309" i="6"/>
  <c r="M2315" i="6"/>
  <c r="N2312" i="6" s="1"/>
  <c r="M2074" i="6"/>
  <c r="M2096" i="6"/>
  <c r="N2095" i="6" s="1"/>
  <c r="M2104" i="6"/>
  <c r="N2103" i="6" s="1"/>
  <c r="M2112" i="6"/>
  <c r="N2111" i="6" s="1"/>
  <c r="M2121" i="6"/>
  <c r="N2119" i="6" s="1"/>
  <c r="M2132" i="6"/>
  <c r="M2142" i="6"/>
  <c r="N2139" i="6" s="1"/>
  <c r="M2151" i="6"/>
  <c r="N2150" i="6" s="1"/>
  <c r="M2191" i="6"/>
  <c r="N2189" i="6" s="1"/>
  <c r="M2036" i="6"/>
  <c r="M2055" i="6"/>
  <c r="M2061" i="6"/>
  <c r="M2067" i="6"/>
  <c r="M1931" i="6"/>
  <c r="M1937" i="6"/>
  <c r="M1950" i="6"/>
  <c r="M1963" i="6"/>
  <c r="M1972" i="6"/>
  <c r="M1980" i="6"/>
  <c r="M1988" i="6"/>
  <c r="M1997" i="6"/>
  <c r="M2008" i="6"/>
  <c r="M1943" i="6"/>
  <c r="M1922" i="6"/>
  <c r="M1865" i="6"/>
  <c r="M1878" i="6"/>
  <c r="M1887" i="6"/>
  <c r="M1895" i="6"/>
  <c r="M1904" i="6"/>
  <c r="M1913" i="6"/>
  <c r="M1442" i="6"/>
  <c r="M1455" i="6"/>
  <c r="M1464" i="6"/>
  <c r="M1472" i="6"/>
  <c r="M1536" i="6"/>
  <c r="M1549" i="6"/>
  <c r="N1548" i="6" s="1"/>
  <c r="M1558" i="6"/>
  <c r="N1557" i="6" s="1"/>
  <c r="M1566" i="6"/>
  <c r="N1563" i="6" s="1"/>
  <c r="M1678" i="6"/>
  <c r="N1677" i="6" s="1"/>
  <c r="M1687" i="6"/>
  <c r="N1684" i="6" s="1"/>
  <c r="M1696" i="6"/>
  <c r="N1695" i="6" s="1"/>
  <c r="M1711" i="6"/>
  <c r="M1717" i="6"/>
  <c r="M1734" i="6"/>
  <c r="N1732" i="6" s="1"/>
  <c r="M1743" i="6"/>
  <c r="N1742" i="6" s="1"/>
  <c r="M1752" i="6"/>
  <c r="N1751" i="6" s="1"/>
  <c r="M1758" i="6"/>
  <c r="M1772" i="6"/>
  <c r="M1781" i="6"/>
  <c r="N1780" i="6" s="1"/>
  <c r="M1790" i="6"/>
  <c r="N1787" i="6" s="1"/>
  <c r="M1799" i="6"/>
  <c r="N1798" i="6" s="1"/>
  <c r="M1805" i="6"/>
  <c r="M1811" i="6"/>
  <c r="N1810" i="6" s="1"/>
  <c r="M1819" i="6"/>
  <c r="N1818" i="6" s="1"/>
  <c r="M1828" i="6"/>
  <c r="N1827" i="6" s="1"/>
  <c r="M1837" i="6"/>
  <c r="M1846" i="6"/>
  <c r="N1845" i="6" s="1"/>
  <c r="M1852" i="6"/>
  <c r="N1849" i="6" s="1"/>
  <c r="M1858" i="6"/>
  <c r="N1855" i="6" s="1"/>
  <c r="M1725" i="6"/>
  <c r="N1723" i="6" s="1"/>
  <c r="M1764" i="6"/>
  <c r="N1763" i="6" s="1"/>
  <c r="M1705" i="6"/>
  <c r="M1640" i="6"/>
  <c r="N1638" i="6" s="1"/>
  <c r="M1649" i="6"/>
  <c r="N1646" i="6" s="1"/>
  <c r="M1631" i="6"/>
  <c r="M1658" i="6"/>
  <c r="N1657" i="6" s="1"/>
  <c r="M1664" i="6"/>
  <c r="M1670" i="6"/>
  <c r="N1667" i="6" s="1"/>
  <c r="M1575" i="6"/>
  <c r="M1584" i="6"/>
  <c r="M1593" i="6"/>
  <c r="M1602" i="6"/>
  <c r="N1599" i="6" s="1"/>
  <c r="M1611" i="6"/>
  <c r="N1608" i="6" s="1"/>
  <c r="M1623" i="6"/>
  <c r="M1617" i="6"/>
  <c r="N1615" i="6" s="1"/>
  <c r="M1481" i="6"/>
  <c r="N1480" i="6" s="1"/>
  <c r="M1490" i="6"/>
  <c r="N1487" i="6" s="1"/>
  <c r="M1499" i="6"/>
  <c r="M1508" i="6"/>
  <c r="N1505" i="6" s="1"/>
  <c r="M1517" i="6"/>
  <c r="N1515" i="6" s="1"/>
  <c r="M1523" i="6"/>
  <c r="N1521" i="6" s="1"/>
  <c r="M1529" i="6"/>
  <c r="M1435" i="6"/>
  <c r="N1433" i="6" s="1"/>
  <c r="M1429" i="6"/>
  <c r="M1423" i="6"/>
  <c r="M1414" i="6"/>
  <c r="N1411" i="6" s="1"/>
  <c r="M1405" i="6"/>
  <c r="N1404" i="6" s="1"/>
  <c r="M1396" i="6"/>
  <c r="M1387" i="6"/>
  <c r="N1384" i="6" s="1"/>
  <c r="M1378" i="6"/>
  <c r="N1375" i="6" s="1"/>
  <c r="M1370" i="6"/>
  <c r="N1369" i="6" s="1"/>
  <c r="M1361" i="6"/>
  <c r="N1359" i="6" s="1"/>
  <c r="M1348" i="6"/>
  <c r="M1320" i="6"/>
  <c r="M1311" i="6"/>
  <c r="N1309" i="6" s="1"/>
  <c r="M1254" i="6"/>
  <c r="N1251" i="6" s="1"/>
  <c r="M1267" i="6"/>
  <c r="N1266" i="6" s="1"/>
  <c r="M1276" i="6"/>
  <c r="M1293" i="6"/>
  <c r="M1302" i="6"/>
  <c r="M1284" i="6"/>
  <c r="M1329" i="6"/>
  <c r="M1335" i="6"/>
  <c r="M1341" i="6"/>
  <c r="M774" i="6"/>
  <c r="N771" i="6" s="1"/>
  <c r="M820" i="6"/>
  <c r="N817" i="6" s="1"/>
  <c r="M833" i="6"/>
  <c r="N832" i="6" s="1"/>
  <c r="M842" i="6"/>
  <c r="N840" i="6" s="1"/>
  <c r="M850" i="6"/>
  <c r="M859" i="6"/>
  <c r="N858" i="6" s="1"/>
  <c r="M868" i="6"/>
  <c r="N865" i="6" s="1"/>
  <c r="M877" i="6"/>
  <c r="N875" i="6" s="1"/>
  <c r="M883" i="6"/>
  <c r="N881" i="6" s="1"/>
  <c r="M889" i="6"/>
  <c r="N886" i="6" s="1"/>
  <c r="M896" i="6"/>
  <c r="M909" i="6"/>
  <c r="M918" i="6"/>
  <c r="N917" i="6" s="1"/>
  <c r="M926" i="6"/>
  <c r="N923" i="6" s="1"/>
  <c r="M935" i="6"/>
  <c r="N932" i="6" s="1"/>
  <c r="M944" i="6"/>
  <c r="M953" i="6"/>
  <c r="N951" i="6" s="1"/>
  <c r="M959" i="6"/>
  <c r="N956" i="6" s="1"/>
  <c r="M965" i="6"/>
  <c r="N963" i="6" s="1"/>
  <c r="M737" i="6"/>
  <c r="M757" i="6"/>
  <c r="N754" i="6" s="1"/>
  <c r="M766" i="6"/>
  <c r="N763" i="6" s="1"/>
  <c r="M783" i="6"/>
  <c r="N782" i="6" s="1"/>
  <c r="M792" i="6"/>
  <c r="M801" i="6"/>
  <c r="N799" i="6" s="1"/>
  <c r="M807" i="6"/>
  <c r="N805" i="6" s="1"/>
  <c r="M813" i="6"/>
  <c r="N810" i="6" s="1"/>
  <c r="M744" i="6"/>
  <c r="M690" i="6"/>
  <c r="N689" i="6" s="1"/>
  <c r="M707" i="6"/>
  <c r="N704" i="6" s="1"/>
  <c r="M716" i="6"/>
  <c r="N715" i="6" s="1"/>
  <c r="M725" i="6"/>
  <c r="N723" i="6" s="1"/>
  <c r="M731" i="6"/>
  <c r="N728" i="6" s="1"/>
  <c r="M668" i="6"/>
  <c r="M681" i="6"/>
  <c r="N680" i="6" s="1"/>
  <c r="M698" i="6"/>
  <c r="M660" i="6"/>
  <c r="M659" i="6"/>
  <c r="M658" i="6"/>
  <c r="M654" i="6"/>
  <c r="M653" i="6"/>
  <c r="M652" i="6"/>
  <c r="M648" i="6"/>
  <c r="M647" i="6"/>
  <c r="M646" i="6"/>
  <c r="M639" i="6"/>
  <c r="M638" i="6"/>
  <c r="M637" i="6"/>
  <c r="M630" i="6"/>
  <c r="M629" i="6"/>
  <c r="M628" i="6"/>
  <c r="M621" i="6"/>
  <c r="M620" i="6"/>
  <c r="M619" i="6"/>
  <c r="M613" i="6"/>
  <c r="M612" i="6"/>
  <c r="M611" i="6"/>
  <c r="M604" i="6"/>
  <c r="M603" i="6"/>
  <c r="M602" i="6"/>
  <c r="M591" i="6"/>
  <c r="M590" i="6"/>
  <c r="M589" i="6"/>
  <c r="M584" i="6"/>
  <c r="M583" i="6"/>
  <c r="M582" i="6"/>
  <c r="M578" i="6"/>
  <c r="M577" i="6"/>
  <c r="M576" i="6"/>
  <c r="M572" i="6"/>
  <c r="M571" i="6"/>
  <c r="M570" i="6"/>
  <c r="M563" i="6"/>
  <c r="M562" i="6"/>
  <c r="M561" i="6"/>
  <c r="M554" i="6"/>
  <c r="M553" i="6"/>
  <c r="M552" i="6"/>
  <c r="M545" i="6"/>
  <c r="M544" i="6"/>
  <c r="M543" i="6"/>
  <c r="M534" i="6"/>
  <c r="M533" i="6"/>
  <c r="M532" i="6"/>
  <c r="T527" i="6"/>
  <c r="M523" i="6"/>
  <c r="M522" i="6"/>
  <c r="M521" i="6"/>
  <c r="M514" i="6"/>
  <c r="M513" i="6"/>
  <c r="M512" i="6"/>
  <c r="M506" i="6"/>
  <c r="M505" i="6"/>
  <c r="M504" i="6"/>
  <c r="M498" i="6"/>
  <c r="M497" i="6"/>
  <c r="M496" i="6"/>
  <c r="M489" i="6"/>
  <c r="M488" i="6"/>
  <c r="M487" i="6"/>
  <c r="M476" i="6"/>
  <c r="M475" i="6"/>
  <c r="M474" i="6"/>
  <c r="M469" i="6"/>
  <c r="M468" i="6"/>
  <c r="M467" i="6"/>
  <c r="M463" i="6"/>
  <c r="M462" i="6"/>
  <c r="M461" i="6"/>
  <c r="M457" i="6"/>
  <c r="M456" i="6"/>
  <c r="M455" i="6"/>
  <c r="M448" i="6"/>
  <c r="M447" i="6"/>
  <c r="M446" i="6"/>
  <c r="M439" i="6"/>
  <c r="M438" i="6"/>
  <c r="M437" i="6"/>
  <c r="M430" i="6"/>
  <c r="M429" i="6"/>
  <c r="M428" i="6"/>
  <c r="M419" i="6"/>
  <c r="M418" i="6"/>
  <c r="M417" i="6"/>
  <c r="T412" i="6"/>
  <c r="M408" i="6"/>
  <c r="M407" i="6"/>
  <c r="M406" i="6"/>
  <c r="M399" i="6"/>
  <c r="M398" i="6"/>
  <c r="M397" i="6"/>
  <c r="M391" i="6"/>
  <c r="M390" i="6"/>
  <c r="M389" i="6"/>
  <c r="M383" i="6"/>
  <c r="M382" i="6"/>
  <c r="M381" i="6"/>
  <c r="M374" i="6"/>
  <c r="M373" i="6"/>
  <c r="M372" i="6"/>
  <c r="M361" i="6"/>
  <c r="M360" i="6"/>
  <c r="M359" i="6"/>
  <c r="M354" i="6"/>
  <c r="M353" i="6"/>
  <c r="M352" i="6"/>
  <c r="M348" i="6"/>
  <c r="M347" i="6"/>
  <c r="M346" i="6"/>
  <c r="M342" i="6"/>
  <c r="M341" i="6"/>
  <c r="M340" i="6"/>
  <c r="M333" i="6"/>
  <c r="M332" i="6"/>
  <c r="M331" i="6"/>
  <c r="M324" i="6"/>
  <c r="M323" i="6"/>
  <c r="M322" i="6"/>
  <c r="M315" i="6"/>
  <c r="M314" i="6"/>
  <c r="M313" i="6"/>
  <c r="M304" i="6"/>
  <c r="M303" i="6"/>
  <c r="M302" i="6"/>
  <c r="T297" i="6"/>
  <c r="M291" i="6"/>
  <c r="M290" i="6"/>
  <c r="M283" i="6"/>
  <c r="M282" i="6"/>
  <c r="M276" i="6"/>
  <c r="M275" i="6"/>
  <c r="M274" i="6"/>
  <c r="M268" i="6"/>
  <c r="M267" i="6"/>
  <c r="M266" i="6"/>
  <c r="M259" i="6"/>
  <c r="M258" i="6"/>
  <c r="M257" i="6"/>
  <c r="M246" i="6"/>
  <c r="M245" i="6"/>
  <c r="M244" i="6"/>
  <c r="M239" i="6"/>
  <c r="M238" i="6"/>
  <c r="M237" i="6"/>
  <c r="M233" i="6"/>
  <c r="M232" i="6"/>
  <c r="M231" i="6"/>
  <c r="M227" i="6"/>
  <c r="M226" i="6"/>
  <c r="M225" i="6"/>
  <c r="M218" i="6"/>
  <c r="M217" i="6"/>
  <c r="M216" i="6"/>
  <c r="M209" i="6"/>
  <c r="M208" i="6"/>
  <c r="M207" i="6"/>
  <c r="M200" i="6"/>
  <c r="M199" i="6"/>
  <c r="M198" i="6"/>
  <c r="M189" i="6"/>
  <c r="M188" i="6"/>
  <c r="M187" i="6"/>
  <c r="T182" i="6"/>
  <c r="M178" i="6"/>
  <c r="M177" i="6"/>
  <c r="M176" i="6"/>
  <c r="M169" i="6"/>
  <c r="M168" i="6"/>
  <c r="M167" i="6"/>
  <c r="M161" i="6"/>
  <c r="M160" i="6"/>
  <c r="M159" i="6"/>
  <c r="M153" i="6"/>
  <c r="M152" i="6"/>
  <c r="M151" i="6"/>
  <c r="M144" i="6"/>
  <c r="M143" i="6"/>
  <c r="M142" i="6"/>
  <c r="M131" i="6"/>
  <c r="M130" i="6"/>
  <c r="M129" i="6"/>
  <c r="N688" i="14" l="1"/>
  <c r="O116" i="14"/>
  <c r="P155" i="14"/>
  <c r="P122" i="14"/>
  <c r="Q164" i="14"/>
  <c r="N126" i="14"/>
  <c r="P208" i="14"/>
  <c r="O124" i="14"/>
  <c r="O167" i="14"/>
  <c r="N129" i="14"/>
  <c r="Q126" i="14"/>
  <c r="P121" i="14"/>
  <c r="Q121" i="14"/>
  <c r="Q533" i="14"/>
  <c r="K114" i="14"/>
  <c r="O114" i="14"/>
  <c r="Q170" i="14"/>
  <c r="O129" i="14"/>
  <c r="O130" i="14"/>
  <c r="P118" i="14"/>
  <c r="N167" i="14"/>
  <c r="Q167" i="14"/>
  <c r="O169" i="14"/>
  <c r="P169" i="14"/>
  <c r="P342" i="14"/>
  <c r="O205" i="14"/>
  <c r="O208" i="14"/>
  <c r="Q114" i="14"/>
  <c r="N116" i="14"/>
  <c r="N169" i="14"/>
  <c r="P202" i="14"/>
  <c r="Q196" i="14"/>
  <c r="F193" i="14"/>
  <c r="N120" i="14"/>
  <c r="N196" i="14"/>
  <c r="O196" i="14"/>
  <c r="P642" i="14"/>
  <c r="Q636" i="14"/>
  <c r="O547" i="14"/>
  <c r="P205" i="14"/>
  <c r="K194" i="14"/>
  <c r="N122" i="14"/>
  <c r="D113" i="14"/>
  <c r="P547" i="14"/>
  <c r="Q200" i="14"/>
  <c r="N118" i="14"/>
  <c r="Q130" i="14"/>
  <c r="P129" i="14"/>
  <c r="Q117" i="14"/>
  <c r="Q127" i="14"/>
  <c r="O127" i="14"/>
  <c r="O542" i="14"/>
  <c r="P194" i="14"/>
  <c r="N114" i="14"/>
  <c r="N121" i="14"/>
  <c r="Q100" i="14"/>
  <c r="K100" i="14"/>
  <c r="N100" i="14"/>
  <c r="P100" i="14"/>
  <c r="O100" i="14"/>
  <c r="O107" i="14"/>
  <c r="Q107" i="14"/>
  <c r="N107" i="14"/>
  <c r="P107" i="14"/>
  <c r="K107" i="14"/>
  <c r="O82" i="14"/>
  <c r="P82" i="14"/>
  <c r="Q82" i="14"/>
  <c r="N82" i="14"/>
  <c r="J113" i="14"/>
  <c r="L113" i="14" s="1"/>
  <c r="N117" i="14"/>
  <c r="Q60" i="14"/>
  <c r="P60" i="14"/>
  <c r="O60" i="14"/>
  <c r="N60" i="14"/>
  <c r="D53" i="14"/>
  <c r="D54" i="14"/>
  <c r="J54" i="14" s="1"/>
  <c r="L54" i="14" s="1"/>
  <c r="K70" i="14"/>
  <c r="Q70" i="14"/>
  <c r="N70" i="14"/>
  <c r="O70" i="14"/>
  <c r="P70" i="14"/>
  <c r="N67" i="14"/>
  <c r="O67" i="14"/>
  <c r="P67" i="14"/>
  <c r="Q67" i="14"/>
  <c r="K67" i="14"/>
  <c r="O55" i="14"/>
  <c r="N55" i="14"/>
  <c r="P55" i="14"/>
  <c r="Q55" i="14"/>
  <c r="O535" i="14"/>
  <c r="Q335" i="14"/>
  <c r="Q348" i="14"/>
  <c r="Q350" i="14"/>
  <c r="O193" i="14"/>
  <c r="W114" i="14"/>
  <c r="V114" i="14" s="1"/>
  <c r="AV15" i="15" s="1"/>
  <c r="P124" i="14"/>
  <c r="O113" i="14"/>
  <c r="J53" i="14"/>
  <c r="L53" i="14" s="1"/>
  <c r="K53" i="14"/>
  <c r="Q53" i="14"/>
  <c r="O53" i="14"/>
  <c r="N53" i="14"/>
  <c r="P53" i="14"/>
  <c r="Q63" i="14"/>
  <c r="N63" i="14"/>
  <c r="P63" i="14"/>
  <c r="O63" i="14"/>
  <c r="P66" i="14"/>
  <c r="K66" i="14"/>
  <c r="O66" i="14"/>
  <c r="N66" i="14"/>
  <c r="Q66" i="14"/>
  <c r="Q65" i="14"/>
  <c r="N65" i="14"/>
  <c r="O65" i="14"/>
  <c r="K65" i="14"/>
  <c r="P65" i="14"/>
  <c r="Q56" i="14"/>
  <c r="O56" i="14"/>
  <c r="P56" i="14"/>
  <c r="N56" i="14"/>
  <c r="N103" i="14"/>
  <c r="P103" i="14"/>
  <c r="Q103" i="14"/>
  <c r="O103" i="14"/>
  <c r="K103" i="14"/>
  <c r="K108" i="14"/>
  <c r="P108" i="14"/>
  <c r="O108" i="14"/>
  <c r="Q108" i="14"/>
  <c r="J108" i="14"/>
  <c r="L108" i="14" s="1"/>
  <c r="N108" i="14"/>
  <c r="J110" i="14"/>
  <c r="L110" i="14" s="1"/>
  <c r="N110" i="14"/>
  <c r="O110" i="14"/>
  <c r="Q110" i="14"/>
  <c r="P110" i="14"/>
  <c r="K110" i="14"/>
  <c r="K94" i="14"/>
  <c r="N94" i="14"/>
  <c r="Q94" i="14"/>
  <c r="O94" i="14"/>
  <c r="P94" i="14"/>
  <c r="J94" i="14"/>
  <c r="L94" i="14" s="1"/>
  <c r="K105" i="14"/>
  <c r="Q105" i="14"/>
  <c r="N105" i="14"/>
  <c r="O105" i="14"/>
  <c r="P105" i="14"/>
  <c r="O80" i="14"/>
  <c r="P80" i="14"/>
  <c r="N80" i="14"/>
  <c r="Q80" i="14"/>
  <c r="N81" i="14"/>
  <c r="P81" i="14"/>
  <c r="Q81" i="14"/>
  <c r="O81" i="14"/>
  <c r="O73" i="14"/>
  <c r="Q73" i="14"/>
  <c r="P73" i="14"/>
  <c r="N73" i="14"/>
  <c r="K73" i="14"/>
  <c r="J73" i="14"/>
  <c r="L73" i="14" s="1"/>
  <c r="Q87" i="14"/>
  <c r="O87" i="14"/>
  <c r="N87" i="14"/>
  <c r="P87" i="14"/>
  <c r="O75" i="14"/>
  <c r="Q75" i="14"/>
  <c r="N75" i="14"/>
  <c r="P75" i="14"/>
  <c r="F74" i="14"/>
  <c r="F75" i="14" s="1"/>
  <c r="F76" i="14" s="1"/>
  <c r="F77" i="14" s="1"/>
  <c r="F78" i="14" s="1"/>
  <c r="B45" i="15"/>
  <c r="F73" i="14"/>
  <c r="P64" i="14"/>
  <c r="N64" i="14"/>
  <c r="O64" i="14"/>
  <c r="Q64" i="14"/>
  <c r="P69" i="14"/>
  <c r="K69" i="14"/>
  <c r="O69" i="14"/>
  <c r="N69" i="14"/>
  <c r="Q69" i="14"/>
  <c r="Q61" i="14"/>
  <c r="P61" i="14"/>
  <c r="N61" i="14"/>
  <c r="O61" i="14"/>
  <c r="Q58" i="14"/>
  <c r="N58" i="14"/>
  <c r="P58" i="14"/>
  <c r="O58" i="14"/>
  <c r="K109" i="14"/>
  <c r="N109" i="14"/>
  <c r="P109" i="14"/>
  <c r="Q109" i="14"/>
  <c r="J109" i="14"/>
  <c r="L109" i="14" s="1"/>
  <c r="O109" i="14"/>
  <c r="O95" i="14"/>
  <c r="Q95" i="14"/>
  <c r="P95" i="14"/>
  <c r="N95" i="14"/>
  <c r="K95" i="14"/>
  <c r="J95" i="14"/>
  <c r="L95" i="14" s="1"/>
  <c r="O76" i="14"/>
  <c r="Q76" i="14"/>
  <c r="P76" i="14"/>
  <c r="N76" i="14"/>
  <c r="N77" i="14"/>
  <c r="Q77" i="14"/>
  <c r="O77" i="14"/>
  <c r="P77" i="14"/>
  <c r="D73" i="14"/>
  <c r="D74" i="14"/>
  <c r="P201" i="14"/>
  <c r="N113" i="14"/>
  <c r="O106" i="14"/>
  <c r="N106" i="14"/>
  <c r="P106" i="14"/>
  <c r="K106" i="14"/>
  <c r="Q106" i="14"/>
  <c r="O101" i="14"/>
  <c r="Q101" i="14"/>
  <c r="K101" i="14"/>
  <c r="P101" i="14"/>
  <c r="N101" i="14"/>
  <c r="P98" i="14"/>
  <c r="Q98" i="14"/>
  <c r="K98" i="14"/>
  <c r="O98" i="14"/>
  <c r="N98" i="14"/>
  <c r="K99" i="14"/>
  <c r="P99" i="14"/>
  <c r="O99" i="14"/>
  <c r="N99" i="14"/>
  <c r="Q99" i="14"/>
  <c r="N104" i="14"/>
  <c r="Q104" i="14"/>
  <c r="O104" i="14"/>
  <c r="P104" i="14"/>
  <c r="K104" i="14"/>
  <c r="Q84" i="14"/>
  <c r="N84" i="14"/>
  <c r="O84" i="14"/>
  <c r="P84" i="14"/>
  <c r="O78" i="14"/>
  <c r="P78" i="14"/>
  <c r="N78" i="14"/>
  <c r="Q78" i="14"/>
  <c r="N74" i="14"/>
  <c r="O74" i="14"/>
  <c r="P74" i="14"/>
  <c r="Q74" i="14"/>
  <c r="J74" i="14"/>
  <c r="L74" i="14" s="1"/>
  <c r="O89" i="14"/>
  <c r="Q89" i="14"/>
  <c r="N89" i="14"/>
  <c r="P89" i="14"/>
  <c r="K89" i="14"/>
  <c r="N85" i="14"/>
  <c r="Q85" i="14"/>
  <c r="P85" i="14"/>
  <c r="O85" i="14"/>
  <c r="B46" i="15"/>
  <c r="F93" i="14"/>
  <c r="F94" i="14"/>
  <c r="F95" i="14" s="1"/>
  <c r="F96" i="14" s="1"/>
  <c r="F97" i="14" s="1"/>
  <c r="F98" i="14" s="1"/>
  <c r="F99" i="14" s="1"/>
  <c r="F100" i="14" s="1"/>
  <c r="F101" i="14" s="1"/>
  <c r="F102" i="14" s="1"/>
  <c r="F103" i="14" s="1"/>
  <c r="F104" i="14" s="1"/>
  <c r="F105" i="14" s="1"/>
  <c r="F106" i="14" s="1"/>
  <c r="F107" i="14" s="1"/>
  <c r="F108" i="14" s="1"/>
  <c r="F109" i="14" s="1"/>
  <c r="F110" i="14" s="1"/>
  <c r="N336" i="14"/>
  <c r="N207" i="14"/>
  <c r="Q113" i="14"/>
  <c r="P117" i="14"/>
  <c r="P113" i="14"/>
  <c r="N62" i="14"/>
  <c r="Q62" i="14"/>
  <c r="O62" i="14"/>
  <c r="P62" i="14"/>
  <c r="N57" i="14"/>
  <c r="P57" i="14"/>
  <c r="Q57" i="14"/>
  <c r="O57" i="14"/>
  <c r="Q68" i="14"/>
  <c r="N68" i="14"/>
  <c r="K68" i="14"/>
  <c r="O68" i="14"/>
  <c r="P68" i="14"/>
  <c r="Q59" i="14"/>
  <c r="N59" i="14"/>
  <c r="P59" i="14"/>
  <c r="O59" i="14"/>
  <c r="O54" i="14"/>
  <c r="Q54" i="14"/>
  <c r="N54" i="14"/>
  <c r="P54" i="14"/>
  <c r="Q102" i="14"/>
  <c r="P102" i="14"/>
  <c r="N102" i="14"/>
  <c r="K102" i="14"/>
  <c r="O102" i="14"/>
  <c r="Q96" i="14"/>
  <c r="O96" i="14"/>
  <c r="K96" i="14"/>
  <c r="P96" i="14"/>
  <c r="N96" i="14"/>
  <c r="K97" i="14"/>
  <c r="P97" i="14"/>
  <c r="O97" i="14"/>
  <c r="Q97" i="14"/>
  <c r="N97" i="14"/>
  <c r="O93" i="14"/>
  <c r="P93" i="14"/>
  <c r="K93" i="14"/>
  <c r="Q93" i="14"/>
  <c r="N93" i="14"/>
  <c r="J93" i="14"/>
  <c r="L93" i="14" s="1"/>
  <c r="D93" i="14"/>
  <c r="D94" i="14"/>
  <c r="Q79" i="14"/>
  <c r="P79" i="14"/>
  <c r="N79" i="14"/>
  <c r="O79" i="14"/>
  <c r="O88" i="14"/>
  <c r="P88" i="14"/>
  <c r="Q88" i="14"/>
  <c r="N88" i="14"/>
  <c r="K88" i="14"/>
  <c r="J88" i="14"/>
  <c r="L88" i="14" s="1"/>
  <c r="Q86" i="14"/>
  <c r="N86" i="14"/>
  <c r="O86" i="14"/>
  <c r="P86" i="14"/>
  <c r="N90" i="14"/>
  <c r="Q90" i="14"/>
  <c r="O90" i="14"/>
  <c r="P90" i="14"/>
  <c r="K90" i="14"/>
  <c r="O83" i="14"/>
  <c r="N83" i="14"/>
  <c r="P83" i="14"/>
  <c r="Q83" i="14"/>
  <c r="Q120" i="14"/>
  <c r="O120" i="14"/>
  <c r="F53" i="14"/>
  <c r="B44" i="15"/>
  <c r="F54" i="14"/>
  <c r="F55" i="14" s="1"/>
  <c r="F56" i="14" s="1"/>
  <c r="F57" i="14" s="1"/>
  <c r="F58" i="14" s="1"/>
  <c r="F59" i="14" s="1"/>
  <c r="F60" i="14" s="1"/>
  <c r="F61" i="14" s="1"/>
  <c r="F62" i="14" s="1"/>
  <c r="F63" i="14" s="1"/>
  <c r="F64" i="14" s="1"/>
  <c r="F65" i="14" s="1"/>
  <c r="F66" i="14" s="1"/>
  <c r="F67" i="14" s="1"/>
  <c r="F68" i="14" s="1"/>
  <c r="F69" i="14" s="1"/>
  <c r="F70" i="14" s="1"/>
  <c r="N545" i="14"/>
  <c r="O540" i="14"/>
  <c r="N344" i="14"/>
  <c r="P545" i="14"/>
  <c r="N208" i="14"/>
  <c r="P195" i="14"/>
  <c r="O635" i="14"/>
  <c r="N348" i="14"/>
  <c r="O350" i="14"/>
  <c r="O202" i="14"/>
  <c r="P207" i="14"/>
  <c r="K195" i="14"/>
  <c r="Q197" i="14"/>
  <c r="P335" i="14"/>
  <c r="Q349" i="14"/>
  <c r="P336" i="14"/>
  <c r="Q334" i="14"/>
  <c r="Q202" i="14"/>
  <c r="Q207" i="14"/>
  <c r="N195" i="14"/>
  <c r="Q206" i="14"/>
  <c r="P209" i="14"/>
  <c r="O206" i="14"/>
  <c r="O677" i="14"/>
  <c r="N677" i="14"/>
  <c r="Q537" i="14"/>
  <c r="O335" i="14"/>
  <c r="O336" i="14"/>
  <c r="O210" i="14"/>
  <c r="Q677" i="14"/>
  <c r="Q546" i="14"/>
  <c r="P537" i="14"/>
  <c r="O115" i="14"/>
  <c r="Q115" i="14"/>
  <c r="N115" i="14"/>
  <c r="Q535" i="14"/>
  <c r="K115" i="14"/>
  <c r="N128" i="14"/>
  <c r="O128" i="14"/>
  <c r="Q128" i="14"/>
  <c r="P128" i="14"/>
  <c r="O642" i="14"/>
  <c r="N635" i="14"/>
  <c r="Q534" i="14"/>
  <c r="N535" i="14"/>
  <c r="N540" i="14"/>
  <c r="J333" i="14"/>
  <c r="L333" i="14" s="1"/>
  <c r="P199" i="14"/>
  <c r="Q193" i="14"/>
  <c r="N206" i="14"/>
  <c r="P115" i="14"/>
  <c r="P125" i="14"/>
  <c r="N125" i="14"/>
  <c r="Q125" i="14"/>
  <c r="O125" i="14"/>
  <c r="O646" i="14"/>
  <c r="Q540" i="14"/>
  <c r="D333" i="14"/>
  <c r="N203" i="14"/>
  <c r="J535" i="14"/>
  <c r="L535" i="14" s="1"/>
  <c r="P634" i="14"/>
  <c r="Q635" i="14"/>
  <c r="O543" i="14"/>
  <c r="N544" i="14"/>
  <c r="O199" i="14"/>
  <c r="Q201" i="14"/>
  <c r="D193" i="14"/>
  <c r="N200" i="14"/>
  <c r="K193" i="14"/>
  <c r="N119" i="14"/>
  <c r="P119" i="14"/>
  <c r="Q119" i="14"/>
  <c r="O675" i="14"/>
  <c r="P649" i="14"/>
  <c r="B63" i="15"/>
  <c r="P210" i="14"/>
  <c r="N209" i="14"/>
  <c r="P203" i="14"/>
  <c r="N197" i="14"/>
  <c r="N343" i="14"/>
  <c r="Q210" i="14"/>
  <c r="O209" i="14"/>
  <c r="O203" i="14"/>
  <c r="O197" i="14"/>
  <c r="O687" i="14"/>
  <c r="P644" i="14"/>
  <c r="P647" i="14"/>
  <c r="O342" i="14"/>
  <c r="P339" i="14"/>
  <c r="F153" i="14"/>
  <c r="B49" i="15"/>
  <c r="F154" i="14"/>
  <c r="F155" i="14" s="1"/>
  <c r="F156" i="14" s="1"/>
  <c r="F157" i="14" s="1"/>
  <c r="F158" i="14" s="1"/>
  <c r="F159" i="14" s="1"/>
  <c r="F160" i="14" s="1"/>
  <c r="F161" i="14" s="1"/>
  <c r="F162" i="14" s="1"/>
  <c r="F163" i="14" s="1"/>
  <c r="F164" i="14" s="1"/>
  <c r="F165" i="14" s="1"/>
  <c r="F166" i="14" s="1"/>
  <c r="F167" i="14" s="1"/>
  <c r="N137" i="14"/>
  <c r="O137" i="14"/>
  <c r="P137" i="14"/>
  <c r="Q137" i="14"/>
  <c r="P133" i="14"/>
  <c r="K133" i="14"/>
  <c r="J133" i="14"/>
  <c r="L133" i="14" s="1"/>
  <c r="N133" i="14"/>
  <c r="Q133" i="14"/>
  <c r="O133" i="14"/>
  <c r="P144" i="14"/>
  <c r="Q144" i="14"/>
  <c r="N144" i="14"/>
  <c r="K144" i="14"/>
  <c r="O144" i="14"/>
  <c r="P138" i="14"/>
  <c r="N138" i="14"/>
  <c r="Q138" i="14"/>
  <c r="K138" i="14"/>
  <c r="O138" i="14"/>
  <c r="O147" i="14"/>
  <c r="N147" i="14"/>
  <c r="Q147" i="14"/>
  <c r="P147" i="14"/>
  <c r="N642" i="14"/>
  <c r="N639" i="14"/>
  <c r="N650" i="14"/>
  <c r="O643" i="14"/>
  <c r="K533" i="14"/>
  <c r="O537" i="14"/>
  <c r="Q547" i="14"/>
  <c r="P544" i="14"/>
  <c r="F433" i="14"/>
  <c r="P348" i="14"/>
  <c r="N347" i="14"/>
  <c r="K294" i="14"/>
  <c r="P341" i="14"/>
  <c r="K199" i="14"/>
  <c r="Q199" i="14"/>
  <c r="N198" i="14"/>
  <c r="Q205" i="14"/>
  <c r="O201" i="14"/>
  <c r="O194" i="14"/>
  <c r="O200" i="14"/>
  <c r="P193" i="14"/>
  <c r="J193" i="14"/>
  <c r="L193" i="14" s="1"/>
  <c r="O145" i="14"/>
  <c r="Q145" i="14"/>
  <c r="P145" i="14"/>
  <c r="K145" i="14"/>
  <c r="N145" i="14"/>
  <c r="N134" i="14"/>
  <c r="O134" i="14"/>
  <c r="K134" i="14"/>
  <c r="Q134" i="14"/>
  <c r="P134" i="14"/>
  <c r="Q149" i="14"/>
  <c r="N149" i="14"/>
  <c r="O149" i="14"/>
  <c r="P149" i="14"/>
  <c r="N150" i="14"/>
  <c r="O150" i="14"/>
  <c r="P150" i="14"/>
  <c r="Q150" i="14"/>
  <c r="K615" i="14"/>
  <c r="P346" i="14"/>
  <c r="F133" i="14"/>
  <c r="B48" i="15"/>
  <c r="F134" i="14"/>
  <c r="F135" i="14" s="1"/>
  <c r="F136" i="14" s="1"/>
  <c r="F137" i="14" s="1"/>
  <c r="F138" i="14" s="1"/>
  <c r="F139" i="14" s="1"/>
  <c r="F140" i="14" s="1"/>
  <c r="F141" i="14" s="1"/>
  <c r="F142" i="14" s="1"/>
  <c r="F143" i="14" s="1"/>
  <c r="F144" i="14" s="1"/>
  <c r="F145" i="14" s="1"/>
  <c r="F146" i="14" s="1"/>
  <c r="F147" i="14" s="1"/>
  <c r="F148" i="14" s="1"/>
  <c r="F149" i="14" s="1"/>
  <c r="Q141" i="14"/>
  <c r="N141" i="14"/>
  <c r="O141" i="14"/>
  <c r="P141" i="14"/>
  <c r="K141" i="14"/>
  <c r="Q135" i="14"/>
  <c r="N135" i="14"/>
  <c r="O135" i="14"/>
  <c r="P135" i="14"/>
  <c r="P136" i="14"/>
  <c r="N136" i="14"/>
  <c r="O136" i="14"/>
  <c r="Q136" i="14"/>
  <c r="O148" i="14"/>
  <c r="N148" i="14"/>
  <c r="Q148" i="14"/>
  <c r="P148" i="14"/>
  <c r="K143" i="14"/>
  <c r="Q143" i="14"/>
  <c r="N143" i="14"/>
  <c r="P143" i="14"/>
  <c r="O143" i="14"/>
  <c r="N685" i="14"/>
  <c r="Q541" i="14"/>
  <c r="Q536" i="14"/>
  <c r="N346" i="14"/>
  <c r="P344" i="14"/>
  <c r="O343" i="14"/>
  <c r="N350" i="14"/>
  <c r="O139" i="14"/>
  <c r="Q139" i="14"/>
  <c r="K139" i="14"/>
  <c r="P139" i="14"/>
  <c r="N139" i="14"/>
  <c r="Q146" i="14"/>
  <c r="P146" i="14"/>
  <c r="N146" i="14"/>
  <c r="O146" i="14"/>
  <c r="O142" i="14"/>
  <c r="P142" i="14"/>
  <c r="Q142" i="14"/>
  <c r="N142" i="14"/>
  <c r="K142" i="14"/>
  <c r="N140" i="14"/>
  <c r="O140" i="14"/>
  <c r="Q140" i="14"/>
  <c r="P140" i="14"/>
  <c r="D134" i="14"/>
  <c r="D133" i="14"/>
  <c r="N684" i="14"/>
  <c r="P333" i="14"/>
  <c r="N339" i="14"/>
  <c r="P334" i="14"/>
  <c r="K200" i="14"/>
  <c r="O186" i="14"/>
  <c r="P186" i="14"/>
  <c r="N186" i="14"/>
  <c r="Q186" i="14"/>
  <c r="P189" i="14"/>
  <c r="Q189" i="14"/>
  <c r="N189" i="14"/>
  <c r="O189" i="14"/>
  <c r="D173" i="14"/>
  <c r="D174" i="14"/>
  <c r="Q177" i="14"/>
  <c r="N177" i="14"/>
  <c r="O177" i="14"/>
  <c r="P177" i="14"/>
  <c r="P185" i="14"/>
  <c r="Q185" i="14"/>
  <c r="O185" i="14"/>
  <c r="N185" i="14"/>
  <c r="D116" i="14"/>
  <c r="J115" i="14"/>
  <c r="L115" i="14" s="1"/>
  <c r="W115" i="14"/>
  <c r="V115" i="14" s="1"/>
  <c r="AV16" i="15" s="1"/>
  <c r="Q181" i="14"/>
  <c r="N181" i="14"/>
  <c r="O181" i="14"/>
  <c r="P181" i="14"/>
  <c r="Q548" i="14"/>
  <c r="N345" i="14"/>
  <c r="O183" i="14"/>
  <c r="P183" i="14"/>
  <c r="N183" i="14"/>
  <c r="Q183" i="14"/>
  <c r="P174" i="14"/>
  <c r="N174" i="14"/>
  <c r="Q174" i="14"/>
  <c r="O174" i="14"/>
  <c r="O190" i="14"/>
  <c r="P190" i="14"/>
  <c r="Q190" i="14"/>
  <c r="N190" i="14"/>
  <c r="O173" i="14"/>
  <c r="K173" i="14"/>
  <c r="J173" i="14"/>
  <c r="L173" i="14" s="1"/>
  <c r="N173" i="14"/>
  <c r="Q173" i="14"/>
  <c r="P173" i="14"/>
  <c r="Q187" i="14"/>
  <c r="P187" i="14"/>
  <c r="N187" i="14"/>
  <c r="O187" i="14"/>
  <c r="K148" i="14"/>
  <c r="O178" i="14"/>
  <c r="N178" i="14"/>
  <c r="P178" i="14"/>
  <c r="Q178" i="14"/>
  <c r="P182" i="14"/>
  <c r="O182" i="14"/>
  <c r="N182" i="14"/>
  <c r="Q182" i="14"/>
  <c r="Q179" i="14"/>
  <c r="P179" i="14"/>
  <c r="N179" i="14"/>
  <c r="O179" i="14"/>
  <c r="K116" i="14"/>
  <c r="F117" i="14"/>
  <c r="J135" i="14"/>
  <c r="L135" i="14" s="1"/>
  <c r="Q644" i="14"/>
  <c r="N548" i="14"/>
  <c r="N550" i="14"/>
  <c r="N638" i="14"/>
  <c r="O550" i="14"/>
  <c r="Q333" i="14"/>
  <c r="O333" i="14"/>
  <c r="O334" i="14"/>
  <c r="O644" i="14"/>
  <c r="O649" i="14"/>
  <c r="J533" i="14"/>
  <c r="L533" i="14" s="1"/>
  <c r="O549" i="14"/>
  <c r="P345" i="14"/>
  <c r="Q339" i="14"/>
  <c r="O184" i="14"/>
  <c r="N184" i="14"/>
  <c r="Q184" i="14"/>
  <c r="P184" i="14"/>
  <c r="P180" i="14"/>
  <c r="N180" i="14"/>
  <c r="Q180" i="14"/>
  <c r="O180" i="14"/>
  <c r="P176" i="14"/>
  <c r="O176" i="14"/>
  <c r="Q176" i="14"/>
  <c r="N176" i="14"/>
  <c r="N188" i="14"/>
  <c r="P188" i="14"/>
  <c r="O188" i="14"/>
  <c r="Q188" i="14"/>
  <c r="P175" i="14"/>
  <c r="O175" i="14"/>
  <c r="Q175" i="14"/>
  <c r="N175" i="14"/>
  <c r="B50" i="15"/>
  <c r="F173" i="14"/>
  <c r="F174" i="14"/>
  <c r="F175" i="14" s="1"/>
  <c r="F176" i="14" s="1"/>
  <c r="P683" i="14"/>
  <c r="Q646" i="14"/>
  <c r="N641" i="14"/>
  <c r="N349" i="14"/>
  <c r="Q338" i="14"/>
  <c r="O308" i="14"/>
  <c r="N308" i="14"/>
  <c r="P308" i="14"/>
  <c r="Q308" i="14"/>
  <c r="Q302" i="14"/>
  <c r="O302" i="14"/>
  <c r="P302" i="14"/>
  <c r="N302" i="14"/>
  <c r="O296" i="14"/>
  <c r="Q296" i="14"/>
  <c r="P296" i="14"/>
  <c r="N296" i="14"/>
  <c r="O301" i="14"/>
  <c r="P301" i="14"/>
  <c r="N301" i="14"/>
  <c r="K301" i="14"/>
  <c r="Q301" i="14"/>
  <c r="O307" i="14"/>
  <c r="N307" i="14"/>
  <c r="Q307" i="14"/>
  <c r="P307" i="14"/>
  <c r="N238" i="14"/>
  <c r="O238" i="14"/>
  <c r="Q238" i="14"/>
  <c r="P238" i="14"/>
  <c r="Q234" i="14"/>
  <c r="N234" i="14"/>
  <c r="O234" i="14"/>
  <c r="P234" i="14"/>
  <c r="O239" i="14"/>
  <c r="N239" i="14"/>
  <c r="P239" i="14"/>
  <c r="Q239" i="14"/>
  <c r="O244" i="14"/>
  <c r="N244" i="14"/>
  <c r="P244" i="14"/>
  <c r="Q244" i="14"/>
  <c r="P243" i="14"/>
  <c r="O243" i="14"/>
  <c r="N243" i="14"/>
  <c r="Q243" i="14"/>
  <c r="J97" i="14"/>
  <c r="L97" i="14" s="1"/>
  <c r="N257" i="14"/>
  <c r="O257" i="14"/>
  <c r="Q257" i="14"/>
  <c r="P257" i="14"/>
  <c r="N258" i="14"/>
  <c r="P258" i="14"/>
  <c r="Q258" i="14"/>
  <c r="O258" i="14"/>
  <c r="N254" i="14"/>
  <c r="K254" i="14"/>
  <c r="O254" i="14"/>
  <c r="P254" i="14"/>
  <c r="Q254" i="14"/>
  <c r="N259" i="14"/>
  <c r="Q259" i="14"/>
  <c r="O259" i="14"/>
  <c r="P259" i="14"/>
  <c r="N267" i="14"/>
  <c r="Q267" i="14"/>
  <c r="O267" i="14"/>
  <c r="P267" i="14"/>
  <c r="O230" i="14"/>
  <c r="Q230" i="14"/>
  <c r="P230" i="14"/>
  <c r="N230" i="14"/>
  <c r="O213" i="14"/>
  <c r="Q213" i="14"/>
  <c r="P213" i="14"/>
  <c r="N213" i="14"/>
  <c r="K213" i="14"/>
  <c r="J213" i="14"/>
  <c r="L213" i="14" s="1"/>
  <c r="N216" i="14"/>
  <c r="Q216" i="14"/>
  <c r="O216" i="14"/>
  <c r="P216" i="14"/>
  <c r="K216" i="14"/>
  <c r="Q220" i="14"/>
  <c r="N220" i="14"/>
  <c r="P220" i="14"/>
  <c r="O220" i="14"/>
  <c r="P222" i="14"/>
  <c r="O222" i="14"/>
  <c r="Q222" i="14"/>
  <c r="N222" i="14"/>
  <c r="D195" i="14"/>
  <c r="W194" i="14"/>
  <c r="V194" i="14" s="1"/>
  <c r="AV31" i="15" s="1"/>
  <c r="J194" i="14"/>
  <c r="L194" i="14" s="1"/>
  <c r="P275" i="14"/>
  <c r="Q275" i="14"/>
  <c r="N275" i="14"/>
  <c r="O275" i="14"/>
  <c r="N289" i="14"/>
  <c r="Q289" i="14"/>
  <c r="O289" i="14"/>
  <c r="P289" i="14"/>
  <c r="N288" i="14"/>
  <c r="Q288" i="14"/>
  <c r="K288" i="14"/>
  <c r="P288" i="14"/>
  <c r="O288" i="14"/>
  <c r="N290" i="14"/>
  <c r="O290" i="14"/>
  <c r="Q290" i="14"/>
  <c r="P290" i="14"/>
  <c r="O274" i="14"/>
  <c r="P274" i="14"/>
  <c r="N274" i="14"/>
  <c r="J274" i="14"/>
  <c r="L274" i="14" s="1"/>
  <c r="K274" i="14"/>
  <c r="Q274" i="14"/>
  <c r="P686" i="14"/>
  <c r="N678" i="14"/>
  <c r="Q634" i="14"/>
  <c r="P638" i="14"/>
  <c r="N646" i="14"/>
  <c r="P633" i="14"/>
  <c r="N649" i="14"/>
  <c r="J494" i="14"/>
  <c r="L494" i="14" s="1"/>
  <c r="K534" i="14"/>
  <c r="P548" i="14"/>
  <c r="P541" i="14"/>
  <c r="N533" i="14"/>
  <c r="O539" i="14"/>
  <c r="P550" i="14"/>
  <c r="D534" i="14"/>
  <c r="W534" i="14" s="1"/>
  <c r="O346" i="14"/>
  <c r="P349" i="14"/>
  <c r="O344" i="14"/>
  <c r="Q343" i="14"/>
  <c r="N338" i="14"/>
  <c r="O341" i="14"/>
  <c r="Q304" i="14"/>
  <c r="N304" i="14"/>
  <c r="O304" i="14"/>
  <c r="P304" i="14"/>
  <c r="Q297" i="14"/>
  <c r="P297" i="14"/>
  <c r="O297" i="14"/>
  <c r="N297" i="14"/>
  <c r="Q306" i="14"/>
  <c r="N306" i="14"/>
  <c r="O306" i="14"/>
  <c r="P306" i="14"/>
  <c r="N303" i="14"/>
  <c r="P303" i="14"/>
  <c r="Q303" i="14"/>
  <c r="O303" i="14"/>
  <c r="O310" i="14"/>
  <c r="P310" i="14"/>
  <c r="N310" i="14"/>
  <c r="Q310" i="14"/>
  <c r="B53" i="15"/>
  <c r="F233" i="14"/>
  <c r="F234" i="14"/>
  <c r="F235" i="14" s="1"/>
  <c r="K235" i="14" s="1"/>
  <c r="Q236" i="14"/>
  <c r="P236" i="14"/>
  <c r="N236" i="14"/>
  <c r="O236" i="14"/>
  <c r="P241" i="14"/>
  <c r="O241" i="14"/>
  <c r="N241" i="14"/>
  <c r="Q241" i="14"/>
  <c r="N237" i="14"/>
  <c r="Q237" i="14"/>
  <c r="P237" i="14"/>
  <c r="O237" i="14"/>
  <c r="Q248" i="14"/>
  <c r="P248" i="14"/>
  <c r="O248" i="14"/>
  <c r="N248" i="14"/>
  <c r="P240" i="14"/>
  <c r="Q240" i="14"/>
  <c r="N240" i="14"/>
  <c r="O240" i="14"/>
  <c r="P270" i="14"/>
  <c r="N270" i="14"/>
  <c r="Q270" i="14"/>
  <c r="O270" i="14"/>
  <c r="O261" i="14"/>
  <c r="P261" i="14"/>
  <c r="N261" i="14"/>
  <c r="Q261" i="14"/>
  <c r="Q263" i="14"/>
  <c r="N263" i="14"/>
  <c r="O263" i="14"/>
  <c r="P263" i="14"/>
  <c r="P256" i="14"/>
  <c r="Q256" i="14"/>
  <c r="O256" i="14"/>
  <c r="N256" i="14"/>
  <c r="D213" i="14"/>
  <c r="D214" i="14"/>
  <c r="N214" i="14"/>
  <c r="Q214" i="14"/>
  <c r="O214" i="14"/>
  <c r="P214" i="14"/>
  <c r="O229" i="14"/>
  <c r="N229" i="14"/>
  <c r="P229" i="14"/>
  <c r="Q229" i="14"/>
  <c r="Q219" i="14"/>
  <c r="N219" i="14"/>
  <c r="O219" i="14"/>
  <c r="P219" i="14"/>
  <c r="O224" i="14"/>
  <c r="P224" i="14"/>
  <c r="Q224" i="14"/>
  <c r="N224" i="14"/>
  <c r="F253" i="14"/>
  <c r="F254" i="14"/>
  <c r="F255" i="14" s="1"/>
  <c r="F256" i="14" s="1"/>
  <c r="F257" i="14" s="1"/>
  <c r="B54" i="15"/>
  <c r="K201" i="14"/>
  <c r="F202" i="14"/>
  <c r="B55" i="15"/>
  <c r="F274" i="14"/>
  <c r="F275" i="14" s="1"/>
  <c r="F276" i="14" s="1"/>
  <c r="F277" i="14" s="1"/>
  <c r="F278" i="14" s="1"/>
  <c r="F279" i="14" s="1"/>
  <c r="F280" i="14" s="1"/>
  <c r="F281" i="14" s="1"/>
  <c r="F282" i="14" s="1"/>
  <c r="F283" i="14" s="1"/>
  <c r="F284" i="14" s="1"/>
  <c r="F285" i="14" s="1"/>
  <c r="F286" i="14" s="1"/>
  <c r="F287" i="14" s="1"/>
  <c r="F288" i="14" s="1"/>
  <c r="F289" i="14" s="1"/>
  <c r="F290" i="14" s="1"/>
  <c r="K290" i="14" s="1"/>
  <c r="F273" i="14"/>
  <c r="K197" i="14"/>
  <c r="D274" i="14"/>
  <c r="D273" i="14"/>
  <c r="N279" i="14"/>
  <c r="P279" i="14"/>
  <c r="O279" i="14"/>
  <c r="Q279" i="14"/>
  <c r="N282" i="14"/>
  <c r="Q282" i="14"/>
  <c r="O282" i="14"/>
  <c r="P282" i="14"/>
  <c r="N276" i="14"/>
  <c r="O276" i="14"/>
  <c r="Q276" i="14"/>
  <c r="P276" i="14"/>
  <c r="Q278" i="14"/>
  <c r="O278" i="14"/>
  <c r="N278" i="14"/>
  <c r="P278" i="14"/>
  <c r="K293" i="14"/>
  <c r="P293" i="14"/>
  <c r="O293" i="14"/>
  <c r="Q293" i="14"/>
  <c r="N293" i="14"/>
  <c r="J293" i="14"/>
  <c r="L293" i="14" s="1"/>
  <c r="P294" i="14"/>
  <c r="O294" i="14"/>
  <c r="N294" i="14"/>
  <c r="Q294" i="14"/>
  <c r="P295" i="14"/>
  <c r="O295" i="14"/>
  <c r="N295" i="14"/>
  <c r="Q295" i="14"/>
  <c r="K295" i="14"/>
  <c r="D293" i="14"/>
  <c r="D294" i="14"/>
  <c r="P250" i="14"/>
  <c r="Q250" i="14"/>
  <c r="N250" i="14"/>
  <c r="O250" i="14"/>
  <c r="Q245" i="14"/>
  <c r="P245" i="14"/>
  <c r="O245" i="14"/>
  <c r="N245" i="14"/>
  <c r="P233" i="14"/>
  <c r="O233" i="14"/>
  <c r="K233" i="14"/>
  <c r="Q233" i="14"/>
  <c r="N233" i="14"/>
  <c r="J233" i="14"/>
  <c r="L233" i="14" s="1"/>
  <c r="Q247" i="14"/>
  <c r="P247" i="14"/>
  <c r="N247" i="14"/>
  <c r="O247" i="14"/>
  <c r="K175" i="14"/>
  <c r="D254" i="14"/>
  <c r="D253" i="14"/>
  <c r="O255" i="14"/>
  <c r="P255" i="14"/>
  <c r="Q255" i="14"/>
  <c r="N255" i="14"/>
  <c r="Q265" i="14"/>
  <c r="O265" i="14"/>
  <c r="N265" i="14"/>
  <c r="P265" i="14"/>
  <c r="N269" i="14"/>
  <c r="Q269" i="14"/>
  <c r="P269" i="14"/>
  <c r="O269" i="14"/>
  <c r="K253" i="14"/>
  <c r="J253" i="14"/>
  <c r="L253" i="14" s="1"/>
  <c r="P253" i="14"/>
  <c r="Q253" i="14"/>
  <c r="O253" i="14"/>
  <c r="N253" i="14"/>
  <c r="P217" i="14"/>
  <c r="Q217" i="14"/>
  <c r="O217" i="14"/>
  <c r="N217" i="14"/>
  <c r="Q228" i="14"/>
  <c r="N228" i="14"/>
  <c r="O228" i="14"/>
  <c r="P228" i="14"/>
  <c r="O221" i="14"/>
  <c r="N221" i="14"/>
  <c r="Q221" i="14"/>
  <c r="P221" i="14"/>
  <c r="O223" i="14"/>
  <c r="P223" i="14"/>
  <c r="N223" i="14"/>
  <c r="Q223" i="14"/>
  <c r="F294" i="14"/>
  <c r="F295" i="14" s="1"/>
  <c r="F296" i="14" s="1"/>
  <c r="F297" i="14" s="1"/>
  <c r="F298" i="14" s="1"/>
  <c r="F299" i="14" s="1"/>
  <c r="F300" i="14" s="1"/>
  <c r="F301" i="14" s="1"/>
  <c r="F302" i="14" s="1"/>
  <c r="F303" i="14" s="1"/>
  <c r="F304" i="14" s="1"/>
  <c r="B56" i="15"/>
  <c r="F293" i="14"/>
  <c r="O285" i="14"/>
  <c r="K285" i="14"/>
  <c r="Q285" i="14"/>
  <c r="P285" i="14"/>
  <c r="N285" i="14"/>
  <c r="Q286" i="14"/>
  <c r="K286" i="14"/>
  <c r="O286" i="14"/>
  <c r="P286" i="14"/>
  <c r="N286" i="14"/>
  <c r="Q281" i="14"/>
  <c r="P281" i="14"/>
  <c r="O281" i="14"/>
  <c r="N281" i="14"/>
  <c r="Q284" i="14"/>
  <c r="N284" i="14"/>
  <c r="O284" i="14"/>
  <c r="P284" i="14"/>
  <c r="Q687" i="14"/>
  <c r="P645" i="14"/>
  <c r="B73" i="15"/>
  <c r="P640" i="14"/>
  <c r="N648" i="14"/>
  <c r="P641" i="14"/>
  <c r="N543" i="14"/>
  <c r="K217" i="14"/>
  <c r="P533" i="14"/>
  <c r="N549" i="14"/>
  <c r="P347" i="14"/>
  <c r="K296" i="14"/>
  <c r="P300" i="14"/>
  <c r="K300" i="14"/>
  <c r="O300" i="14"/>
  <c r="N300" i="14"/>
  <c r="Q300" i="14"/>
  <c r="N298" i="14"/>
  <c r="O298" i="14"/>
  <c r="Q298" i="14"/>
  <c r="K298" i="14"/>
  <c r="P298" i="14"/>
  <c r="Q309" i="14"/>
  <c r="P309" i="14"/>
  <c r="N309" i="14"/>
  <c r="O309" i="14"/>
  <c r="N305" i="14"/>
  <c r="P305" i="14"/>
  <c r="O305" i="14"/>
  <c r="Q305" i="14"/>
  <c r="P299" i="14"/>
  <c r="N299" i="14"/>
  <c r="O299" i="14"/>
  <c r="Q299" i="14"/>
  <c r="K299" i="14"/>
  <c r="Q242" i="14"/>
  <c r="P242" i="14"/>
  <c r="O242" i="14"/>
  <c r="N242" i="14"/>
  <c r="P235" i="14"/>
  <c r="N235" i="14"/>
  <c r="O235" i="14"/>
  <c r="Q235" i="14"/>
  <c r="O246" i="14"/>
  <c r="P246" i="14"/>
  <c r="N246" i="14"/>
  <c r="Q246" i="14"/>
  <c r="D233" i="14"/>
  <c r="D234" i="14"/>
  <c r="P249" i="14"/>
  <c r="N249" i="14"/>
  <c r="Q249" i="14"/>
  <c r="O249" i="14"/>
  <c r="P268" i="14"/>
  <c r="Q268" i="14"/>
  <c r="O268" i="14"/>
  <c r="N268" i="14"/>
  <c r="Q260" i="14"/>
  <c r="N260" i="14"/>
  <c r="O260" i="14"/>
  <c r="P260" i="14"/>
  <c r="O266" i="14"/>
  <c r="P266" i="14"/>
  <c r="N266" i="14"/>
  <c r="Q266" i="14"/>
  <c r="O262" i="14"/>
  <c r="Q262" i="14"/>
  <c r="N262" i="14"/>
  <c r="P262" i="14"/>
  <c r="N264" i="14"/>
  <c r="Q264" i="14"/>
  <c r="P264" i="14"/>
  <c r="O264" i="14"/>
  <c r="N215" i="14"/>
  <c r="O215" i="14"/>
  <c r="Q215" i="14"/>
  <c r="P215" i="14"/>
  <c r="K215" i="14"/>
  <c r="N227" i="14"/>
  <c r="O227" i="14"/>
  <c r="P227" i="14"/>
  <c r="Q227" i="14"/>
  <c r="Q225" i="14"/>
  <c r="O225" i="14"/>
  <c r="N225" i="14"/>
  <c r="P225" i="14"/>
  <c r="Q226" i="14"/>
  <c r="N226" i="14"/>
  <c r="P226" i="14"/>
  <c r="O226" i="14"/>
  <c r="Q218" i="14"/>
  <c r="P218" i="14"/>
  <c r="N218" i="14"/>
  <c r="O218" i="14"/>
  <c r="D156" i="14"/>
  <c r="W155" i="14"/>
  <c r="J155" i="14"/>
  <c r="L155" i="14" s="1"/>
  <c r="K166" i="14"/>
  <c r="F214" i="14"/>
  <c r="F215" i="14" s="1"/>
  <c r="F216" i="14" s="1"/>
  <c r="F217" i="14" s="1"/>
  <c r="F218" i="14" s="1"/>
  <c r="F219" i="14" s="1"/>
  <c r="B52" i="15"/>
  <c r="F213" i="14"/>
  <c r="N280" i="14"/>
  <c r="P280" i="14"/>
  <c r="O280" i="14"/>
  <c r="Q280" i="14"/>
  <c r="N277" i="14"/>
  <c r="O277" i="14"/>
  <c r="P277" i="14"/>
  <c r="Q277" i="14"/>
  <c r="P287" i="14"/>
  <c r="O287" i="14"/>
  <c r="Q287" i="14"/>
  <c r="K287" i="14"/>
  <c r="N287" i="14"/>
  <c r="N273" i="14"/>
  <c r="J273" i="14"/>
  <c r="L273" i="14" s="1"/>
  <c r="K273" i="14"/>
  <c r="O273" i="14"/>
  <c r="Q273" i="14"/>
  <c r="P273" i="14"/>
  <c r="N283" i="14"/>
  <c r="P283" i="14"/>
  <c r="O283" i="14"/>
  <c r="Q283" i="14"/>
  <c r="Q326" i="14"/>
  <c r="O326" i="14"/>
  <c r="P326" i="14"/>
  <c r="N326" i="14"/>
  <c r="O329" i="14"/>
  <c r="P329" i="14"/>
  <c r="Q329" i="14"/>
  <c r="N329" i="14"/>
  <c r="Q314" i="14"/>
  <c r="P314" i="14"/>
  <c r="O314" i="14"/>
  <c r="N314" i="14"/>
  <c r="N319" i="14"/>
  <c r="P319" i="14"/>
  <c r="Q319" i="14"/>
  <c r="O319" i="14"/>
  <c r="K256" i="14"/>
  <c r="P678" i="14"/>
  <c r="P687" i="14"/>
  <c r="N645" i="14"/>
  <c r="J634" i="14"/>
  <c r="L634" i="14" s="1"/>
  <c r="N634" i="14"/>
  <c r="O640" i="14"/>
  <c r="Q638" i="14"/>
  <c r="N636" i="14"/>
  <c r="N633" i="14"/>
  <c r="P543" i="14"/>
  <c r="O541" i="14"/>
  <c r="Q542" i="14"/>
  <c r="Q539" i="14"/>
  <c r="Q549" i="14"/>
  <c r="Q345" i="14"/>
  <c r="Q342" i="14"/>
  <c r="P338" i="14"/>
  <c r="Q347" i="14"/>
  <c r="N340" i="14"/>
  <c r="D313" i="14"/>
  <c r="D314" i="14"/>
  <c r="P328" i="14"/>
  <c r="O328" i="14"/>
  <c r="N328" i="14"/>
  <c r="Q328" i="14"/>
  <c r="O330" i="14"/>
  <c r="Q330" i="14"/>
  <c r="P330" i="14"/>
  <c r="N330" i="14"/>
  <c r="N316" i="14"/>
  <c r="P316" i="14"/>
  <c r="Q316" i="14"/>
  <c r="O316" i="14"/>
  <c r="O313" i="14"/>
  <c r="N313" i="14"/>
  <c r="K313" i="14"/>
  <c r="J313" i="14"/>
  <c r="L313" i="14" s="1"/>
  <c r="P313" i="14"/>
  <c r="Q313" i="14"/>
  <c r="F314" i="14"/>
  <c r="F313" i="14"/>
  <c r="B57" i="15"/>
  <c r="J534" i="14"/>
  <c r="L534" i="14" s="1"/>
  <c r="N534" i="14"/>
  <c r="P534" i="14"/>
  <c r="N640" i="14"/>
  <c r="O340" i="14"/>
  <c r="O546" i="14"/>
  <c r="O320" i="14"/>
  <c r="N320" i="14"/>
  <c r="P320" i="14"/>
  <c r="Q320" i="14"/>
  <c r="O317" i="14"/>
  <c r="N317" i="14"/>
  <c r="Q317" i="14"/>
  <c r="P317" i="14"/>
  <c r="N323" i="14"/>
  <c r="P323" i="14"/>
  <c r="Q323" i="14"/>
  <c r="O323" i="14"/>
  <c r="N327" i="14"/>
  <c r="Q327" i="14"/>
  <c r="P327" i="14"/>
  <c r="O327" i="14"/>
  <c r="O322" i="14"/>
  <c r="N322" i="14"/>
  <c r="P322" i="14"/>
  <c r="Q322" i="14"/>
  <c r="F333" i="14"/>
  <c r="F334" i="14"/>
  <c r="B58" i="15"/>
  <c r="O682" i="14"/>
  <c r="N675" i="14"/>
  <c r="N689" i="14"/>
  <c r="O639" i="14"/>
  <c r="F633" i="14"/>
  <c r="O647" i="14"/>
  <c r="Q633" i="14"/>
  <c r="N643" i="14"/>
  <c r="P546" i="14"/>
  <c r="K333" i="14"/>
  <c r="Q340" i="14"/>
  <c r="J314" i="14"/>
  <c r="L314" i="14" s="1"/>
  <c r="Q321" i="14"/>
  <c r="N321" i="14"/>
  <c r="P321" i="14"/>
  <c r="O321" i="14"/>
  <c r="O325" i="14"/>
  <c r="N325" i="14"/>
  <c r="P325" i="14"/>
  <c r="Q325" i="14"/>
  <c r="O318" i="14"/>
  <c r="N318" i="14"/>
  <c r="Q318" i="14"/>
  <c r="P318" i="14"/>
  <c r="Q315" i="14"/>
  <c r="P315" i="14"/>
  <c r="N315" i="14"/>
  <c r="O315" i="14"/>
  <c r="Q324" i="14"/>
  <c r="P324" i="14"/>
  <c r="O324" i="14"/>
  <c r="N324" i="14"/>
  <c r="J255" i="14"/>
  <c r="L255" i="14" s="1"/>
  <c r="J374" i="14"/>
  <c r="L374" i="14" s="1"/>
  <c r="Q439" i="14"/>
  <c r="O439" i="14"/>
  <c r="N439" i="14"/>
  <c r="P439" i="14"/>
  <c r="P434" i="14"/>
  <c r="O434" i="14"/>
  <c r="N434" i="14"/>
  <c r="Q434" i="14"/>
  <c r="P437" i="14"/>
  <c r="Q437" i="14"/>
  <c r="O437" i="14"/>
  <c r="N437" i="14"/>
  <c r="P446" i="14"/>
  <c r="N446" i="14"/>
  <c r="O446" i="14"/>
  <c r="Q446" i="14"/>
  <c r="P438" i="14"/>
  <c r="O438" i="14"/>
  <c r="Q438" i="14"/>
  <c r="N438" i="14"/>
  <c r="N366" i="14"/>
  <c r="O366" i="14"/>
  <c r="P366" i="14"/>
  <c r="Q366" i="14"/>
  <c r="N357" i="14"/>
  <c r="P357" i="14"/>
  <c r="O357" i="14"/>
  <c r="Q357" i="14"/>
  <c r="O367" i="14"/>
  <c r="N367" i="14"/>
  <c r="Q367" i="14"/>
  <c r="P367" i="14"/>
  <c r="P358" i="14"/>
  <c r="N358" i="14"/>
  <c r="Q358" i="14"/>
  <c r="O358" i="14"/>
  <c r="N362" i="14"/>
  <c r="P362" i="14"/>
  <c r="O362" i="14"/>
  <c r="Q362" i="14"/>
  <c r="J275" i="14"/>
  <c r="L275" i="14" s="1"/>
  <c r="P414" i="14"/>
  <c r="N414" i="14"/>
  <c r="O414" i="14"/>
  <c r="Q414" i="14"/>
  <c r="N427" i="14"/>
  <c r="P427" i="14"/>
  <c r="Q427" i="14"/>
  <c r="O427" i="14"/>
  <c r="O418" i="14"/>
  <c r="Q418" i="14"/>
  <c r="P418" i="14"/>
  <c r="N418" i="14"/>
  <c r="Q419" i="14"/>
  <c r="O419" i="14"/>
  <c r="N419" i="14"/>
  <c r="P419" i="14"/>
  <c r="N424" i="14"/>
  <c r="O424" i="14"/>
  <c r="Q424" i="14"/>
  <c r="P424" i="14"/>
  <c r="J295" i="14"/>
  <c r="L295" i="14" s="1"/>
  <c r="Q379" i="14"/>
  <c r="N379" i="14"/>
  <c r="P379" i="14"/>
  <c r="O379" i="14"/>
  <c r="O384" i="14"/>
  <c r="Q384" i="14"/>
  <c r="P384" i="14"/>
  <c r="N384" i="14"/>
  <c r="N386" i="14"/>
  <c r="O386" i="14"/>
  <c r="Q386" i="14"/>
  <c r="P386" i="14"/>
  <c r="Q388" i="14"/>
  <c r="O388" i="14"/>
  <c r="P388" i="14"/>
  <c r="N388" i="14"/>
  <c r="Q383" i="14"/>
  <c r="N383" i="14"/>
  <c r="O383" i="14"/>
  <c r="P383" i="14"/>
  <c r="F414" i="14"/>
  <c r="F415" i="14" s="1"/>
  <c r="F416" i="14" s="1"/>
  <c r="F417" i="14" s="1"/>
  <c r="F418" i="14" s="1"/>
  <c r="F419" i="14" s="1"/>
  <c r="B62" i="15"/>
  <c r="F413" i="14"/>
  <c r="J334" i="14"/>
  <c r="L334" i="14" s="1"/>
  <c r="W334" i="14"/>
  <c r="D335" i="14"/>
  <c r="F354" i="14"/>
  <c r="F355" i="14" s="1"/>
  <c r="F356" i="14" s="1"/>
  <c r="F353" i="14"/>
  <c r="B59" i="15"/>
  <c r="N395" i="14"/>
  <c r="Q395" i="14"/>
  <c r="O395" i="14"/>
  <c r="P395" i="14"/>
  <c r="O393" i="14"/>
  <c r="Q393" i="14"/>
  <c r="N393" i="14"/>
  <c r="P393" i="14"/>
  <c r="J393" i="14"/>
  <c r="L393" i="14" s="1"/>
  <c r="K393" i="14"/>
  <c r="O394" i="14"/>
  <c r="Q394" i="14"/>
  <c r="N394" i="14"/>
  <c r="P394" i="14"/>
  <c r="P408" i="14"/>
  <c r="Q408" i="14"/>
  <c r="N408" i="14"/>
  <c r="O408" i="14"/>
  <c r="N402" i="14"/>
  <c r="P402" i="14"/>
  <c r="Q402" i="14"/>
  <c r="O402" i="14"/>
  <c r="O685" i="14"/>
  <c r="P675" i="14"/>
  <c r="Q678" i="14"/>
  <c r="O645" i="14"/>
  <c r="P639" i="14"/>
  <c r="Q647" i="14"/>
  <c r="P636" i="14"/>
  <c r="J633" i="14"/>
  <c r="L633" i="14" s="1"/>
  <c r="Q643" i="14"/>
  <c r="Q641" i="14"/>
  <c r="N542" i="14"/>
  <c r="P539" i="14"/>
  <c r="Q544" i="14"/>
  <c r="P436" i="14"/>
  <c r="Q436" i="14"/>
  <c r="N436" i="14"/>
  <c r="O436" i="14"/>
  <c r="O440" i="14"/>
  <c r="N440" i="14"/>
  <c r="Q440" i="14"/>
  <c r="P440" i="14"/>
  <c r="N450" i="14"/>
  <c r="P450" i="14"/>
  <c r="O450" i="14"/>
  <c r="Q450" i="14"/>
  <c r="O435" i="14"/>
  <c r="Q435" i="14"/>
  <c r="P435" i="14"/>
  <c r="N435" i="14"/>
  <c r="P368" i="14"/>
  <c r="N368" i="14"/>
  <c r="O368" i="14"/>
  <c r="Q368" i="14"/>
  <c r="P370" i="14"/>
  <c r="O370" i="14"/>
  <c r="Q370" i="14"/>
  <c r="N370" i="14"/>
  <c r="Q365" i="14"/>
  <c r="N365" i="14"/>
  <c r="O365" i="14"/>
  <c r="P365" i="14"/>
  <c r="D353" i="14"/>
  <c r="D354" i="14"/>
  <c r="O360" i="14"/>
  <c r="P360" i="14"/>
  <c r="N360" i="14"/>
  <c r="Q360" i="14"/>
  <c r="N429" i="14"/>
  <c r="Q429" i="14"/>
  <c r="P429" i="14"/>
  <c r="O429" i="14"/>
  <c r="D414" i="14"/>
  <c r="D413" i="14"/>
  <c r="O426" i="14"/>
  <c r="Q426" i="14"/>
  <c r="N426" i="14"/>
  <c r="P426" i="14"/>
  <c r="Q430" i="14"/>
  <c r="P430" i="14"/>
  <c r="O430" i="14"/>
  <c r="N430" i="14"/>
  <c r="N413" i="14"/>
  <c r="Q413" i="14"/>
  <c r="O413" i="14"/>
  <c r="P413" i="14"/>
  <c r="K413" i="14"/>
  <c r="J413" i="14"/>
  <c r="L413" i="14" s="1"/>
  <c r="P387" i="14"/>
  <c r="N387" i="14"/>
  <c r="O387" i="14"/>
  <c r="Q387" i="14"/>
  <c r="Q380" i="14"/>
  <c r="N380" i="14"/>
  <c r="O380" i="14"/>
  <c r="P380" i="14"/>
  <c r="O378" i="14"/>
  <c r="Q378" i="14"/>
  <c r="P378" i="14"/>
  <c r="N378" i="14"/>
  <c r="O385" i="14"/>
  <c r="P385" i="14"/>
  <c r="N385" i="14"/>
  <c r="Q385" i="14"/>
  <c r="O405" i="14"/>
  <c r="N405" i="14"/>
  <c r="Q405" i="14"/>
  <c r="P405" i="14"/>
  <c r="Q399" i="14"/>
  <c r="N399" i="14"/>
  <c r="P399" i="14"/>
  <c r="O399" i="14"/>
  <c r="O396" i="14"/>
  <c r="N396" i="14"/>
  <c r="Q396" i="14"/>
  <c r="P396" i="14"/>
  <c r="N407" i="14"/>
  <c r="Q407" i="14"/>
  <c r="P407" i="14"/>
  <c r="O407" i="14"/>
  <c r="N403" i="14"/>
  <c r="P403" i="14"/>
  <c r="O403" i="14"/>
  <c r="Q403" i="14"/>
  <c r="K303" i="14"/>
  <c r="P444" i="14"/>
  <c r="Q444" i="14"/>
  <c r="O444" i="14"/>
  <c r="N444" i="14"/>
  <c r="P442" i="14"/>
  <c r="N442" i="14"/>
  <c r="O442" i="14"/>
  <c r="Q442" i="14"/>
  <c r="O441" i="14"/>
  <c r="Q441" i="14"/>
  <c r="P441" i="14"/>
  <c r="N441" i="14"/>
  <c r="Q443" i="14"/>
  <c r="O443" i="14"/>
  <c r="N443" i="14"/>
  <c r="P443" i="14"/>
  <c r="D434" i="14"/>
  <c r="D433" i="14"/>
  <c r="N355" i="14"/>
  <c r="P355" i="14"/>
  <c r="O355" i="14"/>
  <c r="Q355" i="14"/>
  <c r="O363" i="14"/>
  <c r="N363" i="14"/>
  <c r="Q363" i="14"/>
  <c r="P363" i="14"/>
  <c r="O361" i="14"/>
  <c r="N361" i="14"/>
  <c r="Q361" i="14"/>
  <c r="P361" i="14"/>
  <c r="N359" i="14"/>
  <c r="Q359" i="14"/>
  <c r="P359" i="14"/>
  <c r="O359" i="14"/>
  <c r="F373" i="14"/>
  <c r="B60" i="15"/>
  <c r="F374" i="14"/>
  <c r="N423" i="14"/>
  <c r="Q423" i="14"/>
  <c r="P423" i="14"/>
  <c r="O423" i="14"/>
  <c r="Q420" i="14"/>
  <c r="N420" i="14"/>
  <c r="P420" i="14"/>
  <c r="O420" i="14"/>
  <c r="P428" i="14"/>
  <c r="Q428" i="14"/>
  <c r="N428" i="14"/>
  <c r="O428" i="14"/>
  <c r="P415" i="14"/>
  <c r="Q415" i="14"/>
  <c r="O415" i="14"/>
  <c r="N415" i="14"/>
  <c r="B61" i="15"/>
  <c r="F393" i="14"/>
  <c r="F394" i="14"/>
  <c r="Q376" i="14"/>
  <c r="N376" i="14"/>
  <c r="O376" i="14"/>
  <c r="P376" i="14"/>
  <c r="N389" i="14"/>
  <c r="Q389" i="14"/>
  <c r="P389" i="14"/>
  <c r="O389" i="14"/>
  <c r="N373" i="14"/>
  <c r="P373" i="14"/>
  <c r="O373" i="14"/>
  <c r="Q373" i="14"/>
  <c r="J373" i="14"/>
  <c r="L373" i="14" s="1"/>
  <c r="K373" i="14"/>
  <c r="O374" i="14"/>
  <c r="N374" i="14"/>
  <c r="Q374" i="14"/>
  <c r="P374" i="14"/>
  <c r="O382" i="14"/>
  <c r="N382" i="14"/>
  <c r="Q382" i="14"/>
  <c r="P382" i="14"/>
  <c r="O400" i="14"/>
  <c r="Q400" i="14"/>
  <c r="N400" i="14"/>
  <c r="P400" i="14"/>
  <c r="P401" i="14"/>
  <c r="O401" i="14"/>
  <c r="N401" i="14"/>
  <c r="Q401" i="14"/>
  <c r="D393" i="14"/>
  <c r="D394" i="14"/>
  <c r="Q406" i="14"/>
  <c r="N406" i="14"/>
  <c r="O406" i="14"/>
  <c r="P406" i="14"/>
  <c r="Q404" i="14"/>
  <c r="O404" i="14"/>
  <c r="P404" i="14"/>
  <c r="N404" i="14"/>
  <c r="D673" i="14"/>
  <c r="O690" i="14"/>
  <c r="N637" i="14"/>
  <c r="K633" i="14"/>
  <c r="J394" i="14"/>
  <c r="L394" i="14" s="1"/>
  <c r="N445" i="14"/>
  <c r="P445" i="14"/>
  <c r="O445" i="14"/>
  <c r="Q445" i="14"/>
  <c r="P447" i="14"/>
  <c r="N447" i="14"/>
  <c r="O447" i="14"/>
  <c r="Q447" i="14"/>
  <c r="N433" i="14"/>
  <c r="J433" i="14"/>
  <c r="L433" i="14" s="1"/>
  <c r="P433" i="14"/>
  <c r="O433" i="14"/>
  <c r="Q433" i="14"/>
  <c r="N448" i="14"/>
  <c r="O448" i="14"/>
  <c r="P448" i="14"/>
  <c r="Q448" i="14"/>
  <c r="O449" i="14"/>
  <c r="Q449" i="14"/>
  <c r="N449" i="14"/>
  <c r="P449" i="14"/>
  <c r="Q353" i="14"/>
  <c r="N353" i="14"/>
  <c r="P353" i="14"/>
  <c r="O353" i="14"/>
  <c r="J353" i="14"/>
  <c r="L353" i="14" s="1"/>
  <c r="K353" i="14"/>
  <c r="N364" i="14"/>
  <c r="P364" i="14"/>
  <c r="O364" i="14"/>
  <c r="Q364" i="14"/>
  <c r="O369" i="14"/>
  <c r="P369" i="14"/>
  <c r="N369" i="14"/>
  <c r="Q369" i="14"/>
  <c r="Q354" i="14"/>
  <c r="N354" i="14"/>
  <c r="O354" i="14"/>
  <c r="P354" i="14"/>
  <c r="J354" i="14"/>
  <c r="L354" i="14" s="1"/>
  <c r="K354" i="14"/>
  <c r="O356" i="14"/>
  <c r="Q356" i="14"/>
  <c r="P356" i="14"/>
  <c r="N356" i="14"/>
  <c r="P421" i="14"/>
  <c r="Q421" i="14"/>
  <c r="O421" i="14"/>
  <c r="N421" i="14"/>
  <c r="N417" i="14"/>
  <c r="Q417" i="14"/>
  <c r="O417" i="14"/>
  <c r="P417" i="14"/>
  <c r="Q422" i="14"/>
  <c r="N422" i="14"/>
  <c r="P422" i="14"/>
  <c r="O422" i="14"/>
  <c r="O416" i="14"/>
  <c r="K416" i="14"/>
  <c r="N416" i="14"/>
  <c r="P416" i="14"/>
  <c r="Q416" i="14"/>
  <c r="P425" i="14"/>
  <c r="Q425" i="14"/>
  <c r="O425" i="14"/>
  <c r="N425" i="14"/>
  <c r="D374" i="14"/>
  <c r="D373" i="14"/>
  <c r="Q377" i="14"/>
  <c r="N377" i="14"/>
  <c r="O377" i="14"/>
  <c r="P377" i="14"/>
  <c r="P390" i="14"/>
  <c r="Q390" i="14"/>
  <c r="N390" i="14"/>
  <c r="O390" i="14"/>
  <c r="O375" i="14"/>
  <c r="Q375" i="14"/>
  <c r="P375" i="14"/>
  <c r="N375" i="14"/>
  <c r="N381" i="14"/>
  <c r="O381" i="14"/>
  <c r="P381" i="14"/>
  <c r="Q381" i="14"/>
  <c r="N536" i="14"/>
  <c r="P536" i="14"/>
  <c r="O410" i="14"/>
  <c r="Q410" i="14"/>
  <c r="N410" i="14"/>
  <c r="P410" i="14"/>
  <c r="P409" i="14"/>
  <c r="Q409" i="14"/>
  <c r="N409" i="14"/>
  <c r="O409" i="14"/>
  <c r="Q398" i="14"/>
  <c r="N398" i="14"/>
  <c r="O398" i="14"/>
  <c r="P398" i="14"/>
  <c r="N397" i="14"/>
  <c r="Q397" i="14"/>
  <c r="O397" i="14"/>
  <c r="P397" i="14"/>
  <c r="N680" i="14"/>
  <c r="O637" i="14"/>
  <c r="O648" i="14"/>
  <c r="Q650" i="14"/>
  <c r="K527" i="14"/>
  <c r="O527" i="14"/>
  <c r="Q527" i="14"/>
  <c r="N527" i="14"/>
  <c r="P527" i="14"/>
  <c r="D513" i="14"/>
  <c r="D514" i="14"/>
  <c r="Q513" i="14"/>
  <c r="N513" i="14"/>
  <c r="K513" i="14"/>
  <c r="J513" i="14"/>
  <c r="L513" i="14" s="1"/>
  <c r="P513" i="14"/>
  <c r="O513" i="14"/>
  <c r="Q514" i="14"/>
  <c r="O514" i="14"/>
  <c r="N514" i="14"/>
  <c r="P514" i="14"/>
  <c r="K514" i="14"/>
  <c r="P522" i="14"/>
  <c r="K522" i="14"/>
  <c r="N522" i="14"/>
  <c r="Q522" i="14"/>
  <c r="O522" i="14"/>
  <c r="P496" i="14"/>
  <c r="O496" i="14"/>
  <c r="Q496" i="14"/>
  <c r="N496" i="14"/>
  <c r="Q500" i="14"/>
  <c r="N500" i="14"/>
  <c r="P500" i="14"/>
  <c r="O500" i="14"/>
  <c r="D493" i="14"/>
  <c r="D494" i="14"/>
  <c r="O507" i="14"/>
  <c r="N507" i="14"/>
  <c r="P507" i="14"/>
  <c r="Q507" i="14"/>
  <c r="N498" i="14"/>
  <c r="P498" i="14"/>
  <c r="O498" i="14"/>
  <c r="Q498" i="14"/>
  <c r="F473" i="14"/>
  <c r="B65" i="15"/>
  <c r="F474" i="14"/>
  <c r="F475" i="14" s="1"/>
  <c r="F476" i="14" s="1"/>
  <c r="F477" i="14" s="1"/>
  <c r="F478" i="14" s="1"/>
  <c r="J435" i="14"/>
  <c r="L435" i="14" s="1"/>
  <c r="Q485" i="14"/>
  <c r="P485" i="14"/>
  <c r="N485" i="14"/>
  <c r="O485" i="14"/>
  <c r="Q490" i="14"/>
  <c r="N490" i="14"/>
  <c r="O490" i="14"/>
  <c r="P490" i="14"/>
  <c r="P480" i="14"/>
  <c r="O480" i="14"/>
  <c r="Q480" i="14"/>
  <c r="N480" i="14"/>
  <c r="N488" i="14"/>
  <c r="Q488" i="14"/>
  <c r="O488" i="14"/>
  <c r="P488" i="14"/>
  <c r="D474" i="14"/>
  <c r="D473" i="14"/>
  <c r="N462" i="14"/>
  <c r="O462" i="14"/>
  <c r="Q462" i="14"/>
  <c r="P462" i="14"/>
  <c r="P456" i="14"/>
  <c r="N456" i="14"/>
  <c r="Q456" i="14"/>
  <c r="O456" i="14"/>
  <c r="Q457" i="14"/>
  <c r="P457" i="14"/>
  <c r="N457" i="14"/>
  <c r="O457" i="14"/>
  <c r="Q469" i="14"/>
  <c r="O469" i="14"/>
  <c r="N469" i="14"/>
  <c r="P469" i="14"/>
  <c r="Q466" i="14"/>
  <c r="N466" i="14"/>
  <c r="P466" i="14"/>
  <c r="O466" i="14"/>
  <c r="O495" i="14"/>
  <c r="K495" i="14"/>
  <c r="Q495" i="14"/>
  <c r="N495" i="14"/>
  <c r="P495" i="14"/>
  <c r="J493" i="14"/>
  <c r="L493" i="14" s="1"/>
  <c r="P493" i="14"/>
  <c r="N493" i="14"/>
  <c r="Q493" i="14"/>
  <c r="O493" i="14"/>
  <c r="K493" i="14"/>
  <c r="Q509" i="14"/>
  <c r="O509" i="14"/>
  <c r="N509" i="14"/>
  <c r="P509" i="14"/>
  <c r="P502" i="14"/>
  <c r="Q502" i="14"/>
  <c r="O502" i="14"/>
  <c r="N502" i="14"/>
  <c r="Q484" i="14"/>
  <c r="P484" i="14"/>
  <c r="N484" i="14"/>
  <c r="O484" i="14"/>
  <c r="O455" i="14"/>
  <c r="Q455" i="14"/>
  <c r="N455" i="14"/>
  <c r="P455" i="14"/>
  <c r="N682" i="14"/>
  <c r="Q648" i="14"/>
  <c r="O650" i="14"/>
  <c r="N519" i="14"/>
  <c r="K519" i="14"/>
  <c r="Q519" i="14"/>
  <c r="O519" i="14"/>
  <c r="P519" i="14"/>
  <c r="K529" i="14"/>
  <c r="O529" i="14"/>
  <c r="Q529" i="14"/>
  <c r="N529" i="14"/>
  <c r="P529" i="14"/>
  <c r="N524" i="14"/>
  <c r="O524" i="14"/>
  <c r="P524" i="14"/>
  <c r="K524" i="14"/>
  <c r="Q524" i="14"/>
  <c r="Q530" i="14"/>
  <c r="O530" i="14"/>
  <c r="N530" i="14"/>
  <c r="P530" i="14"/>
  <c r="N520" i="14"/>
  <c r="O520" i="14"/>
  <c r="Q520" i="14"/>
  <c r="K520" i="14"/>
  <c r="P520" i="14"/>
  <c r="P504" i="14"/>
  <c r="Q504" i="14"/>
  <c r="N504" i="14"/>
  <c r="O504" i="14"/>
  <c r="O503" i="14"/>
  <c r="Q503" i="14"/>
  <c r="N503" i="14"/>
  <c r="P503" i="14"/>
  <c r="N494" i="14"/>
  <c r="O494" i="14"/>
  <c r="Q494" i="14"/>
  <c r="P494" i="14"/>
  <c r="Q501" i="14"/>
  <c r="P501" i="14"/>
  <c r="N501" i="14"/>
  <c r="O501" i="14"/>
  <c r="N508" i="14"/>
  <c r="Q508" i="14"/>
  <c r="P508" i="14"/>
  <c r="O508" i="14"/>
  <c r="F514" i="14"/>
  <c r="F515" i="14" s="1"/>
  <c r="F516" i="14" s="1"/>
  <c r="F517" i="14" s="1"/>
  <c r="F518" i="14" s="1"/>
  <c r="F519" i="14" s="1"/>
  <c r="F520" i="14" s="1"/>
  <c r="F521" i="14" s="1"/>
  <c r="F522" i="14" s="1"/>
  <c r="F523" i="14" s="1"/>
  <c r="F524" i="14" s="1"/>
  <c r="F525" i="14" s="1"/>
  <c r="F526" i="14" s="1"/>
  <c r="F527" i="14" s="1"/>
  <c r="F528" i="14" s="1"/>
  <c r="F529" i="14" s="1"/>
  <c r="F530" i="14" s="1"/>
  <c r="K530" i="14" s="1"/>
  <c r="B67" i="15"/>
  <c r="F513" i="14"/>
  <c r="P486" i="14"/>
  <c r="N486" i="14"/>
  <c r="Q486" i="14"/>
  <c r="O486" i="14"/>
  <c r="O477" i="14"/>
  <c r="K477" i="14"/>
  <c r="P477" i="14"/>
  <c r="Q477" i="14"/>
  <c r="N477" i="14"/>
  <c r="Q479" i="14"/>
  <c r="N479" i="14"/>
  <c r="P479" i="14"/>
  <c r="O479" i="14"/>
  <c r="Q476" i="14"/>
  <c r="O476" i="14"/>
  <c r="K476" i="14"/>
  <c r="P476" i="14"/>
  <c r="N476" i="14"/>
  <c r="O478" i="14"/>
  <c r="Q478" i="14"/>
  <c r="N478" i="14"/>
  <c r="P478" i="14"/>
  <c r="Q454" i="14"/>
  <c r="P454" i="14"/>
  <c r="O454" i="14"/>
  <c r="N454" i="14"/>
  <c r="Q459" i="14"/>
  <c r="P459" i="14"/>
  <c r="O459" i="14"/>
  <c r="N459" i="14"/>
  <c r="P453" i="14"/>
  <c r="Q453" i="14"/>
  <c r="N453" i="14"/>
  <c r="O453" i="14"/>
  <c r="J453" i="14"/>
  <c r="L453" i="14" s="1"/>
  <c r="K453" i="14"/>
  <c r="N464" i="14"/>
  <c r="Q464" i="14"/>
  <c r="P464" i="14"/>
  <c r="O464" i="14"/>
  <c r="Q467" i="14"/>
  <c r="O467" i="14"/>
  <c r="P467" i="14"/>
  <c r="N467" i="14"/>
  <c r="K218" i="14"/>
  <c r="K517" i="14"/>
  <c r="P517" i="14"/>
  <c r="N517" i="14"/>
  <c r="Q517" i="14"/>
  <c r="O517" i="14"/>
  <c r="P526" i="14"/>
  <c r="Q526" i="14"/>
  <c r="N526" i="14"/>
  <c r="K526" i="14"/>
  <c r="O526" i="14"/>
  <c r="Q523" i="14"/>
  <c r="K523" i="14"/>
  <c r="N523" i="14"/>
  <c r="P523" i="14"/>
  <c r="O523" i="14"/>
  <c r="K516" i="14"/>
  <c r="Q516" i="14"/>
  <c r="N516" i="14"/>
  <c r="O516" i="14"/>
  <c r="P516" i="14"/>
  <c r="K521" i="14"/>
  <c r="O521" i="14"/>
  <c r="P521" i="14"/>
  <c r="Q521" i="14"/>
  <c r="N521" i="14"/>
  <c r="F493" i="14"/>
  <c r="B66" i="15"/>
  <c r="F494" i="14"/>
  <c r="F495" i="14" s="1"/>
  <c r="F496" i="14" s="1"/>
  <c r="F497" i="14" s="1"/>
  <c r="F498" i="14" s="1"/>
  <c r="F499" i="14" s="1"/>
  <c r="F500" i="14" s="1"/>
  <c r="F501" i="14" s="1"/>
  <c r="J415" i="14"/>
  <c r="L415" i="14" s="1"/>
  <c r="O506" i="14"/>
  <c r="Q506" i="14"/>
  <c r="N506" i="14"/>
  <c r="P506" i="14"/>
  <c r="F534" i="14"/>
  <c r="B68" i="15"/>
  <c r="F533" i="14"/>
  <c r="J395" i="14"/>
  <c r="L395" i="14" s="1"/>
  <c r="P473" i="14"/>
  <c r="Q473" i="14"/>
  <c r="K473" i="14"/>
  <c r="O473" i="14"/>
  <c r="J473" i="14"/>
  <c r="L473" i="14" s="1"/>
  <c r="N473" i="14"/>
  <c r="P487" i="14"/>
  <c r="O487" i="14"/>
  <c r="N487" i="14"/>
  <c r="Q487" i="14"/>
  <c r="Q483" i="14"/>
  <c r="O483" i="14"/>
  <c r="P483" i="14"/>
  <c r="N483" i="14"/>
  <c r="P481" i="14"/>
  <c r="N481" i="14"/>
  <c r="O481" i="14"/>
  <c r="Q481" i="14"/>
  <c r="P468" i="14"/>
  <c r="Q468" i="14"/>
  <c r="O468" i="14"/>
  <c r="N468" i="14"/>
  <c r="O458" i="14"/>
  <c r="P458" i="14"/>
  <c r="Q458" i="14"/>
  <c r="N458" i="14"/>
  <c r="O463" i="14"/>
  <c r="N463" i="14"/>
  <c r="P463" i="14"/>
  <c r="Q463" i="14"/>
  <c r="F435" i="14"/>
  <c r="K434" i="14"/>
  <c r="Q685" i="14"/>
  <c r="Q680" i="14"/>
  <c r="P637" i="14"/>
  <c r="O683" i="14"/>
  <c r="P682" i="14"/>
  <c r="Q686" i="14"/>
  <c r="P680" i="14"/>
  <c r="Q525" i="14"/>
  <c r="P525" i="14"/>
  <c r="N525" i="14"/>
  <c r="O525" i="14"/>
  <c r="K525" i="14"/>
  <c r="P515" i="14"/>
  <c r="K515" i="14"/>
  <c r="N515" i="14"/>
  <c r="O515" i="14"/>
  <c r="Q515" i="14"/>
  <c r="K518" i="14"/>
  <c r="O518" i="14"/>
  <c r="N518" i="14"/>
  <c r="Q518" i="14"/>
  <c r="P518" i="14"/>
  <c r="Q528" i="14"/>
  <c r="N528" i="14"/>
  <c r="O528" i="14"/>
  <c r="P528" i="14"/>
  <c r="K528" i="14"/>
  <c r="F453" i="14"/>
  <c r="B64" i="15"/>
  <c r="F454" i="14"/>
  <c r="F455" i="14" s="1"/>
  <c r="F456" i="14" s="1"/>
  <c r="F457" i="14" s="1"/>
  <c r="F458" i="14" s="1"/>
  <c r="F459" i="14" s="1"/>
  <c r="F460" i="14" s="1"/>
  <c r="F461" i="14" s="1"/>
  <c r="F462" i="14" s="1"/>
  <c r="F463" i="14" s="1"/>
  <c r="O505" i="14"/>
  <c r="N505" i="14"/>
  <c r="Q505" i="14"/>
  <c r="P505" i="14"/>
  <c r="Q499" i="14"/>
  <c r="O499" i="14"/>
  <c r="P499" i="14"/>
  <c r="N499" i="14"/>
  <c r="N510" i="14"/>
  <c r="Q510" i="14"/>
  <c r="P510" i="14"/>
  <c r="O510" i="14"/>
  <c r="P497" i="14"/>
  <c r="Q497" i="14"/>
  <c r="N497" i="14"/>
  <c r="O497" i="14"/>
  <c r="K395" i="14"/>
  <c r="P489" i="14"/>
  <c r="Q489" i="14"/>
  <c r="N489" i="14"/>
  <c r="O489" i="14"/>
  <c r="O482" i="14"/>
  <c r="P482" i="14"/>
  <c r="Q482" i="14"/>
  <c r="N482" i="14"/>
  <c r="O474" i="14"/>
  <c r="Q474" i="14"/>
  <c r="K474" i="14"/>
  <c r="N474" i="14"/>
  <c r="P474" i="14"/>
  <c r="Q475" i="14"/>
  <c r="O475" i="14"/>
  <c r="K475" i="14"/>
  <c r="P475" i="14"/>
  <c r="N475" i="14"/>
  <c r="N470" i="14"/>
  <c r="Q470" i="14"/>
  <c r="O470" i="14"/>
  <c r="P470" i="14"/>
  <c r="Q461" i="14"/>
  <c r="O461" i="14"/>
  <c r="N461" i="14"/>
  <c r="P461" i="14"/>
  <c r="D453" i="14"/>
  <c r="D454" i="14"/>
  <c r="N465" i="14"/>
  <c r="O465" i="14"/>
  <c r="Q465" i="14"/>
  <c r="P465" i="14"/>
  <c r="P460" i="14"/>
  <c r="O460" i="14"/>
  <c r="Q460" i="14"/>
  <c r="N460" i="14"/>
  <c r="P688" i="14"/>
  <c r="P555" i="14"/>
  <c r="N555" i="14"/>
  <c r="O555" i="14"/>
  <c r="Q555" i="14"/>
  <c r="D554" i="14"/>
  <c r="D553" i="14"/>
  <c r="O566" i="14"/>
  <c r="N566" i="14"/>
  <c r="Q566" i="14"/>
  <c r="P566" i="14"/>
  <c r="P559" i="14"/>
  <c r="O559" i="14"/>
  <c r="Q559" i="14"/>
  <c r="N559" i="14"/>
  <c r="P556" i="14"/>
  <c r="O556" i="14"/>
  <c r="N556" i="14"/>
  <c r="Q556" i="14"/>
  <c r="J593" i="14"/>
  <c r="L593" i="14" s="1"/>
  <c r="O593" i="14"/>
  <c r="P593" i="14"/>
  <c r="K593" i="14"/>
  <c r="Q593" i="14"/>
  <c r="N593" i="14"/>
  <c r="N601" i="14"/>
  <c r="P601" i="14"/>
  <c r="Q601" i="14"/>
  <c r="O601" i="14"/>
  <c r="P598" i="14"/>
  <c r="Q598" i="14"/>
  <c r="O598" i="14"/>
  <c r="N598" i="14"/>
  <c r="Q606" i="14"/>
  <c r="P606" i="14"/>
  <c r="O606" i="14"/>
  <c r="N606" i="14"/>
  <c r="N595" i="14"/>
  <c r="P595" i="14"/>
  <c r="O595" i="14"/>
  <c r="Q595" i="14"/>
  <c r="K595" i="14"/>
  <c r="P613" i="14"/>
  <c r="N613" i="14"/>
  <c r="O613" i="14"/>
  <c r="K613" i="14"/>
  <c r="J613" i="14"/>
  <c r="L613" i="14" s="1"/>
  <c r="Q613" i="14"/>
  <c r="P615" i="14"/>
  <c r="Q615" i="14"/>
  <c r="N615" i="14"/>
  <c r="O615" i="14"/>
  <c r="P629" i="14"/>
  <c r="O629" i="14"/>
  <c r="N629" i="14"/>
  <c r="Q629" i="14"/>
  <c r="P616" i="14"/>
  <c r="N616" i="14"/>
  <c r="O616" i="14"/>
  <c r="Q616" i="14"/>
  <c r="Q625" i="14"/>
  <c r="P625" i="14"/>
  <c r="N625" i="14"/>
  <c r="O625" i="14"/>
  <c r="P587" i="14"/>
  <c r="O587" i="14"/>
  <c r="N587" i="14"/>
  <c r="Q587" i="14"/>
  <c r="P583" i="14"/>
  <c r="O583" i="14"/>
  <c r="Q583" i="14"/>
  <c r="N583" i="14"/>
  <c r="P578" i="14"/>
  <c r="Q578" i="14"/>
  <c r="O578" i="14"/>
  <c r="N578" i="14"/>
  <c r="O581" i="14"/>
  <c r="P581" i="14"/>
  <c r="N581" i="14"/>
  <c r="Q581" i="14"/>
  <c r="J573" i="14"/>
  <c r="L573" i="14" s="1"/>
  <c r="N573" i="14"/>
  <c r="P573" i="14"/>
  <c r="K573" i="14"/>
  <c r="Q573" i="14"/>
  <c r="O573" i="14"/>
  <c r="N568" i="14"/>
  <c r="O568" i="14"/>
  <c r="Q568" i="14"/>
  <c r="P568" i="14"/>
  <c r="O557" i="14"/>
  <c r="N557" i="14"/>
  <c r="P557" i="14"/>
  <c r="Q557" i="14"/>
  <c r="K535" i="14"/>
  <c r="P621" i="14"/>
  <c r="N621" i="14"/>
  <c r="Q621" i="14"/>
  <c r="O621" i="14"/>
  <c r="P582" i="14"/>
  <c r="N582" i="14"/>
  <c r="Q582" i="14"/>
  <c r="O582" i="14"/>
  <c r="Q590" i="14"/>
  <c r="P590" i="14"/>
  <c r="N590" i="14"/>
  <c r="O590" i="14"/>
  <c r="J515" i="14"/>
  <c r="L515" i="14" s="1"/>
  <c r="Q562" i="14"/>
  <c r="P562" i="14"/>
  <c r="O562" i="14"/>
  <c r="N562" i="14"/>
  <c r="P563" i="14"/>
  <c r="N563" i="14"/>
  <c r="O563" i="14"/>
  <c r="Q563" i="14"/>
  <c r="O570" i="14"/>
  <c r="P570" i="14"/>
  <c r="Q570" i="14"/>
  <c r="N570" i="14"/>
  <c r="N560" i="14"/>
  <c r="O560" i="14"/>
  <c r="Q560" i="14"/>
  <c r="P560" i="14"/>
  <c r="O567" i="14"/>
  <c r="P567" i="14"/>
  <c r="N567" i="14"/>
  <c r="Q567" i="14"/>
  <c r="J495" i="14"/>
  <c r="L495" i="14" s="1"/>
  <c r="O604" i="14"/>
  <c r="Q604" i="14"/>
  <c r="P604" i="14"/>
  <c r="N604" i="14"/>
  <c r="N607" i="14"/>
  <c r="P607" i="14"/>
  <c r="O607" i="14"/>
  <c r="Q607" i="14"/>
  <c r="N609" i="14"/>
  <c r="O609" i="14"/>
  <c r="P609" i="14"/>
  <c r="Q609" i="14"/>
  <c r="N597" i="14"/>
  <c r="P597" i="14"/>
  <c r="O597" i="14"/>
  <c r="Q597" i="14"/>
  <c r="K500" i="14"/>
  <c r="Q620" i="14"/>
  <c r="P620" i="14"/>
  <c r="N620" i="14"/>
  <c r="O620" i="14"/>
  <c r="N619" i="14"/>
  <c r="P619" i="14"/>
  <c r="Q619" i="14"/>
  <c r="O619" i="14"/>
  <c r="O618" i="14"/>
  <c r="Q618" i="14"/>
  <c r="N618" i="14"/>
  <c r="P618" i="14"/>
  <c r="N630" i="14"/>
  <c r="Q630" i="14"/>
  <c r="O630" i="14"/>
  <c r="P630" i="14"/>
  <c r="O624" i="14"/>
  <c r="P624" i="14"/>
  <c r="Q624" i="14"/>
  <c r="N624" i="14"/>
  <c r="F593" i="14"/>
  <c r="B71" i="15"/>
  <c r="F594" i="14"/>
  <c r="F595" i="14" s="1"/>
  <c r="F596" i="14" s="1"/>
  <c r="F597" i="14" s="1"/>
  <c r="F598" i="14" s="1"/>
  <c r="O579" i="14"/>
  <c r="Q579" i="14"/>
  <c r="N579" i="14"/>
  <c r="P579" i="14"/>
  <c r="P584" i="14"/>
  <c r="Q584" i="14"/>
  <c r="O584" i="14"/>
  <c r="N584" i="14"/>
  <c r="N586" i="14"/>
  <c r="Q586" i="14"/>
  <c r="O586" i="14"/>
  <c r="P586" i="14"/>
  <c r="O589" i="14"/>
  <c r="N589" i="14"/>
  <c r="P589" i="14"/>
  <c r="Q589" i="14"/>
  <c r="B69" i="15"/>
  <c r="F554" i="14"/>
  <c r="F553" i="14"/>
  <c r="Q553" i="14"/>
  <c r="K553" i="14"/>
  <c r="O553" i="14"/>
  <c r="J553" i="14"/>
  <c r="L553" i="14" s="1"/>
  <c r="N553" i="14"/>
  <c r="P553" i="14"/>
  <c r="Q554" i="14"/>
  <c r="N554" i="14"/>
  <c r="O554" i="14"/>
  <c r="P554" i="14"/>
  <c r="J554" i="14"/>
  <c r="L554" i="14" s="1"/>
  <c r="K554" i="14"/>
  <c r="P608" i="14"/>
  <c r="Q608" i="14"/>
  <c r="N608" i="14"/>
  <c r="O608" i="14"/>
  <c r="P596" i="14"/>
  <c r="O596" i="14"/>
  <c r="N596" i="14"/>
  <c r="Q596" i="14"/>
  <c r="Q603" i="14"/>
  <c r="P603" i="14"/>
  <c r="N603" i="14"/>
  <c r="O603" i="14"/>
  <c r="N610" i="14"/>
  <c r="Q610" i="14"/>
  <c r="P610" i="14"/>
  <c r="O610" i="14"/>
  <c r="D593" i="14"/>
  <c r="D594" i="14"/>
  <c r="Q614" i="14"/>
  <c r="N614" i="14"/>
  <c r="O614" i="14"/>
  <c r="P614" i="14"/>
  <c r="K614" i="14"/>
  <c r="J614" i="14"/>
  <c r="L614" i="14" s="1"/>
  <c r="O622" i="14"/>
  <c r="P622" i="14"/>
  <c r="N622" i="14"/>
  <c r="Q622" i="14"/>
  <c r="D613" i="14"/>
  <c r="D614" i="14"/>
  <c r="O585" i="14"/>
  <c r="N585" i="14"/>
  <c r="Q585" i="14"/>
  <c r="P585" i="14"/>
  <c r="P576" i="14"/>
  <c r="N576" i="14"/>
  <c r="O576" i="14"/>
  <c r="Q576" i="14"/>
  <c r="N577" i="14"/>
  <c r="O577" i="14"/>
  <c r="Q577" i="14"/>
  <c r="P577" i="14"/>
  <c r="O688" i="14"/>
  <c r="N676" i="14"/>
  <c r="K596" i="14"/>
  <c r="N690" i="14"/>
  <c r="F613" i="14"/>
  <c r="B72" i="15"/>
  <c r="F614" i="14"/>
  <c r="F615" i="14" s="1"/>
  <c r="F616" i="14" s="1"/>
  <c r="F617" i="14" s="1"/>
  <c r="N569" i="14"/>
  <c r="Q569" i="14"/>
  <c r="O569" i="14"/>
  <c r="P569" i="14"/>
  <c r="O565" i="14"/>
  <c r="Q565" i="14"/>
  <c r="N565" i="14"/>
  <c r="P565" i="14"/>
  <c r="P561" i="14"/>
  <c r="N561" i="14"/>
  <c r="Q561" i="14"/>
  <c r="O561" i="14"/>
  <c r="N564" i="14"/>
  <c r="O564" i="14"/>
  <c r="Q564" i="14"/>
  <c r="P564" i="14"/>
  <c r="P558" i="14"/>
  <c r="N558" i="14"/>
  <c r="O558" i="14"/>
  <c r="Q558" i="14"/>
  <c r="B70" i="15"/>
  <c r="F574" i="14"/>
  <c r="F573" i="14"/>
  <c r="O602" i="14"/>
  <c r="P602" i="14"/>
  <c r="N602" i="14"/>
  <c r="Q602" i="14"/>
  <c r="N599" i="14"/>
  <c r="Q599" i="14"/>
  <c r="P599" i="14"/>
  <c r="O599" i="14"/>
  <c r="O594" i="14"/>
  <c r="Q594" i="14"/>
  <c r="P594" i="14"/>
  <c r="N594" i="14"/>
  <c r="K594" i="14"/>
  <c r="J594" i="14"/>
  <c r="L594" i="14" s="1"/>
  <c r="P605" i="14"/>
  <c r="N605" i="14"/>
  <c r="O605" i="14"/>
  <c r="Q605" i="14"/>
  <c r="O600" i="14"/>
  <c r="Q600" i="14"/>
  <c r="P600" i="14"/>
  <c r="N600" i="14"/>
  <c r="P623" i="14"/>
  <c r="N623" i="14"/>
  <c r="O623" i="14"/>
  <c r="Q623" i="14"/>
  <c r="N628" i="14"/>
  <c r="O628" i="14"/>
  <c r="Q628" i="14"/>
  <c r="P628" i="14"/>
  <c r="N617" i="14"/>
  <c r="O617" i="14"/>
  <c r="Q617" i="14"/>
  <c r="P617" i="14"/>
  <c r="O626" i="14"/>
  <c r="P626" i="14"/>
  <c r="Q626" i="14"/>
  <c r="N626" i="14"/>
  <c r="O627" i="14"/>
  <c r="Q627" i="14"/>
  <c r="N627" i="14"/>
  <c r="P627" i="14"/>
  <c r="Q588" i="14"/>
  <c r="O588" i="14"/>
  <c r="N588" i="14"/>
  <c r="P588" i="14"/>
  <c r="Q575" i="14"/>
  <c r="O575" i="14"/>
  <c r="P575" i="14"/>
  <c r="N575" i="14"/>
  <c r="P580" i="14"/>
  <c r="O580" i="14"/>
  <c r="Q580" i="14"/>
  <c r="N580" i="14"/>
  <c r="P574" i="14"/>
  <c r="N574" i="14"/>
  <c r="O574" i="14"/>
  <c r="Q574" i="14"/>
  <c r="D574" i="14"/>
  <c r="D573" i="14"/>
  <c r="Q690" i="14"/>
  <c r="Q674" i="14"/>
  <c r="N681" i="14"/>
  <c r="N683" i="14"/>
  <c r="N673" i="14"/>
  <c r="N686" i="14"/>
  <c r="Q689" i="14"/>
  <c r="O673" i="14"/>
  <c r="P681" i="14"/>
  <c r="O674" i="14"/>
  <c r="N674" i="14"/>
  <c r="P673" i="14"/>
  <c r="Q681" i="14"/>
  <c r="Q673" i="14"/>
  <c r="O689" i="14"/>
  <c r="J674" i="14"/>
  <c r="L674" i="14" s="1"/>
  <c r="F684" i="14"/>
  <c r="F685" i="14" s="1"/>
  <c r="F686" i="14" s="1"/>
  <c r="F687" i="14" s="1"/>
  <c r="F688" i="14" s="1"/>
  <c r="F689" i="14" s="1"/>
  <c r="F690" i="14" s="1"/>
  <c r="K683" i="14"/>
  <c r="P676" i="14"/>
  <c r="O676" i="14"/>
  <c r="D635" i="14"/>
  <c r="W634" i="14"/>
  <c r="V634" i="14" s="1"/>
  <c r="AV119" i="15" s="1"/>
  <c r="K635" i="14"/>
  <c r="N663" i="14"/>
  <c r="O663" i="14"/>
  <c r="Q663" i="14"/>
  <c r="P663" i="14"/>
  <c r="Q661" i="14"/>
  <c r="P661" i="14"/>
  <c r="N661" i="14"/>
  <c r="O661" i="14"/>
  <c r="O660" i="14"/>
  <c r="N660" i="14"/>
  <c r="K660" i="14"/>
  <c r="P660" i="14"/>
  <c r="Q660" i="14"/>
  <c r="D653" i="14"/>
  <c r="D654" i="14"/>
  <c r="N653" i="14"/>
  <c r="K653" i="14"/>
  <c r="Q653" i="14"/>
  <c r="O653" i="14"/>
  <c r="J653" i="14"/>
  <c r="L653" i="14" s="1"/>
  <c r="P653" i="14"/>
  <c r="F637" i="14"/>
  <c r="K636" i="14"/>
  <c r="Q657" i="14"/>
  <c r="P657" i="14"/>
  <c r="O657" i="14"/>
  <c r="N657" i="14"/>
  <c r="N662" i="14"/>
  <c r="Q662" i="14"/>
  <c r="O662" i="14"/>
  <c r="P662" i="14"/>
  <c r="Q654" i="14"/>
  <c r="P654" i="14"/>
  <c r="N654" i="14"/>
  <c r="O654" i="14"/>
  <c r="O665" i="14"/>
  <c r="P665" i="14"/>
  <c r="Q665" i="14"/>
  <c r="N665" i="14"/>
  <c r="K664" i="14"/>
  <c r="P664" i="14"/>
  <c r="O664" i="14"/>
  <c r="Q664" i="14"/>
  <c r="N664" i="14"/>
  <c r="F673" i="14"/>
  <c r="Q684" i="14"/>
  <c r="B75" i="15"/>
  <c r="K673" i="14"/>
  <c r="P684" i="14"/>
  <c r="K634" i="14"/>
  <c r="N670" i="14"/>
  <c r="O670" i="14"/>
  <c r="P670" i="14"/>
  <c r="Q670" i="14"/>
  <c r="P667" i="14"/>
  <c r="O667" i="14"/>
  <c r="Q667" i="14"/>
  <c r="N667" i="14"/>
  <c r="P656" i="14"/>
  <c r="N656" i="14"/>
  <c r="Q656" i="14"/>
  <c r="O656" i="14"/>
  <c r="N669" i="14"/>
  <c r="P669" i="14"/>
  <c r="Q669" i="14"/>
  <c r="O669" i="14"/>
  <c r="N666" i="14"/>
  <c r="P666" i="14"/>
  <c r="Q666" i="14"/>
  <c r="O666" i="14"/>
  <c r="Q668" i="14"/>
  <c r="O668" i="14"/>
  <c r="P668" i="14"/>
  <c r="N668" i="14"/>
  <c r="N655" i="14"/>
  <c r="P655" i="14"/>
  <c r="K655" i="14"/>
  <c r="O655" i="14"/>
  <c r="Q655" i="14"/>
  <c r="O658" i="14"/>
  <c r="Q658" i="14"/>
  <c r="P658" i="14"/>
  <c r="N658" i="14"/>
  <c r="O659" i="14"/>
  <c r="P659" i="14"/>
  <c r="N659" i="14"/>
  <c r="Q659" i="14"/>
  <c r="K418" i="14"/>
  <c r="K684" i="14"/>
  <c r="K688" i="14"/>
  <c r="W674" i="14"/>
  <c r="V674" i="14" s="1"/>
  <c r="AV127" i="15" s="1"/>
  <c r="D675" i="14"/>
  <c r="K674" i="14"/>
  <c r="K687" i="14"/>
  <c r="K681" i="14"/>
  <c r="K689" i="14"/>
  <c r="J616" i="14"/>
  <c r="L616" i="14" s="1"/>
  <c r="K682" i="14"/>
  <c r="K676" i="14"/>
  <c r="J596" i="14"/>
  <c r="L596" i="14" s="1"/>
  <c r="K597" i="14"/>
  <c r="K679" i="14"/>
  <c r="K685" i="14"/>
  <c r="K677" i="14"/>
  <c r="K678" i="14"/>
  <c r="J536" i="14"/>
  <c r="L536" i="14" s="1"/>
  <c r="K686" i="14"/>
  <c r="K675" i="14"/>
  <c r="K680" i="14"/>
  <c r="K616" i="14"/>
  <c r="J66" i="14"/>
  <c r="L66" i="14" s="1"/>
  <c r="N1686" i="6"/>
  <c r="N1479" i="6"/>
  <c r="N1478" i="6"/>
  <c r="N2110" i="6"/>
  <c r="N2466" i="6"/>
  <c r="N1555" i="6"/>
  <c r="N1360" i="6"/>
  <c r="N706" i="6"/>
  <c r="N866" i="6"/>
  <c r="N1413" i="6"/>
  <c r="N1733" i="6"/>
  <c r="N1789" i="6"/>
  <c r="N2188" i="6"/>
  <c r="N2398" i="6"/>
  <c r="N811" i="6"/>
  <c r="N962" i="6"/>
  <c r="N1368" i="6"/>
  <c r="N1565" i="6"/>
  <c r="N812" i="6"/>
  <c r="N1367" i="6"/>
  <c r="N1514" i="6"/>
  <c r="N1522" i="6"/>
  <c r="N1741" i="6"/>
  <c r="N1788" i="6"/>
  <c r="N2417" i="6"/>
  <c r="N2366" i="6"/>
  <c r="N2550" i="6"/>
  <c r="N2491" i="6"/>
  <c r="N882" i="6"/>
  <c r="N934" i="6"/>
  <c r="N1412" i="6"/>
  <c r="N1614" i="6"/>
  <c r="N2190" i="6"/>
  <c r="N2389" i="6"/>
  <c r="N2387" i="6"/>
  <c r="N1639" i="6"/>
  <c r="N1516" i="6"/>
  <c r="N830" i="6"/>
  <c r="N772" i="6"/>
  <c r="N667" i="6"/>
  <c r="N665" i="6"/>
  <c r="N666" i="6"/>
  <c r="N780" i="6"/>
  <c r="N2540" i="6"/>
  <c r="N2501" i="6"/>
  <c r="N2456" i="6"/>
  <c r="N2474" i="6"/>
  <c r="N2473" i="6"/>
  <c r="N2529" i="6"/>
  <c r="N2490" i="6"/>
  <c r="N2561" i="6"/>
  <c r="N2481" i="6"/>
  <c r="N2556" i="6"/>
  <c r="N2521" i="6"/>
  <c r="N2465" i="6"/>
  <c r="N2458" i="6"/>
  <c r="N2541" i="6"/>
  <c r="N2502" i="6"/>
  <c r="N2539" i="6"/>
  <c r="N2483" i="6"/>
  <c r="N2560" i="6"/>
  <c r="N2522" i="6"/>
  <c r="N2554" i="6"/>
  <c r="N2513" i="6"/>
  <c r="N2549" i="6"/>
  <c r="N2511" i="6"/>
  <c r="N2445" i="6"/>
  <c r="N2531" i="6"/>
  <c r="N2444" i="6"/>
  <c r="N2333" i="6"/>
  <c r="N2359" i="6"/>
  <c r="N2436" i="6"/>
  <c r="N2351" i="6"/>
  <c r="N2431" i="6"/>
  <c r="N2349" i="6"/>
  <c r="N2319" i="6"/>
  <c r="N2426" i="6"/>
  <c r="N2342" i="6"/>
  <c r="N2424" i="6"/>
  <c r="N2379" i="6"/>
  <c r="N2334" i="6"/>
  <c r="N2343" i="6"/>
  <c r="N2405" i="6"/>
  <c r="N2358" i="6"/>
  <c r="N2437" i="6"/>
  <c r="N2432" i="6"/>
  <c r="N2397" i="6"/>
  <c r="N2341" i="6"/>
  <c r="N2416" i="6"/>
  <c r="N2377" i="6"/>
  <c r="N2332" i="6"/>
  <c r="N2407" i="6"/>
  <c r="N2368" i="6"/>
  <c r="N2320" i="6"/>
  <c r="N2235" i="6"/>
  <c r="N2314" i="6"/>
  <c r="N2233" i="6"/>
  <c r="N2301" i="6"/>
  <c r="N2263" i="6"/>
  <c r="N2197" i="6"/>
  <c r="N2283" i="6"/>
  <c r="N2244" i="6"/>
  <c r="N2196" i="6"/>
  <c r="N2282" i="6"/>
  <c r="N2243" i="6"/>
  <c r="N2281" i="6"/>
  <c r="N2242" i="6"/>
  <c r="N2313" i="6"/>
  <c r="N2226" i="6"/>
  <c r="N2307" i="6"/>
  <c r="N2272" i="6"/>
  <c r="N2225" i="6"/>
  <c r="N2306" i="6"/>
  <c r="N2265" i="6"/>
  <c r="N2219" i="6"/>
  <c r="N2302" i="6"/>
  <c r="N2264" i="6"/>
  <c r="N2308" i="6"/>
  <c r="N2273" i="6"/>
  <c r="N2217" i="6"/>
  <c r="N2300" i="6"/>
  <c r="N2255" i="6"/>
  <c r="N2210" i="6"/>
  <c r="N2293" i="6"/>
  <c r="N2254" i="6"/>
  <c r="N2209" i="6"/>
  <c r="N2292" i="6"/>
  <c r="N2253" i="6"/>
  <c r="N2208" i="6"/>
  <c r="N2141" i="6"/>
  <c r="N2177" i="6"/>
  <c r="N2073" i="6"/>
  <c r="N2159" i="6"/>
  <c r="N2120" i="6"/>
  <c r="N2072" i="6"/>
  <c r="N2157" i="6"/>
  <c r="N2118" i="6"/>
  <c r="N2109" i="6"/>
  <c r="N2102" i="6"/>
  <c r="N2183" i="6"/>
  <c r="N2148" i="6"/>
  <c r="N2101" i="6"/>
  <c r="N2178" i="6"/>
  <c r="N2140" i="6"/>
  <c r="N2094" i="6"/>
  <c r="N2169" i="6"/>
  <c r="N2130" i="6"/>
  <c r="N2085" i="6"/>
  <c r="N2182" i="6"/>
  <c r="N2184" i="6"/>
  <c r="N2149" i="6"/>
  <c r="N2093" i="6"/>
  <c r="N2176" i="6"/>
  <c r="N2131" i="6"/>
  <c r="N2086" i="6"/>
  <c r="N2168" i="6"/>
  <c r="N2129" i="6"/>
  <c r="N2084" i="6"/>
  <c r="N2158" i="6"/>
  <c r="N2071" i="6"/>
  <c r="N2065" i="6"/>
  <c r="N2066" i="6"/>
  <c r="N2064" i="6"/>
  <c r="N2060" i="6"/>
  <c r="N2059" i="6"/>
  <c r="N2058" i="6"/>
  <c r="N2054" i="6"/>
  <c r="N2053" i="6"/>
  <c r="N2052" i="6"/>
  <c r="N2044" i="6"/>
  <c r="N2045" i="6"/>
  <c r="N2043" i="6"/>
  <c r="N2034" i="6"/>
  <c r="N2035" i="6"/>
  <c r="N2033" i="6"/>
  <c r="N2026" i="6"/>
  <c r="N2025" i="6"/>
  <c r="N2024" i="6"/>
  <c r="N2017" i="6"/>
  <c r="N2016" i="6"/>
  <c r="N2015" i="6"/>
  <c r="N2007" i="6"/>
  <c r="N2006" i="6"/>
  <c r="N2005" i="6"/>
  <c r="N1996" i="6"/>
  <c r="N1995" i="6"/>
  <c r="N1994" i="6"/>
  <c r="N1986" i="6"/>
  <c r="N1987" i="6"/>
  <c r="N1985" i="6"/>
  <c r="N1979" i="6"/>
  <c r="N1978" i="6"/>
  <c r="N1977" i="6"/>
  <c r="N1970" i="6"/>
  <c r="N1971" i="6"/>
  <c r="N1969" i="6"/>
  <c r="N1962" i="6"/>
  <c r="N1961" i="6"/>
  <c r="N1960" i="6"/>
  <c r="N1949" i="6"/>
  <c r="N1948" i="6"/>
  <c r="N1947" i="6"/>
  <c r="N1942" i="6"/>
  <c r="N1941" i="6"/>
  <c r="N1940" i="6"/>
  <c r="N1935" i="6"/>
  <c r="N1936" i="6"/>
  <c r="N1934" i="6"/>
  <c r="N1930" i="6"/>
  <c r="N1929" i="6"/>
  <c r="N1928" i="6"/>
  <c r="N1921" i="6"/>
  <c r="N1920" i="6"/>
  <c r="N1919" i="6"/>
  <c r="N1912" i="6"/>
  <c r="N1911" i="6"/>
  <c r="N1910" i="6"/>
  <c r="N1902" i="6"/>
  <c r="N1903" i="6"/>
  <c r="N1901" i="6"/>
  <c r="N1894" i="6"/>
  <c r="N1893" i="6"/>
  <c r="N1892" i="6"/>
  <c r="N1885" i="6"/>
  <c r="N1886" i="6"/>
  <c r="N1884" i="6"/>
  <c r="N1877" i="6"/>
  <c r="N1876" i="6"/>
  <c r="N1875" i="6"/>
  <c r="N1864" i="6"/>
  <c r="N1863" i="6"/>
  <c r="N1862" i="6"/>
  <c r="N1843" i="6"/>
  <c r="N1844" i="6"/>
  <c r="N1857" i="6"/>
  <c r="N1817" i="6"/>
  <c r="N1826" i="6"/>
  <c r="N1835" i="6"/>
  <c r="N1834" i="6"/>
  <c r="N1836" i="6"/>
  <c r="N1850" i="6"/>
  <c r="N1851" i="6"/>
  <c r="N1856" i="6"/>
  <c r="N1816" i="6"/>
  <c r="N1825" i="6"/>
  <c r="N1796" i="6"/>
  <c r="N1802" i="6"/>
  <c r="N1804" i="6"/>
  <c r="N1770" i="6"/>
  <c r="N1779" i="6"/>
  <c r="N1778" i="6"/>
  <c r="N1797" i="6"/>
  <c r="N1803" i="6"/>
  <c r="N1809" i="6"/>
  <c r="N1808" i="6"/>
  <c r="N1769" i="6"/>
  <c r="N1771" i="6"/>
  <c r="N1749" i="6"/>
  <c r="N1755" i="6"/>
  <c r="N1757" i="6"/>
  <c r="N1731" i="6"/>
  <c r="N1740" i="6"/>
  <c r="N1750" i="6"/>
  <c r="N1756" i="6"/>
  <c r="N1761" i="6"/>
  <c r="N1762" i="6"/>
  <c r="N1722" i="6"/>
  <c r="N1724" i="6"/>
  <c r="N1694" i="6"/>
  <c r="N1693" i="6"/>
  <c r="N1702" i="6"/>
  <c r="N1708" i="6"/>
  <c r="N1714" i="6"/>
  <c r="N1710" i="6"/>
  <c r="N1716" i="6"/>
  <c r="N1676" i="6"/>
  <c r="N1685" i="6"/>
  <c r="N1704" i="6"/>
  <c r="N1703" i="6"/>
  <c r="N1709" i="6"/>
  <c r="N1715" i="6"/>
  <c r="N1675" i="6"/>
  <c r="N1656" i="6"/>
  <c r="N1655" i="6"/>
  <c r="N1648" i="6"/>
  <c r="N1647" i="6"/>
  <c r="N1669" i="6"/>
  <c r="N1668" i="6"/>
  <c r="N1663" i="6"/>
  <c r="N1662" i="6"/>
  <c r="N1661" i="6"/>
  <c r="N1637" i="6"/>
  <c r="N1630" i="6"/>
  <c r="N1628" i="6"/>
  <c r="N1629" i="6"/>
  <c r="N1600" i="6"/>
  <c r="N1610" i="6"/>
  <c r="N1564" i="6"/>
  <c r="N1609" i="6"/>
  <c r="N1572" i="6"/>
  <c r="N1621" i="6"/>
  <c r="N1581" i="6"/>
  <c r="N1590" i="6"/>
  <c r="N1535" i="6"/>
  <c r="N1583" i="6"/>
  <c r="N1534" i="6"/>
  <c r="N1592" i="6"/>
  <c r="N1547" i="6"/>
  <c r="N1601" i="6"/>
  <c r="N1556" i="6"/>
  <c r="N1620" i="6"/>
  <c r="N1574" i="6"/>
  <c r="N1616" i="6"/>
  <c r="N1573" i="6"/>
  <c r="N1622" i="6"/>
  <c r="N1582" i="6"/>
  <c r="N1533" i="6"/>
  <c r="N1591" i="6"/>
  <c r="N1546" i="6"/>
  <c r="N1498" i="6"/>
  <c r="N1453" i="6"/>
  <c r="N1506" i="6"/>
  <c r="N1461" i="6"/>
  <c r="N1507" i="6"/>
  <c r="N1462" i="6"/>
  <c r="N1454" i="6"/>
  <c r="N1526" i="6"/>
  <c r="N1527" i="6"/>
  <c r="N1463" i="6"/>
  <c r="N1470" i="6"/>
  <c r="N1520" i="6"/>
  <c r="N1471" i="6"/>
  <c r="N1469" i="6"/>
  <c r="N1528" i="6"/>
  <c r="N1488" i="6"/>
  <c r="N1439" i="6"/>
  <c r="N1496" i="6"/>
  <c r="N1441" i="6"/>
  <c r="N1497" i="6"/>
  <c r="N1452" i="6"/>
  <c r="N1489" i="6"/>
  <c r="N1440" i="6"/>
  <c r="N1376" i="6"/>
  <c r="N1422" i="6"/>
  <c r="N1377" i="6"/>
  <c r="N1426" i="6"/>
  <c r="N1420" i="6"/>
  <c r="N1385" i="6"/>
  <c r="N1346" i="6"/>
  <c r="N1386" i="6"/>
  <c r="N1432" i="6"/>
  <c r="N1393" i="6"/>
  <c r="N1427" i="6"/>
  <c r="N1395" i="6"/>
  <c r="N1347" i="6"/>
  <c r="N1402" i="6"/>
  <c r="N1358" i="6"/>
  <c r="N1403" i="6"/>
  <c r="N1345" i="6"/>
  <c r="N1394" i="6"/>
  <c r="N1434" i="6"/>
  <c r="N1421" i="6"/>
  <c r="N1428" i="6"/>
  <c r="N1339" i="6"/>
  <c r="N1340" i="6"/>
  <c r="N1338" i="6"/>
  <c r="N1334" i="6"/>
  <c r="N1333" i="6"/>
  <c r="N1332" i="6"/>
  <c r="N1328" i="6"/>
  <c r="N1327" i="6"/>
  <c r="N1326" i="6"/>
  <c r="N1308" i="6"/>
  <c r="N1253" i="6"/>
  <c r="N1318" i="6"/>
  <c r="N1273" i="6"/>
  <c r="N1291" i="6"/>
  <c r="N1319" i="6"/>
  <c r="N1274" i="6"/>
  <c r="N1275" i="6"/>
  <c r="N1292" i="6"/>
  <c r="N1317" i="6"/>
  <c r="N1299" i="6"/>
  <c r="N1300" i="6"/>
  <c r="N1310" i="6"/>
  <c r="N1281" i="6"/>
  <c r="N1264" i="6"/>
  <c r="N1282" i="6"/>
  <c r="N1301" i="6"/>
  <c r="N1252" i="6"/>
  <c r="N1283" i="6"/>
  <c r="N1290" i="6"/>
  <c r="N1265" i="6"/>
  <c r="N906" i="6"/>
  <c r="N933" i="6"/>
  <c r="N958" i="6"/>
  <c r="N916" i="6"/>
  <c r="N950" i="6"/>
  <c r="N895" i="6"/>
  <c r="N908" i="6"/>
  <c r="N941" i="6"/>
  <c r="N964" i="6"/>
  <c r="N924" i="6"/>
  <c r="N952" i="6"/>
  <c r="N907" i="6"/>
  <c r="N943" i="6"/>
  <c r="N894" i="6"/>
  <c r="N925" i="6"/>
  <c r="N957" i="6"/>
  <c r="N915" i="6"/>
  <c r="N942" i="6"/>
  <c r="N893" i="6"/>
  <c r="N857" i="6"/>
  <c r="N887" i="6"/>
  <c r="N888" i="6"/>
  <c r="N880" i="6"/>
  <c r="N841" i="6"/>
  <c r="N839" i="6"/>
  <c r="N847" i="6"/>
  <c r="N856" i="6"/>
  <c r="N848" i="6"/>
  <c r="N867" i="6"/>
  <c r="N818" i="6"/>
  <c r="N849" i="6"/>
  <c r="N876" i="6"/>
  <c r="N831" i="6"/>
  <c r="N874" i="6"/>
  <c r="N819" i="6"/>
  <c r="N781" i="6"/>
  <c r="N806" i="6"/>
  <c r="N764" i="6"/>
  <c r="N790" i="6"/>
  <c r="N741" i="6"/>
  <c r="N804" i="6"/>
  <c r="N756" i="6"/>
  <c r="N789" i="6"/>
  <c r="N765" i="6"/>
  <c r="N791" i="6"/>
  <c r="N742" i="6"/>
  <c r="N773" i="6"/>
  <c r="N800" i="6"/>
  <c r="N755" i="6"/>
  <c r="N798" i="6"/>
  <c r="N743" i="6"/>
  <c r="N678" i="6"/>
  <c r="N730" i="6"/>
  <c r="N688" i="6"/>
  <c r="N722" i="6"/>
  <c r="N735" i="6"/>
  <c r="N695" i="6"/>
  <c r="N714" i="6"/>
  <c r="N713" i="6"/>
  <c r="N736" i="6"/>
  <c r="N696" i="6"/>
  <c r="N734" i="6"/>
  <c r="N697" i="6"/>
  <c r="N729" i="6"/>
  <c r="N687" i="6"/>
  <c r="N705" i="6"/>
  <c r="N724" i="6"/>
  <c r="N679" i="6"/>
  <c r="M420" i="6"/>
  <c r="N419" i="6" s="1"/>
  <c r="M431" i="6"/>
  <c r="N430" i="6" s="1"/>
  <c r="M440" i="6"/>
  <c r="N437" i="6" s="1"/>
  <c r="M449" i="6"/>
  <c r="N446" i="6" s="1"/>
  <c r="M458" i="6"/>
  <c r="M464" i="6"/>
  <c r="N463" i="6" s="1"/>
  <c r="M470" i="6"/>
  <c r="N469" i="6" s="1"/>
  <c r="M362" i="6"/>
  <c r="N360" i="6" s="1"/>
  <c r="M375" i="6"/>
  <c r="N374" i="6" s="1"/>
  <c r="M384" i="6"/>
  <c r="M392" i="6"/>
  <c r="N391" i="6" s="1"/>
  <c r="M400" i="6"/>
  <c r="N397" i="6" s="1"/>
  <c r="M409" i="6"/>
  <c r="N406" i="6" s="1"/>
  <c r="M477" i="6"/>
  <c r="N475" i="6" s="1"/>
  <c r="M499" i="6"/>
  <c r="M535" i="6"/>
  <c r="M546" i="6"/>
  <c r="M555" i="6"/>
  <c r="M564" i="6"/>
  <c r="M573" i="6"/>
  <c r="M579" i="6"/>
  <c r="N578" i="6" s="1"/>
  <c r="M585" i="6"/>
  <c r="M631" i="6"/>
  <c r="M640" i="6"/>
  <c r="M649" i="6"/>
  <c r="N647" i="6" s="1"/>
  <c r="M655" i="6"/>
  <c r="M661" i="6"/>
  <c r="N659" i="6" s="1"/>
  <c r="M592" i="6"/>
  <c r="M605" i="6"/>
  <c r="M614" i="6"/>
  <c r="N612" i="6" s="1"/>
  <c r="M622" i="6"/>
  <c r="N619" i="6" s="1"/>
  <c r="M490" i="6"/>
  <c r="N487" i="6" s="1"/>
  <c r="M507" i="6"/>
  <c r="N506" i="6" s="1"/>
  <c r="M515" i="6"/>
  <c r="N513" i="6" s="1"/>
  <c r="M524" i="6"/>
  <c r="N523" i="6" s="1"/>
  <c r="M247" i="6"/>
  <c r="N246" i="6" s="1"/>
  <c r="M260" i="6"/>
  <c r="M269" i="6"/>
  <c r="M277" i="6"/>
  <c r="M285" i="6"/>
  <c r="N282" i="6" s="1"/>
  <c r="M132" i="6"/>
  <c r="N130" i="6" s="1"/>
  <c r="M145" i="6"/>
  <c r="N143" i="6" s="1"/>
  <c r="M154" i="6"/>
  <c r="M162" i="6"/>
  <c r="N161" i="6" s="1"/>
  <c r="M170" i="6"/>
  <c r="N167" i="6" s="1"/>
  <c r="M179" i="6"/>
  <c r="N178" i="6" s="1"/>
  <c r="M293" i="6"/>
  <c r="N291" i="6" s="1"/>
  <c r="M305" i="6"/>
  <c r="N303" i="6" s="1"/>
  <c r="M316" i="6"/>
  <c r="N313" i="6" s="1"/>
  <c r="M325" i="6"/>
  <c r="N322" i="6" s="1"/>
  <c r="M334" i="6"/>
  <c r="N333" i="6" s="1"/>
  <c r="M343" i="6"/>
  <c r="N340" i="6" s="1"/>
  <c r="M349" i="6"/>
  <c r="N347" i="6" s="1"/>
  <c r="M355" i="6"/>
  <c r="N353" i="6" s="1"/>
  <c r="M190" i="6"/>
  <c r="N189" i="6" s="1"/>
  <c r="M201" i="6"/>
  <c r="N200" i="6" s="1"/>
  <c r="M210" i="6"/>
  <c r="M219" i="6"/>
  <c r="N217" i="6" s="1"/>
  <c r="M228" i="6"/>
  <c r="M234" i="6"/>
  <c r="N231" i="6" s="1"/>
  <c r="M240" i="6"/>
  <c r="V334" i="14" l="1"/>
  <c r="AV59" i="15" s="1"/>
  <c r="D33" i="13"/>
  <c r="D287" i="11" s="1"/>
  <c r="K64" i="14"/>
  <c r="K61" i="14"/>
  <c r="K60" i="14"/>
  <c r="K62" i="14"/>
  <c r="K63" i="14"/>
  <c r="K59" i="14"/>
  <c r="K58" i="14"/>
  <c r="K77" i="14"/>
  <c r="K55" i="14"/>
  <c r="W94" i="14"/>
  <c r="V94" i="14" s="1"/>
  <c r="AV11" i="15" s="1"/>
  <c r="D95" i="14"/>
  <c r="D535" i="14"/>
  <c r="W535" i="14" s="1"/>
  <c r="D27" i="13"/>
  <c r="D34" i="13"/>
  <c r="K54" i="14"/>
  <c r="K57" i="14"/>
  <c r="K74" i="14"/>
  <c r="W74" i="14"/>
  <c r="V74" i="14" s="1"/>
  <c r="AV7" i="15" s="1"/>
  <c r="D75" i="14"/>
  <c r="K75" i="14"/>
  <c r="K56" i="14"/>
  <c r="D55" i="14"/>
  <c r="W54" i="14"/>
  <c r="V54" i="14" s="1"/>
  <c r="AV3" i="15" s="1"/>
  <c r="K76" i="14"/>
  <c r="V155" i="14"/>
  <c r="AV24" i="15" s="1"/>
  <c r="V154" i="14"/>
  <c r="AV23" i="15" s="1"/>
  <c r="D36" i="13"/>
  <c r="D2898" i="6" s="1"/>
  <c r="F236" i="14"/>
  <c r="F237" i="14" s="1"/>
  <c r="D37" i="13"/>
  <c r="D323" i="11" s="1"/>
  <c r="D135" i="14"/>
  <c r="W134" i="14"/>
  <c r="V134" i="14" s="1"/>
  <c r="AV19" i="15" s="1"/>
  <c r="D35" i="13"/>
  <c r="D2827" i="6" s="1"/>
  <c r="F118" i="14"/>
  <c r="K117" i="14"/>
  <c r="W174" i="14"/>
  <c r="V174" i="14" s="1"/>
  <c r="AV27" i="15" s="1"/>
  <c r="J174" i="14"/>
  <c r="L174" i="14" s="1"/>
  <c r="D175" i="14"/>
  <c r="K174" i="14"/>
  <c r="J136" i="14"/>
  <c r="L136" i="14" s="1"/>
  <c r="W116" i="14"/>
  <c r="V116" i="14" s="1"/>
  <c r="AV17" i="15" s="1"/>
  <c r="J116" i="14"/>
  <c r="L116" i="14" s="1"/>
  <c r="D117" i="14"/>
  <c r="D29" i="13"/>
  <c r="D28" i="13"/>
  <c r="K149" i="14"/>
  <c r="F150" i="14"/>
  <c r="K150" i="14" s="1"/>
  <c r="D26" i="13"/>
  <c r="D24" i="13"/>
  <c r="D25" i="13"/>
  <c r="D22" i="13"/>
  <c r="K176" i="14"/>
  <c r="F177" i="14"/>
  <c r="D275" i="14"/>
  <c r="W274" i="14"/>
  <c r="V274" i="14" s="1"/>
  <c r="AV47" i="15" s="1"/>
  <c r="F203" i="14"/>
  <c r="K202" i="14"/>
  <c r="K214" i="14"/>
  <c r="W195" i="14"/>
  <c r="V195" i="14" s="1"/>
  <c r="AV32" i="15" s="1"/>
  <c r="D196" i="14"/>
  <c r="J195" i="14"/>
  <c r="L195" i="14" s="1"/>
  <c r="D255" i="14"/>
  <c r="W254" i="14"/>
  <c r="V254" i="14" s="1"/>
  <c r="AV43" i="15" s="1"/>
  <c r="W214" i="14"/>
  <c r="V214" i="14" s="1"/>
  <c r="AV35" i="15" s="1"/>
  <c r="D215" i="14"/>
  <c r="F79" i="14"/>
  <c r="K78" i="14"/>
  <c r="J214" i="14"/>
  <c r="L214" i="14" s="1"/>
  <c r="J98" i="14"/>
  <c r="L98" i="14" s="1"/>
  <c r="D157" i="14"/>
  <c r="W156" i="14"/>
  <c r="V156" i="14" s="1"/>
  <c r="AV25" i="15" s="1"/>
  <c r="J156" i="14"/>
  <c r="L156" i="14" s="1"/>
  <c r="F168" i="14"/>
  <c r="K167" i="14"/>
  <c r="J234" i="14"/>
  <c r="L234" i="14" s="1"/>
  <c r="W234" i="14"/>
  <c r="V234" i="14" s="1"/>
  <c r="AV39" i="15" s="1"/>
  <c r="D235" i="14"/>
  <c r="K234" i="14"/>
  <c r="W294" i="14"/>
  <c r="V294" i="14" s="1"/>
  <c r="AV51" i="15" s="1"/>
  <c r="D295" i="14"/>
  <c r="D23" i="13"/>
  <c r="D20" i="13"/>
  <c r="D21" i="13"/>
  <c r="K236" i="14"/>
  <c r="F258" i="14"/>
  <c r="K257" i="14"/>
  <c r="F315" i="14"/>
  <c r="K314" i="14"/>
  <c r="J256" i="14"/>
  <c r="L256" i="14" s="1"/>
  <c r="F335" i="14"/>
  <c r="K334" i="14"/>
  <c r="D315" i="14"/>
  <c r="W314" i="14"/>
  <c r="V314" i="14" s="1"/>
  <c r="AV55" i="15" s="1"/>
  <c r="F375" i="14"/>
  <c r="K374" i="14"/>
  <c r="J434" i="14"/>
  <c r="L434" i="14" s="1"/>
  <c r="D435" i="14"/>
  <c r="W434" i="14"/>
  <c r="V434" i="14" s="1"/>
  <c r="AV79" i="15" s="1"/>
  <c r="F305" i="14"/>
  <c r="K304" i="14"/>
  <c r="J414" i="14"/>
  <c r="L414" i="14" s="1"/>
  <c r="D415" i="14"/>
  <c r="W414" i="14"/>
  <c r="V414" i="14" s="1"/>
  <c r="AV75" i="15" s="1"/>
  <c r="K356" i="14"/>
  <c r="F357" i="14"/>
  <c r="F220" i="14"/>
  <c r="K219" i="14"/>
  <c r="D375" i="14"/>
  <c r="W374" i="14"/>
  <c r="V374" i="14" s="1"/>
  <c r="AV67" i="15" s="1"/>
  <c r="K355" i="14"/>
  <c r="W335" i="14"/>
  <c r="D336" i="14"/>
  <c r="J335" i="14"/>
  <c r="L335" i="14" s="1"/>
  <c r="J296" i="14"/>
  <c r="L296" i="14" s="1"/>
  <c r="J276" i="14"/>
  <c r="L276" i="14" s="1"/>
  <c r="W394" i="14"/>
  <c r="V394" i="14" s="1"/>
  <c r="AV71" i="15" s="1"/>
  <c r="D395" i="14"/>
  <c r="D17" i="13"/>
  <c r="D18" i="13"/>
  <c r="D16" i="13"/>
  <c r="D15" i="13"/>
  <c r="D19" i="13"/>
  <c r="F395" i="14"/>
  <c r="D355" i="14"/>
  <c r="W354" i="14"/>
  <c r="V354" i="14" s="1"/>
  <c r="AV63" i="15" s="1"/>
  <c r="J454" i="14"/>
  <c r="L454" i="14" s="1"/>
  <c r="W454" i="14"/>
  <c r="V454" i="14" s="1"/>
  <c r="AV83" i="15" s="1"/>
  <c r="D455" i="14"/>
  <c r="K396" i="14"/>
  <c r="J396" i="14"/>
  <c r="L396" i="14" s="1"/>
  <c r="V534" i="14"/>
  <c r="AV99" i="15" s="1"/>
  <c r="F535" i="14"/>
  <c r="K454" i="14"/>
  <c r="K457" i="14"/>
  <c r="D495" i="14"/>
  <c r="W494" i="14"/>
  <c r="V494" i="14" s="1"/>
  <c r="AV91" i="15" s="1"/>
  <c r="D14" i="13"/>
  <c r="D11" i="13"/>
  <c r="D13" i="13"/>
  <c r="D12" i="13"/>
  <c r="D10" i="13"/>
  <c r="J474" i="14"/>
  <c r="L474" i="14" s="1"/>
  <c r="W474" i="14"/>
  <c r="V474" i="14" s="1"/>
  <c r="AV87" i="15" s="1"/>
  <c r="D475" i="14"/>
  <c r="F479" i="14"/>
  <c r="K478" i="14"/>
  <c r="F464" i="14"/>
  <c r="K463" i="14"/>
  <c r="K458" i="14"/>
  <c r="F436" i="14"/>
  <c r="K435" i="14"/>
  <c r="K459" i="14"/>
  <c r="K455" i="14"/>
  <c r="K456" i="14"/>
  <c r="W514" i="14"/>
  <c r="V514" i="14" s="1"/>
  <c r="AV95" i="15" s="1"/>
  <c r="D515" i="14"/>
  <c r="D536" i="14"/>
  <c r="K460" i="14"/>
  <c r="K461" i="14"/>
  <c r="J416" i="14"/>
  <c r="L416" i="14" s="1"/>
  <c r="K462" i="14"/>
  <c r="J436" i="14"/>
  <c r="L436" i="14" s="1"/>
  <c r="K690" i="14"/>
  <c r="D7" i="13"/>
  <c r="D6" i="13"/>
  <c r="D9" i="13"/>
  <c r="D5" i="13"/>
  <c r="D8" i="13"/>
  <c r="K501" i="14"/>
  <c r="F502" i="14"/>
  <c r="J496" i="14"/>
  <c r="L496" i="14" s="1"/>
  <c r="F420" i="14"/>
  <c r="K419" i="14"/>
  <c r="D30" i="13"/>
  <c r="D251" i="11" s="1"/>
  <c r="D555" i="14"/>
  <c r="W554" i="14"/>
  <c r="V554" i="14" s="1"/>
  <c r="AV103" i="15" s="1"/>
  <c r="K536" i="14"/>
  <c r="J574" i="14"/>
  <c r="L574" i="14" s="1"/>
  <c r="D575" i="14"/>
  <c r="W574" i="14"/>
  <c r="V574" i="14" s="1"/>
  <c r="AV107" i="15" s="1"/>
  <c r="D38" i="13"/>
  <c r="D335" i="11" s="1"/>
  <c r="F575" i="14"/>
  <c r="K574" i="14"/>
  <c r="W614" i="14"/>
  <c r="V614" i="14" s="1"/>
  <c r="AV115" i="15" s="1"/>
  <c r="D615" i="14"/>
  <c r="W594" i="14"/>
  <c r="V594" i="14" s="1"/>
  <c r="AV111" i="15" s="1"/>
  <c r="D595" i="14"/>
  <c r="F555" i="14"/>
  <c r="J516" i="14"/>
  <c r="L516" i="14" s="1"/>
  <c r="D39" i="13"/>
  <c r="D347" i="11" s="1"/>
  <c r="D31" i="13"/>
  <c r="D2332" i="6" s="1"/>
  <c r="D32" i="13"/>
  <c r="D275" i="11" s="1"/>
  <c r="F638" i="14"/>
  <c r="K637" i="14"/>
  <c r="D655" i="14"/>
  <c r="W654" i="14"/>
  <c r="V654" i="14" s="1"/>
  <c r="AV123" i="15" s="1"/>
  <c r="J654" i="14"/>
  <c r="L654" i="14" s="1"/>
  <c r="D636" i="14"/>
  <c r="J635" i="14"/>
  <c r="L635" i="14" s="1"/>
  <c r="W635" i="14"/>
  <c r="V635" i="14" s="1"/>
  <c r="AV120" i="15" s="1"/>
  <c r="J537" i="14"/>
  <c r="L537" i="14" s="1"/>
  <c r="D3105" i="6"/>
  <c r="D3068" i="6"/>
  <c r="D3013" i="6"/>
  <c r="F599" i="14"/>
  <c r="K598" i="14"/>
  <c r="J617" i="14"/>
  <c r="L617" i="14" s="1"/>
  <c r="O44" i="8"/>
  <c r="D2567" i="6"/>
  <c r="W44" i="8"/>
  <c r="M43" i="3"/>
  <c r="J597" i="14"/>
  <c r="L597" i="14" s="1"/>
  <c r="F618" i="14"/>
  <c r="K617" i="14"/>
  <c r="W675" i="14"/>
  <c r="V675" i="14" s="1"/>
  <c r="AV128" i="15" s="1"/>
  <c r="D676" i="14"/>
  <c r="J675" i="14"/>
  <c r="L675" i="14" s="1"/>
  <c r="J67" i="14"/>
  <c r="L67" i="14" s="1"/>
  <c r="N448" i="6"/>
  <c r="N283" i="6"/>
  <c r="N408" i="6"/>
  <c r="N284" i="6"/>
  <c r="N144" i="6"/>
  <c r="N611" i="6"/>
  <c r="N613" i="6"/>
  <c r="N177" i="6"/>
  <c r="N160" i="6"/>
  <c r="N129" i="6"/>
  <c r="N658" i="6"/>
  <c r="N653" i="6"/>
  <c r="N648" i="6"/>
  <c r="N646" i="6"/>
  <c r="N660" i="6"/>
  <c r="N652" i="6"/>
  <c r="N654" i="6"/>
  <c r="N639" i="6"/>
  <c r="N638" i="6"/>
  <c r="N637" i="6"/>
  <c r="N629" i="6"/>
  <c r="N630" i="6"/>
  <c r="N628" i="6"/>
  <c r="N621" i="6"/>
  <c r="N620" i="6"/>
  <c r="N602" i="6"/>
  <c r="N590" i="6"/>
  <c r="N591" i="6"/>
  <c r="N603" i="6"/>
  <c r="N604" i="6"/>
  <c r="N589" i="6"/>
  <c r="N570" i="6"/>
  <c r="N514" i="6"/>
  <c r="N583" i="6"/>
  <c r="N543" i="6"/>
  <c r="N504" i="6"/>
  <c r="N572" i="6"/>
  <c r="N533" i="6"/>
  <c r="N488" i="6"/>
  <c r="N561" i="6"/>
  <c r="N521" i="6"/>
  <c r="N554" i="6"/>
  <c r="N505" i="6"/>
  <c r="N576" i="6"/>
  <c r="N534" i="6"/>
  <c r="N489" i="6"/>
  <c r="N562" i="6"/>
  <c r="N522" i="6"/>
  <c r="N474" i="6"/>
  <c r="N545" i="6"/>
  <c r="N584" i="6"/>
  <c r="N544" i="6"/>
  <c r="N496" i="6"/>
  <c r="N563" i="6"/>
  <c r="N552" i="6"/>
  <c r="N512" i="6"/>
  <c r="N497" i="6"/>
  <c r="N577" i="6"/>
  <c r="N476" i="6"/>
  <c r="N553" i="6"/>
  <c r="N582" i="6"/>
  <c r="N498" i="6"/>
  <c r="N571" i="6"/>
  <c r="N532" i="6"/>
  <c r="N447" i="6"/>
  <c r="N407" i="6"/>
  <c r="N359" i="6"/>
  <c r="N439" i="6"/>
  <c r="N390" i="6"/>
  <c r="N461" i="6"/>
  <c r="N429" i="6"/>
  <c r="N381" i="6"/>
  <c r="N467" i="6"/>
  <c r="N383" i="6"/>
  <c r="N462" i="6"/>
  <c r="N361" i="6"/>
  <c r="N438" i="6"/>
  <c r="N398" i="6"/>
  <c r="N382" i="6"/>
  <c r="N457" i="6"/>
  <c r="N418" i="6"/>
  <c r="N373" i="6"/>
  <c r="N455" i="6"/>
  <c r="N399" i="6"/>
  <c r="N468" i="6"/>
  <c r="N428" i="6"/>
  <c r="N389" i="6"/>
  <c r="N456" i="6"/>
  <c r="N417" i="6"/>
  <c r="N372" i="6"/>
  <c r="N292" i="6"/>
  <c r="N245" i="6"/>
  <c r="N315" i="6"/>
  <c r="N276" i="6"/>
  <c r="N274" i="6"/>
  <c r="N341" i="6"/>
  <c r="N302" i="6"/>
  <c r="N257" i="6"/>
  <c r="N324" i="6"/>
  <c r="N275" i="6"/>
  <c r="N342" i="6"/>
  <c r="N258" i="6"/>
  <c r="N323" i="6"/>
  <c r="N348" i="6"/>
  <c r="N267" i="6"/>
  <c r="N352" i="6"/>
  <c r="N268" i="6"/>
  <c r="N346" i="6"/>
  <c r="N304" i="6"/>
  <c r="N259" i="6"/>
  <c r="N331" i="6"/>
  <c r="N290" i="6"/>
  <c r="N354" i="6"/>
  <c r="N314" i="6"/>
  <c r="N266" i="6"/>
  <c r="N332" i="6"/>
  <c r="N244" i="6"/>
  <c r="N209" i="6"/>
  <c r="N225" i="6"/>
  <c r="N169" i="6"/>
  <c r="N238" i="6"/>
  <c r="N198" i="6"/>
  <c r="N159" i="6"/>
  <c r="N227" i="6"/>
  <c r="N188" i="6"/>
  <c r="N216" i="6"/>
  <c r="N176" i="6"/>
  <c r="N239" i="6"/>
  <c r="N199" i="6"/>
  <c r="N151" i="6"/>
  <c r="N218" i="6"/>
  <c r="N207" i="6"/>
  <c r="N233" i="6"/>
  <c r="N152" i="6"/>
  <c r="N232" i="6"/>
  <c r="N131" i="6"/>
  <c r="N208" i="6"/>
  <c r="N168" i="6"/>
  <c r="N237" i="6"/>
  <c r="N153" i="6"/>
  <c r="N226" i="6"/>
  <c r="N187" i="6"/>
  <c r="N142" i="6"/>
  <c r="D2583" i="6" l="1"/>
  <c r="D2577" i="6"/>
  <c r="G44" i="8"/>
  <c r="D2589" i="6"/>
  <c r="D299" i="11"/>
  <c r="D2984" i="6"/>
  <c r="G47" i="8"/>
  <c r="D2954" i="6"/>
  <c r="D2926" i="6"/>
  <c r="W47" i="8"/>
  <c r="G48" i="8"/>
  <c r="D3059" i="6"/>
  <c r="M46" i="3"/>
  <c r="D2794" i="6"/>
  <c r="D2840" i="6"/>
  <c r="O47" i="8"/>
  <c r="D2853" i="6"/>
  <c r="D2917" i="6"/>
  <c r="D2870" i="6"/>
  <c r="D311" i="11"/>
  <c r="D2908" i="6"/>
  <c r="D2862" i="6"/>
  <c r="D2972" i="6"/>
  <c r="D2978" i="6"/>
  <c r="D3398" i="6"/>
  <c r="D2887" i="6"/>
  <c r="D2945" i="6"/>
  <c r="D2936" i="6"/>
  <c r="D2878" i="6"/>
  <c r="D2963" i="6"/>
  <c r="E259" i="4"/>
  <c r="D2626" i="6"/>
  <c r="D2682" i="6"/>
  <c r="D2596" i="6"/>
  <c r="E244" i="4"/>
  <c r="D2664" i="6"/>
  <c r="D2676" i="6"/>
  <c r="D2618" i="6"/>
  <c r="D2643" i="6"/>
  <c r="D2655" i="6"/>
  <c r="D2670" i="6"/>
  <c r="G45" i="8"/>
  <c r="M44" i="3"/>
  <c r="W45" i="8"/>
  <c r="D2634" i="6"/>
  <c r="D2649" i="6"/>
  <c r="D2609" i="6"/>
  <c r="O45" i="8"/>
  <c r="E176" i="4"/>
  <c r="D1928" i="6"/>
  <c r="W38" i="8"/>
  <c r="D1910" i="6"/>
  <c r="D1919" i="6"/>
  <c r="D1940" i="6"/>
  <c r="D1892" i="6"/>
  <c r="M37" i="3"/>
  <c r="D1934" i="6"/>
  <c r="D1884" i="6"/>
  <c r="D1875" i="6"/>
  <c r="G38" i="8"/>
  <c r="D1862" i="6"/>
  <c r="D1901" i="6"/>
  <c r="O38" i="8"/>
  <c r="D3129" i="6"/>
  <c r="D3049" i="6"/>
  <c r="E268" i="4"/>
  <c r="D56" i="14"/>
  <c r="W55" i="14"/>
  <c r="V55" i="14" s="1"/>
  <c r="AV4" i="15" s="1"/>
  <c r="J55" i="14"/>
  <c r="L55" i="14" s="1"/>
  <c r="D3021" i="6"/>
  <c r="D3135" i="6"/>
  <c r="D3038" i="6"/>
  <c r="W75" i="14"/>
  <c r="V75" i="14" s="1"/>
  <c r="AV8" i="15" s="1"/>
  <c r="D76" i="14"/>
  <c r="J75" i="14"/>
  <c r="L75" i="14" s="1"/>
  <c r="D96" i="14"/>
  <c r="W95" i="14"/>
  <c r="V95" i="14" s="1"/>
  <c r="AV12" i="15" s="1"/>
  <c r="D2727" i="6"/>
  <c r="W46" i="8"/>
  <c r="D2785" i="6"/>
  <c r="M45" i="3"/>
  <c r="D3077" i="6"/>
  <c r="O48" i="8"/>
  <c r="M47" i="3"/>
  <c r="D2991" i="6"/>
  <c r="W48" i="8"/>
  <c r="D3096" i="6"/>
  <c r="D3087" i="6"/>
  <c r="D3004" i="6"/>
  <c r="D3029" i="6"/>
  <c r="D3123" i="6"/>
  <c r="D3114" i="6"/>
  <c r="D2481" i="6"/>
  <c r="D2766" i="6"/>
  <c r="D2775" i="6"/>
  <c r="O46" i="8"/>
  <c r="D2702" i="6"/>
  <c r="D2689" i="6"/>
  <c r="D2803" i="6"/>
  <c r="D2747" i="6"/>
  <c r="E250" i="4"/>
  <c r="D2757" i="6"/>
  <c r="D2812" i="6"/>
  <c r="G46" i="8"/>
  <c r="D3238" i="6"/>
  <c r="D2736" i="6"/>
  <c r="D2711" i="6"/>
  <c r="D2821" i="6"/>
  <c r="D2719" i="6"/>
  <c r="D2833" i="6"/>
  <c r="W50" i="8"/>
  <c r="D2548" i="6"/>
  <c r="D136" i="14"/>
  <c r="W135" i="14"/>
  <c r="V135" i="14" s="1"/>
  <c r="AV20" i="15" s="1"/>
  <c r="D2560" i="6"/>
  <c r="D2520" i="6"/>
  <c r="D2306" i="6"/>
  <c r="D227" i="11"/>
  <c r="D1960" i="6"/>
  <c r="D2064" i="6"/>
  <c r="D2052" i="6"/>
  <c r="E182" i="4"/>
  <c r="D2005" i="6"/>
  <c r="D1969" i="6"/>
  <c r="D2058" i="6"/>
  <c r="D1994" i="6"/>
  <c r="D2033" i="6"/>
  <c r="O39" i="8"/>
  <c r="D2015" i="6"/>
  <c r="W39" i="8"/>
  <c r="D1977" i="6"/>
  <c r="D2043" i="6"/>
  <c r="G39" i="8"/>
  <c r="D1947" i="6"/>
  <c r="D2024" i="6"/>
  <c r="D1985" i="6"/>
  <c r="M38" i="3"/>
  <c r="W117" i="14"/>
  <c r="V117" i="14" s="1"/>
  <c r="AV18" i="15" s="1"/>
  <c r="J117" i="14"/>
  <c r="L117" i="14" s="1"/>
  <c r="D118" i="14"/>
  <c r="M42" i="3"/>
  <c r="E204" i="4"/>
  <c r="D2511" i="6"/>
  <c r="D3340" i="6"/>
  <c r="W43" i="8"/>
  <c r="D2465" i="6"/>
  <c r="D2242" i="6"/>
  <c r="D239" i="11"/>
  <c r="D2093" i="6"/>
  <c r="E193" i="4"/>
  <c r="D2139" i="6"/>
  <c r="G40" i="8"/>
  <c r="D2188" i="6"/>
  <c r="D2109" i="6"/>
  <c r="D2182" i="6"/>
  <c r="O40" i="8"/>
  <c r="D2167" i="6"/>
  <c r="D2101" i="6"/>
  <c r="D2148" i="6"/>
  <c r="D2084" i="6"/>
  <c r="W40" i="8"/>
  <c r="D2071" i="6"/>
  <c r="D2118" i="6"/>
  <c r="D2129" i="6"/>
  <c r="D2157" i="6"/>
  <c r="M39" i="3"/>
  <c r="D2176" i="6"/>
  <c r="J137" i="14"/>
  <c r="L137" i="14" s="1"/>
  <c r="D176" i="14"/>
  <c r="W175" i="14"/>
  <c r="V175" i="14" s="1"/>
  <c r="AV28" i="15" s="1"/>
  <c r="J175" i="14"/>
  <c r="L175" i="14" s="1"/>
  <c r="K118" i="14"/>
  <c r="F119" i="14"/>
  <c r="D3256" i="6"/>
  <c r="D2377" i="6"/>
  <c r="W157" i="14"/>
  <c r="V157" i="14" s="1"/>
  <c r="AV26" i="15" s="1"/>
  <c r="J157" i="14"/>
  <c r="L157" i="14" s="1"/>
  <c r="D158" i="14"/>
  <c r="W215" i="14"/>
  <c r="V215" i="14" s="1"/>
  <c r="AV36" i="15" s="1"/>
  <c r="D216" i="14"/>
  <c r="J215" i="14"/>
  <c r="L215" i="14" s="1"/>
  <c r="D1778" i="6"/>
  <c r="D1787" i="6"/>
  <c r="G36" i="8"/>
  <c r="D1769" i="6"/>
  <c r="D1808" i="6"/>
  <c r="D1802" i="6"/>
  <c r="E164" i="4"/>
  <c r="D1796" i="6"/>
  <c r="O36" i="8"/>
  <c r="W36" i="8"/>
  <c r="M35" i="3"/>
  <c r="F80" i="14"/>
  <c r="K79" i="14"/>
  <c r="D256" i="14"/>
  <c r="W255" i="14"/>
  <c r="V255" i="14" s="1"/>
  <c r="AV44" i="15" s="1"/>
  <c r="F178" i="14"/>
  <c r="K177" i="14"/>
  <c r="D1714" i="6"/>
  <c r="D1675" i="6"/>
  <c r="O34" i="8"/>
  <c r="D1684" i="6"/>
  <c r="W34" i="8"/>
  <c r="D1708" i="6"/>
  <c r="E152" i="4"/>
  <c r="M33" i="3"/>
  <c r="G34" i="8"/>
  <c r="D1702" i="6"/>
  <c r="D1693" i="6"/>
  <c r="J235" i="14"/>
  <c r="L235" i="14" s="1"/>
  <c r="W235" i="14"/>
  <c r="V235" i="14" s="1"/>
  <c r="AV40" i="15" s="1"/>
  <c r="D236" i="14"/>
  <c r="K168" i="14"/>
  <c r="F169" i="14"/>
  <c r="W196" i="14"/>
  <c r="V196" i="14" s="1"/>
  <c r="AV33" i="15" s="1"/>
  <c r="J196" i="14"/>
  <c r="L196" i="14" s="1"/>
  <c r="D197" i="14"/>
  <c r="F204" i="14"/>
  <c r="K203" i="14"/>
  <c r="D1749" i="6"/>
  <c r="D1722" i="6"/>
  <c r="O35" i="8"/>
  <c r="W35" i="8"/>
  <c r="M34" i="3"/>
  <c r="D1761" i="6"/>
  <c r="E158" i="4"/>
  <c r="D1731" i="6"/>
  <c r="D1740" i="6"/>
  <c r="D1755" i="6"/>
  <c r="G35" i="8"/>
  <c r="J99" i="14"/>
  <c r="L99" i="14" s="1"/>
  <c r="D1646" i="6"/>
  <c r="W33" i="8"/>
  <c r="D1661" i="6"/>
  <c r="M32" i="3"/>
  <c r="D1667" i="6"/>
  <c r="D1628" i="6"/>
  <c r="G33" i="8"/>
  <c r="D1637" i="6"/>
  <c r="D1655" i="6"/>
  <c r="O33" i="8"/>
  <c r="E146" i="4"/>
  <c r="D3228" i="6"/>
  <c r="D3351" i="6"/>
  <c r="W295" i="14"/>
  <c r="V295" i="14" s="1"/>
  <c r="AV52" i="15" s="1"/>
  <c r="D296" i="14"/>
  <c r="W275" i="14"/>
  <c r="V275" i="14" s="1"/>
  <c r="AV48" i="15" s="1"/>
  <c r="D276" i="14"/>
  <c r="D1834" i="6"/>
  <c r="D1855" i="6"/>
  <c r="D1849" i="6"/>
  <c r="D1843" i="6"/>
  <c r="D1825" i="6"/>
  <c r="M36" i="3"/>
  <c r="D1816" i="6"/>
  <c r="W37" i="8"/>
  <c r="G37" i="8"/>
  <c r="E170" i="4"/>
  <c r="O37" i="8"/>
  <c r="D316" i="14"/>
  <c r="J315" i="14"/>
  <c r="L315" i="14" s="1"/>
  <c r="W315" i="14"/>
  <c r="V315" i="14" s="1"/>
  <c r="AV56" i="15" s="1"/>
  <c r="F238" i="14"/>
  <c r="K237" i="14"/>
  <c r="D3265" i="6"/>
  <c r="E277" i="4"/>
  <c r="V335" i="14"/>
  <c r="AV60" i="15" s="1"/>
  <c r="J257" i="14"/>
  <c r="L257" i="14" s="1"/>
  <c r="F259" i="14"/>
  <c r="K258" i="14"/>
  <c r="D215" i="11"/>
  <c r="D1555" i="6"/>
  <c r="D1563" i="6"/>
  <c r="M31" i="3"/>
  <c r="D1572" i="6"/>
  <c r="D1533" i="6"/>
  <c r="D1599" i="6"/>
  <c r="D1614" i="6"/>
  <c r="O32" i="8"/>
  <c r="D1581" i="6"/>
  <c r="D1546" i="6"/>
  <c r="G32" i="8"/>
  <c r="E138" i="4"/>
  <c r="D1620" i="6"/>
  <c r="W32" i="8"/>
  <c r="D1608" i="6"/>
  <c r="D1590" i="6"/>
  <c r="F336" i="14"/>
  <c r="K335" i="14"/>
  <c r="F316" i="14"/>
  <c r="K315" i="14"/>
  <c r="D203" i="11"/>
  <c r="D1514" i="6"/>
  <c r="D1439" i="6"/>
  <c r="D1478" i="6"/>
  <c r="W31" i="8"/>
  <c r="D1461" i="6"/>
  <c r="D1452" i="6"/>
  <c r="D1505" i="6"/>
  <c r="D1526" i="6"/>
  <c r="D1520" i="6"/>
  <c r="O31" i="8"/>
  <c r="D1469" i="6"/>
  <c r="D1487" i="6"/>
  <c r="D1496" i="6"/>
  <c r="G31" i="8"/>
  <c r="M30" i="3"/>
  <c r="E130" i="4"/>
  <c r="D3142" i="6"/>
  <c r="D2341" i="6"/>
  <c r="D179" i="11"/>
  <c r="W29" i="8"/>
  <c r="G29" i="8"/>
  <c r="D1326" i="6"/>
  <c r="D1273" i="6"/>
  <c r="E114" i="4"/>
  <c r="F170" i="1"/>
  <c r="D1332" i="6"/>
  <c r="D1281" i="6"/>
  <c r="D1338" i="6"/>
  <c r="O29" i="8"/>
  <c r="F485" i="5"/>
  <c r="D1299" i="6"/>
  <c r="D1308" i="6"/>
  <c r="D1317" i="6"/>
  <c r="M28" i="3"/>
  <c r="D1264" i="6"/>
  <c r="D1251" i="6"/>
  <c r="D1290" i="6"/>
  <c r="J277" i="14"/>
  <c r="L277" i="14" s="1"/>
  <c r="F358" i="14"/>
  <c r="K357" i="14"/>
  <c r="D416" i="14"/>
  <c r="W415" i="14"/>
  <c r="V415" i="14" s="1"/>
  <c r="AV76" i="15" s="1"/>
  <c r="F376" i="14"/>
  <c r="K375" i="14"/>
  <c r="D2443" i="6"/>
  <c r="D2490" i="6"/>
  <c r="D2501" i="6"/>
  <c r="D2233" i="6"/>
  <c r="F396" i="14"/>
  <c r="F397" i="14" s="1"/>
  <c r="F398" i="14" s="1"/>
  <c r="D155" i="11"/>
  <c r="D1138" i="6"/>
  <c r="D1085" i="6"/>
  <c r="D1111" i="6"/>
  <c r="O27" i="8"/>
  <c r="E98" i="4"/>
  <c r="D1102" i="6"/>
  <c r="D1144" i="6"/>
  <c r="D1063" i="6"/>
  <c r="G27" i="8"/>
  <c r="F413" i="5"/>
  <c r="D1129" i="6"/>
  <c r="D1120" i="6"/>
  <c r="W27" i="8"/>
  <c r="F146" i="1"/>
  <c r="D1150" i="6"/>
  <c r="D1093" i="6"/>
  <c r="D1076" i="6"/>
  <c r="M26" i="3"/>
  <c r="W336" i="14"/>
  <c r="D337" i="14"/>
  <c r="J336" i="14"/>
  <c r="L336" i="14" s="1"/>
  <c r="F306" i="14"/>
  <c r="K305" i="14"/>
  <c r="J297" i="14"/>
  <c r="L297" i="14" s="1"/>
  <c r="D191" i="11"/>
  <c r="O30" i="8"/>
  <c r="D1367" i="6"/>
  <c r="D1345" i="6"/>
  <c r="D1384" i="6"/>
  <c r="W30" i="8"/>
  <c r="D1420" i="6"/>
  <c r="D1358" i="6"/>
  <c r="G30" i="8"/>
  <c r="D1432" i="6"/>
  <c r="D1375" i="6"/>
  <c r="D1426" i="6"/>
  <c r="M29" i="3"/>
  <c r="D1402" i="6"/>
  <c r="D1393" i="6"/>
  <c r="D1411" i="6"/>
  <c r="E122" i="4"/>
  <c r="D1205" i="6"/>
  <c r="D1187" i="6"/>
  <c r="D1214" i="6"/>
  <c r="D1170" i="6"/>
  <c r="M27" i="3"/>
  <c r="W28" i="8"/>
  <c r="D1232" i="6"/>
  <c r="D1196" i="6"/>
  <c r="G28" i="8"/>
  <c r="D1223" i="6"/>
  <c r="D1238" i="6"/>
  <c r="E106" i="4"/>
  <c r="F449" i="5"/>
  <c r="D1157" i="6"/>
  <c r="F158" i="1"/>
  <c r="D1244" i="6"/>
  <c r="D1179" i="6"/>
  <c r="O28" i="8"/>
  <c r="D167" i="11"/>
  <c r="W435" i="14"/>
  <c r="V435" i="14" s="1"/>
  <c r="AV80" i="15" s="1"/>
  <c r="D436" i="14"/>
  <c r="D2539" i="6"/>
  <c r="G43" i="8"/>
  <c r="D2554" i="6"/>
  <c r="W41" i="8"/>
  <c r="D356" i="14"/>
  <c r="W355" i="14"/>
  <c r="V355" i="14" s="1"/>
  <c r="AV64" i="15" s="1"/>
  <c r="J355" i="14"/>
  <c r="L355" i="14" s="1"/>
  <c r="D143" i="11"/>
  <c r="D1056" i="6"/>
  <c r="D999" i="6"/>
  <c r="D982" i="6"/>
  <c r="G26" i="8"/>
  <c r="D1044" i="6"/>
  <c r="D991" i="6"/>
  <c r="O26" i="8"/>
  <c r="D1017" i="6"/>
  <c r="D1008" i="6"/>
  <c r="D1050" i="6"/>
  <c r="W26" i="8"/>
  <c r="D969" i="6"/>
  <c r="D1035" i="6"/>
  <c r="D1026" i="6"/>
  <c r="M25" i="3"/>
  <c r="E90" i="4"/>
  <c r="W395" i="14"/>
  <c r="V395" i="14" s="1"/>
  <c r="AV72" i="15" s="1"/>
  <c r="D396" i="14"/>
  <c r="W375" i="14"/>
  <c r="V375" i="14" s="1"/>
  <c r="AV68" i="15" s="1"/>
  <c r="J375" i="14"/>
  <c r="L375" i="14" s="1"/>
  <c r="D376" i="14"/>
  <c r="F221" i="14"/>
  <c r="K220" i="14"/>
  <c r="O49" i="8"/>
  <c r="G49" i="8"/>
  <c r="D3189" i="6"/>
  <c r="D2387" i="6"/>
  <c r="D2396" i="6"/>
  <c r="D2195" i="6"/>
  <c r="D2217" i="6"/>
  <c r="D2272" i="6"/>
  <c r="D2263" i="6"/>
  <c r="D2253" i="6"/>
  <c r="J437" i="14"/>
  <c r="L437" i="14" s="1"/>
  <c r="J417" i="14"/>
  <c r="L417" i="14" s="1"/>
  <c r="D83" i="11"/>
  <c r="D646" i="6"/>
  <c r="D658" i="6"/>
  <c r="D652" i="6"/>
  <c r="G21" i="8"/>
  <c r="D611" i="6"/>
  <c r="D619" i="6"/>
  <c r="W21" i="8"/>
  <c r="O21" i="8"/>
  <c r="D637" i="6"/>
  <c r="D628" i="6"/>
  <c r="M20" i="3"/>
  <c r="D589" i="6"/>
  <c r="D602" i="6"/>
  <c r="E55" i="4"/>
  <c r="D131" i="11"/>
  <c r="D915" i="6"/>
  <c r="D893" i="6"/>
  <c r="M24" i="3"/>
  <c r="D956" i="6"/>
  <c r="D962" i="6"/>
  <c r="O25" i="8"/>
  <c r="D906" i="6"/>
  <c r="D941" i="6"/>
  <c r="G25" i="8"/>
  <c r="D950" i="6"/>
  <c r="D932" i="6"/>
  <c r="D923" i="6"/>
  <c r="W25" i="8"/>
  <c r="E83" i="4"/>
  <c r="F536" i="14"/>
  <c r="F537" i="14" s="1"/>
  <c r="F538" i="14" s="1"/>
  <c r="V535" i="14"/>
  <c r="AV100" i="15" s="1"/>
  <c r="J475" i="14"/>
  <c r="L475" i="14" s="1"/>
  <c r="W475" i="14"/>
  <c r="V475" i="14" s="1"/>
  <c r="AV88" i="15" s="1"/>
  <c r="D476" i="14"/>
  <c r="D3200" i="6"/>
  <c r="D3247" i="6"/>
  <c r="W49" i="8"/>
  <c r="G42" i="8"/>
  <c r="W42" i="8"/>
  <c r="D2208" i="6"/>
  <c r="M40" i="3"/>
  <c r="O41" i="8"/>
  <c r="D2281" i="6"/>
  <c r="D2300" i="6"/>
  <c r="W515" i="14"/>
  <c r="V515" i="14" s="1"/>
  <c r="AV96" i="15" s="1"/>
  <c r="D516" i="14"/>
  <c r="F465" i="14"/>
  <c r="K464" i="14"/>
  <c r="D107" i="11"/>
  <c r="D810" i="6"/>
  <c r="D798" i="6"/>
  <c r="D763" i="6"/>
  <c r="W23" i="8"/>
  <c r="D780" i="6"/>
  <c r="D754" i="6"/>
  <c r="O23" i="8"/>
  <c r="G23" i="8"/>
  <c r="D741" i="6"/>
  <c r="D804" i="6"/>
  <c r="M22" i="3"/>
  <c r="D771" i="6"/>
  <c r="D789" i="6"/>
  <c r="E69" i="4"/>
  <c r="D95" i="11"/>
  <c r="D678" i="6"/>
  <c r="D722" i="6"/>
  <c r="G22" i="8"/>
  <c r="D728" i="6"/>
  <c r="D695" i="6"/>
  <c r="W22" i="8"/>
  <c r="D687" i="6"/>
  <c r="D665" i="6"/>
  <c r="M21" i="3"/>
  <c r="D713" i="6"/>
  <c r="D704" i="6"/>
  <c r="D734" i="6"/>
  <c r="O22" i="8"/>
  <c r="E62" i="4"/>
  <c r="W455" i="14"/>
  <c r="V455" i="14" s="1"/>
  <c r="AV84" i="15" s="1"/>
  <c r="D456" i="14"/>
  <c r="J455" i="14"/>
  <c r="L455" i="14" s="1"/>
  <c r="D3164" i="6"/>
  <c r="D3280" i="6"/>
  <c r="D3219" i="6"/>
  <c r="D3172" i="6"/>
  <c r="D3210" i="6"/>
  <c r="D3180" i="6"/>
  <c r="D3286" i="6"/>
  <c r="D3274" i="6"/>
  <c r="M48" i="3"/>
  <c r="D3155" i="6"/>
  <c r="D2424" i="6"/>
  <c r="D2436" i="6"/>
  <c r="G41" i="8"/>
  <c r="D2312" i="6"/>
  <c r="D2291" i="6"/>
  <c r="D2225" i="6"/>
  <c r="W536" i="14"/>
  <c r="V536" i="14" s="1"/>
  <c r="AV101" i="15" s="1"/>
  <c r="D537" i="14"/>
  <c r="F437" i="14"/>
  <c r="K436" i="14"/>
  <c r="F480" i="14"/>
  <c r="K479" i="14"/>
  <c r="D119" i="11"/>
  <c r="D817" i="6"/>
  <c r="D856" i="6"/>
  <c r="M23" i="3"/>
  <c r="D880" i="6"/>
  <c r="D886" i="6"/>
  <c r="D830" i="6"/>
  <c r="G24" i="8"/>
  <c r="O24" i="8"/>
  <c r="D847" i="6"/>
  <c r="D839" i="6"/>
  <c r="W24" i="8"/>
  <c r="D865" i="6"/>
  <c r="D874" i="6"/>
  <c r="E76" i="4"/>
  <c r="D496" i="14"/>
  <c r="W495" i="14"/>
  <c r="V495" i="14" s="1"/>
  <c r="AV92" i="15" s="1"/>
  <c r="J397" i="14"/>
  <c r="L397" i="14" s="1"/>
  <c r="K397" i="14"/>
  <c r="F556" i="14"/>
  <c r="K555" i="14"/>
  <c r="K537" i="14"/>
  <c r="F421" i="14"/>
  <c r="K420" i="14"/>
  <c r="D92" i="6"/>
  <c r="D101" i="6"/>
  <c r="W16" i="8"/>
  <c r="D116" i="6"/>
  <c r="O16" i="8"/>
  <c r="D110" i="6"/>
  <c r="D72" i="6"/>
  <c r="M15" i="3"/>
  <c r="G16" i="8"/>
  <c r="D83" i="6"/>
  <c r="D122" i="6"/>
  <c r="D61" i="6"/>
  <c r="D27" i="6"/>
  <c r="E5" i="4"/>
  <c r="D52" i="6"/>
  <c r="D14" i="6"/>
  <c r="D44" i="6"/>
  <c r="D36" i="6"/>
  <c r="D23" i="11"/>
  <c r="D71" i="11"/>
  <c r="D543" i="6"/>
  <c r="D504" i="6"/>
  <c r="D521" i="6"/>
  <c r="G20" i="8"/>
  <c r="W20" i="8"/>
  <c r="D576" i="6"/>
  <c r="D561" i="6"/>
  <c r="D512" i="6"/>
  <c r="D570" i="6"/>
  <c r="D582" i="6"/>
  <c r="O20" i="8"/>
  <c r="D487" i="6"/>
  <c r="D474" i="6"/>
  <c r="D532" i="6"/>
  <c r="D496" i="6"/>
  <c r="D552" i="6"/>
  <c r="M19" i="3"/>
  <c r="E45" i="4"/>
  <c r="D576" i="14"/>
  <c r="W575" i="14"/>
  <c r="V575" i="14" s="1"/>
  <c r="AV108" i="15" s="1"/>
  <c r="J575" i="14"/>
  <c r="L575" i="14" s="1"/>
  <c r="D35" i="11"/>
  <c r="D225" i="6"/>
  <c r="D176" i="6"/>
  <c r="D129" i="6"/>
  <c r="D198" i="6"/>
  <c r="G17" i="8"/>
  <c r="O17" i="8"/>
  <c r="M16" i="3"/>
  <c r="D207" i="6"/>
  <c r="W17" i="8"/>
  <c r="D159" i="6"/>
  <c r="D142" i="6"/>
  <c r="D187" i="6"/>
  <c r="D167" i="6"/>
  <c r="D237" i="6"/>
  <c r="D216" i="6"/>
  <c r="D231" i="6"/>
  <c r="D151" i="6"/>
  <c r="E15" i="4"/>
  <c r="W595" i="14"/>
  <c r="V595" i="14" s="1"/>
  <c r="AV112" i="15" s="1"/>
  <c r="D596" i="14"/>
  <c r="W555" i="14"/>
  <c r="V555" i="14" s="1"/>
  <c r="AV104" i="15" s="1"/>
  <c r="D556" i="14"/>
  <c r="J555" i="14"/>
  <c r="L555" i="14" s="1"/>
  <c r="K502" i="14"/>
  <c r="F503" i="14"/>
  <c r="E286" i="4"/>
  <c r="O43" i="8"/>
  <c r="D2473" i="6"/>
  <c r="D2529" i="6"/>
  <c r="D2456" i="6"/>
  <c r="E226" i="4"/>
  <c r="J517" i="14"/>
  <c r="L517" i="14" s="1"/>
  <c r="W615" i="14"/>
  <c r="V615" i="14" s="1"/>
  <c r="AV116" i="15" s="1"/>
  <c r="D616" i="14"/>
  <c r="F576" i="14"/>
  <c r="K575" i="14"/>
  <c r="J497" i="14"/>
  <c r="L497" i="14" s="1"/>
  <c r="D59" i="11"/>
  <c r="D417" i="6"/>
  <c r="D437" i="6"/>
  <c r="D428" i="6"/>
  <c r="W19" i="8"/>
  <c r="M18" i="3"/>
  <c r="O19" i="8"/>
  <c r="D372" i="6"/>
  <c r="D389" i="6"/>
  <c r="G19" i="8"/>
  <c r="D381" i="6"/>
  <c r="D397" i="6"/>
  <c r="D406" i="6"/>
  <c r="D446" i="6"/>
  <c r="D461" i="6"/>
  <c r="D455" i="6"/>
  <c r="D467" i="6"/>
  <c r="D359" i="6"/>
  <c r="E35" i="4"/>
  <c r="D47" i="11"/>
  <c r="D346" i="6"/>
  <c r="D257" i="6"/>
  <c r="D340" i="6"/>
  <c r="D302" i="6"/>
  <c r="O18" i="8"/>
  <c r="M17" i="3"/>
  <c r="W18" i="8"/>
  <c r="D282" i="6"/>
  <c r="G18" i="8"/>
  <c r="D313" i="6"/>
  <c r="D352" i="6"/>
  <c r="D266" i="6"/>
  <c r="D244" i="6"/>
  <c r="D331" i="6"/>
  <c r="D274" i="6"/>
  <c r="D322" i="6"/>
  <c r="D290" i="6"/>
  <c r="E25" i="4"/>
  <c r="D2430" i="6"/>
  <c r="D263" i="11"/>
  <c r="D2357" i="6"/>
  <c r="M41" i="3"/>
  <c r="D2415" i="6"/>
  <c r="E215" i="4"/>
  <c r="O42" i="8"/>
  <c r="D2349" i="6"/>
  <c r="D2366" i="6"/>
  <c r="D2319" i="6"/>
  <c r="D2405" i="6"/>
  <c r="D3323" i="6"/>
  <c r="D3370" i="6"/>
  <c r="D3361" i="6"/>
  <c r="D3437" i="6"/>
  <c r="D3331" i="6"/>
  <c r="D3306" i="6"/>
  <c r="O50" i="8"/>
  <c r="G50" i="8"/>
  <c r="D3416" i="6"/>
  <c r="D3389" i="6"/>
  <c r="D3293" i="6"/>
  <c r="D3425" i="6"/>
  <c r="M49" i="3"/>
  <c r="D3407" i="6"/>
  <c r="D3379" i="6"/>
  <c r="D3431" i="6"/>
  <c r="D3315" i="6"/>
  <c r="J655" i="14"/>
  <c r="L655" i="14" s="1"/>
  <c r="W655" i="14"/>
  <c r="V655" i="14" s="1"/>
  <c r="AV124" i="15" s="1"/>
  <c r="D656" i="14"/>
  <c r="J636" i="14"/>
  <c r="L636" i="14" s="1"/>
  <c r="D637" i="14"/>
  <c r="W636" i="14"/>
  <c r="V636" i="14" s="1"/>
  <c r="AV121" i="15" s="1"/>
  <c r="F639" i="14"/>
  <c r="K638" i="14"/>
  <c r="F619" i="14"/>
  <c r="K618" i="14"/>
  <c r="W676" i="14"/>
  <c r="V676" i="14" s="1"/>
  <c r="AV129" i="15" s="1"/>
  <c r="D677" i="14"/>
  <c r="J676" i="14"/>
  <c r="L676" i="14" s="1"/>
  <c r="J598" i="14"/>
  <c r="L598" i="14" s="1"/>
  <c r="J618" i="14"/>
  <c r="L618" i="14" s="1"/>
  <c r="J538" i="14"/>
  <c r="L538" i="14" s="1"/>
  <c r="F600" i="14"/>
  <c r="K599" i="14"/>
  <c r="J68" i="14"/>
  <c r="L68" i="14" s="1"/>
  <c r="W76" i="14" l="1"/>
  <c r="V76" i="14" s="1"/>
  <c r="AV9" i="15" s="1"/>
  <c r="D77" i="14"/>
  <c r="J76" i="14"/>
  <c r="L76" i="14" s="1"/>
  <c r="D97" i="14"/>
  <c r="W96" i="14"/>
  <c r="V96" i="14" s="1"/>
  <c r="AV13" i="15" s="1"/>
  <c r="W56" i="14"/>
  <c r="V56" i="14" s="1"/>
  <c r="AV5" i="15" s="1"/>
  <c r="D57" i="14"/>
  <c r="J56" i="14"/>
  <c r="L56" i="14" s="1"/>
  <c r="V336" i="14"/>
  <c r="AV61" i="15" s="1"/>
  <c r="W136" i="14"/>
  <c r="V136" i="14" s="1"/>
  <c r="AV21" i="15" s="1"/>
  <c r="D137" i="14"/>
  <c r="J138" i="14"/>
  <c r="L138" i="14" s="1"/>
  <c r="D119" i="14"/>
  <c r="J118" i="14"/>
  <c r="L118" i="14" s="1"/>
  <c r="F120" i="14"/>
  <c r="K119" i="14"/>
  <c r="J176" i="14"/>
  <c r="L176" i="14" s="1"/>
  <c r="D177" i="14"/>
  <c r="W176" i="14"/>
  <c r="V176" i="14" s="1"/>
  <c r="AV29" i="15" s="1"/>
  <c r="D277" i="14"/>
  <c r="W276" i="14"/>
  <c r="V276" i="14" s="1"/>
  <c r="AV49" i="15" s="1"/>
  <c r="W296" i="14"/>
  <c r="V296" i="14" s="1"/>
  <c r="AV53" i="15" s="1"/>
  <c r="D297" i="14"/>
  <c r="J100" i="14"/>
  <c r="L100" i="14" s="1"/>
  <c r="D217" i="14"/>
  <c r="W216" i="14"/>
  <c r="V216" i="14" s="1"/>
  <c r="AV37" i="15" s="1"/>
  <c r="J216" i="14"/>
  <c r="L216" i="14" s="1"/>
  <c r="W236" i="14"/>
  <c r="V236" i="14" s="1"/>
  <c r="AV41" i="15" s="1"/>
  <c r="D237" i="14"/>
  <c r="J236" i="14"/>
  <c r="L236" i="14" s="1"/>
  <c r="K204" i="14"/>
  <c r="F205" i="14"/>
  <c r="K169" i="14"/>
  <c r="F170" i="14"/>
  <c r="K170" i="14" s="1"/>
  <c r="D257" i="14"/>
  <c r="W256" i="14"/>
  <c r="V256" i="14" s="1"/>
  <c r="AV45" i="15" s="1"/>
  <c r="F81" i="14"/>
  <c r="K80" i="14"/>
  <c r="J197" i="14"/>
  <c r="L197" i="14" s="1"/>
  <c r="D198" i="14"/>
  <c r="W197" i="14"/>
  <c r="V197" i="14" s="1"/>
  <c r="AV34" i="15" s="1"/>
  <c r="K178" i="14"/>
  <c r="F179" i="14"/>
  <c r="J158" i="14"/>
  <c r="L158" i="14" s="1"/>
  <c r="D159" i="14"/>
  <c r="F317" i="14"/>
  <c r="K316" i="14"/>
  <c r="F260" i="14"/>
  <c r="K259" i="14"/>
  <c r="F337" i="14"/>
  <c r="K336" i="14"/>
  <c r="J258" i="14"/>
  <c r="L258" i="14" s="1"/>
  <c r="F239" i="14"/>
  <c r="K238" i="14"/>
  <c r="W316" i="14"/>
  <c r="V316" i="14" s="1"/>
  <c r="AV57" i="15" s="1"/>
  <c r="J316" i="14"/>
  <c r="L316" i="14" s="1"/>
  <c r="D317" i="14"/>
  <c r="K306" i="14"/>
  <c r="F307" i="14"/>
  <c r="F377" i="14"/>
  <c r="K376" i="14"/>
  <c r="F359" i="14"/>
  <c r="K358" i="14"/>
  <c r="F222" i="14"/>
  <c r="K221" i="14"/>
  <c r="D437" i="14"/>
  <c r="W436" i="14"/>
  <c r="V436" i="14" s="1"/>
  <c r="AV81" i="15" s="1"/>
  <c r="D377" i="14"/>
  <c r="W376" i="14"/>
  <c r="V376" i="14" s="1"/>
  <c r="AV69" i="15" s="1"/>
  <c r="J376" i="14"/>
  <c r="L376" i="14" s="1"/>
  <c r="D397" i="14"/>
  <c r="W396" i="14"/>
  <c r="V396" i="14" s="1"/>
  <c r="AV73" i="15" s="1"/>
  <c r="J278" i="14"/>
  <c r="L278" i="14" s="1"/>
  <c r="D357" i="14"/>
  <c r="W356" i="14"/>
  <c r="V356" i="14" s="1"/>
  <c r="AV65" i="15" s="1"/>
  <c r="J356" i="14"/>
  <c r="L356" i="14" s="1"/>
  <c r="J298" i="14"/>
  <c r="L298" i="14" s="1"/>
  <c r="J337" i="14"/>
  <c r="L337" i="14" s="1"/>
  <c r="D338" i="14"/>
  <c r="W337" i="14"/>
  <c r="D417" i="14"/>
  <c r="W416" i="14"/>
  <c r="V416" i="14" s="1"/>
  <c r="AV77" i="15" s="1"/>
  <c r="J418" i="14"/>
  <c r="L418" i="14" s="1"/>
  <c r="J438" i="14"/>
  <c r="L438" i="14" s="1"/>
  <c r="D517" i="14"/>
  <c r="W516" i="14"/>
  <c r="V516" i="14" s="1"/>
  <c r="AV97" i="15" s="1"/>
  <c r="F399" i="14"/>
  <c r="K398" i="14"/>
  <c r="F438" i="14"/>
  <c r="K437" i="14"/>
  <c r="W456" i="14"/>
  <c r="V456" i="14" s="1"/>
  <c r="AV85" i="15" s="1"/>
  <c r="D457" i="14"/>
  <c r="J456" i="14"/>
  <c r="L456" i="14" s="1"/>
  <c r="W476" i="14"/>
  <c r="V476" i="14" s="1"/>
  <c r="AV89" i="15" s="1"/>
  <c r="J476" i="14"/>
  <c r="L476" i="14" s="1"/>
  <c r="D477" i="14"/>
  <c r="J398" i="14"/>
  <c r="L398" i="14" s="1"/>
  <c r="F481" i="14"/>
  <c r="K480" i="14"/>
  <c r="D497" i="14"/>
  <c r="W496" i="14"/>
  <c r="V496" i="14" s="1"/>
  <c r="AV93" i="15" s="1"/>
  <c r="W537" i="14"/>
  <c r="V537" i="14" s="1"/>
  <c r="AV102" i="15" s="1"/>
  <c r="D538" i="14"/>
  <c r="D539" i="14" s="1"/>
  <c r="D540" i="14" s="1"/>
  <c r="F466" i="14"/>
  <c r="K465" i="14"/>
  <c r="D597" i="14"/>
  <c r="W596" i="14"/>
  <c r="V596" i="14" s="1"/>
  <c r="AV113" i="15" s="1"/>
  <c r="F422" i="14"/>
  <c r="K421" i="14"/>
  <c r="F539" i="14"/>
  <c r="K538" i="14"/>
  <c r="J498" i="14"/>
  <c r="L498" i="14" s="1"/>
  <c r="F577" i="14"/>
  <c r="K576" i="14"/>
  <c r="D557" i="14"/>
  <c r="W556" i="14"/>
  <c r="V556" i="14" s="1"/>
  <c r="AV105" i="15" s="1"/>
  <c r="J556" i="14"/>
  <c r="L556" i="14" s="1"/>
  <c r="D617" i="14"/>
  <c r="W616" i="14"/>
  <c r="V616" i="14" s="1"/>
  <c r="AV117" i="15" s="1"/>
  <c r="J518" i="14"/>
  <c r="L518" i="14" s="1"/>
  <c r="F504" i="14"/>
  <c r="K503" i="14"/>
  <c r="J576" i="14"/>
  <c r="L576" i="14" s="1"/>
  <c r="W576" i="14"/>
  <c r="V576" i="14" s="1"/>
  <c r="AV109" i="15" s="1"/>
  <c r="D577" i="14"/>
  <c r="F557" i="14"/>
  <c r="K556" i="14"/>
  <c r="J637" i="14"/>
  <c r="L637" i="14" s="1"/>
  <c r="D638" i="14"/>
  <c r="W637" i="14"/>
  <c r="V637" i="14" s="1"/>
  <c r="AV122" i="15" s="1"/>
  <c r="J656" i="14"/>
  <c r="L656" i="14" s="1"/>
  <c r="D657" i="14"/>
  <c r="W656" i="14"/>
  <c r="V656" i="14" s="1"/>
  <c r="AV125" i="15" s="1"/>
  <c r="F640" i="14"/>
  <c r="K639" i="14"/>
  <c r="J599" i="14"/>
  <c r="L599" i="14" s="1"/>
  <c r="J677" i="14"/>
  <c r="L677" i="14" s="1"/>
  <c r="D678" i="14"/>
  <c r="W677" i="14"/>
  <c r="V677" i="14" s="1"/>
  <c r="AV130" i="15" s="1"/>
  <c r="J539" i="14"/>
  <c r="L539" i="14" s="1"/>
  <c r="F620" i="14"/>
  <c r="K619" i="14"/>
  <c r="F601" i="14"/>
  <c r="K600" i="14"/>
  <c r="J619" i="14"/>
  <c r="L619" i="14" s="1"/>
  <c r="J69" i="14"/>
  <c r="L69" i="14" s="1"/>
  <c r="M124" i="6"/>
  <c r="M123" i="6"/>
  <c r="M122" i="6"/>
  <c r="M118" i="6"/>
  <c r="M117" i="6"/>
  <c r="M116" i="6"/>
  <c r="M112" i="6"/>
  <c r="M111" i="6"/>
  <c r="M110" i="6"/>
  <c r="M103" i="6"/>
  <c r="M102" i="6"/>
  <c r="M101" i="6"/>
  <c r="M94" i="6"/>
  <c r="M93" i="6"/>
  <c r="M92" i="6"/>
  <c r="M85" i="6"/>
  <c r="M84" i="6"/>
  <c r="M83" i="6"/>
  <c r="D58" i="14" l="1"/>
  <c r="W57" i="14"/>
  <c r="V57" i="14" s="1"/>
  <c r="AV6" i="15" s="1"/>
  <c r="J57" i="14"/>
  <c r="L57" i="14" s="1"/>
  <c r="D98" i="14"/>
  <c r="D99" i="14" s="1"/>
  <c r="D100" i="14" s="1"/>
  <c r="D101" i="14" s="1"/>
  <c r="D102" i="14" s="1"/>
  <c r="W97" i="14"/>
  <c r="V97" i="14" s="1"/>
  <c r="AV14" i="15" s="1"/>
  <c r="W77" i="14"/>
  <c r="V77" i="14" s="1"/>
  <c r="AV10" i="15" s="1"/>
  <c r="D78" i="14"/>
  <c r="J77" i="14"/>
  <c r="L77" i="14" s="1"/>
  <c r="D138" i="14"/>
  <c r="D139" i="14" s="1"/>
  <c r="W137" i="14"/>
  <c r="V137" i="14" s="1"/>
  <c r="AV22" i="15" s="1"/>
  <c r="W177" i="14"/>
  <c r="V177" i="14" s="1"/>
  <c r="AV30" i="15" s="1"/>
  <c r="J177" i="14"/>
  <c r="L177" i="14" s="1"/>
  <c r="D178" i="14"/>
  <c r="D140" i="14"/>
  <c r="J139" i="14"/>
  <c r="L139" i="14" s="1"/>
  <c r="F121" i="14"/>
  <c r="K120" i="14"/>
  <c r="D120" i="14"/>
  <c r="J119" i="14"/>
  <c r="L119" i="14" s="1"/>
  <c r="F82" i="14"/>
  <c r="K81" i="14"/>
  <c r="W237" i="14"/>
  <c r="V237" i="14" s="1"/>
  <c r="AV42" i="15" s="1"/>
  <c r="J237" i="14"/>
  <c r="L237" i="14" s="1"/>
  <c r="D238" i="14"/>
  <c r="W297" i="14"/>
  <c r="V297" i="14" s="1"/>
  <c r="AV54" i="15" s="1"/>
  <c r="D298" i="14"/>
  <c r="D299" i="14" s="1"/>
  <c r="D300" i="14" s="1"/>
  <c r="D199" i="14"/>
  <c r="J198" i="14"/>
  <c r="L198" i="14" s="1"/>
  <c r="K205" i="14"/>
  <c r="F206" i="14"/>
  <c r="J159" i="14"/>
  <c r="L159" i="14" s="1"/>
  <c r="D160" i="14"/>
  <c r="F180" i="14"/>
  <c r="K179" i="14"/>
  <c r="D258" i="14"/>
  <c r="D259" i="14" s="1"/>
  <c r="D260" i="14" s="1"/>
  <c r="W257" i="14"/>
  <c r="V257" i="14" s="1"/>
  <c r="AV46" i="15" s="1"/>
  <c r="D218" i="14"/>
  <c r="W217" i="14"/>
  <c r="V217" i="14" s="1"/>
  <c r="AV38" i="15" s="1"/>
  <c r="J217" i="14"/>
  <c r="L217" i="14" s="1"/>
  <c r="J101" i="14"/>
  <c r="L101" i="14" s="1"/>
  <c r="W277" i="14"/>
  <c r="V277" i="14" s="1"/>
  <c r="AV50" i="15" s="1"/>
  <c r="D278" i="14"/>
  <c r="D279" i="14" s="1"/>
  <c r="D280" i="14" s="1"/>
  <c r="F338" i="14"/>
  <c r="K337" i="14"/>
  <c r="F261" i="14"/>
  <c r="K260" i="14"/>
  <c r="F318" i="14"/>
  <c r="K317" i="14"/>
  <c r="D318" i="14"/>
  <c r="W317" i="14"/>
  <c r="V317" i="14" s="1"/>
  <c r="AV58" i="15" s="1"/>
  <c r="J317" i="14"/>
  <c r="L317" i="14" s="1"/>
  <c r="F240" i="14"/>
  <c r="K239" i="14"/>
  <c r="J259" i="14"/>
  <c r="L259" i="14" s="1"/>
  <c r="V337" i="14"/>
  <c r="AV62" i="15" s="1"/>
  <c r="J299" i="14"/>
  <c r="L299" i="14" s="1"/>
  <c r="J279" i="14"/>
  <c r="L279" i="14" s="1"/>
  <c r="W437" i="14"/>
  <c r="V437" i="14" s="1"/>
  <c r="AV82" i="15" s="1"/>
  <c r="D438" i="14"/>
  <c r="D439" i="14" s="1"/>
  <c r="D440" i="14" s="1"/>
  <c r="W417" i="14"/>
  <c r="V417" i="14" s="1"/>
  <c r="AV78" i="15" s="1"/>
  <c r="D418" i="14"/>
  <c r="D419" i="14" s="1"/>
  <c r="D420" i="14" s="1"/>
  <c r="W357" i="14"/>
  <c r="V357" i="14" s="1"/>
  <c r="AV66" i="15" s="1"/>
  <c r="D358" i="14"/>
  <c r="J357" i="14"/>
  <c r="L357" i="14" s="1"/>
  <c r="D398" i="14"/>
  <c r="D399" i="14" s="1"/>
  <c r="D400" i="14" s="1"/>
  <c r="W397" i="14"/>
  <c r="V397" i="14" s="1"/>
  <c r="AV74" i="15" s="1"/>
  <c r="F308" i="14"/>
  <c r="K307" i="14"/>
  <c r="F378" i="14"/>
  <c r="K377" i="14"/>
  <c r="D339" i="14"/>
  <c r="J338" i="14"/>
  <c r="L338" i="14" s="1"/>
  <c r="D378" i="14"/>
  <c r="W377" i="14"/>
  <c r="V377" i="14" s="1"/>
  <c r="AV70" i="15" s="1"/>
  <c r="J377" i="14"/>
  <c r="L377" i="14" s="1"/>
  <c r="F223" i="14"/>
  <c r="K222" i="14"/>
  <c r="F360" i="14"/>
  <c r="K359" i="14"/>
  <c r="D478" i="14"/>
  <c r="J477" i="14"/>
  <c r="L477" i="14" s="1"/>
  <c r="W477" i="14"/>
  <c r="V477" i="14" s="1"/>
  <c r="AV90" i="15" s="1"/>
  <c r="F482" i="14"/>
  <c r="K481" i="14"/>
  <c r="K399" i="14"/>
  <c r="F400" i="14"/>
  <c r="W517" i="14"/>
  <c r="V517" i="14" s="1"/>
  <c r="AV98" i="15" s="1"/>
  <c r="D518" i="14"/>
  <c r="D519" i="14" s="1"/>
  <c r="D520" i="14" s="1"/>
  <c r="J419" i="14"/>
  <c r="L419" i="14" s="1"/>
  <c r="J457" i="14"/>
  <c r="L457" i="14" s="1"/>
  <c r="W457" i="14"/>
  <c r="V457" i="14" s="1"/>
  <c r="AV86" i="15" s="1"/>
  <c r="D458" i="14"/>
  <c r="J439" i="14"/>
  <c r="L439" i="14" s="1"/>
  <c r="F467" i="14"/>
  <c r="K466" i="14"/>
  <c r="W497" i="14"/>
  <c r="V497" i="14" s="1"/>
  <c r="AV94" i="15" s="1"/>
  <c r="D498" i="14"/>
  <c r="D499" i="14" s="1"/>
  <c r="D500" i="14" s="1"/>
  <c r="J399" i="14"/>
  <c r="L399" i="14" s="1"/>
  <c r="F439" i="14"/>
  <c r="K438" i="14"/>
  <c r="W557" i="14"/>
  <c r="V557" i="14" s="1"/>
  <c r="AV106" i="15" s="1"/>
  <c r="D558" i="14"/>
  <c r="J557" i="14"/>
  <c r="L557" i="14" s="1"/>
  <c r="J499" i="14"/>
  <c r="L499" i="14" s="1"/>
  <c r="F540" i="14"/>
  <c r="K539" i="14"/>
  <c r="W597" i="14"/>
  <c r="V597" i="14" s="1"/>
  <c r="AV114" i="15" s="1"/>
  <c r="D598" i="14"/>
  <c r="D599" i="14" s="1"/>
  <c r="D600" i="14" s="1"/>
  <c r="D601" i="14" s="1"/>
  <c r="J577" i="14"/>
  <c r="L577" i="14" s="1"/>
  <c r="D578" i="14"/>
  <c r="W577" i="14"/>
  <c r="V577" i="14" s="1"/>
  <c r="AV110" i="15" s="1"/>
  <c r="F505" i="14"/>
  <c r="K504" i="14"/>
  <c r="W617" i="14"/>
  <c r="V617" i="14" s="1"/>
  <c r="AV118" i="15" s="1"/>
  <c r="D618" i="14"/>
  <c r="D619" i="14" s="1"/>
  <c r="D620" i="14" s="1"/>
  <c r="D621" i="14" s="1"/>
  <c r="F423" i="14"/>
  <c r="K422" i="14"/>
  <c r="F558" i="14"/>
  <c r="K557" i="14"/>
  <c r="J519" i="14"/>
  <c r="L519" i="14" s="1"/>
  <c r="K577" i="14"/>
  <c r="F578" i="14"/>
  <c r="D639" i="14"/>
  <c r="J638" i="14"/>
  <c r="L638" i="14" s="1"/>
  <c r="F641" i="14"/>
  <c r="K640" i="14"/>
  <c r="J657" i="14"/>
  <c r="L657" i="14" s="1"/>
  <c r="D658" i="14"/>
  <c r="W657" i="14"/>
  <c r="V657" i="14" s="1"/>
  <c r="AV126" i="15" s="1"/>
  <c r="D679" i="14"/>
  <c r="J678" i="14"/>
  <c r="L678" i="14" s="1"/>
  <c r="J620" i="14"/>
  <c r="L620" i="14" s="1"/>
  <c r="F621" i="14"/>
  <c r="K620" i="14"/>
  <c r="D541" i="14"/>
  <c r="J540" i="14"/>
  <c r="L540" i="14" s="1"/>
  <c r="F602" i="14"/>
  <c r="K601" i="14"/>
  <c r="J600" i="14"/>
  <c r="L600" i="14" s="1"/>
  <c r="J70" i="14"/>
  <c r="L70" i="14" s="1"/>
  <c r="M125" i="6"/>
  <c r="M119" i="6"/>
  <c r="M113" i="6"/>
  <c r="M104" i="6"/>
  <c r="M95" i="6"/>
  <c r="M86" i="6"/>
  <c r="M74" i="6"/>
  <c r="M73" i="6"/>
  <c r="M72" i="6"/>
  <c r="M29" i="6"/>
  <c r="T67" i="6"/>
  <c r="M63" i="6"/>
  <c r="M62" i="6"/>
  <c r="M61" i="6"/>
  <c r="J3439" i="6"/>
  <c r="J3438" i="6"/>
  <c r="J3433" i="6"/>
  <c r="J3432" i="6"/>
  <c r="J3431" i="6"/>
  <c r="J3427" i="6"/>
  <c r="J3426" i="6"/>
  <c r="J3425" i="6"/>
  <c r="J3418" i="6"/>
  <c r="J3417" i="6"/>
  <c r="J3416" i="6"/>
  <c r="J3409" i="6"/>
  <c r="J3408" i="6"/>
  <c r="J3407" i="6"/>
  <c r="J3400" i="6"/>
  <c r="J3399" i="6"/>
  <c r="J3398" i="6"/>
  <c r="J3391" i="6"/>
  <c r="J3390" i="6"/>
  <c r="J3389" i="6"/>
  <c r="J3381" i="6"/>
  <c r="J3380" i="6"/>
  <c r="J3379" i="6"/>
  <c r="J3372" i="6"/>
  <c r="J3371" i="6"/>
  <c r="J3370" i="6"/>
  <c r="J3363" i="6"/>
  <c r="J3362" i="6"/>
  <c r="J3361" i="6"/>
  <c r="J3353" i="6"/>
  <c r="J3352" i="6"/>
  <c r="J3351" i="6"/>
  <c r="J3342" i="6"/>
  <c r="J3341" i="6"/>
  <c r="J3340" i="6"/>
  <c r="J3333" i="6"/>
  <c r="J3332" i="6"/>
  <c r="J3331" i="6"/>
  <c r="J3325" i="6"/>
  <c r="J3324" i="6"/>
  <c r="J3323" i="6"/>
  <c r="J3317" i="6"/>
  <c r="J3316" i="6"/>
  <c r="J3315" i="6"/>
  <c r="J3308" i="6"/>
  <c r="J3307" i="6"/>
  <c r="J3306" i="6"/>
  <c r="J3295" i="6"/>
  <c r="J3294" i="6"/>
  <c r="J3293" i="6"/>
  <c r="J3288" i="6"/>
  <c r="J3287" i="6"/>
  <c r="J3286" i="6"/>
  <c r="J3282" i="6"/>
  <c r="J3281" i="6"/>
  <c r="J3280" i="6"/>
  <c r="J3276" i="6"/>
  <c r="J3275" i="6"/>
  <c r="J3274" i="6"/>
  <c r="J3267" i="6"/>
  <c r="J3266" i="6"/>
  <c r="J3265" i="6"/>
  <c r="J3258" i="6"/>
  <c r="J3257" i="6"/>
  <c r="J3256" i="6"/>
  <c r="J3249" i="6"/>
  <c r="J3248" i="6"/>
  <c r="J3247" i="6"/>
  <c r="J3240" i="6"/>
  <c r="J3239" i="6"/>
  <c r="J3238" i="6"/>
  <c r="J3230" i="6"/>
  <c r="J3229" i="6"/>
  <c r="J3228" i="6"/>
  <c r="J3221" i="6"/>
  <c r="J3220" i="6"/>
  <c r="J3219" i="6"/>
  <c r="J3212" i="6"/>
  <c r="J3211" i="6"/>
  <c r="J3210" i="6"/>
  <c r="J3202" i="6"/>
  <c r="J3201" i="6"/>
  <c r="J3200" i="6"/>
  <c r="J3191" i="6"/>
  <c r="J3190" i="6"/>
  <c r="J3189" i="6"/>
  <c r="J3182" i="6"/>
  <c r="J3181" i="6"/>
  <c r="J3180" i="6"/>
  <c r="J3174" i="6"/>
  <c r="J3173" i="6"/>
  <c r="J3172" i="6"/>
  <c r="J3166" i="6"/>
  <c r="J3165" i="6"/>
  <c r="J3164" i="6"/>
  <c r="J3157" i="6"/>
  <c r="J3156" i="6"/>
  <c r="J3155" i="6"/>
  <c r="J3144" i="6"/>
  <c r="J3143" i="6"/>
  <c r="J3142" i="6"/>
  <c r="J3137" i="6"/>
  <c r="J3136" i="6"/>
  <c r="J3135" i="6"/>
  <c r="J3131" i="6"/>
  <c r="J3130" i="6"/>
  <c r="J3129" i="6"/>
  <c r="J3125" i="6"/>
  <c r="J3124" i="6"/>
  <c r="J3123" i="6"/>
  <c r="J3116" i="6"/>
  <c r="J3115" i="6"/>
  <c r="J3114" i="6"/>
  <c r="J3107" i="6"/>
  <c r="J3106" i="6"/>
  <c r="J3105" i="6"/>
  <c r="J3098" i="6"/>
  <c r="J3097" i="6"/>
  <c r="J3096" i="6"/>
  <c r="J3089" i="6"/>
  <c r="J3088" i="6"/>
  <c r="J3087" i="6"/>
  <c r="J3079" i="6"/>
  <c r="J3078" i="6"/>
  <c r="J3077" i="6"/>
  <c r="J3070" i="6"/>
  <c r="J3069" i="6"/>
  <c r="J3068" i="6"/>
  <c r="J3061" i="6"/>
  <c r="J3060" i="6"/>
  <c r="J3059" i="6"/>
  <c r="J3051" i="6"/>
  <c r="J3050" i="6"/>
  <c r="J3049" i="6"/>
  <c r="J3040" i="6"/>
  <c r="J3039" i="6"/>
  <c r="J3038" i="6"/>
  <c r="J3031" i="6"/>
  <c r="J3030" i="6"/>
  <c r="J3029" i="6"/>
  <c r="J3023" i="6"/>
  <c r="J3022" i="6"/>
  <c r="J3021" i="6"/>
  <c r="J3015" i="6"/>
  <c r="J3014" i="6"/>
  <c r="J3013" i="6"/>
  <c r="J3006" i="6"/>
  <c r="J3005" i="6"/>
  <c r="J3004" i="6"/>
  <c r="J2993" i="6"/>
  <c r="J2992" i="6"/>
  <c r="J2991" i="6"/>
  <c r="J2986" i="6"/>
  <c r="J2985" i="6"/>
  <c r="J2984" i="6"/>
  <c r="J2980" i="6"/>
  <c r="J2979" i="6"/>
  <c r="J2978" i="6"/>
  <c r="J2974" i="6"/>
  <c r="J2973" i="6"/>
  <c r="J2972" i="6"/>
  <c r="J2965" i="6"/>
  <c r="J2964" i="6"/>
  <c r="J2963" i="6"/>
  <c r="J2956" i="6"/>
  <c r="J2955" i="6"/>
  <c r="J2954" i="6"/>
  <c r="J2947" i="6"/>
  <c r="J2946" i="6"/>
  <c r="J2945" i="6"/>
  <c r="J2938" i="6"/>
  <c r="J2937" i="6"/>
  <c r="J2936" i="6"/>
  <c r="J2928" i="6"/>
  <c r="J2927" i="6"/>
  <c r="J2926" i="6"/>
  <c r="J2919" i="6"/>
  <c r="J2918" i="6"/>
  <c r="J2917" i="6"/>
  <c r="J2910" i="6"/>
  <c r="J2909" i="6"/>
  <c r="J2908" i="6"/>
  <c r="J2900" i="6"/>
  <c r="J2899" i="6"/>
  <c r="J2898" i="6"/>
  <c r="J2889" i="6"/>
  <c r="J2888" i="6"/>
  <c r="J2887" i="6"/>
  <c r="J2880" i="6"/>
  <c r="J2879" i="6"/>
  <c r="J2878" i="6"/>
  <c r="J2872" i="6"/>
  <c r="J2871" i="6"/>
  <c r="J2870" i="6"/>
  <c r="J2864" i="6"/>
  <c r="J2863" i="6"/>
  <c r="J2862" i="6"/>
  <c r="J2855" i="6"/>
  <c r="J2854" i="6"/>
  <c r="J2853" i="6"/>
  <c r="J2842" i="6"/>
  <c r="J2841" i="6"/>
  <c r="J2840" i="6"/>
  <c r="J2835" i="6"/>
  <c r="J2834" i="6"/>
  <c r="J2833" i="6"/>
  <c r="J2829" i="6"/>
  <c r="J2828" i="6"/>
  <c r="J2827" i="6"/>
  <c r="J2823" i="6"/>
  <c r="J2822" i="6"/>
  <c r="J2821" i="6"/>
  <c r="J2814" i="6"/>
  <c r="J2813" i="6"/>
  <c r="J2812" i="6"/>
  <c r="J2805" i="6"/>
  <c r="J2804" i="6"/>
  <c r="J2803" i="6"/>
  <c r="J2796" i="6"/>
  <c r="J2795" i="6"/>
  <c r="J2794" i="6"/>
  <c r="J2787" i="6"/>
  <c r="J2786" i="6"/>
  <c r="J2785" i="6"/>
  <c r="J2777" i="6"/>
  <c r="J2776" i="6"/>
  <c r="J2775" i="6"/>
  <c r="J2768" i="6"/>
  <c r="J2767" i="6"/>
  <c r="J2766" i="6"/>
  <c r="J2759" i="6"/>
  <c r="J2758" i="6"/>
  <c r="J2757" i="6"/>
  <c r="J2749" i="6"/>
  <c r="J2748" i="6"/>
  <c r="J2747" i="6"/>
  <c r="J2738" i="6"/>
  <c r="J2737" i="6"/>
  <c r="J2736" i="6"/>
  <c r="J2729" i="6"/>
  <c r="J2728" i="6"/>
  <c r="J2727" i="6"/>
  <c r="J2721" i="6"/>
  <c r="J2720" i="6"/>
  <c r="J2719" i="6"/>
  <c r="J2713" i="6"/>
  <c r="J2712" i="6"/>
  <c r="J2711" i="6"/>
  <c r="J2704" i="6"/>
  <c r="J2703" i="6"/>
  <c r="J2702" i="6"/>
  <c r="J2691" i="6"/>
  <c r="J2690" i="6"/>
  <c r="J2689" i="6"/>
  <c r="J2684" i="6"/>
  <c r="J2683" i="6"/>
  <c r="J2682" i="6"/>
  <c r="J2678" i="6"/>
  <c r="J2677" i="6"/>
  <c r="J2676" i="6"/>
  <c r="J2672" i="6"/>
  <c r="J2671" i="6"/>
  <c r="J2670" i="6"/>
  <c r="J2666" i="6"/>
  <c r="J2665" i="6"/>
  <c r="J2664" i="6"/>
  <c r="J2656" i="6"/>
  <c r="J2655" i="6"/>
  <c r="J2651" i="6"/>
  <c r="J2650" i="6"/>
  <c r="J2649" i="6"/>
  <c r="J2645" i="6"/>
  <c r="J2644" i="6"/>
  <c r="J2643" i="6"/>
  <c r="J2636" i="6"/>
  <c r="J2635" i="6"/>
  <c r="J2634" i="6"/>
  <c r="J2628" i="6"/>
  <c r="J2627" i="6"/>
  <c r="J2626" i="6"/>
  <c r="J2620" i="6"/>
  <c r="J2619" i="6"/>
  <c r="J2618" i="6"/>
  <c r="J2611" i="6"/>
  <c r="J2610" i="6"/>
  <c r="J2609" i="6"/>
  <c r="J2598" i="6"/>
  <c r="J2597" i="6"/>
  <c r="J2596" i="6"/>
  <c r="J2591" i="6"/>
  <c r="J2590" i="6"/>
  <c r="J2589" i="6"/>
  <c r="J2585" i="6"/>
  <c r="J2584" i="6"/>
  <c r="J2583" i="6"/>
  <c r="J2579" i="6"/>
  <c r="J2578" i="6"/>
  <c r="J2577" i="6"/>
  <c r="J2569" i="6"/>
  <c r="J2568" i="6"/>
  <c r="J2567" i="6"/>
  <c r="J2562" i="6"/>
  <c r="J2561" i="6"/>
  <c r="J2560" i="6"/>
  <c r="J2556" i="6"/>
  <c r="J2555" i="6"/>
  <c r="J2554" i="6"/>
  <c r="J2550" i="6"/>
  <c r="J2549" i="6"/>
  <c r="J2548" i="6"/>
  <c r="J2541" i="6"/>
  <c r="J2540" i="6"/>
  <c r="J2539" i="6"/>
  <c r="J2531" i="6"/>
  <c r="J2530" i="6"/>
  <c r="J2529" i="6"/>
  <c r="J2522" i="6"/>
  <c r="J2521" i="6"/>
  <c r="J2520" i="6"/>
  <c r="J2513" i="6"/>
  <c r="J2512" i="6"/>
  <c r="J2511" i="6"/>
  <c r="J2503" i="6"/>
  <c r="J2502" i="6"/>
  <c r="J2501" i="6"/>
  <c r="J2492" i="6"/>
  <c r="J2491" i="6"/>
  <c r="J2490" i="6"/>
  <c r="J2483" i="6"/>
  <c r="J2482" i="6"/>
  <c r="J2481" i="6"/>
  <c r="J2475" i="6"/>
  <c r="J2474" i="6"/>
  <c r="J2473" i="6"/>
  <c r="J2467" i="6"/>
  <c r="J2466" i="6"/>
  <c r="J2465" i="6"/>
  <c r="J2458" i="6"/>
  <c r="J2457" i="6"/>
  <c r="J2456" i="6"/>
  <c r="J2445" i="6"/>
  <c r="J2444" i="6"/>
  <c r="J2443" i="6"/>
  <c r="J2438" i="6"/>
  <c r="J2437" i="6"/>
  <c r="J2436" i="6"/>
  <c r="J2432" i="6"/>
  <c r="J2431" i="6"/>
  <c r="J2430" i="6"/>
  <c r="J2426" i="6"/>
  <c r="J2425" i="6"/>
  <c r="J2424" i="6"/>
  <c r="J2417" i="6"/>
  <c r="J2416" i="6"/>
  <c r="J2415" i="6"/>
  <c r="J2407" i="6"/>
  <c r="J2406" i="6"/>
  <c r="J2405" i="6"/>
  <c r="J2398" i="6"/>
  <c r="J2397" i="6"/>
  <c r="J2396" i="6"/>
  <c r="J2389" i="6"/>
  <c r="J2388" i="6"/>
  <c r="J2387" i="6"/>
  <c r="J2379" i="6"/>
  <c r="J2378" i="6"/>
  <c r="J2377" i="6"/>
  <c r="J2368" i="6"/>
  <c r="J2367" i="6"/>
  <c r="J2366" i="6"/>
  <c r="J2359" i="6"/>
  <c r="J2358" i="6"/>
  <c r="J2357" i="6"/>
  <c r="J2351" i="6"/>
  <c r="J2350" i="6"/>
  <c r="J2349" i="6"/>
  <c r="J2343" i="6"/>
  <c r="J2342" i="6"/>
  <c r="J2341" i="6"/>
  <c r="J2334" i="6"/>
  <c r="J2333" i="6"/>
  <c r="J2332" i="6"/>
  <c r="J2321" i="6"/>
  <c r="J2320" i="6"/>
  <c r="J2319" i="6"/>
  <c r="J2314" i="6"/>
  <c r="J2313" i="6"/>
  <c r="J2312" i="6"/>
  <c r="J2308" i="6"/>
  <c r="J2307" i="6"/>
  <c r="J2306" i="6"/>
  <c r="J2302" i="6"/>
  <c r="J2301" i="6"/>
  <c r="J2300" i="6"/>
  <c r="J2293" i="6"/>
  <c r="J2292" i="6"/>
  <c r="J2291" i="6"/>
  <c r="J2283" i="6"/>
  <c r="J2282" i="6"/>
  <c r="J2281" i="6"/>
  <c r="J2274" i="6"/>
  <c r="J2273" i="6"/>
  <c r="J2272" i="6"/>
  <c r="J2265" i="6"/>
  <c r="J2264" i="6"/>
  <c r="J2263" i="6"/>
  <c r="J2255" i="6"/>
  <c r="J2254" i="6"/>
  <c r="J2253" i="6"/>
  <c r="J2244" i="6"/>
  <c r="J2243" i="6"/>
  <c r="J2242" i="6"/>
  <c r="J2235" i="6"/>
  <c r="J2234" i="6"/>
  <c r="J2233" i="6"/>
  <c r="J2227" i="6"/>
  <c r="J2226" i="6"/>
  <c r="J2225" i="6"/>
  <c r="J2219" i="6"/>
  <c r="J2218" i="6"/>
  <c r="J2217" i="6"/>
  <c r="J2210" i="6"/>
  <c r="J2209" i="6"/>
  <c r="J2208" i="6"/>
  <c r="J2197" i="6"/>
  <c r="J2196" i="6"/>
  <c r="J2195" i="6"/>
  <c r="J2190" i="6"/>
  <c r="J2189" i="6"/>
  <c r="J2188" i="6"/>
  <c r="J2184" i="6"/>
  <c r="J2183" i="6"/>
  <c r="J2182" i="6"/>
  <c r="J2178" i="6"/>
  <c r="J2177" i="6"/>
  <c r="J2176" i="6"/>
  <c r="J2169" i="6"/>
  <c r="J2168" i="6"/>
  <c r="J2167" i="6"/>
  <c r="J2159" i="6"/>
  <c r="J2158" i="6"/>
  <c r="J2157" i="6"/>
  <c r="J2150" i="6"/>
  <c r="J2149" i="6"/>
  <c r="J2148" i="6"/>
  <c r="J2141" i="6"/>
  <c r="J2140" i="6"/>
  <c r="J2139" i="6"/>
  <c r="J2131" i="6"/>
  <c r="J2130" i="6"/>
  <c r="J2129" i="6"/>
  <c r="J2120" i="6"/>
  <c r="J2119" i="6"/>
  <c r="J2118" i="6"/>
  <c r="J2111" i="6"/>
  <c r="J2110" i="6"/>
  <c r="J2109" i="6"/>
  <c r="J2103" i="6"/>
  <c r="J2102" i="6"/>
  <c r="J2101" i="6"/>
  <c r="J2095" i="6"/>
  <c r="J2094" i="6"/>
  <c r="J2093" i="6"/>
  <c r="J2086" i="6"/>
  <c r="J2085" i="6"/>
  <c r="J2084" i="6"/>
  <c r="J2073" i="6"/>
  <c r="J2072" i="6"/>
  <c r="J2071" i="6"/>
  <c r="J2066" i="6"/>
  <c r="J2065" i="6"/>
  <c r="J2064" i="6"/>
  <c r="J2060" i="6"/>
  <c r="J2059" i="6"/>
  <c r="J2058" i="6"/>
  <c r="J2054" i="6"/>
  <c r="J2053" i="6"/>
  <c r="J2052" i="6"/>
  <c r="J2045" i="6"/>
  <c r="J2044" i="6"/>
  <c r="J2043" i="6"/>
  <c r="J2035" i="6"/>
  <c r="J2034" i="6"/>
  <c r="J2033" i="6"/>
  <c r="J2026" i="6"/>
  <c r="J2025" i="6"/>
  <c r="J2024" i="6"/>
  <c r="J2017" i="6"/>
  <c r="J2016" i="6"/>
  <c r="J2015" i="6"/>
  <c r="J2007" i="6"/>
  <c r="J2006" i="6"/>
  <c r="J2005" i="6"/>
  <c r="J1996" i="6"/>
  <c r="J1995" i="6"/>
  <c r="J1994" i="6"/>
  <c r="J1987" i="6"/>
  <c r="J1986" i="6"/>
  <c r="J1985" i="6"/>
  <c r="J1979" i="6"/>
  <c r="J1978" i="6"/>
  <c r="J1977" i="6"/>
  <c r="J1971" i="6"/>
  <c r="J1970" i="6"/>
  <c r="J1969" i="6"/>
  <c r="J1962" i="6"/>
  <c r="J1961" i="6"/>
  <c r="J1960" i="6"/>
  <c r="J1949" i="6"/>
  <c r="J1948" i="6"/>
  <c r="J1947" i="6"/>
  <c r="J1942" i="6"/>
  <c r="J1941" i="6"/>
  <c r="J1940" i="6"/>
  <c r="J1936" i="6"/>
  <c r="J1935" i="6"/>
  <c r="J1934" i="6"/>
  <c r="J1930" i="6"/>
  <c r="J1929" i="6"/>
  <c r="J1928" i="6"/>
  <c r="J1921" i="6"/>
  <c r="J1920" i="6"/>
  <c r="J1919" i="6"/>
  <c r="J1912" i="6"/>
  <c r="J1911" i="6"/>
  <c r="J1910" i="6"/>
  <c r="J1903" i="6"/>
  <c r="J1902" i="6"/>
  <c r="J1901" i="6"/>
  <c r="J1894" i="6"/>
  <c r="J1893" i="6"/>
  <c r="J1892" i="6"/>
  <c r="J1886" i="6"/>
  <c r="J1885" i="6"/>
  <c r="J1884" i="6"/>
  <c r="J1877" i="6"/>
  <c r="J1876" i="6"/>
  <c r="J1875" i="6"/>
  <c r="J1864" i="6"/>
  <c r="J1863" i="6"/>
  <c r="J1862" i="6"/>
  <c r="J1857" i="6"/>
  <c r="J1856" i="6"/>
  <c r="J1855" i="6"/>
  <c r="J1851" i="6"/>
  <c r="J1850" i="6"/>
  <c r="J1849" i="6"/>
  <c r="J1845" i="6"/>
  <c r="J1844" i="6"/>
  <c r="J1843" i="6"/>
  <c r="J1836" i="6"/>
  <c r="J1835" i="6"/>
  <c r="J1834" i="6"/>
  <c r="J1827" i="6"/>
  <c r="J1826" i="6"/>
  <c r="J1825" i="6"/>
  <c r="J1818" i="6"/>
  <c r="J1817" i="6"/>
  <c r="J1816" i="6"/>
  <c r="J1810" i="6"/>
  <c r="J1809" i="6"/>
  <c r="J1808" i="6"/>
  <c r="J1804" i="6"/>
  <c r="J1803" i="6"/>
  <c r="J1802" i="6"/>
  <c r="J1798" i="6"/>
  <c r="J1797" i="6"/>
  <c r="J1796" i="6"/>
  <c r="J1789" i="6"/>
  <c r="J1788" i="6"/>
  <c r="J1787" i="6"/>
  <c r="J1780" i="6"/>
  <c r="J1779" i="6"/>
  <c r="J1778" i="6"/>
  <c r="J1771" i="6"/>
  <c r="J1770" i="6"/>
  <c r="J1769" i="6"/>
  <c r="J1763" i="6"/>
  <c r="J1762" i="6"/>
  <c r="J1761" i="6"/>
  <c r="J1757" i="6"/>
  <c r="J1756" i="6"/>
  <c r="J1755" i="6"/>
  <c r="J1751" i="6"/>
  <c r="J1750" i="6"/>
  <c r="J1749" i="6"/>
  <c r="J1742" i="6"/>
  <c r="J1741" i="6"/>
  <c r="J1740" i="6"/>
  <c r="J1733" i="6"/>
  <c r="J1732" i="6"/>
  <c r="J1731" i="6"/>
  <c r="J1724" i="6"/>
  <c r="J1723" i="6"/>
  <c r="J1722" i="6"/>
  <c r="J1716" i="6"/>
  <c r="J1715" i="6"/>
  <c r="J1714" i="6"/>
  <c r="J1710" i="6"/>
  <c r="J1709" i="6"/>
  <c r="J1708" i="6"/>
  <c r="J1704" i="6"/>
  <c r="J1703" i="6"/>
  <c r="J1702" i="6"/>
  <c r="J1695" i="6"/>
  <c r="J1694" i="6"/>
  <c r="J1693" i="6"/>
  <c r="J1686" i="6"/>
  <c r="J1685" i="6"/>
  <c r="J1684" i="6"/>
  <c r="J1677" i="6"/>
  <c r="J1676" i="6"/>
  <c r="J1675" i="6"/>
  <c r="J1669" i="6"/>
  <c r="J1668" i="6"/>
  <c r="J1667" i="6"/>
  <c r="J1663" i="6"/>
  <c r="J1662" i="6"/>
  <c r="J1661" i="6"/>
  <c r="J1657" i="6"/>
  <c r="J1656" i="6"/>
  <c r="J1655" i="6"/>
  <c r="J1648" i="6"/>
  <c r="J1647" i="6"/>
  <c r="J1646" i="6"/>
  <c r="J1639" i="6"/>
  <c r="J1638" i="6"/>
  <c r="J1637" i="6"/>
  <c r="J1630" i="6"/>
  <c r="J1629" i="6"/>
  <c r="J1628" i="6"/>
  <c r="J1622" i="6"/>
  <c r="J1621" i="6"/>
  <c r="J1620" i="6"/>
  <c r="J1616" i="6"/>
  <c r="J1615" i="6"/>
  <c r="J1614" i="6"/>
  <c r="J1610" i="6"/>
  <c r="J1609" i="6"/>
  <c r="J1608" i="6"/>
  <c r="J1601" i="6"/>
  <c r="J1600" i="6"/>
  <c r="J1599" i="6"/>
  <c r="J1592" i="6"/>
  <c r="J1591" i="6"/>
  <c r="J1590" i="6"/>
  <c r="J1583" i="6"/>
  <c r="J1582" i="6"/>
  <c r="J1581" i="6"/>
  <c r="J1574" i="6"/>
  <c r="J1573" i="6"/>
  <c r="J1572" i="6"/>
  <c r="J1565" i="6"/>
  <c r="J1564" i="6"/>
  <c r="J1563" i="6"/>
  <c r="J1557" i="6"/>
  <c r="J1556" i="6"/>
  <c r="J1555" i="6"/>
  <c r="J1548" i="6"/>
  <c r="J1547" i="6"/>
  <c r="J1546" i="6"/>
  <c r="J1535" i="6"/>
  <c r="J1534" i="6"/>
  <c r="J1533" i="6"/>
  <c r="J1528" i="6"/>
  <c r="J1527" i="6"/>
  <c r="J1526" i="6"/>
  <c r="J1522" i="6"/>
  <c r="J1521" i="6"/>
  <c r="J1520" i="6"/>
  <c r="J1516" i="6"/>
  <c r="J1515" i="6"/>
  <c r="J1514" i="6"/>
  <c r="J1507" i="6"/>
  <c r="J1506" i="6"/>
  <c r="J1505" i="6"/>
  <c r="J1498" i="6"/>
  <c r="J1497" i="6"/>
  <c r="J1496" i="6"/>
  <c r="J1489" i="6"/>
  <c r="J1488" i="6"/>
  <c r="J1487" i="6"/>
  <c r="J1480" i="6"/>
  <c r="J1479" i="6"/>
  <c r="J1478" i="6"/>
  <c r="J1471" i="6"/>
  <c r="J1470" i="6"/>
  <c r="J1469" i="6"/>
  <c r="J1463" i="6"/>
  <c r="J1462" i="6"/>
  <c r="J1461" i="6"/>
  <c r="J1454" i="6"/>
  <c r="J1453" i="6"/>
  <c r="J1452" i="6"/>
  <c r="J1441" i="6"/>
  <c r="J1440" i="6"/>
  <c r="J1439" i="6"/>
  <c r="J1434" i="6"/>
  <c r="J1433" i="6"/>
  <c r="J1432" i="6"/>
  <c r="J1428" i="6"/>
  <c r="J1427" i="6"/>
  <c r="J1426" i="6"/>
  <c r="J1422" i="6"/>
  <c r="J1421" i="6"/>
  <c r="J1420" i="6"/>
  <c r="J1413" i="6"/>
  <c r="J1412" i="6"/>
  <c r="J1411" i="6"/>
  <c r="J1404" i="6"/>
  <c r="J1403" i="6"/>
  <c r="J1402" i="6"/>
  <c r="J1395" i="6"/>
  <c r="J1394" i="6"/>
  <c r="J1393" i="6"/>
  <c r="J1386" i="6"/>
  <c r="J1385" i="6"/>
  <c r="J1384" i="6"/>
  <c r="J1377" i="6"/>
  <c r="J1376" i="6"/>
  <c r="J1375" i="6"/>
  <c r="J1369" i="6"/>
  <c r="J1368" i="6"/>
  <c r="J1367" i="6"/>
  <c r="J1347" i="6"/>
  <c r="J1346" i="6"/>
  <c r="J1345" i="6"/>
  <c r="J1340" i="6"/>
  <c r="J1339" i="6"/>
  <c r="J1338" i="6"/>
  <c r="J1334" i="6"/>
  <c r="J1333" i="6"/>
  <c r="J1332" i="6"/>
  <c r="J1328" i="6"/>
  <c r="J1327" i="6"/>
  <c r="J1326" i="6"/>
  <c r="J1319" i="6"/>
  <c r="J1318" i="6"/>
  <c r="J1317" i="6"/>
  <c r="J1310" i="6"/>
  <c r="J1309" i="6"/>
  <c r="J1308" i="6"/>
  <c r="J1301" i="6"/>
  <c r="J1300" i="6"/>
  <c r="J1299" i="6"/>
  <c r="J1292" i="6"/>
  <c r="J1291" i="6"/>
  <c r="J1290" i="6"/>
  <c r="J1283" i="6"/>
  <c r="J1282" i="6"/>
  <c r="J1281" i="6"/>
  <c r="J1275" i="6"/>
  <c r="J1274" i="6"/>
  <c r="J1273" i="6"/>
  <c r="J1266" i="6"/>
  <c r="J1265" i="6"/>
  <c r="J1264" i="6"/>
  <c r="J1253" i="6"/>
  <c r="J1252" i="6"/>
  <c r="J1251" i="6"/>
  <c r="J964" i="6"/>
  <c r="J963" i="6"/>
  <c r="J962" i="6"/>
  <c r="J958" i="6"/>
  <c r="J957" i="6"/>
  <c r="J956" i="6"/>
  <c r="J952" i="6"/>
  <c r="J951" i="6"/>
  <c r="J950" i="6"/>
  <c r="J943" i="6"/>
  <c r="J942" i="6"/>
  <c r="J941" i="6"/>
  <c r="J934" i="6"/>
  <c r="J933" i="6"/>
  <c r="J932" i="6"/>
  <c r="J925" i="6"/>
  <c r="J924" i="6"/>
  <c r="J923" i="6"/>
  <c r="J917" i="6"/>
  <c r="J916" i="6"/>
  <c r="J915" i="6"/>
  <c r="J908" i="6"/>
  <c r="J907" i="6"/>
  <c r="J906" i="6"/>
  <c r="J895" i="6"/>
  <c r="J894" i="6"/>
  <c r="J893" i="6"/>
  <c r="J888" i="6"/>
  <c r="J887" i="6"/>
  <c r="J886" i="6"/>
  <c r="J882" i="6"/>
  <c r="J881" i="6"/>
  <c r="J880" i="6"/>
  <c r="J876" i="6"/>
  <c r="J875" i="6"/>
  <c r="J874" i="6"/>
  <c r="J867" i="6"/>
  <c r="J866" i="6"/>
  <c r="J865" i="6"/>
  <c r="J858" i="6"/>
  <c r="J857" i="6"/>
  <c r="J856" i="6"/>
  <c r="J849" i="6"/>
  <c r="J848" i="6"/>
  <c r="J847" i="6"/>
  <c r="J841" i="6"/>
  <c r="J840" i="6"/>
  <c r="J839" i="6"/>
  <c r="J832" i="6"/>
  <c r="J831" i="6"/>
  <c r="J830" i="6"/>
  <c r="J819" i="6"/>
  <c r="J818" i="6"/>
  <c r="J817" i="6"/>
  <c r="J812" i="6"/>
  <c r="J811" i="6"/>
  <c r="J810" i="6"/>
  <c r="J806" i="6"/>
  <c r="J805" i="6"/>
  <c r="J804" i="6"/>
  <c r="J800" i="6"/>
  <c r="J799" i="6"/>
  <c r="J798" i="6"/>
  <c r="J791" i="6"/>
  <c r="J790" i="6"/>
  <c r="J789" i="6"/>
  <c r="J782" i="6"/>
  <c r="J781" i="6"/>
  <c r="J780" i="6"/>
  <c r="J773" i="6"/>
  <c r="J772" i="6"/>
  <c r="J771" i="6"/>
  <c r="J765" i="6"/>
  <c r="J764" i="6"/>
  <c r="J763" i="6"/>
  <c r="J756" i="6"/>
  <c r="J755" i="6"/>
  <c r="J754" i="6"/>
  <c r="J743" i="6"/>
  <c r="J742" i="6"/>
  <c r="J741" i="6"/>
  <c r="J736" i="6"/>
  <c r="J735" i="6"/>
  <c r="J734" i="6"/>
  <c r="J730" i="6"/>
  <c r="J729" i="6"/>
  <c r="J728" i="6"/>
  <c r="J724" i="6"/>
  <c r="J723" i="6"/>
  <c r="J722" i="6"/>
  <c r="J715" i="6"/>
  <c r="J714" i="6"/>
  <c r="J713" i="6"/>
  <c r="J706" i="6"/>
  <c r="J705" i="6"/>
  <c r="J704" i="6"/>
  <c r="J697" i="6"/>
  <c r="J696" i="6"/>
  <c r="J695" i="6"/>
  <c r="J689" i="6"/>
  <c r="J688" i="6"/>
  <c r="J687" i="6"/>
  <c r="J680" i="6"/>
  <c r="J679" i="6"/>
  <c r="J678" i="6"/>
  <c r="J667" i="6"/>
  <c r="J666" i="6"/>
  <c r="J665" i="6"/>
  <c r="J660" i="6"/>
  <c r="J659" i="6"/>
  <c r="J658" i="6"/>
  <c r="J654" i="6"/>
  <c r="J653" i="6"/>
  <c r="J652" i="6"/>
  <c r="J648" i="6"/>
  <c r="J647" i="6"/>
  <c r="J646" i="6"/>
  <c r="J639" i="6"/>
  <c r="J638" i="6"/>
  <c r="J637" i="6"/>
  <c r="J630" i="6"/>
  <c r="J629" i="6"/>
  <c r="J628" i="6"/>
  <c r="J621" i="6"/>
  <c r="J620" i="6"/>
  <c r="J619" i="6"/>
  <c r="J613" i="6"/>
  <c r="J612" i="6"/>
  <c r="J611" i="6"/>
  <c r="J604" i="6"/>
  <c r="J603" i="6"/>
  <c r="J602" i="6"/>
  <c r="J591" i="6"/>
  <c r="J590" i="6"/>
  <c r="J589" i="6"/>
  <c r="J584" i="6"/>
  <c r="J583" i="6"/>
  <c r="J582" i="6"/>
  <c r="J578" i="6"/>
  <c r="J577" i="6"/>
  <c r="J576" i="6"/>
  <c r="J572" i="6"/>
  <c r="J571" i="6"/>
  <c r="J570" i="6"/>
  <c r="J563" i="6"/>
  <c r="J562" i="6"/>
  <c r="J561" i="6"/>
  <c r="J554" i="6"/>
  <c r="J553" i="6"/>
  <c r="J552" i="6"/>
  <c r="J545" i="6"/>
  <c r="J544" i="6"/>
  <c r="J543" i="6"/>
  <c r="J534" i="6"/>
  <c r="J533" i="6"/>
  <c r="J532" i="6"/>
  <c r="J523" i="6"/>
  <c r="J522" i="6"/>
  <c r="J521" i="6"/>
  <c r="J514" i="6"/>
  <c r="J513" i="6"/>
  <c r="J512" i="6"/>
  <c r="J506" i="6"/>
  <c r="J505" i="6"/>
  <c r="J504" i="6"/>
  <c r="J498" i="6"/>
  <c r="J497" i="6"/>
  <c r="J496" i="6"/>
  <c r="J489" i="6"/>
  <c r="J488" i="6"/>
  <c r="J487" i="6"/>
  <c r="J476" i="6"/>
  <c r="J475" i="6"/>
  <c r="J474" i="6"/>
  <c r="J469" i="6"/>
  <c r="J468" i="6"/>
  <c r="J467" i="6"/>
  <c r="J463" i="6"/>
  <c r="J462" i="6"/>
  <c r="J461" i="6"/>
  <c r="J457" i="6"/>
  <c r="J456" i="6"/>
  <c r="J455" i="6"/>
  <c r="J448" i="6"/>
  <c r="J447" i="6"/>
  <c r="J446" i="6"/>
  <c r="J439" i="6"/>
  <c r="J438" i="6"/>
  <c r="J437" i="6"/>
  <c r="J430" i="6"/>
  <c r="J429" i="6"/>
  <c r="J428" i="6"/>
  <c r="J419" i="6"/>
  <c r="J418" i="6"/>
  <c r="J417" i="6"/>
  <c r="J408" i="6"/>
  <c r="J407" i="6"/>
  <c r="J406" i="6"/>
  <c r="J399" i="6"/>
  <c r="J398" i="6"/>
  <c r="J397" i="6"/>
  <c r="J391" i="6"/>
  <c r="J390" i="6"/>
  <c r="J389" i="6"/>
  <c r="J383" i="6"/>
  <c r="J382" i="6"/>
  <c r="J381" i="6"/>
  <c r="J374" i="6"/>
  <c r="J373" i="6"/>
  <c r="J372" i="6"/>
  <c r="J361" i="6"/>
  <c r="J360" i="6"/>
  <c r="J359" i="6"/>
  <c r="J354" i="6"/>
  <c r="J353" i="6"/>
  <c r="J352" i="6"/>
  <c r="J348" i="6"/>
  <c r="J347" i="6"/>
  <c r="J346" i="6"/>
  <c r="J342" i="6"/>
  <c r="J341" i="6"/>
  <c r="J340" i="6"/>
  <c r="J333" i="6"/>
  <c r="J332" i="6"/>
  <c r="J331" i="6"/>
  <c r="J324" i="6"/>
  <c r="J323" i="6"/>
  <c r="J322" i="6"/>
  <c r="J315" i="6"/>
  <c r="J314" i="6"/>
  <c r="J313" i="6"/>
  <c r="J304" i="6"/>
  <c r="J303" i="6"/>
  <c r="J302" i="6"/>
  <c r="J292" i="6"/>
  <c r="J291" i="6"/>
  <c r="J290" i="6"/>
  <c r="J284" i="6"/>
  <c r="J283" i="6"/>
  <c r="J282" i="6"/>
  <c r="J276" i="6"/>
  <c r="J275" i="6"/>
  <c r="J274" i="6"/>
  <c r="J268" i="6"/>
  <c r="J267" i="6"/>
  <c r="J266" i="6"/>
  <c r="J259" i="6"/>
  <c r="J258" i="6"/>
  <c r="J257" i="6"/>
  <c r="J246" i="6"/>
  <c r="J245" i="6"/>
  <c r="J244" i="6"/>
  <c r="J239" i="6"/>
  <c r="J238" i="6"/>
  <c r="J237" i="6"/>
  <c r="J233" i="6"/>
  <c r="J232" i="6"/>
  <c r="J231" i="6"/>
  <c r="J227" i="6"/>
  <c r="J226" i="6"/>
  <c r="J225" i="6"/>
  <c r="J218" i="6"/>
  <c r="J217" i="6"/>
  <c r="J216" i="6"/>
  <c r="J209" i="6"/>
  <c r="J208" i="6"/>
  <c r="J207" i="6"/>
  <c r="J200" i="6"/>
  <c r="J199" i="6"/>
  <c r="J198" i="6"/>
  <c r="J189" i="6"/>
  <c r="J188" i="6"/>
  <c r="J187" i="6"/>
  <c r="J178" i="6"/>
  <c r="J177" i="6"/>
  <c r="J176" i="6"/>
  <c r="J169" i="6"/>
  <c r="J168" i="6"/>
  <c r="J167" i="6"/>
  <c r="J161" i="6"/>
  <c r="J160" i="6"/>
  <c r="J159" i="6"/>
  <c r="J153" i="6"/>
  <c r="J152" i="6"/>
  <c r="J151" i="6"/>
  <c r="J144" i="6"/>
  <c r="J143" i="6"/>
  <c r="J142" i="6"/>
  <c r="J131" i="6"/>
  <c r="J130" i="6"/>
  <c r="J129" i="6"/>
  <c r="J124" i="6"/>
  <c r="J123" i="6"/>
  <c r="J122" i="6"/>
  <c r="J118" i="6"/>
  <c r="J117" i="6"/>
  <c r="J116" i="6"/>
  <c r="J112" i="6"/>
  <c r="J111" i="6"/>
  <c r="J110" i="6"/>
  <c r="J103" i="6"/>
  <c r="J102" i="6"/>
  <c r="J101" i="6"/>
  <c r="J94" i="6"/>
  <c r="J93" i="6"/>
  <c r="J92" i="6"/>
  <c r="J85" i="6"/>
  <c r="J84" i="6"/>
  <c r="J83" i="6"/>
  <c r="J74" i="6"/>
  <c r="J73" i="6"/>
  <c r="J72" i="6"/>
  <c r="J63" i="6"/>
  <c r="J62" i="6"/>
  <c r="J61" i="6"/>
  <c r="J54" i="6"/>
  <c r="J53" i="6"/>
  <c r="J52" i="6"/>
  <c r="J46" i="6"/>
  <c r="J45" i="6"/>
  <c r="J44" i="6"/>
  <c r="J38" i="6"/>
  <c r="J37" i="6"/>
  <c r="J36" i="6"/>
  <c r="J29" i="6"/>
  <c r="J28" i="6"/>
  <c r="J27" i="6"/>
  <c r="J16" i="6"/>
  <c r="J15" i="6"/>
  <c r="J14" i="6"/>
  <c r="U1007" i="5" l="1"/>
  <c r="U1016" i="5"/>
  <c r="U980" i="5"/>
  <c r="U731" i="5"/>
  <c r="U977" i="5"/>
  <c r="D59" i="14"/>
  <c r="J58" i="14"/>
  <c r="L58" i="14" s="1"/>
  <c r="U737" i="5"/>
  <c r="J78" i="14"/>
  <c r="L78" i="14" s="1"/>
  <c r="D79" i="14"/>
  <c r="U1061" i="5"/>
  <c r="U1223" i="5"/>
  <c r="U1172" i="5"/>
  <c r="U1166" i="5"/>
  <c r="U1118" i="5"/>
  <c r="U770" i="5"/>
  <c r="U1058" i="5"/>
  <c r="U1112" i="5"/>
  <c r="U1115" i="5"/>
  <c r="U1064" i="5"/>
  <c r="U1055" i="5"/>
  <c r="U1169" i="5"/>
  <c r="U1217" i="5"/>
  <c r="U1220" i="5"/>
  <c r="U1163" i="5"/>
  <c r="U830" i="5"/>
  <c r="U629" i="5"/>
  <c r="D121" i="14"/>
  <c r="J120" i="14"/>
  <c r="L120" i="14" s="1"/>
  <c r="U785" i="5"/>
  <c r="F122" i="14"/>
  <c r="K121" i="14"/>
  <c r="D141" i="14"/>
  <c r="J140" i="14"/>
  <c r="L140" i="14" s="1"/>
  <c r="U821" i="5"/>
  <c r="D179" i="14"/>
  <c r="J178" i="14"/>
  <c r="L178" i="14" s="1"/>
  <c r="U773" i="5"/>
  <c r="U818" i="5"/>
  <c r="D239" i="14"/>
  <c r="J238" i="14"/>
  <c r="L238" i="14" s="1"/>
  <c r="U647" i="5"/>
  <c r="U572" i="5"/>
  <c r="U605" i="5"/>
  <c r="D219" i="14"/>
  <c r="J218" i="14"/>
  <c r="L218" i="14" s="1"/>
  <c r="K180" i="14"/>
  <c r="F181" i="14"/>
  <c r="D200" i="14"/>
  <c r="J199" i="14"/>
  <c r="L199" i="14" s="1"/>
  <c r="D103" i="14"/>
  <c r="J102" i="14"/>
  <c r="L102" i="14" s="1"/>
  <c r="D161" i="14"/>
  <c r="J160" i="14"/>
  <c r="L160" i="14" s="1"/>
  <c r="F207" i="14"/>
  <c r="K206" i="14"/>
  <c r="U701" i="5"/>
  <c r="F83" i="14"/>
  <c r="K82" i="14"/>
  <c r="U575" i="5"/>
  <c r="U683" i="5"/>
  <c r="U665" i="5"/>
  <c r="F319" i="14"/>
  <c r="K318" i="14"/>
  <c r="F262" i="14"/>
  <c r="K261" i="14"/>
  <c r="U608" i="5"/>
  <c r="D261" i="14"/>
  <c r="J260" i="14"/>
  <c r="L260" i="14" s="1"/>
  <c r="U569" i="5"/>
  <c r="D319" i="14"/>
  <c r="J318" i="14"/>
  <c r="L318" i="14" s="1"/>
  <c r="F339" i="14"/>
  <c r="K338" i="14"/>
  <c r="U431" i="5"/>
  <c r="U389" i="5"/>
  <c r="U611" i="5"/>
  <c r="F241" i="14"/>
  <c r="K240" i="14"/>
  <c r="U497" i="5"/>
  <c r="U533" i="5"/>
  <c r="F224" i="14"/>
  <c r="K223" i="14"/>
  <c r="U539" i="5"/>
  <c r="U395" i="5"/>
  <c r="U503" i="5"/>
  <c r="U428" i="5"/>
  <c r="U536" i="5"/>
  <c r="U500" i="5"/>
  <c r="U329" i="5"/>
  <c r="U305" i="5"/>
  <c r="F361" i="14"/>
  <c r="K360" i="14"/>
  <c r="U425" i="5"/>
  <c r="U461" i="5"/>
  <c r="U464" i="5"/>
  <c r="U122" i="5"/>
  <c r="J378" i="14"/>
  <c r="L378" i="14" s="1"/>
  <c r="D379" i="14"/>
  <c r="D340" i="14"/>
  <c r="J339" i="14"/>
  <c r="L339" i="14" s="1"/>
  <c r="F379" i="14"/>
  <c r="K378" i="14"/>
  <c r="K308" i="14"/>
  <c r="F309" i="14"/>
  <c r="D359" i="14"/>
  <c r="J358" i="14"/>
  <c r="L358" i="14" s="1"/>
  <c r="U467" i="5"/>
  <c r="U392" i="5"/>
  <c r="D281" i="14"/>
  <c r="J280" i="14"/>
  <c r="L280" i="14" s="1"/>
  <c r="J300" i="14"/>
  <c r="L300" i="14" s="1"/>
  <c r="D301" i="14"/>
  <c r="U365" i="5"/>
  <c r="U299" i="5"/>
  <c r="K482" i="14"/>
  <c r="F483" i="14"/>
  <c r="U245" i="5"/>
  <c r="U275" i="5"/>
  <c r="U239" i="5"/>
  <c r="D441" i="14"/>
  <c r="J440" i="14"/>
  <c r="L440" i="14" s="1"/>
  <c r="U362" i="5"/>
  <c r="U332" i="5"/>
  <c r="U335" i="5"/>
  <c r="U302" i="5"/>
  <c r="U359" i="5"/>
  <c r="U242" i="5"/>
  <c r="K400" i="14"/>
  <c r="F401" i="14"/>
  <c r="D479" i="14"/>
  <c r="J478" i="14"/>
  <c r="L478" i="14" s="1"/>
  <c r="U44" i="5"/>
  <c r="U209" i="5"/>
  <c r="U1100" i="5"/>
  <c r="U269" i="5"/>
  <c r="F440" i="14"/>
  <c r="K439" i="14"/>
  <c r="J400" i="14"/>
  <c r="L400" i="14" s="1"/>
  <c r="D401" i="14"/>
  <c r="K467" i="14"/>
  <c r="F468" i="14"/>
  <c r="U272" i="5"/>
  <c r="J458" i="14"/>
  <c r="L458" i="14" s="1"/>
  <c r="D459" i="14"/>
  <c r="J420" i="14"/>
  <c r="L420" i="14" s="1"/>
  <c r="D421" i="14"/>
  <c r="D579" i="14"/>
  <c r="J578" i="14"/>
  <c r="L578" i="14" s="1"/>
  <c r="J558" i="14"/>
  <c r="L558" i="14" s="1"/>
  <c r="D559" i="14"/>
  <c r="J520" i="14"/>
  <c r="L520" i="14" s="1"/>
  <c r="D521" i="14"/>
  <c r="U170" i="5"/>
  <c r="F541" i="14"/>
  <c r="K540" i="14"/>
  <c r="U38" i="5"/>
  <c r="F559" i="14"/>
  <c r="K558" i="14"/>
  <c r="U83" i="5"/>
  <c r="U128" i="5"/>
  <c r="F506" i="14"/>
  <c r="K505" i="14"/>
  <c r="U206" i="5"/>
  <c r="D501" i="14"/>
  <c r="J500" i="14"/>
  <c r="L500" i="14" s="1"/>
  <c r="U41" i="5"/>
  <c r="K578" i="14"/>
  <c r="F579" i="14"/>
  <c r="U80" i="5"/>
  <c r="U1109" i="5"/>
  <c r="U212" i="5"/>
  <c r="U86" i="5"/>
  <c r="U167" i="5"/>
  <c r="F424" i="14"/>
  <c r="K423" i="14"/>
  <c r="U125" i="5"/>
  <c r="U164" i="5"/>
  <c r="U515" i="5"/>
  <c r="U434" i="5"/>
  <c r="U449" i="5"/>
  <c r="U518" i="5"/>
  <c r="U455" i="5"/>
  <c r="U494" i="5"/>
  <c r="U512" i="5"/>
  <c r="U443" i="5"/>
  <c r="U452" i="5"/>
  <c r="U488" i="5"/>
  <c r="U485" i="5"/>
  <c r="U509" i="5"/>
  <c r="U446" i="5"/>
  <c r="U473" i="5"/>
  <c r="U491" i="5"/>
  <c r="U506" i="5"/>
  <c r="U413" i="5"/>
  <c r="U479" i="5"/>
  <c r="U482" i="5"/>
  <c r="U440" i="5"/>
  <c r="U470" i="5"/>
  <c r="U476" i="5"/>
  <c r="U458" i="5"/>
  <c r="U416" i="5"/>
  <c r="U437" i="5"/>
  <c r="U422" i="5"/>
  <c r="U419" i="5"/>
  <c r="U884" i="5"/>
  <c r="U95" i="5"/>
  <c r="U152" i="5"/>
  <c r="U704" i="5"/>
  <c r="U722" i="5"/>
  <c r="U617" i="5"/>
  <c r="U50" i="5"/>
  <c r="U563" i="5"/>
  <c r="U251" i="5"/>
  <c r="U710" i="5"/>
  <c r="U641" i="5"/>
  <c r="U962" i="5"/>
  <c r="U887" i="5"/>
  <c r="U1214" i="5"/>
  <c r="U287" i="5"/>
  <c r="U890" i="5"/>
  <c r="U1235" i="5"/>
  <c r="U680" i="5"/>
  <c r="U752" i="5"/>
  <c r="U92" i="5"/>
  <c r="U1010" i="5"/>
  <c r="U383" i="5"/>
  <c r="U917" i="5"/>
  <c r="U104" i="5"/>
  <c r="U767" i="5"/>
  <c r="U1244" i="5"/>
  <c r="U593" i="5"/>
  <c r="U788" i="5"/>
  <c r="U1097" i="5"/>
  <c r="U1196" i="5"/>
  <c r="U1094" i="5"/>
  <c r="U674" i="5"/>
  <c r="U524" i="5"/>
  <c r="U140" i="5"/>
  <c r="U1133" i="5"/>
  <c r="U659" i="5"/>
  <c r="U581" i="5"/>
  <c r="U521" i="5"/>
  <c r="U404" i="5"/>
  <c r="U143" i="5"/>
  <c r="U308" i="5"/>
  <c r="U1043" i="5"/>
  <c r="U638" i="5"/>
  <c r="U1124" i="5"/>
  <c r="U833" i="5"/>
  <c r="U47" i="5"/>
  <c r="U1076" i="5"/>
  <c r="U632" i="5"/>
  <c r="U635" i="5"/>
  <c r="U134" i="5"/>
  <c r="U179" i="5"/>
  <c r="U326" i="5"/>
  <c r="U1130" i="5"/>
  <c r="U554" i="5"/>
  <c r="U824" i="5"/>
  <c r="U749" i="5"/>
  <c r="U878" i="5"/>
  <c r="U947" i="5"/>
  <c r="U1178" i="5"/>
  <c r="U1280" i="5"/>
  <c r="U218" i="5"/>
  <c r="U1193" i="5"/>
  <c r="U158" i="5"/>
  <c r="U992" i="5"/>
  <c r="U347" i="5"/>
  <c r="U17" i="5"/>
  <c r="U614" i="5"/>
  <c r="U197" i="5"/>
  <c r="U587" i="5"/>
  <c r="U221" i="5"/>
  <c r="U101" i="5"/>
  <c r="U89" i="5"/>
  <c r="U1289" i="5"/>
  <c r="U290" i="5"/>
  <c r="U896" i="5"/>
  <c r="U233" i="5"/>
  <c r="U266" i="5"/>
  <c r="U296" i="5"/>
  <c r="U1283" i="5"/>
  <c r="U176" i="5"/>
  <c r="U842" i="5"/>
  <c r="U314" i="5"/>
  <c r="U1148" i="5"/>
  <c r="U935" i="5"/>
  <c r="U1079" i="5"/>
  <c r="U620" i="5"/>
  <c r="U800" i="5"/>
  <c r="U932" i="5"/>
  <c r="U1025" i="5"/>
  <c r="U311" i="5"/>
  <c r="U1268" i="5"/>
  <c r="U1181" i="5"/>
  <c r="U341" i="5"/>
  <c r="U278" i="5"/>
  <c r="U1034" i="5"/>
  <c r="U686" i="5"/>
  <c r="U806" i="5"/>
  <c r="U743" i="5"/>
  <c r="U131" i="5"/>
  <c r="U68" i="5"/>
  <c r="U224" i="5"/>
  <c r="U20" i="5"/>
  <c r="U920" i="5"/>
  <c r="U1292" i="5"/>
  <c r="U35" i="5"/>
  <c r="U215" i="5"/>
  <c r="U776" i="5"/>
  <c r="U200" i="5"/>
  <c r="U1001" i="5"/>
  <c r="U734" i="5"/>
  <c r="U845" i="5"/>
  <c r="U1013" i="5"/>
  <c r="U320" i="5"/>
  <c r="U1232" i="5"/>
  <c r="U923" i="5"/>
  <c r="U317" i="5"/>
  <c r="U353" i="5"/>
  <c r="U578" i="5"/>
  <c r="U1253" i="5"/>
  <c r="U644" i="5"/>
  <c r="U602" i="5"/>
  <c r="U971" i="5"/>
  <c r="U668" i="5"/>
  <c r="U881" i="5"/>
  <c r="U746" i="5"/>
  <c r="U293" i="5"/>
  <c r="U191" i="5"/>
  <c r="U1226" i="5"/>
  <c r="U761" i="5"/>
  <c r="U59" i="5"/>
  <c r="U941" i="5"/>
  <c r="U203" i="5"/>
  <c r="U1205" i="5"/>
  <c r="U338" i="5"/>
  <c r="U872" i="5"/>
  <c r="U1088" i="5"/>
  <c r="U260" i="5"/>
  <c r="U1142" i="5"/>
  <c r="U560" i="5"/>
  <c r="U377" i="5"/>
  <c r="U812" i="5"/>
  <c r="U839" i="5"/>
  <c r="U116" i="5"/>
  <c r="U1187" i="5"/>
  <c r="U530" i="5"/>
  <c r="U656" i="5"/>
  <c r="U356" i="5"/>
  <c r="U929" i="5"/>
  <c r="U371" i="5"/>
  <c r="U368" i="5"/>
  <c r="U653" i="5"/>
  <c r="U836" i="5"/>
  <c r="U965" i="5"/>
  <c r="U908" i="5"/>
  <c r="U875" i="5"/>
  <c r="U374" i="5"/>
  <c r="U227" i="5"/>
  <c r="U848" i="5"/>
  <c r="U182" i="5"/>
  <c r="U1004" i="5"/>
  <c r="U23" i="5"/>
  <c r="U719" i="5"/>
  <c r="U386" i="5"/>
  <c r="U1049" i="5"/>
  <c r="U1028" i="5"/>
  <c r="U1022" i="5"/>
  <c r="U1031" i="5"/>
  <c r="U944" i="5"/>
  <c r="U950" i="5"/>
  <c r="U1202" i="5"/>
  <c r="U77" i="5"/>
  <c r="U527" i="5"/>
  <c r="U248" i="5"/>
  <c r="U626" i="5"/>
  <c r="U728" i="5"/>
  <c r="U959" i="5"/>
  <c r="U113" i="5"/>
  <c r="U677" i="5"/>
  <c r="U974" i="5"/>
  <c r="U827" i="5"/>
  <c r="U185" i="5"/>
  <c r="U545" i="5"/>
  <c r="U995" i="5"/>
  <c r="U194" i="5"/>
  <c r="U671" i="5"/>
  <c r="U1262" i="5"/>
  <c r="U1046" i="5"/>
  <c r="U596" i="5"/>
  <c r="U698" i="5"/>
  <c r="U1286" i="5"/>
  <c r="U1106" i="5"/>
  <c r="U998" i="5"/>
  <c r="U968" i="5"/>
  <c r="U803" i="5"/>
  <c r="U1091" i="5"/>
  <c r="U1121" i="5"/>
  <c r="U794" i="5"/>
  <c r="U548" i="5"/>
  <c r="U188" i="5"/>
  <c r="U1070" i="5"/>
  <c r="U983" i="5"/>
  <c r="U566" i="5"/>
  <c r="U1184" i="5"/>
  <c r="U1199" i="5"/>
  <c r="U26" i="5"/>
  <c r="U542" i="5"/>
  <c r="U692" i="5"/>
  <c r="U1067" i="5"/>
  <c r="U119" i="5"/>
  <c r="U1241" i="5"/>
  <c r="U1265" i="5"/>
  <c r="U110" i="5"/>
  <c r="U149" i="5"/>
  <c r="U1052" i="5"/>
  <c r="U713" i="5"/>
  <c r="U1082" i="5"/>
  <c r="U650" i="5"/>
  <c r="U695" i="5"/>
  <c r="U1256" i="5"/>
  <c r="U1073" i="5"/>
  <c r="U857" i="5"/>
  <c r="U716" i="5"/>
  <c r="U797" i="5"/>
  <c r="U263" i="5"/>
  <c r="U707" i="5"/>
  <c r="U344" i="5"/>
  <c r="U1085" i="5"/>
  <c r="U62" i="5"/>
  <c r="U1238" i="5"/>
  <c r="U764" i="5"/>
  <c r="U56" i="5"/>
  <c r="U1271" i="5"/>
  <c r="U953" i="5"/>
  <c r="U863" i="5"/>
  <c r="U911" i="5"/>
  <c r="U1247" i="5"/>
  <c r="U65" i="5"/>
  <c r="U1277" i="5"/>
  <c r="U1157" i="5"/>
  <c r="U1037" i="5"/>
  <c r="U986" i="5"/>
  <c r="U254" i="5"/>
  <c r="U107" i="5"/>
  <c r="U137" i="5"/>
  <c r="U791" i="5"/>
  <c r="U899" i="5"/>
  <c r="U1295" i="5"/>
  <c r="U689" i="5"/>
  <c r="U53" i="5"/>
  <c r="U74" i="5"/>
  <c r="U1250" i="5"/>
  <c r="U230" i="5"/>
  <c r="U1229" i="5"/>
  <c r="U758" i="5"/>
  <c r="U398" i="5"/>
  <c r="U590" i="5"/>
  <c r="U71" i="5"/>
  <c r="U410" i="5"/>
  <c r="U854" i="5"/>
  <c r="U32" i="5"/>
  <c r="U98" i="5"/>
  <c r="U236" i="5"/>
  <c r="U380" i="5"/>
  <c r="U989" i="5"/>
  <c r="U1145" i="5"/>
  <c r="U662" i="5"/>
  <c r="U1208" i="5"/>
  <c r="U173" i="5"/>
  <c r="U284" i="5"/>
  <c r="U257" i="5"/>
  <c r="U1190" i="5"/>
  <c r="U1259" i="5"/>
  <c r="U350" i="5"/>
  <c r="U860" i="5"/>
  <c r="U1019" i="5"/>
  <c r="U782" i="5"/>
  <c r="U893" i="5"/>
  <c r="U1139" i="5"/>
  <c r="U1154" i="5"/>
  <c r="U551" i="5"/>
  <c r="U815" i="5"/>
  <c r="U1103" i="5"/>
  <c r="U623" i="5"/>
  <c r="U755" i="5"/>
  <c r="U1151" i="5"/>
  <c r="U29" i="5"/>
  <c r="U161" i="5"/>
  <c r="U599" i="5"/>
  <c r="U938" i="5"/>
  <c r="U869" i="5"/>
  <c r="U323" i="5"/>
  <c r="U1160" i="5"/>
  <c r="U809" i="5"/>
  <c r="U1136" i="5"/>
  <c r="U926" i="5"/>
  <c r="U902" i="5"/>
  <c r="U146" i="5"/>
  <c r="U905" i="5"/>
  <c r="U1127" i="5"/>
  <c r="U584" i="5"/>
  <c r="U281" i="5"/>
  <c r="U155" i="5"/>
  <c r="U740" i="5"/>
  <c r="U914" i="5"/>
  <c r="U725" i="5"/>
  <c r="U557" i="5"/>
  <c r="U1040" i="5"/>
  <c r="U779" i="5"/>
  <c r="U851" i="5"/>
  <c r="U1175" i="5"/>
  <c r="U1211" i="5"/>
  <c r="U407" i="5"/>
  <c r="U401" i="5"/>
  <c r="U956" i="5"/>
  <c r="U866" i="5"/>
  <c r="U1274" i="5"/>
  <c r="D659" i="14"/>
  <c r="J658" i="14"/>
  <c r="L658" i="14" s="1"/>
  <c r="D640" i="14"/>
  <c r="J639" i="14"/>
  <c r="L639" i="14" s="1"/>
  <c r="F642" i="14"/>
  <c r="K641" i="14"/>
  <c r="F603" i="14"/>
  <c r="K602" i="14"/>
  <c r="F622" i="14"/>
  <c r="K621" i="14"/>
  <c r="D680" i="14"/>
  <c r="J679" i="14"/>
  <c r="L679" i="14" s="1"/>
  <c r="J601" i="14"/>
  <c r="L601" i="14" s="1"/>
  <c r="D602" i="14"/>
  <c r="J621" i="14"/>
  <c r="L621" i="14" s="1"/>
  <c r="D622" i="14"/>
  <c r="D542" i="14"/>
  <c r="J541" i="14"/>
  <c r="L541" i="14" s="1"/>
  <c r="O779" i="5"/>
  <c r="N124" i="6"/>
  <c r="N123" i="6"/>
  <c r="N122" i="6"/>
  <c r="N118" i="6"/>
  <c r="N117" i="6"/>
  <c r="N116" i="6"/>
  <c r="N111" i="6"/>
  <c r="N112" i="6"/>
  <c r="N110" i="6"/>
  <c r="N103" i="6"/>
  <c r="N102" i="6"/>
  <c r="N101" i="6"/>
  <c r="N93" i="6"/>
  <c r="N94" i="6"/>
  <c r="N92" i="6"/>
  <c r="N85" i="6"/>
  <c r="N84" i="6"/>
  <c r="N83" i="6"/>
  <c r="M75" i="6"/>
  <c r="M64" i="6"/>
  <c r="M54" i="6"/>
  <c r="M53" i="6"/>
  <c r="M52" i="6"/>
  <c r="D60" i="14" l="1"/>
  <c r="J59" i="14"/>
  <c r="L59" i="14" s="1"/>
  <c r="J79" i="14"/>
  <c r="L79" i="14" s="1"/>
  <c r="D80" i="14"/>
  <c r="D142" i="14"/>
  <c r="J141" i="14"/>
  <c r="L141" i="14" s="1"/>
  <c r="J179" i="14"/>
  <c r="L179" i="14" s="1"/>
  <c r="D180" i="14"/>
  <c r="D122" i="14"/>
  <c r="J121" i="14"/>
  <c r="L121" i="14" s="1"/>
  <c r="F123" i="14"/>
  <c r="K122" i="14"/>
  <c r="D162" i="14"/>
  <c r="J161" i="14"/>
  <c r="L161" i="14" s="1"/>
  <c r="J200" i="14"/>
  <c r="L200" i="14" s="1"/>
  <c r="D201" i="14"/>
  <c r="F84" i="14"/>
  <c r="K83" i="14"/>
  <c r="F208" i="14"/>
  <c r="K207" i="14"/>
  <c r="D104" i="14"/>
  <c r="J103" i="14"/>
  <c r="L103" i="14" s="1"/>
  <c r="D220" i="14"/>
  <c r="J219" i="14"/>
  <c r="L219" i="14" s="1"/>
  <c r="F182" i="14"/>
  <c r="K181" i="14"/>
  <c r="J239" i="14"/>
  <c r="L239" i="14" s="1"/>
  <c r="D240" i="14"/>
  <c r="K241" i="14"/>
  <c r="F242" i="14"/>
  <c r="D262" i="14"/>
  <c r="J261" i="14"/>
  <c r="L261" i="14" s="1"/>
  <c r="J319" i="14"/>
  <c r="L319" i="14" s="1"/>
  <c r="D320" i="14"/>
  <c r="F263" i="14"/>
  <c r="K262" i="14"/>
  <c r="F340" i="14"/>
  <c r="K339" i="14"/>
  <c r="F320" i="14"/>
  <c r="K319" i="14"/>
  <c r="D302" i="14"/>
  <c r="J301" i="14"/>
  <c r="L301" i="14" s="1"/>
  <c r="F310" i="14"/>
  <c r="K310" i="14" s="1"/>
  <c r="K309" i="14"/>
  <c r="J340" i="14"/>
  <c r="L340" i="14" s="1"/>
  <c r="D341" i="14"/>
  <c r="F362" i="14"/>
  <c r="K361" i="14"/>
  <c r="F225" i="14"/>
  <c r="K224" i="14"/>
  <c r="D380" i="14"/>
  <c r="J379" i="14"/>
  <c r="L379" i="14" s="1"/>
  <c r="D282" i="14"/>
  <c r="J281" i="14"/>
  <c r="L281" i="14" s="1"/>
  <c r="D360" i="14"/>
  <c r="J359" i="14"/>
  <c r="L359" i="14" s="1"/>
  <c r="F380" i="14"/>
  <c r="K379" i="14"/>
  <c r="D442" i="14"/>
  <c r="J441" i="14"/>
  <c r="L441" i="14" s="1"/>
  <c r="K483" i="14"/>
  <c r="F484" i="14"/>
  <c r="D422" i="14"/>
  <c r="J421" i="14"/>
  <c r="L421" i="14" s="1"/>
  <c r="D460" i="14"/>
  <c r="J459" i="14"/>
  <c r="L459" i="14" s="1"/>
  <c r="F441" i="14"/>
  <c r="K440" i="14"/>
  <c r="D480" i="14"/>
  <c r="J479" i="14"/>
  <c r="L479" i="14" s="1"/>
  <c r="K468" i="14"/>
  <c r="F469" i="14"/>
  <c r="J401" i="14"/>
  <c r="L401" i="14" s="1"/>
  <c r="D402" i="14"/>
  <c r="F402" i="14"/>
  <c r="K401" i="14"/>
  <c r="F425" i="14"/>
  <c r="K424" i="14"/>
  <c r="F580" i="14"/>
  <c r="K579" i="14"/>
  <c r="D502" i="14"/>
  <c r="J501" i="14"/>
  <c r="L501" i="14" s="1"/>
  <c r="J559" i="14"/>
  <c r="L559" i="14" s="1"/>
  <c r="D560" i="14"/>
  <c r="F542" i="14"/>
  <c r="K541" i="14"/>
  <c r="J521" i="14"/>
  <c r="L521" i="14" s="1"/>
  <c r="D522" i="14"/>
  <c r="K506" i="14"/>
  <c r="F507" i="14"/>
  <c r="K559" i="14"/>
  <c r="F560" i="14"/>
  <c r="J579" i="14"/>
  <c r="L579" i="14" s="1"/>
  <c r="D580" i="14"/>
  <c r="D641" i="14"/>
  <c r="J640" i="14"/>
  <c r="L640" i="14" s="1"/>
  <c r="F643" i="14"/>
  <c r="K642" i="14"/>
  <c r="D660" i="14"/>
  <c r="J659" i="14"/>
  <c r="L659" i="14" s="1"/>
  <c r="D603" i="14"/>
  <c r="J602" i="14"/>
  <c r="L602" i="14" s="1"/>
  <c r="D623" i="14"/>
  <c r="J622" i="14"/>
  <c r="L622" i="14" s="1"/>
  <c r="D681" i="14"/>
  <c r="J680" i="14"/>
  <c r="L680" i="14" s="1"/>
  <c r="F604" i="14"/>
  <c r="K603" i="14"/>
  <c r="J542" i="14"/>
  <c r="L542" i="14" s="1"/>
  <c r="D543" i="14"/>
  <c r="F623" i="14"/>
  <c r="K622" i="14"/>
  <c r="O781" i="5"/>
  <c r="O780" i="5"/>
  <c r="N74" i="6"/>
  <c r="N73" i="6"/>
  <c r="N72" i="6"/>
  <c r="N62" i="6"/>
  <c r="N63" i="6"/>
  <c r="N61" i="6"/>
  <c r="M55" i="6"/>
  <c r="M46" i="6"/>
  <c r="M45" i="6"/>
  <c r="M44" i="6"/>
  <c r="M38" i="6"/>
  <c r="M37" i="6"/>
  <c r="M36" i="6"/>
  <c r="M28" i="6"/>
  <c r="M27" i="6"/>
  <c r="M15" i="6"/>
  <c r="M14" i="6"/>
  <c r="D61" i="14" l="1"/>
  <c r="J60" i="14"/>
  <c r="L60" i="14" s="1"/>
  <c r="D81" i="14"/>
  <c r="J80" i="14"/>
  <c r="L80" i="14" s="1"/>
  <c r="J180" i="14"/>
  <c r="L180" i="14" s="1"/>
  <c r="D181" i="14"/>
  <c r="F124" i="14"/>
  <c r="K123" i="14"/>
  <c r="D123" i="14"/>
  <c r="J122" i="14"/>
  <c r="L122" i="14" s="1"/>
  <c r="D143" i="14"/>
  <c r="J142" i="14"/>
  <c r="L142" i="14" s="1"/>
  <c r="J201" i="14"/>
  <c r="L201" i="14" s="1"/>
  <c r="D202" i="14"/>
  <c r="K182" i="14"/>
  <c r="F183" i="14"/>
  <c r="F209" i="14"/>
  <c r="K208" i="14"/>
  <c r="F85" i="14"/>
  <c r="K84" i="14"/>
  <c r="J240" i="14"/>
  <c r="L240" i="14" s="1"/>
  <c r="D241" i="14"/>
  <c r="D221" i="14"/>
  <c r="J220" i="14"/>
  <c r="L220" i="14" s="1"/>
  <c r="D105" i="14"/>
  <c r="J104" i="14"/>
  <c r="L104" i="14" s="1"/>
  <c r="D163" i="14"/>
  <c r="J162" i="14"/>
  <c r="L162" i="14" s="1"/>
  <c r="F321" i="14"/>
  <c r="K320" i="14"/>
  <c r="D263" i="14"/>
  <c r="J262" i="14"/>
  <c r="L262" i="14" s="1"/>
  <c r="D321" i="14"/>
  <c r="J320" i="14"/>
  <c r="L320" i="14" s="1"/>
  <c r="F243" i="14"/>
  <c r="K242" i="14"/>
  <c r="F341" i="14"/>
  <c r="K340" i="14"/>
  <c r="F264" i="14"/>
  <c r="K263" i="14"/>
  <c r="J341" i="14"/>
  <c r="L341" i="14" s="1"/>
  <c r="D342" i="14"/>
  <c r="F381" i="14"/>
  <c r="K380" i="14"/>
  <c r="D283" i="14"/>
  <c r="J282" i="14"/>
  <c r="L282" i="14" s="1"/>
  <c r="D381" i="14"/>
  <c r="J380" i="14"/>
  <c r="L380" i="14" s="1"/>
  <c r="D361" i="14"/>
  <c r="J360" i="14"/>
  <c r="L360" i="14" s="1"/>
  <c r="F226" i="14"/>
  <c r="K225" i="14"/>
  <c r="F363" i="14"/>
  <c r="K362" i="14"/>
  <c r="J302" i="14"/>
  <c r="L302" i="14" s="1"/>
  <c r="D303" i="14"/>
  <c r="J402" i="14"/>
  <c r="L402" i="14" s="1"/>
  <c r="D403" i="14"/>
  <c r="F485" i="14"/>
  <c r="K484" i="14"/>
  <c r="K402" i="14"/>
  <c r="F403" i="14"/>
  <c r="J480" i="14"/>
  <c r="L480" i="14" s="1"/>
  <c r="D481" i="14"/>
  <c r="D461" i="14"/>
  <c r="J460" i="14"/>
  <c r="L460" i="14" s="1"/>
  <c r="F470" i="14"/>
  <c r="K470" i="14" s="1"/>
  <c r="K469" i="14"/>
  <c r="F442" i="14"/>
  <c r="K441" i="14"/>
  <c r="D423" i="14"/>
  <c r="J422" i="14"/>
  <c r="L422" i="14" s="1"/>
  <c r="J442" i="14"/>
  <c r="L442" i="14" s="1"/>
  <c r="D443" i="14"/>
  <c r="F543" i="14"/>
  <c r="K542" i="14"/>
  <c r="F581" i="14"/>
  <c r="K580" i="14"/>
  <c r="F561" i="14"/>
  <c r="K560" i="14"/>
  <c r="J522" i="14"/>
  <c r="L522" i="14" s="1"/>
  <c r="D523" i="14"/>
  <c r="J502" i="14"/>
  <c r="L502" i="14" s="1"/>
  <c r="D503" i="14"/>
  <c r="D581" i="14"/>
  <c r="J580" i="14"/>
  <c r="L580" i="14" s="1"/>
  <c r="F508" i="14"/>
  <c r="K507" i="14"/>
  <c r="J560" i="14"/>
  <c r="L560" i="14" s="1"/>
  <c r="D561" i="14"/>
  <c r="F426" i="14"/>
  <c r="K425" i="14"/>
  <c r="D661" i="14"/>
  <c r="J660" i="14"/>
  <c r="L660" i="14" s="1"/>
  <c r="F644" i="14"/>
  <c r="K643" i="14"/>
  <c r="D642" i="14"/>
  <c r="J641" i="14"/>
  <c r="L641" i="14" s="1"/>
  <c r="D682" i="14"/>
  <c r="J681" i="14"/>
  <c r="L681" i="14" s="1"/>
  <c r="D624" i="14"/>
  <c r="J623" i="14"/>
  <c r="L623" i="14" s="1"/>
  <c r="J543" i="14"/>
  <c r="L543" i="14" s="1"/>
  <c r="D544" i="14"/>
  <c r="F624" i="14"/>
  <c r="K623" i="14"/>
  <c r="F605" i="14"/>
  <c r="K604" i="14"/>
  <c r="D604" i="14"/>
  <c r="J603" i="14"/>
  <c r="L603" i="14" s="1"/>
  <c r="N54" i="6"/>
  <c r="N53" i="6"/>
  <c r="N52" i="6"/>
  <c r="M30" i="6"/>
  <c r="M17" i="6"/>
  <c r="M39" i="6"/>
  <c r="M47" i="6"/>
  <c r="D62" i="14" l="1"/>
  <c r="J61" i="14"/>
  <c r="L61" i="14" s="1"/>
  <c r="D82" i="14"/>
  <c r="J81" i="14"/>
  <c r="L81" i="14" s="1"/>
  <c r="J143" i="14"/>
  <c r="L143" i="14" s="1"/>
  <c r="D144" i="14"/>
  <c r="J181" i="14"/>
  <c r="L181" i="14" s="1"/>
  <c r="D182" i="14"/>
  <c r="F125" i="14"/>
  <c r="K124" i="14"/>
  <c r="D124" i="14"/>
  <c r="J123" i="14"/>
  <c r="L123" i="14" s="1"/>
  <c r="F184" i="14"/>
  <c r="K183" i="14"/>
  <c r="F86" i="14"/>
  <c r="K85" i="14"/>
  <c r="J85" i="14"/>
  <c r="L85" i="14" s="1"/>
  <c r="D242" i="14"/>
  <c r="J241" i="14"/>
  <c r="L241" i="14" s="1"/>
  <c r="D203" i="14"/>
  <c r="J202" i="14"/>
  <c r="L202" i="14" s="1"/>
  <c r="D164" i="14"/>
  <c r="J163" i="14"/>
  <c r="L163" i="14" s="1"/>
  <c r="J105" i="14"/>
  <c r="L105" i="14" s="1"/>
  <c r="D106" i="14"/>
  <c r="J221" i="14"/>
  <c r="L221" i="14" s="1"/>
  <c r="D222" i="14"/>
  <c r="F210" i="14"/>
  <c r="K210" i="14" s="1"/>
  <c r="K209" i="14"/>
  <c r="F342" i="14"/>
  <c r="K341" i="14"/>
  <c r="F244" i="14"/>
  <c r="K243" i="14"/>
  <c r="F265" i="14"/>
  <c r="K264" i="14"/>
  <c r="D322" i="14"/>
  <c r="J321" i="14"/>
  <c r="L321" i="14" s="1"/>
  <c r="D264" i="14"/>
  <c r="J263" i="14"/>
  <c r="L263" i="14" s="1"/>
  <c r="K321" i="14"/>
  <c r="F322" i="14"/>
  <c r="F364" i="14"/>
  <c r="K363" i="14"/>
  <c r="D284" i="14"/>
  <c r="J283" i="14"/>
  <c r="L283" i="14" s="1"/>
  <c r="D343" i="14"/>
  <c r="J342" i="14"/>
  <c r="L342" i="14" s="1"/>
  <c r="D304" i="14"/>
  <c r="J303" i="14"/>
  <c r="L303" i="14" s="1"/>
  <c r="F227" i="14"/>
  <c r="K226" i="14"/>
  <c r="D362" i="14"/>
  <c r="J361" i="14"/>
  <c r="L361" i="14" s="1"/>
  <c r="D382" i="14"/>
  <c r="J381" i="14"/>
  <c r="L381" i="14" s="1"/>
  <c r="F382" i="14"/>
  <c r="K381" i="14"/>
  <c r="J443" i="14"/>
  <c r="L443" i="14" s="1"/>
  <c r="D444" i="14"/>
  <c r="D482" i="14"/>
  <c r="J481" i="14"/>
  <c r="L481" i="14" s="1"/>
  <c r="F404" i="14"/>
  <c r="K403" i="14"/>
  <c r="D404" i="14"/>
  <c r="J403" i="14"/>
  <c r="L403" i="14" s="1"/>
  <c r="F443" i="14"/>
  <c r="K442" i="14"/>
  <c r="D462" i="14"/>
  <c r="J461" i="14"/>
  <c r="L461" i="14" s="1"/>
  <c r="F486" i="14"/>
  <c r="K485" i="14"/>
  <c r="J423" i="14"/>
  <c r="L423" i="14" s="1"/>
  <c r="D424" i="14"/>
  <c r="J561" i="14"/>
  <c r="L561" i="14" s="1"/>
  <c r="D562" i="14"/>
  <c r="D504" i="14"/>
  <c r="J503" i="14"/>
  <c r="L503" i="14" s="1"/>
  <c r="F427" i="14"/>
  <c r="K426" i="14"/>
  <c r="F509" i="14"/>
  <c r="K508" i="14"/>
  <c r="F562" i="14"/>
  <c r="K561" i="14"/>
  <c r="F544" i="14"/>
  <c r="K543" i="14"/>
  <c r="J523" i="14"/>
  <c r="L523" i="14" s="1"/>
  <c r="D524" i="14"/>
  <c r="J581" i="14"/>
  <c r="L581" i="14" s="1"/>
  <c r="D582" i="14"/>
  <c r="K581" i="14"/>
  <c r="F582" i="14"/>
  <c r="F645" i="14"/>
  <c r="K644" i="14"/>
  <c r="D643" i="14"/>
  <c r="J642" i="14"/>
  <c r="L642" i="14" s="1"/>
  <c r="D662" i="14"/>
  <c r="J661" i="14"/>
  <c r="L661" i="14" s="1"/>
  <c r="D545" i="14"/>
  <c r="J544" i="14"/>
  <c r="L544" i="14" s="1"/>
  <c r="D605" i="14"/>
  <c r="J604" i="14"/>
  <c r="L604" i="14" s="1"/>
  <c r="F606" i="14"/>
  <c r="K605" i="14"/>
  <c r="D683" i="14"/>
  <c r="J682" i="14"/>
  <c r="L682" i="14" s="1"/>
  <c r="F625" i="14"/>
  <c r="K624" i="14"/>
  <c r="D625" i="14"/>
  <c r="J624" i="14"/>
  <c r="L624" i="14" s="1"/>
  <c r="N46" i="6"/>
  <c r="N45" i="6"/>
  <c r="N44" i="6"/>
  <c r="N38" i="6"/>
  <c r="N37" i="6"/>
  <c r="N36" i="6"/>
  <c r="N29" i="6"/>
  <c r="N28" i="6"/>
  <c r="N27" i="6"/>
  <c r="N16" i="6"/>
  <c r="N15" i="6"/>
  <c r="N14" i="6"/>
  <c r="J51" i="9"/>
  <c r="D63" i="14" l="1"/>
  <c r="J62" i="14"/>
  <c r="L62" i="14" s="1"/>
  <c r="D83" i="14"/>
  <c r="J82" i="14"/>
  <c r="L82" i="14" s="1"/>
  <c r="D183" i="14"/>
  <c r="J182" i="14"/>
  <c r="L182" i="14" s="1"/>
  <c r="D125" i="14"/>
  <c r="J124" i="14"/>
  <c r="L124" i="14" s="1"/>
  <c r="D145" i="14"/>
  <c r="J144" i="14"/>
  <c r="L144" i="14" s="1"/>
  <c r="F126" i="14"/>
  <c r="K125" i="14"/>
  <c r="D204" i="14"/>
  <c r="J203" i="14"/>
  <c r="L203" i="14" s="1"/>
  <c r="J106" i="14"/>
  <c r="L106" i="14" s="1"/>
  <c r="D107" i="14"/>
  <c r="J86" i="14"/>
  <c r="L86" i="14" s="1"/>
  <c r="J222" i="14"/>
  <c r="L222" i="14" s="1"/>
  <c r="D223" i="14"/>
  <c r="D165" i="14"/>
  <c r="J164" i="14"/>
  <c r="L164" i="14" s="1"/>
  <c r="D243" i="14"/>
  <c r="J242" i="14"/>
  <c r="L242" i="14" s="1"/>
  <c r="F87" i="14"/>
  <c r="K86" i="14"/>
  <c r="F185" i="14"/>
  <c r="K184" i="14"/>
  <c r="F323" i="14"/>
  <c r="K322" i="14"/>
  <c r="D323" i="14"/>
  <c r="J322" i="14"/>
  <c r="L322" i="14" s="1"/>
  <c r="K265" i="14"/>
  <c r="F266" i="14"/>
  <c r="F343" i="14"/>
  <c r="K342" i="14"/>
  <c r="D265" i="14"/>
  <c r="J264" i="14"/>
  <c r="L264" i="14" s="1"/>
  <c r="F245" i="14"/>
  <c r="K244" i="14"/>
  <c r="D383" i="14"/>
  <c r="J382" i="14"/>
  <c r="L382" i="14" s="1"/>
  <c r="K227" i="14"/>
  <c r="F228" i="14"/>
  <c r="D344" i="14"/>
  <c r="J343" i="14"/>
  <c r="L343" i="14" s="1"/>
  <c r="D285" i="14"/>
  <c r="J284" i="14"/>
  <c r="L284" i="14" s="1"/>
  <c r="F365" i="14"/>
  <c r="K364" i="14"/>
  <c r="F383" i="14"/>
  <c r="K382" i="14"/>
  <c r="D363" i="14"/>
  <c r="J362" i="14"/>
  <c r="L362" i="14" s="1"/>
  <c r="D305" i="14"/>
  <c r="J304" i="14"/>
  <c r="L304" i="14" s="1"/>
  <c r="D483" i="14"/>
  <c r="J482" i="14"/>
  <c r="L482" i="14" s="1"/>
  <c r="D445" i="14"/>
  <c r="J444" i="14"/>
  <c r="L444" i="14" s="1"/>
  <c r="D425" i="14"/>
  <c r="J424" i="14"/>
  <c r="L424" i="14" s="1"/>
  <c r="D463" i="14"/>
  <c r="J462" i="14"/>
  <c r="L462" i="14" s="1"/>
  <c r="D405" i="14"/>
  <c r="J404" i="14"/>
  <c r="L404" i="14" s="1"/>
  <c r="K486" i="14"/>
  <c r="F487" i="14"/>
  <c r="F444" i="14"/>
  <c r="K443" i="14"/>
  <c r="F405" i="14"/>
  <c r="K404" i="14"/>
  <c r="K582" i="14"/>
  <c r="F583" i="14"/>
  <c r="D525" i="14"/>
  <c r="J524" i="14"/>
  <c r="L524" i="14" s="1"/>
  <c r="F563" i="14"/>
  <c r="K562" i="14"/>
  <c r="F428" i="14"/>
  <c r="K427" i="14"/>
  <c r="D505" i="14"/>
  <c r="J504" i="14"/>
  <c r="L504" i="14" s="1"/>
  <c r="J582" i="14"/>
  <c r="L582" i="14" s="1"/>
  <c r="D583" i="14"/>
  <c r="D563" i="14"/>
  <c r="J562" i="14"/>
  <c r="L562" i="14" s="1"/>
  <c r="F545" i="14"/>
  <c r="K544" i="14"/>
  <c r="F510" i="14"/>
  <c r="K510" i="14" s="1"/>
  <c r="K509" i="14"/>
  <c r="D663" i="14"/>
  <c r="J662" i="14"/>
  <c r="L662" i="14" s="1"/>
  <c r="F646" i="14"/>
  <c r="K645" i="14"/>
  <c r="D644" i="14"/>
  <c r="J643" i="14"/>
  <c r="L643" i="14" s="1"/>
  <c r="D626" i="14"/>
  <c r="J625" i="14"/>
  <c r="L625" i="14" s="1"/>
  <c r="F626" i="14"/>
  <c r="K625" i="14"/>
  <c r="D684" i="14"/>
  <c r="J683" i="14"/>
  <c r="L683" i="14" s="1"/>
  <c r="D606" i="14"/>
  <c r="J605" i="14"/>
  <c r="L605" i="14" s="1"/>
  <c r="F607" i="14"/>
  <c r="K606" i="14"/>
  <c r="D546" i="14"/>
  <c r="J545" i="14"/>
  <c r="L545" i="14" s="1"/>
  <c r="P173" i="5"/>
  <c r="P47" i="5"/>
  <c r="P215" i="5"/>
  <c r="P617" i="5"/>
  <c r="P131" i="5"/>
  <c r="P581" i="5"/>
  <c r="P89" i="5"/>
  <c r="N17" i="6"/>
  <c r="M946" i="5"/>
  <c r="M945" i="5"/>
  <c r="M944" i="5"/>
  <c r="M901" i="5"/>
  <c r="M900" i="5"/>
  <c r="M899" i="5"/>
  <c r="M856" i="5"/>
  <c r="M855" i="5"/>
  <c r="M854" i="5"/>
  <c r="M811" i="5"/>
  <c r="M810" i="5"/>
  <c r="M809" i="5"/>
  <c r="M763" i="5"/>
  <c r="M762" i="5"/>
  <c r="M761" i="5"/>
  <c r="M199" i="5"/>
  <c r="M198" i="5"/>
  <c r="M197" i="5"/>
  <c r="M157" i="5"/>
  <c r="M156" i="5"/>
  <c r="M155" i="5"/>
  <c r="M115" i="5"/>
  <c r="M114" i="5"/>
  <c r="M113" i="5"/>
  <c r="M73" i="5"/>
  <c r="M72" i="5"/>
  <c r="M71" i="5"/>
  <c r="M31" i="5"/>
  <c r="M30" i="5"/>
  <c r="M29" i="5"/>
  <c r="D64" i="14" l="1"/>
  <c r="J63" i="14"/>
  <c r="L63" i="14" s="1"/>
  <c r="J83" i="14"/>
  <c r="L83" i="14" s="1"/>
  <c r="D84" i="14"/>
  <c r="K126" i="14"/>
  <c r="F127" i="14"/>
  <c r="D126" i="14"/>
  <c r="J125" i="14"/>
  <c r="L125" i="14" s="1"/>
  <c r="D146" i="14"/>
  <c r="J145" i="14"/>
  <c r="L145" i="14" s="1"/>
  <c r="J183" i="14"/>
  <c r="L183" i="14" s="1"/>
  <c r="D184" i="14"/>
  <c r="F229" i="14"/>
  <c r="K228" i="14"/>
  <c r="D108" i="14"/>
  <c r="D109" i="14" s="1"/>
  <c r="D110" i="14" s="1"/>
  <c r="J107" i="14"/>
  <c r="L107" i="14" s="1"/>
  <c r="F88" i="14"/>
  <c r="F89" i="14" s="1"/>
  <c r="F90" i="14" s="1"/>
  <c r="K87" i="14"/>
  <c r="D166" i="14"/>
  <c r="J165" i="14"/>
  <c r="L165" i="14" s="1"/>
  <c r="J223" i="14"/>
  <c r="L223" i="14" s="1"/>
  <c r="D224" i="14"/>
  <c r="J87" i="14"/>
  <c r="L87" i="14" s="1"/>
  <c r="F246" i="14"/>
  <c r="K245" i="14"/>
  <c r="F186" i="14"/>
  <c r="K185" i="14"/>
  <c r="D244" i="14"/>
  <c r="J243" i="14"/>
  <c r="L243" i="14" s="1"/>
  <c r="D205" i="14"/>
  <c r="J204" i="14"/>
  <c r="L204" i="14" s="1"/>
  <c r="D286" i="14"/>
  <c r="J285" i="14"/>
  <c r="L285" i="14" s="1"/>
  <c r="F344" i="14"/>
  <c r="K343" i="14"/>
  <c r="D324" i="14"/>
  <c r="J323" i="14"/>
  <c r="L323" i="14" s="1"/>
  <c r="K266" i="14"/>
  <c r="F267" i="14"/>
  <c r="D266" i="14"/>
  <c r="J265" i="14"/>
  <c r="L265" i="14" s="1"/>
  <c r="F324" i="14"/>
  <c r="K323" i="14"/>
  <c r="D306" i="14"/>
  <c r="J305" i="14"/>
  <c r="L305" i="14" s="1"/>
  <c r="F384" i="14"/>
  <c r="K383" i="14"/>
  <c r="K365" i="14"/>
  <c r="F366" i="14"/>
  <c r="D345" i="14"/>
  <c r="J344" i="14"/>
  <c r="L344" i="14" s="1"/>
  <c r="D384" i="14"/>
  <c r="J383" i="14"/>
  <c r="L383" i="14" s="1"/>
  <c r="D364" i="14"/>
  <c r="J363" i="14"/>
  <c r="L363" i="14" s="1"/>
  <c r="D406" i="14"/>
  <c r="J405" i="14"/>
  <c r="L405" i="14" s="1"/>
  <c r="F488" i="14"/>
  <c r="K487" i="14"/>
  <c r="F406" i="14"/>
  <c r="K405" i="14"/>
  <c r="J425" i="14"/>
  <c r="L425" i="14" s="1"/>
  <c r="D426" i="14"/>
  <c r="F429" i="14"/>
  <c r="K428" i="14"/>
  <c r="F445" i="14"/>
  <c r="K444" i="14"/>
  <c r="J463" i="14"/>
  <c r="L463" i="14" s="1"/>
  <c r="D464" i="14"/>
  <c r="D446" i="14"/>
  <c r="J445" i="14"/>
  <c r="L445" i="14" s="1"/>
  <c r="J483" i="14"/>
  <c r="L483" i="14" s="1"/>
  <c r="D484" i="14"/>
  <c r="F546" i="14"/>
  <c r="K545" i="14"/>
  <c r="J583" i="14"/>
  <c r="L583" i="14" s="1"/>
  <c r="D584" i="14"/>
  <c r="F584" i="14"/>
  <c r="K583" i="14"/>
  <c r="D526" i="14"/>
  <c r="J525" i="14"/>
  <c r="L525" i="14" s="1"/>
  <c r="J563" i="14"/>
  <c r="L563" i="14" s="1"/>
  <c r="D564" i="14"/>
  <c r="D506" i="14"/>
  <c r="J505" i="14"/>
  <c r="L505" i="14" s="1"/>
  <c r="F564" i="14"/>
  <c r="K563" i="14"/>
  <c r="F647" i="14"/>
  <c r="K646" i="14"/>
  <c r="D645" i="14"/>
  <c r="J644" i="14"/>
  <c r="L644" i="14" s="1"/>
  <c r="D664" i="14"/>
  <c r="J663" i="14"/>
  <c r="L663" i="14" s="1"/>
  <c r="F627" i="14"/>
  <c r="K626" i="14"/>
  <c r="D627" i="14"/>
  <c r="J626" i="14"/>
  <c r="L626" i="14" s="1"/>
  <c r="D547" i="14"/>
  <c r="J546" i="14"/>
  <c r="L546" i="14" s="1"/>
  <c r="D685" i="14"/>
  <c r="J684" i="14"/>
  <c r="L684" i="14" s="1"/>
  <c r="D607" i="14"/>
  <c r="J606" i="14"/>
  <c r="L606" i="14" s="1"/>
  <c r="F608" i="14"/>
  <c r="K608" i="14" s="1"/>
  <c r="K607" i="14"/>
  <c r="J41" i="9"/>
  <c r="D65" i="14" l="1"/>
  <c r="D66" i="14" s="1"/>
  <c r="D67" i="14" s="1"/>
  <c r="D68" i="14" s="1"/>
  <c r="D69" i="14" s="1"/>
  <c r="D70" i="14" s="1"/>
  <c r="J64" i="14"/>
  <c r="L64" i="14" s="1"/>
  <c r="D85" i="14"/>
  <c r="D86" i="14" s="1"/>
  <c r="D87" i="14" s="1"/>
  <c r="D88" i="14" s="1"/>
  <c r="D89" i="14" s="1"/>
  <c r="D90" i="14" s="1"/>
  <c r="J90" i="14" s="1"/>
  <c r="L90" i="14" s="1"/>
  <c r="J84" i="14"/>
  <c r="L84" i="14" s="1"/>
  <c r="D185" i="14"/>
  <c r="J184" i="14"/>
  <c r="L184" i="14" s="1"/>
  <c r="F128" i="14"/>
  <c r="K127" i="14"/>
  <c r="J126" i="14"/>
  <c r="L126" i="14" s="1"/>
  <c r="D127" i="14"/>
  <c r="D147" i="14"/>
  <c r="J146" i="14"/>
  <c r="L146" i="14" s="1"/>
  <c r="D225" i="14"/>
  <c r="J224" i="14"/>
  <c r="L224" i="14" s="1"/>
  <c r="D245" i="14"/>
  <c r="J244" i="14"/>
  <c r="L244" i="14" s="1"/>
  <c r="F247" i="14"/>
  <c r="K246" i="14"/>
  <c r="D167" i="14"/>
  <c r="J166" i="14"/>
  <c r="L166" i="14" s="1"/>
  <c r="D206" i="14"/>
  <c r="J205" i="14"/>
  <c r="L205" i="14" s="1"/>
  <c r="F187" i="14"/>
  <c r="K186" i="14"/>
  <c r="F230" i="14"/>
  <c r="K230" i="14" s="1"/>
  <c r="K229" i="14"/>
  <c r="K267" i="14"/>
  <c r="F268" i="14"/>
  <c r="K324" i="14"/>
  <c r="F325" i="14"/>
  <c r="F345" i="14"/>
  <c r="K344" i="14"/>
  <c r="D267" i="14"/>
  <c r="J266" i="14"/>
  <c r="L266" i="14" s="1"/>
  <c r="D325" i="14"/>
  <c r="J324" i="14"/>
  <c r="L324" i="14" s="1"/>
  <c r="D287" i="14"/>
  <c r="J286" i="14"/>
  <c r="L286" i="14" s="1"/>
  <c r="D365" i="14"/>
  <c r="J364" i="14"/>
  <c r="L364" i="14" s="1"/>
  <c r="D346" i="14"/>
  <c r="J345" i="14"/>
  <c r="L345" i="14" s="1"/>
  <c r="F385" i="14"/>
  <c r="K384" i="14"/>
  <c r="F367" i="14"/>
  <c r="K366" i="14"/>
  <c r="D385" i="14"/>
  <c r="J384" i="14"/>
  <c r="L384" i="14" s="1"/>
  <c r="D307" i="14"/>
  <c r="J306" i="14"/>
  <c r="L306" i="14" s="1"/>
  <c r="F446" i="14"/>
  <c r="K445" i="14"/>
  <c r="J426" i="14"/>
  <c r="L426" i="14" s="1"/>
  <c r="D427" i="14"/>
  <c r="J484" i="14"/>
  <c r="L484" i="14" s="1"/>
  <c r="D485" i="14"/>
  <c r="J464" i="14"/>
  <c r="L464" i="14" s="1"/>
  <c r="D465" i="14"/>
  <c r="D447" i="14"/>
  <c r="J446" i="14"/>
  <c r="L446" i="14" s="1"/>
  <c r="K488" i="14"/>
  <c r="F489" i="14"/>
  <c r="F430" i="14"/>
  <c r="K430" i="14" s="1"/>
  <c r="K429" i="14"/>
  <c r="F407" i="14"/>
  <c r="K406" i="14"/>
  <c r="D407" i="14"/>
  <c r="J406" i="14"/>
  <c r="L406" i="14" s="1"/>
  <c r="D585" i="14"/>
  <c r="J584" i="14"/>
  <c r="L584" i="14" s="1"/>
  <c r="D565" i="14"/>
  <c r="J564" i="14"/>
  <c r="L564" i="14" s="1"/>
  <c r="D507" i="14"/>
  <c r="J506" i="14"/>
  <c r="L506" i="14" s="1"/>
  <c r="D527" i="14"/>
  <c r="J526" i="14"/>
  <c r="L526" i="14" s="1"/>
  <c r="K564" i="14"/>
  <c r="F565" i="14"/>
  <c r="F585" i="14"/>
  <c r="K584" i="14"/>
  <c r="F547" i="14"/>
  <c r="K546" i="14"/>
  <c r="D646" i="14"/>
  <c r="J645" i="14"/>
  <c r="L645" i="14" s="1"/>
  <c r="D665" i="14"/>
  <c r="J664" i="14"/>
  <c r="L664" i="14" s="1"/>
  <c r="F648" i="14"/>
  <c r="K647" i="14"/>
  <c r="J627" i="14"/>
  <c r="L627" i="14" s="1"/>
  <c r="D628" i="14"/>
  <c r="F628" i="14"/>
  <c r="K627" i="14"/>
  <c r="D608" i="14"/>
  <c r="J607" i="14"/>
  <c r="L607" i="14" s="1"/>
  <c r="F609" i="14"/>
  <c r="K609" i="14" s="1"/>
  <c r="J547" i="14"/>
  <c r="L547" i="14" s="1"/>
  <c r="D548" i="14"/>
  <c r="D686" i="14"/>
  <c r="J685" i="14"/>
  <c r="L685" i="14" s="1"/>
  <c r="P1043" i="5"/>
  <c r="P1097" i="5"/>
  <c r="P1151" i="5"/>
  <c r="P1205" i="5"/>
  <c r="P1259" i="5"/>
  <c r="M1297" i="5"/>
  <c r="M1296" i="5"/>
  <c r="M1295" i="5"/>
  <c r="M1294" i="5"/>
  <c r="M1293" i="5"/>
  <c r="M1292" i="5"/>
  <c r="M1291" i="5"/>
  <c r="M1290" i="5"/>
  <c r="M1289" i="5"/>
  <c r="M1288" i="5"/>
  <c r="M1287" i="5"/>
  <c r="M1286" i="5"/>
  <c r="M1285" i="5"/>
  <c r="M1284" i="5"/>
  <c r="M1283" i="5"/>
  <c r="M1279" i="5"/>
  <c r="M1278" i="5"/>
  <c r="M1277" i="5"/>
  <c r="M1276" i="5"/>
  <c r="M1275" i="5"/>
  <c r="M1274" i="5"/>
  <c r="M1273" i="5"/>
  <c r="M1272" i="5"/>
  <c r="M1271" i="5"/>
  <c r="M1270" i="5"/>
  <c r="M1269" i="5"/>
  <c r="M1268" i="5"/>
  <c r="M1267" i="5"/>
  <c r="M1266" i="5"/>
  <c r="M1265" i="5"/>
  <c r="M1264" i="5"/>
  <c r="M1263" i="5"/>
  <c r="M1262" i="5"/>
  <c r="M1261" i="5"/>
  <c r="M1260" i="5"/>
  <c r="M1259" i="5"/>
  <c r="M1258" i="5"/>
  <c r="M1257" i="5"/>
  <c r="M1256" i="5"/>
  <c r="M1255" i="5"/>
  <c r="M1254" i="5"/>
  <c r="M1253" i="5"/>
  <c r="M1252" i="5"/>
  <c r="M1251" i="5"/>
  <c r="M1250" i="5"/>
  <c r="M1249" i="5"/>
  <c r="M1248" i="5"/>
  <c r="M1247" i="5"/>
  <c r="M1246" i="5"/>
  <c r="M1245" i="5"/>
  <c r="M1244" i="5"/>
  <c r="M1243" i="5"/>
  <c r="M1242" i="5"/>
  <c r="M1241" i="5"/>
  <c r="M1240" i="5"/>
  <c r="M1239" i="5"/>
  <c r="M1238" i="5"/>
  <c r="M1237" i="5"/>
  <c r="M1236" i="5"/>
  <c r="M1235" i="5"/>
  <c r="M1234" i="5"/>
  <c r="M1233" i="5"/>
  <c r="M1232" i="5"/>
  <c r="M1231" i="5"/>
  <c r="M1230" i="5"/>
  <c r="M1229" i="5"/>
  <c r="M1225" i="5"/>
  <c r="M1224" i="5"/>
  <c r="M1223" i="5"/>
  <c r="M1222" i="5"/>
  <c r="M1221" i="5"/>
  <c r="M1220" i="5"/>
  <c r="M1219" i="5"/>
  <c r="M1218" i="5"/>
  <c r="M1217" i="5"/>
  <c r="M1216" i="5"/>
  <c r="M1215" i="5"/>
  <c r="M1214" i="5"/>
  <c r="M1213" i="5"/>
  <c r="M1212" i="5"/>
  <c r="M1211" i="5"/>
  <c r="M1210" i="5"/>
  <c r="M1209" i="5"/>
  <c r="M1208" i="5"/>
  <c r="M1207" i="5"/>
  <c r="M1206" i="5"/>
  <c r="M1205" i="5"/>
  <c r="M1204" i="5"/>
  <c r="M1203" i="5"/>
  <c r="M1202" i="5"/>
  <c r="M1201" i="5"/>
  <c r="M1200" i="5"/>
  <c r="M1199" i="5"/>
  <c r="M1198" i="5"/>
  <c r="M1197" i="5"/>
  <c r="M1196" i="5"/>
  <c r="M1195" i="5"/>
  <c r="M1194" i="5"/>
  <c r="M1193" i="5"/>
  <c r="M1192" i="5"/>
  <c r="M1191" i="5"/>
  <c r="M1190" i="5"/>
  <c r="M1189" i="5"/>
  <c r="M1188" i="5"/>
  <c r="M1187" i="5"/>
  <c r="M1186" i="5"/>
  <c r="M1185" i="5"/>
  <c r="M1184" i="5"/>
  <c r="M1183" i="5"/>
  <c r="M1182" i="5"/>
  <c r="M1181" i="5"/>
  <c r="M1180" i="5"/>
  <c r="M1179" i="5"/>
  <c r="M1178" i="5"/>
  <c r="M1177" i="5"/>
  <c r="M1176" i="5"/>
  <c r="M1175" i="5"/>
  <c r="M1171" i="5"/>
  <c r="M1170" i="5"/>
  <c r="M1169" i="5"/>
  <c r="M1168" i="5"/>
  <c r="M1167" i="5"/>
  <c r="M1166" i="5"/>
  <c r="M1165" i="5"/>
  <c r="M1164" i="5"/>
  <c r="M1163" i="5"/>
  <c r="M1162" i="5"/>
  <c r="M1161" i="5"/>
  <c r="M1160" i="5"/>
  <c r="M1159" i="5"/>
  <c r="M1158" i="5"/>
  <c r="M1157" i="5"/>
  <c r="M1156" i="5"/>
  <c r="M1155" i="5"/>
  <c r="M1154" i="5"/>
  <c r="M1153" i="5"/>
  <c r="M1152" i="5"/>
  <c r="M1151" i="5"/>
  <c r="M1150" i="5"/>
  <c r="M1149" i="5"/>
  <c r="M1148" i="5"/>
  <c r="M1147" i="5"/>
  <c r="M1146" i="5"/>
  <c r="M1145" i="5"/>
  <c r="M1144" i="5"/>
  <c r="M1143" i="5"/>
  <c r="M1142" i="5"/>
  <c r="M1141" i="5"/>
  <c r="M1140" i="5"/>
  <c r="M1139" i="5"/>
  <c r="M1138" i="5"/>
  <c r="M1137" i="5"/>
  <c r="M1136" i="5"/>
  <c r="M1135" i="5"/>
  <c r="M1134" i="5"/>
  <c r="M1133" i="5"/>
  <c r="M1132" i="5"/>
  <c r="M1131" i="5"/>
  <c r="M1130" i="5"/>
  <c r="M1129" i="5"/>
  <c r="M1128" i="5"/>
  <c r="M1127" i="5"/>
  <c r="M1126" i="5"/>
  <c r="M1125" i="5"/>
  <c r="M1124" i="5"/>
  <c r="M1123" i="5"/>
  <c r="M1122" i="5"/>
  <c r="M1121" i="5"/>
  <c r="M1117" i="5"/>
  <c r="M1116" i="5"/>
  <c r="M1115" i="5"/>
  <c r="M1114" i="5"/>
  <c r="M1113" i="5"/>
  <c r="M1112" i="5"/>
  <c r="M1111" i="5"/>
  <c r="M1110" i="5"/>
  <c r="M1109" i="5"/>
  <c r="M1108" i="5"/>
  <c r="M1107" i="5"/>
  <c r="M1106" i="5"/>
  <c r="M1105" i="5"/>
  <c r="M1104" i="5"/>
  <c r="M1103" i="5"/>
  <c r="M1102" i="5"/>
  <c r="M1101" i="5"/>
  <c r="M1100" i="5"/>
  <c r="M1099" i="5"/>
  <c r="M1098" i="5"/>
  <c r="M1097" i="5"/>
  <c r="M1096" i="5"/>
  <c r="M1095" i="5"/>
  <c r="M1094" i="5"/>
  <c r="M1093" i="5"/>
  <c r="M1092" i="5"/>
  <c r="M1091" i="5"/>
  <c r="M1090" i="5"/>
  <c r="M1089" i="5"/>
  <c r="M1088" i="5"/>
  <c r="M1087" i="5"/>
  <c r="M1086" i="5"/>
  <c r="M1085" i="5"/>
  <c r="M1084" i="5"/>
  <c r="M1083" i="5"/>
  <c r="M1082" i="5"/>
  <c r="M1081" i="5"/>
  <c r="M1080" i="5"/>
  <c r="M1079" i="5"/>
  <c r="M1078" i="5"/>
  <c r="M1077" i="5"/>
  <c r="M1076" i="5"/>
  <c r="M1075" i="5"/>
  <c r="M1074" i="5"/>
  <c r="M1073" i="5"/>
  <c r="M1072" i="5"/>
  <c r="M1071" i="5"/>
  <c r="M1070" i="5"/>
  <c r="M1069" i="5"/>
  <c r="M1068" i="5"/>
  <c r="M1067" i="5"/>
  <c r="M1063" i="5"/>
  <c r="M1062" i="5"/>
  <c r="M1061" i="5"/>
  <c r="M1060" i="5"/>
  <c r="M1059" i="5"/>
  <c r="M1058" i="5"/>
  <c r="M1057" i="5"/>
  <c r="M1056" i="5"/>
  <c r="M1055" i="5"/>
  <c r="M1054" i="5"/>
  <c r="M1053" i="5"/>
  <c r="M1052" i="5"/>
  <c r="M1051" i="5"/>
  <c r="M1050" i="5"/>
  <c r="M1049" i="5"/>
  <c r="M1048" i="5"/>
  <c r="M1047" i="5"/>
  <c r="M1046" i="5"/>
  <c r="M1045" i="5"/>
  <c r="M1044" i="5"/>
  <c r="M1043" i="5"/>
  <c r="M1042" i="5"/>
  <c r="M1041" i="5"/>
  <c r="M1040" i="5"/>
  <c r="M1039" i="5"/>
  <c r="M1038" i="5"/>
  <c r="M1037" i="5"/>
  <c r="M1036" i="5"/>
  <c r="M1035" i="5"/>
  <c r="M1034" i="5"/>
  <c r="M1033" i="5"/>
  <c r="M1032" i="5"/>
  <c r="M1031" i="5"/>
  <c r="M1030" i="5"/>
  <c r="M1029" i="5"/>
  <c r="M1028" i="5"/>
  <c r="M1027" i="5"/>
  <c r="M1026" i="5"/>
  <c r="M1025" i="5"/>
  <c r="M1024" i="5"/>
  <c r="M1023" i="5"/>
  <c r="M1022" i="5"/>
  <c r="M1021" i="5"/>
  <c r="M1020" i="5"/>
  <c r="M1019" i="5"/>
  <c r="M1015" i="5"/>
  <c r="M1014" i="5"/>
  <c r="M1013" i="5"/>
  <c r="M1012" i="5"/>
  <c r="M1011" i="5"/>
  <c r="M1010" i="5"/>
  <c r="M1009" i="5"/>
  <c r="M1008" i="5"/>
  <c r="M1007" i="5"/>
  <c r="M1006" i="5"/>
  <c r="M1005" i="5"/>
  <c r="M1004" i="5"/>
  <c r="M1003" i="5"/>
  <c r="M1002" i="5"/>
  <c r="M1001" i="5"/>
  <c r="M1000" i="5"/>
  <c r="M999" i="5"/>
  <c r="M998" i="5"/>
  <c r="M997" i="5"/>
  <c r="M996" i="5"/>
  <c r="M995" i="5"/>
  <c r="M994" i="5"/>
  <c r="M993" i="5"/>
  <c r="M992" i="5"/>
  <c r="M991" i="5"/>
  <c r="M990" i="5"/>
  <c r="M989" i="5"/>
  <c r="M988" i="5"/>
  <c r="M987" i="5"/>
  <c r="M986" i="5"/>
  <c r="M985" i="5"/>
  <c r="M984" i="5"/>
  <c r="M983" i="5"/>
  <c r="M979" i="5"/>
  <c r="M978" i="5"/>
  <c r="M977" i="5"/>
  <c r="M976" i="5"/>
  <c r="M975" i="5"/>
  <c r="M974" i="5"/>
  <c r="M973" i="5"/>
  <c r="M972" i="5"/>
  <c r="M971" i="5"/>
  <c r="M970" i="5"/>
  <c r="M969" i="5"/>
  <c r="M968" i="5"/>
  <c r="M967" i="5"/>
  <c r="M966" i="5"/>
  <c r="M965" i="5"/>
  <c r="M964" i="5"/>
  <c r="M963" i="5"/>
  <c r="M962" i="5"/>
  <c r="M961" i="5"/>
  <c r="M960" i="5"/>
  <c r="M959" i="5"/>
  <c r="M955" i="5"/>
  <c r="M954" i="5"/>
  <c r="M953" i="5"/>
  <c r="M952" i="5"/>
  <c r="M951" i="5"/>
  <c r="M950" i="5"/>
  <c r="M949" i="5"/>
  <c r="M948" i="5"/>
  <c r="M947" i="5"/>
  <c r="M943" i="5"/>
  <c r="M942" i="5"/>
  <c r="M941" i="5"/>
  <c r="M940" i="5"/>
  <c r="M939" i="5"/>
  <c r="M938" i="5"/>
  <c r="M937" i="5"/>
  <c r="M936" i="5"/>
  <c r="M935" i="5"/>
  <c r="M934" i="5"/>
  <c r="M933" i="5"/>
  <c r="M932" i="5"/>
  <c r="M931" i="5"/>
  <c r="M930" i="5"/>
  <c r="M929" i="5"/>
  <c r="M928" i="5"/>
  <c r="M927" i="5"/>
  <c r="M926" i="5"/>
  <c r="M925" i="5"/>
  <c r="M924" i="5"/>
  <c r="M923" i="5"/>
  <c r="M922" i="5"/>
  <c r="M921" i="5"/>
  <c r="M920" i="5"/>
  <c r="M919" i="5"/>
  <c r="M918" i="5"/>
  <c r="M917" i="5"/>
  <c r="M916" i="5"/>
  <c r="M915" i="5"/>
  <c r="M914" i="5"/>
  <c r="M910" i="5"/>
  <c r="M909" i="5"/>
  <c r="M908" i="5"/>
  <c r="M907" i="5"/>
  <c r="M906" i="5"/>
  <c r="M905" i="5"/>
  <c r="M904" i="5"/>
  <c r="M903" i="5"/>
  <c r="M902" i="5"/>
  <c r="M898" i="5"/>
  <c r="M897" i="5"/>
  <c r="M896" i="5"/>
  <c r="M895" i="5"/>
  <c r="M894" i="5"/>
  <c r="M893" i="5"/>
  <c r="M892" i="5"/>
  <c r="M891" i="5"/>
  <c r="M890" i="5"/>
  <c r="M889" i="5"/>
  <c r="M888" i="5"/>
  <c r="M887" i="5"/>
  <c r="M886" i="5"/>
  <c r="M885" i="5"/>
  <c r="M884" i="5"/>
  <c r="M883" i="5"/>
  <c r="M882" i="5"/>
  <c r="M881" i="5"/>
  <c r="M880" i="5"/>
  <c r="M879" i="5"/>
  <c r="M878" i="5"/>
  <c r="M877" i="5"/>
  <c r="M876" i="5"/>
  <c r="M875" i="5"/>
  <c r="M874" i="5"/>
  <c r="M873" i="5"/>
  <c r="M872" i="5"/>
  <c r="M871" i="5"/>
  <c r="M870" i="5"/>
  <c r="M869" i="5"/>
  <c r="M865" i="5"/>
  <c r="M864" i="5"/>
  <c r="M863" i="5"/>
  <c r="M862" i="5"/>
  <c r="M861" i="5"/>
  <c r="M860" i="5"/>
  <c r="M859" i="5"/>
  <c r="M858" i="5"/>
  <c r="M857" i="5"/>
  <c r="M853" i="5"/>
  <c r="M852" i="5"/>
  <c r="M851" i="5"/>
  <c r="M850" i="5"/>
  <c r="M849" i="5"/>
  <c r="M848" i="5"/>
  <c r="M847" i="5"/>
  <c r="M846" i="5"/>
  <c r="M845" i="5"/>
  <c r="M844" i="5"/>
  <c r="M843" i="5"/>
  <c r="M842" i="5"/>
  <c r="M841" i="5"/>
  <c r="M840" i="5"/>
  <c r="M839" i="5"/>
  <c r="M838" i="5"/>
  <c r="M837" i="5"/>
  <c r="M836" i="5"/>
  <c r="M835" i="5"/>
  <c r="M834" i="5"/>
  <c r="M833" i="5"/>
  <c r="M832" i="5"/>
  <c r="M831" i="5"/>
  <c r="M830" i="5"/>
  <c r="M829" i="5"/>
  <c r="M828" i="5"/>
  <c r="M827" i="5"/>
  <c r="M826" i="5"/>
  <c r="M825" i="5"/>
  <c r="M824" i="5"/>
  <c r="M820" i="5"/>
  <c r="M819" i="5"/>
  <c r="M818" i="5"/>
  <c r="M817" i="5"/>
  <c r="M816" i="5"/>
  <c r="M815" i="5"/>
  <c r="M814" i="5"/>
  <c r="M813" i="5"/>
  <c r="M812" i="5"/>
  <c r="M808" i="5"/>
  <c r="M807" i="5"/>
  <c r="M806" i="5"/>
  <c r="M805" i="5"/>
  <c r="M804" i="5"/>
  <c r="M803" i="5"/>
  <c r="M802" i="5"/>
  <c r="M801" i="5"/>
  <c r="M800" i="5"/>
  <c r="M799" i="5"/>
  <c r="M798" i="5"/>
  <c r="M797" i="5"/>
  <c r="M796" i="5"/>
  <c r="M795" i="5"/>
  <c r="M794" i="5"/>
  <c r="M793" i="5"/>
  <c r="M792" i="5"/>
  <c r="M791" i="5"/>
  <c r="M790" i="5"/>
  <c r="M789" i="5"/>
  <c r="M788" i="5"/>
  <c r="M787" i="5"/>
  <c r="M786" i="5"/>
  <c r="M785" i="5"/>
  <c r="M784" i="5"/>
  <c r="M783" i="5"/>
  <c r="M782" i="5"/>
  <c r="M781" i="5"/>
  <c r="M780" i="5"/>
  <c r="M779" i="5"/>
  <c r="M778" i="5"/>
  <c r="M777" i="5"/>
  <c r="M776" i="5"/>
  <c r="M772" i="5"/>
  <c r="M771" i="5"/>
  <c r="M770" i="5"/>
  <c r="M769" i="5"/>
  <c r="M768" i="5"/>
  <c r="M767" i="5"/>
  <c r="M766" i="5"/>
  <c r="M765" i="5"/>
  <c r="M764" i="5"/>
  <c r="M760" i="5"/>
  <c r="M759" i="5"/>
  <c r="M758" i="5"/>
  <c r="M757" i="5"/>
  <c r="M756" i="5"/>
  <c r="M755" i="5"/>
  <c r="M754" i="5"/>
  <c r="M753" i="5"/>
  <c r="M752" i="5"/>
  <c r="M751" i="5"/>
  <c r="M750" i="5"/>
  <c r="M749" i="5"/>
  <c r="M748" i="5"/>
  <c r="M747" i="5"/>
  <c r="M746" i="5"/>
  <c r="M745" i="5"/>
  <c r="M744" i="5"/>
  <c r="M743" i="5"/>
  <c r="M742" i="5"/>
  <c r="M741" i="5"/>
  <c r="M740" i="5"/>
  <c r="M739" i="5"/>
  <c r="M738" i="5"/>
  <c r="M737" i="5"/>
  <c r="M736" i="5"/>
  <c r="M735" i="5"/>
  <c r="M734" i="5"/>
  <c r="M733" i="5"/>
  <c r="M732" i="5"/>
  <c r="M731" i="5"/>
  <c r="M730" i="5"/>
  <c r="M729" i="5"/>
  <c r="M728" i="5"/>
  <c r="M727" i="5"/>
  <c r="M726" i="5"/>
  <c r="M725" i="5"/>
  <c r="M724" i="5"/>
  <c r="M723" i="5"/>
  <c r="M722" i="5"/>
  <c r="M721" i="5"/>
  <c r="M720" i="5"/>
  <c r="M719" i="5"/>
  <c r="M718" i="5"/>
  <c r="M717" i="5"/>
  <c r="M716" i="5"/>
  <c r="M715" i="5"/>
  <c r="M714" i="5"/>
  <c r="M713" i="5"/>
  <c r="M712" i="5"/>
  <c r="M711" i="5"/>
  <c r="M710" i="5"/>
  <c r="M709" i="5"/>
  <c r="M708" i="5"/>
  <c r="M707" i="5"/>
  <c r="M706" i="5"/>
  <c r="M705" i="5"/>
  <c r="M704" i="5"/>
  <c r="M703" i="5"/>
  <c r="M702" i="5"/>
  <c r="M701" i="5"/>
  <c r="M700" i="5"/>
  <c r="M699" i="5"/>
  <c r="M698" i="5"/>
  <c r="M697" i="5"/>
  <c r="M696" i="5"/>
  <c r="M695" i="5"/>
  <c r="M694" i="5"/>
  <c r="M693" i="5"/>
  <c r="M692" i="5"/>
  <c r="M691" i="5"/>
  <c r="M690" i="5"/>
  <c r="M689" i="5"/>
  <c r="M688" i="5"/>
  <c r="M687" i="5"/>
  <c r="M686" i="5"/>
  <c r="M685" i="5"/>
  <c r="M684" i="5"/>
  <c r="M683" i="5"/>
  <c r="M682" i="5"/>
  <c r="M681" i="5"/>
  <c r="M680" i="5"/>
  <c r="M679" i="5"/>
  <c r="M678" i="5"/>
  <c r="M677" i="5"/>
  <c r="M676" i="5"/>
  <c r="M675" i="5"/>
  <c r="M674" i="5"/>
  <c r="M673" i="5"/>
  <c r="M672" i="5"/>
  <c r="M671" i="5"/>
  <c r="M670" i="5"/>
  <c r="M669" i="5"/>
  <c r="M668" i="5"/>
  <c r="M667" i="5"/>
  <c r="M666" i="5"/>
  <c r="M665" i="5"/>
  <c r="M664" i="5"/>
  <c r="M663" i="5"/>
  <c r="M662" i="5"/>
  <c r="M661" i="5"/>
  <c r="M660" i="5"/>
  <c r="M659" i="5"/>
  <c r="M658" i="5"/>
  <c r="M657" i="5"/>
  <c r="M656" i="5"/>
  <c r="M655" i="5"/>
  <c r="M654" i="5"/>
  <c r="M653" i="5"/>
  <c r="M652" i="5"/>
  <c r="M651" i="5"/>
  <c r="M650" i="5"/>
  <c r="M649" i="5"/>
  <c r="M648" i="5"/>
  <c r="M647" i="5"/>
  <c r="M646" i="5"/>
  <c r="M645" i="5"/>
  <c r="M644" i="5"/>
  <c r="M643" i="5"/>
  <c r="M642" i="5"/>
  <c r="M641" i="5"/>
  <c r="M640" i="5"/>
  <c r="M639" i="5"/>
  <c r="M638" i="5"/>
  <c r="M637" i="5"/>
  <c r="M636" i="5"/>
  <c r="M635" i="5"/>
  <c r="M634" i="5"/>
  <c r="M633" i="5"/>
  <c r="M632" i="5"/>
  <c r="M631" i="5"/>
  <c r="M630" i="5"/>
  <c r="M629" i="5"/>
  <c r="M628" i="5"/>
  <c r="M627" i="5"/>
  <c r="M626" i="5"/>
  <c r="M625" i="5"/>
  <c r="M624" i="5"/>
  <c r="M623" i="5"/>
  <c r="M622" i="5"/>
  <c r="M621" i="5"/>
  <c r="M620" i="5"/>
  <c r="M619" i="5"/>
  <c r="M618" i="5"/>
  <c r="M617" i="5"/>
  <c r="M616" i="5"/>
  <c r="M615" i="5"/>
  <c r="M614" i="5"/>
  <c r="M610" i="5"/>
  <c r="M609" i="5"/>
  <c r="M608" i="5"/>
  <c r="M607" i="5"/>
  <c r="M606" i="5"/>
  <c r="M605" i="5"/>
  <c r="M604" i="5"/>
  <c r="M603" i="5"/>
  <c r="M602" i="5"/>
  <c r="M601" i="5"/>
  <c r="M600" i="5"/>
  <c r="M599" i="5"/>
  <c r="M598" i="5"/>
  <c r="M597" i="5"/>
  <c r="M596" i="5"/>
  <c r="M595" i="5"/>
  <c r="M594" i="5"/>
  <c r="M593" i="5"/>
  <c r="M592" i="5"/>
  <c r="M591" i="5"/>
  <c r="M590" i="5"/>
  <c r="M589" i="5"/>
  <c r="M588" i="5"/>
  <c r="M587" i="5"/>
  <c r="M586" i="5"/>
  <c r="M585" i="5"/>
  <c r="M584" i="5"/>
  <c r="M583" i="5"/>
  <c r="M582" i="5"/>
  <c r="M581" i="5"/>
  <c r="M580" i="5"/>
  <c r="M579" i="5"/>
  <c r="M578" i="5"/>
  <c r="M574" i="5"/>
  <c r="M573" i="5"/>
  <c r="M572" i="5"/>
  <c r="M571" i="5"/>
  <c r="M570" i="5"/>
  <c r="M569" i="5"/>
  <c r="M568" i="5"/>
  <c r="M567" i="5"/>
  <c r="M566" i="5"/>
  <c r="M565" i="5"/>
  <c r="M564" i="5"/>
  <c r="M563" i="5"/>
  <c r="M562" i="5"/>
  <c r="M561" i="5"/>
  <c r="M560" i="5"/>
  <c r="M559" i="5"/>
  <c r="M558" i="5"/>
  <c r="M557" i="5"/>
  <c r="M556" i="5"/>
  <c r="M555" i="5"/>
  <c r="M554" i="5"/>
  <c r="M553" i="5"/>
  <c r="M552" i="5"/>
  <c r="M551" i="5"/>
  <c r="M550" i="5"/>
  <c r="M549" i="5"/>
  <c r="M548" i="5"/>
  <c r="M547" i="5"/>
  <c r="M546" i="5"/>
  <c r="M545" i="5"/>
  <c r="M544" i="5"/>
  <c r="M543" i="5"/>
  <c r="M542" i="5"/>
  <c r="M538" i="5"/>
  <c r="M537" i="5"/>
  <c r="M536" i="5"/>
  <c r="M535" i="5"/>
  <c r="M534" i="5"/>
  <c r="M533" i="5"/>
  <c r="M532" i="5"/>
  <c r="M531" i="5"/>
  <c r="M530" i="5"/>
  <c r="M529" i="5"/>
  <c r="M528" i="5"/>
  <c r="M527" i="5"/>
  <c r="M526" i="5"/>
  <c r="M525" i="5"/>
  <c r="M524" i="5"/>
  <c r="M523" i="5"/>
  <c r="M522" i="5"/>
  <c r="M521" i="5"/>
  <c r="M412" i="5"/>
  <c r="M411" i="5"/>
  <c r="M410" i="5"/>
  <c r="M409" i="5"/>
  <c r="M408" i="5"/>
  <c r="M407" i="5"/>
  <c r="M406" i="5"/>
  <c r="M405" i="5"/>
  <c r="M404" i="5"/>
  <c r="M403" i="5"/>
  <c r="M402" i="5"/>
  <c r="M401" i="5"/>
  <c r="M400" i="5"/>
  <c r="M399" i="5"/>
  <c r="M398" i="5"/>
  <c r="M394" i="5"/>
  <c r="M393" i="5"/>
  <c r="M392" i="5"/>
  <c r="M391" i="5"/>
  <c r="M390" i="5"/>
  <c r="M389" i="5"/>
  <c r="M388" i="5"/>
  <c r="M387" i="5"/>
  <c r="M386" i="5"/>
  <c r="M385" i="5"/>
  <c r="M384" i="5"/>
  <c r="M383" i="5"/>
  <c r="M382" i="5"/>
  <c r="M381" i="5"/>
  <c r="M380" i="5"/>
  <c r="M379" i="5"/>
  <c r="M378" i="5"/>
  <c r="M377" i="5"/>
  <c r="M376" i="5"/>
  <c r="M375" i="5"/>
  <c r="M374" i="5"/>
  <c r="M373" i="5"/>
  <c r="M372" i="5"/>
  <c r="M371" i="5"/>
  <c r="M370" i="5"/>
  <c r="M369" i="5"/>
  <c r="M368" i="5"/>
  <c r="M364" i="5"/>
  <c r="M363" i="5"/>
  <c r="M362" i="5"/>
  <c r="M361" i="5"/>
  <c r="M360" i="5"/>
  <c r="M359" i="5"/>
  <c r="M358" i="5"/>
  <c r="M357" i="5"/>
  <c r="M356" i="5"/>
  <c r="M355" i="5"/>
  <c r="M354" i="5"/>
  <c r="M353" i="5"/>
  <c r="M352" i="5"/>
  <c r="M351" i="5"/>
  <c r="M350" i="5"/>
  <c r="M349" i="5"/>
  <c r="M348" i="5"/>
  <c r="M347" i="5"/>
  <c r="M346" i="5"/>
  <c r="M345" i="5"/>
  <c r="M344" i="5"/>
  <c r="M343" i="5"/>
  <c r="M342" i="5"/>
  <c r="M341" i="5"/>
  <c r="M340" i="5"/>
  <c r="M339" i="5"/>
  <c r="M338" i="5"/>
  <c r="M334" i="5"/>
  <c r="M333" i="5"/>
  <c r="M332" i="5"/>
  <c r="M331" i="5"/>
  <c r="M330" i="5"/>
  <c r="M329" i="5"/>
  <c r="M328" i="5"/>
  <c r="M327" i="5"/>
  <c r="M326" i="5"/>
  <c r="M325" i="5"/>
  <c r="M324" i="5"/>
  <c r="M323" i="5"/>
  <c r="M322" i="5"/>
  <c r="M321" i="5"/>
  <c r="M320" i="5"/>
  <c r="M319" i="5"/>
  <c r="M318" i="5"/>
  <c r="M317" i="5"/>
  <c r="M316" i="5"/>
  <c r="M315" i="5"/>
  <c r="M314" i="5"/>
  <c r="M313" i="5"/>
  <c r="M312" i="5"/>
  <c r="M311" i="5"/>
  <c r="M310" i="5"/>
  <c r="M309" i="5"/>
  <c r="M308" i="5"/>
  <c r="M304" i="5"/>
  <c r="M303" i="5"/>
  <c r="M302" i="5"/>
  <c r="M301" i="5"/>
  <c r="M300" i="5"/>
  <c r="M299" i="5"/>
  <c r="M298" i="5"/>
  <c r="M297" i="5"/>
  <c r="M296" i="5"/>
  <c r="M295" i="5"/>
  <c r="M294" i="5"/>
  <c r="M293" i="5"/>
  <c r="M292" i="5"/>
  <c r="M291" i="5"/>
  <c r="M290" i="5"/>
  <c r="M289" i="5"/>
  <c r="M288" i="5"/>
  <c r="M287" i="5"/>
  <c r="M286" i="5"/>
  <c r="M285" i="5"/>
  <c r="M284" i="5"/>
  <c r="M283" i="5"/>
  <c r="M282" i="5"/>
  <c r="M281" i="5"/>
  <c r="M280" i="5"/>
  <c r="M279" i="5"/>
  <c r="M278" i="5"/>
  <c r="M274" i="5"/>
  <c r="M273" i="5"/>
  <c r="M272" i="5"/>
  <c r="M271" i="5"/>
  <c r="M270" i="5"/>
  <c r="M269" i="5"/>
  <c r="M268" i="5"/>
  <c r="M267" i="5"/>
  <c r="M266" i="5"/>
  <c r="M265" i="5"/>
  <c r="M264" i="5"/>
  <c r="M263" i="5"/>
  <c r="M262" i="5"/>
  <c r="M261" i="5"/>
  <c r="M260" i="5"/>
  <c r="M259" i="5"/>
  <c r="M258" i="5"/>
  <c r="M257" i="5"/>
  <c r="M256" i="5"/>
  <c r="M255" i="5"/>
  <c r="M254" i="5"/>
  <c r="M253" i="5"/>
  <c r="M252" i="5"/>
  <c r="M251" i="5"/>
  <c r="M250" i="5"/>
  <c r="M249" i="5"/>
  <c r="M248" i="5"/>
  <c r="M244" i="5"/>
  <c r="M243" i="5"/>
  <c r="M242" i="5"/>
  <c r="M241" i="5"/>
  <c r="M240" i="5"/>
  <c r="M239" i="5"/>
  <c r="M238" i="5"/>
  <c r="M237" i="5"/>
  <c r="M236" i="5"/>
  <c r="M235" i="5"/>
  <c r="M234" i="5"/>
  <c r="M233" i="5"/>
  <c r="M232" i="5"/>
  <c r="M231" i="5"/>
  <c r="M230" i="5"/>
  <c r="M229" i="5"/>
  <c r="M228" i="5"/>
  <c r="M227" i="5"/>
  <c r="M226" i="5"/>
  <c r="M225" i="5"/>
  <c r="M224" i="5"/>
  <c r="M223" i="5"/>
  <c r="M222" i="5"/>
  <c r="M221" i="5"/>
  <c r="M220" i="5"/>
  <c r="M219" i="5"/>
  <c r="M218" i="5"/>
  <c r="M217" i="5"/>
  <c r="M216" i="5"/>
  <c r="M215" i="5"/>
  <c r="M211" i="5"/>
  <c r="M210" i="5"/>
  <c r="M209" i="5"/>
  <c r="M208" i="5"/>
  <c r="M207" i="5"/>
  <c r="M206" i="5"/>
  <c r="M205" i="5"/>
  <c r="M204" i="5"/>
  <c r="M203" i="5"/>
  <c r="M202" i="5"/>
  <c r="M201" i="5"/>
  <c r="M200" i="5"/>
  <c r="M196" i="5"/>
  <c r="M195" i="5"/>
  <c r="M194" i="5"/>
  <c r="M193" i="5"/>
  <c r="M192" i="5"/>
  <c r="M191" i="5"/>
  <c r="M190" i="5"/>
  <c r="M189" i="5"/>
  <c r="M188" i="5"/>
  <c r="M187" i="5"/>
  <c r="M186" i="5"/>
  <c r="M185" i="5"/>
  <c r="M184" i="5"/>
  <c r="M183" i="5"/>
  <c r="M182" i="5"/>
  <c r="M181" i="5"/>
  <c r="M180" i="5"/>
  <c r="M179" i="5"/>
  <c r="M178" i="5"/>
  <c r="M177" i="5"/>
  <c r="M176" i="5"/>
  <c r="M175" i="5"/>
  <c r="M174" i="5"/>
  <c r="M173" i="5"/>
  <c r="M169" i="5"/>
  <c r="M168" i="5"/>
  <c r="M167" i="5"/>
  <c r="M166" i="5"/>
  <c r="M165" i="5"/>
  <c r="M164" i="5"/>
  <c r="M163" i="5"/>
  <c r="M162" i="5"/>
  <c r="M161" i="5"/>
  <c r="M160" i="5"/>
  <c r="M159" i="5"/>
  <c r="M158" i="5"/>
  <c r="M154" i="5"/>
  <c r="M153" i="5"/>
  <c r="M152" i="5"/>
  <c r="M151" i="5"/>
  <c r="M150" i="5"/>
  <c r="M149" i="5"/>
  <c r="M148" i="5"/>
  <c r="M147" i="5"/>
  <c r="M146" i="5"/>
  <c r="M145" i="5"/>
  <c r="M144" i="5"/>
  <c r="M143" i="5"/>
  <c r="M142" i="5"/>
  <c r="M141" i="5"/>
  <c r="M140" i="5"/>
  <c r="M139" i="5"/>
  <c r="M138" i="5"/>
  <c r="M137" i="5"/>
  <c r="M136" i="5"/>
  <c r="M135" i="5"/>
  <c r="M134" i="5"/>
  <c r="M133" i="5"/>
  <c r="M132" i="5"/>
  <c r="M131" i="5"/>
  <c r="M127" i="5"/>
  <c r="M126" i="5"/>
  <c r="M125" i="5"/>
  <c r="M124" i="5"/>
  <c r="M123" i="5"/>
  <c r="M122" i="5"/>
  <c r="M121" i="5"/>
  <c r="M120" i="5"/>
  <c r="M119" i="5"/>
  <c r="M118" i="5"/>
  <c r="M117" i="5"/>
  <c r="M116" i="5"/>
  <c r="M112" i="5"/>
  <c r="M111" i="5"/>
  <c r="M110" i="5"/>
  <c r="M109" i="5"/>
  <c r="M108" i="5"/>
  <c r="M107" i="5"/>
  <c r="M106" i="5"/>
  <c r="M105" i="5"/>
  <c r="M104" i="5"/>
  <c r="M103" i="5"/>
  <c r="M102" i="5"/>
  <c r="M101" i="5"/>
  <c r="M100" i="5"/>
  <c r="M99" i="5"/>
  <c r="M98" i="5"/>
  <c r="M97" i="5"/>
  <c r="M96" i="5"/>
  <c r="M95" i="5"/>
  <c r="M94" i="5"/>
  <c r="M93" i="5"/>
  <c r="M92" i="5"/>
  <c r="M91" i="5"/>
  <c r="M90" i="5"/>
  <c r="M89" i="5"/>
  <c r="M85" i="5"/>
  <c r="M84" i="5"/>
  <c r="M83" i="5"/>
  <c r="M82" i="5"/>
  <c r="M81" i="5"/>
  <c r="M80" i="5"/>
  <c r="M79" i="5"/>
  <c r="M78" i="5"/>
  <c r="M77" i="5"/>
  <c r="M76" i="5"/>
  <c r="M75" i="5"/>
  <c r="M74" i="5"/>
  <c r="M70" i="5"/>
  <c r="M69" i="5"/>
  <c r="M68" i="5"/>
  <c r="M67" i="5"/>
  <c r="M66" i="5"/>
  <c r="M65" i="5"/>
  <c r="M64" i="5"/>
  <c r="M63" i="5"/>
  <c r="M62" i="5"/>
  <c r="M61" i="5"/>
  <c r="M60" i="5"/>
  <c r="M59" i="5"/>
  <c r="M58" i="5"/>
  <c r="M57" i="5"/>
  <c r="M56" i="5"/>
  <c r="M55" i="5"/>
  <c r="M54" i="5"/>
  <c r="M53" i="5"/>
  <c r="M52" i="5"/>
  <c r="M51" i="5"/>
  <c r="M50" i="5"/>
  <c r="M49" i="5"/>
  <c r="M48" i="5"/>
  <c r="M47" i="5"/>
  <c r="M43" i="5"/>
  <c r="M42" i="5"/>
  <c r="M41" i="5"/>
  <c r="M40" i="5"/>
  <c r="M39" i="5"/>
  <c r="M38" i="5"/>
  <c r="M37" i="5"/>
  <c r="M36" i="5"/>
  <c r="M35" i="5"/>
  <c r="M34" i="5"/>
  <c r="M33" i="5"/>
  <c r="M32" i="5"/>
  <c r="M28" i="5"/>
  <c r="M27" i="5"/>
  <c r="M26" i="5"/>
  <c r="M25" i="5"/>
  <c r="M24" i="5"/>
  <c r="M23" i="5"/>
  <c r="M22" i="5"/>
  <c r="M21" i="5"/>
  <c r="M20" i="5"/>
  <c r="M19" i="5"/>
  <c r="M18" i="5"/>
  <c r="M17" i="5"/>
  <c r="J26" i="9"/>
  <c r="J30" i="9"/>
  <c r="D148" i="14" l="1"/>
  <c r="J147" i="14"/>
  <c r="L147" i="14" s="1"/>
  <c r="D128" i="14"/>
  <c r="J127" i="14"/>
  <c r="L127" i="14" s="1"/>
  <c r="F129" i="14"/>
  <c r="K128" i="14"/>
  <c r="J185" i="14"/>
  <c r="L185" i="14" s="1"/>
  <c r="D186" i="14"/>
  <c r="D207" i="14"/>
  <c r="J206" i="14"/>
  <c r="L206" i="14" s="1"/>
  <c r="D168" i="14"/>
  <c r="J167" i="14"/>
  <c r="L167" i="14" s="1"/>
  <c r="D246" i="14"/>
  <c r="J245" i="14"/>
  <c r="L245" i="14" s="1"/>
  <c r="F188" i="14"/>
  <c r="K187" i="14"/>
  <c r="F248" i="14"/>
  <c r="K247" i="14"/>
  <c r="D226" i="14"/>
  <c r="J225" i="14"/>
  <c r="L225" i="14" s="1"/>
  <c r="F326" i="14"/>
  <c r="K325" i="14"/>
  <c r="D288" i="14"/>
  <c r="J287" i="14"/>
  <c r="L287" i="14" s="1"/>
  <c r="D268" i="14"/>
  <c r="J267" i="14"/>
  <c r="L267" i="14" s="1"/>
  <c r="F269" i="14"/>
  <c r="K268" i="14"/>
  <c r="D326" i="14"/>
  <c r="J325" i="14"/>
  <c r="L325" i="14" s="1"/>
  <c r="F346" i="14"/>
  <c r="K345" i="14"/>
  <c r="D386" i="14"/>
  <c r="J385" i="14"/>
  <c r="L385" i="14" s="1"/>
  <c r="F368" i="14"/>
  <c r="K367" i="14"/>
  <c r="J346" i="14"/>
  <c r="L346" i="14" s="1"/>
  <c r="D347" i="14"/>
  <c r="D308" i="14"/>
  <c r="J307" i="14"/>
  <c r="L307" i="14" s="1"/>
  <c r="F386" i="14"/>
  <c r="K385" i="14"/>
  <c r="D366" i="14"/>
  <c r="J365" i="14"/>
  <c r="L365" i="14" s="1"/>
  <c r="D428" i="14"/>
  <c r="J427" i="14"/>
  <c r="L427" i="14" s="1"/>
  <c r="F408" i="14"/>
  <c r="K407" i="14"/>
  <c r="J465" i="14"/>
  <c r="L465" i="14" s="1"/>
  <c r="D466" i="14"/>
  <c r="D486" i="14"/>
  <c r="J485" i="14"/>
  <c r="L485" i="14" s="1"/>
  <c r="F490" i="14"/>
  <c r="K490" i="14" s="1"/>
  <c r="K489" i="14"/>
  <c r="D408" i="14"/>
  <c r="J407" i="14"/>
  <c r="L407" i="14" s="1"/>
  <c r="D448" i="14"/>
  <c r="J447" i="14"/>
  <c r="L447" i="14" s="1"/>
  <c r="F447" i="14"/>
  <c r="K446" i="14"/>
  <c r="F586" i="14"/>
  <c r="K585" i="14"/>
  <c r="D528" i="14"/>
  <c r="J527" i="14"/>
  <c r="L527" i="14" s="1"/>
  <c r="F566" i="14"/>
  <c r="K565" i="14"/>
  <c r="J565" i="14"/>
  <c r="L565" i="14" s="1"/>
  <c r="D566" i="14"/>
  <c r="D549" i="14"/>
  <c r="J548" i="14"/>
  <c r="L548" i="14" s="1"/>
  <c r="F548" i="14"/>
  <c r="K547" i="14"/>
  <c r="D508" i="14"/>
  <c r="J507" i="14"/>
  <c r="L507" i="14" s="1"/>
  <c r="D586" i="14"/>
  <c r="J585" i="14"/>
  <c r="L585" i="14" s="1"/>
  <c r="D609" i="14"/>
  <c r="J608" i="14"/>
  <c r="L608" i="14" s="1"/>
  <c r="D666" i="14"/>
  <c r="J665" i="14"/>
  <c r="L665" i="14" s="1"/>
  <c r="F649" i="14"/>
  <c r="K648" i="14"/>
  <c r="D647" i="14"/>
  <c r="J646" i="14"/>
  <c r="L646" i="14" s="1"/>
  <c r="F629" i="14"/>
  <c r="K628" i="14"/>
  <c r="D629" i="14"/>
  <c r="J628" i="14"/>
  <c r="L628" i="14" s="1"/>
  <c r="D687" i="14"/>
  <c r="J686" i="14"/>
  <c r="L686" i="14" s="1"/>
  <c r="F610" i="14"/>
  <c r="P236" i="5"/>
  <c r="P266" i="5"/>
  <c r="P296" i="5"/>
  <c r="P326" i="5"/>
  <c r="P356" i="5"/>
  <c r="P386" i="5"/>
  <c r="P566" i="5"/>
  <c r="P1001" i="5"/>
  <c r="P1091" i="5"/>
  <c r="P1145" i="5"/>
  <c r="P1253" i="5"/>
  <c r="P1199" i="5"/>
  <c r="P530" i="5"/>
  <c r="P602" i="5"/>
  <c r="P728" i="5"/>
  <c r="P1037" i="5"/>
  <c r="P803" i="5"/>
  <c r="P893" i="5"/>
  <c r="P755" i="5"/>
  <c r="P848" i="5"/>
  <c r="P938" i="5"/>
  <c r="H438" i="1"/>
  <c r="H434" i="1"/>
  <c r="H433" i="1"/>
  <c r="H430" i="1"/>
  <c r="H427" i="1"/>
  <c r="H426" i="1"/>
  <c r="H423" i="1"/>
  <c r="H420" i="1"/>
  <c r="H416" i="1"/>
  <c r="H415" i="1"/>
  <c r="H412" i="1"/>
  <c r="H409" i="1"/>
  <c r="H408" i="1"/>
  <c r="H405" i="1"/>
  <c r="H402" i="1"/>
  <c r="H398" i="1"/>
  <c r="H397" i="1"/>
  <c r="H394" i="1"/>
  <c r="H391" i="1"/>
  <c r="H390" i="1"/>
  <c r="H387" i="1"/>
  <c r="H384" i="1"/>
  <c r="H380" i="1"/>
  <c r="H379" i="1"/>
  <c r="H376" i="1"/>
  <c r="H373" i="1"/>
  <c r="H372" i="1"/>
  <c r="H369" i="1"/>
  <c r="H354" i="1"/>
  <c r="H355" i="1"/>
  <c r="H358" i="1"/>
  <c r="H361" i="1"/>
  <c r="H362" i="1"/>
  <c r="H366" i="1"/>
  <c r="H351" i="1"/>
  <c r="H341" i="1"/>
  <c r="H342" i="1"/>
  <c r="H348" i="1"/>
  <c r="H338" i="1"/>
  <c r="H335" i="1"/>
  <c r="H333" i="1"/>
  <c r="H330" i="1"/>
  <c r="H329" i="1"/>
  <c r="H325" i="1"/>
  <c r="H321" i="1"/>
  <c r="H318" i="1"/>
  <c r="H315" i="1"/>
  <c r="H314" i="1"/>
  <c r="H310" i="1"/>
  <c r="H306" i="1"/>
  <c r="H303" i="1"/>
  <c r="H300" i="1"/>
  <c r="H299" i="1"/>
  <c r="H295" i="1"/>
  <c r="H291" i="1"/>
  <c r="H288" i="1"/>
  <c r="H285" i="1"/>
  <c r="H284" i="1"/>
  <c r="H280" i="1"/>
  <c r="H276" i="1"/>
  <c r="H273" i="1"/>
  <c r="H270" i="1"/>
  <c r="H261" i="1"/>
  <c r="H265" i="1"/>
  <c r="H269" i="1"/>
  <c r="H258" i="1"/>
  <c r="H255" i="1"/>
  <c r="H253" i="1"/>
  <c r="H252" i="1"/>
  <c r="H251" i="1"/>
  <c r="H248" i="1"/>
  <c r="H245" i="1"/>
  <c r="H243" i="1"/>
  <c r="H242" i="1"/>
  <c r="H239" i="1"/>
  <c r="H237" i="1"/>
  <c r="H236" i="1"/>
  <c r="H233" i="1"/>
  <c r="H231" i="1"/>
  <c r="H230" i="1"/>
  <c r="H227" i="1"/>
  <c r="H225" i="1"/>
  <c r="H224" i="1"/>
  <c r="H221" i="1"/>
  <c r="H219" i="1"/>
  <c r="H218" i="1"/>
  <c r="H215" i="1"/>
  <c r="H211" i="1"/>
  <c r="H210" i="1"/>
  <c r="H209" i="1"/>
  <c r="H206" i="1"/>
  <c r="H203" i="1"/>
  <c r="H199" i="1"/>
  <c r="H198" i="1"/>
  <c r="H197" i="1"/>
  <c r="H194" i="1"/>
  <c r="H191" i="1"/>
  <c r="H187" i="1"/>
  <c r="H186" i="1"/>
  <c r="H185" i="1"/>
  <c r="H182" i="1"/>
  <c r="H134" i="1"/>
  <c r="H137" i="1"/>
  <c r="H138" i="1"/>
  <c r="H139" i="1"/>
  <c r="H143" i="1"/>
  <c r="H131" i="1"/>
  <c r="H129" i="1"/>
  <c r="H128" i="1"/>
  <c r="H127" i="1"/>
  <c r="H124" i="1"/>
  <c r="H121" i="1"/>
  <c r="H119" i="1"/>
  <c r="H118" i="1"/>
  <c r="H117" i="1"/>
  <c r="H114" i="1"/>
  <c r="H111" i="1"/>
  <c r="H109" i="1"/>
  <c r="H108" i="1"/>
  <c r="H107" i="1"/>
  <c r="H104" i="1"/>
  <c r="H101" i="1"/>
  <c r="H99" i="1"/>
  <c r="H98" i="1"/>
  <c r="H97" i="1"/>
  <c r="H94" i="1"/>
  <c r="H91" i="1"/>
  <c r="H89" i="1"/>
  <c r="H88" i="1"/>
  <c r="H87" i="1"/>
  <c r="H84" i="1"/>
  <c r="H81" i="1"/>
  <c r="H78" i="1"/>
  <c r="H73" i="1"/>
  <c r="H70" i="1"/>
  <c r="H67" i="1"/>
  <c r="H64" i="1"/>
  <c r="H59" i="1"/>
  <c r="H56" i="1"/>
  <c r="H53" i="1"/>
  <c r="H50" i="1"/>
  <c r="H45" i="1"/>
  <c r="H42" i="1"/>
  <c r="H39" i="1"/>
  <c r="H36" i="1"/>
  <c r="H31" i="1"/>
  <c r="H28" i="1"/>
  <c r="H25" i="1"/>
  <c r="H22" i="1"/>
  <c r="H17" i="1"/>
  <c r="E28" i="1"/>
  <c r="F28" i="1" s="1"/>
  <c r="E42" i="1"/>
  <c r="F42" i="1" s="1"/>
  <c r="E56" i="1"/>
  <c r="F56" i="1" s="1"/>
  <c r="E70" i="1"/>
  <c r="F70" i="1" s="1"/>
  <c r="E84" i="1"/>
  <c r="F84" i="1" s="1"/>
  <c r="E94" i="1"/>
  <c r="F94" i="1" s="1"/>
  <c r="E104" i="1"/>
  <c r="F104" i="1" s="1"/>
  <c r="E114" i="1"/>
  <c r="F114" i="1" s="1"/>
  <c r="E124" i="1"/>
  <c r="F124" i="1" s="1"/>
  <c r="E134" i="1"/>
  <c r="F134" i="1" s="1"/>
  <c r="E182" i="1"/>
  <c r="F182" i="1" s="1"/>
  <c r="E194" i="1"/>
  <c r="F194" i="1" s="1"/>
  <c r="E206" i="1"/>
  <c r="F206" i="1" s="1"/>
  <c r="E218" i="1"/>
  <c r="F218" i="1" s="1"/>
  <c r="E224" i="1"/>
  <c r="F224" i="1" s="1"/>
  <c r="E230" i="1"/>
  <c r="F230" i="1" s="1"/>
  <c r="E236" i="1"/>
  <c r="F236" i="1" s="1"/>
  <c r="E242" i="1"/>
  <c r="F242" i="1" s="1"/>
  <c r="E248" i="1"/>
  <c r="F248" i="1" s="1"/>
  <c r="E258" i="1"/>
  <c r="F258" i="1" s="1"/>
  <c r="E273" i="1"/>
  <c r="F273" i="1" s="1"/>
  <c r="E288" i="1"/>
  <c r="F288" i="1" s="1"/>
  <c r="E303" i="1"/>
  <c r="F303" i="1" s="1"/>
  <c r="E318" i="1"/>
  <c r="F318" i="1" s="1"/>
  <c r="E333" i="1"/>
  <c r="F333" i="1" s="1"/>
  <c r="E338" i="1"/>
  <c r="F338" i="1" s="1"/>
  <c r="E351" i="1"/>
  <c r="F351" i="1" s="1"/>
  <c r="E369" i="1"/>
  <c r="F369" i="1" s="1"/>
  <c r="E387" i="1"/>
  <c r="F387" i="1" s="1"/>
  <c r="E405" i="1"/>
  <c r="F405" i="1" s="1"/>
  <c r="E423" i="1"/>
  <c r="F423" i="1" s="1"/>
  <c r="C338" i="1"/>
  <c r="C258" i="1"/>
  <c r="C248" i="1"/>
  <c r="C218" i="1"/>
  <c r="C194" i="1"/>
  <c r="C134" i="1"/>
  <c r="C84" i="1"/>
  <c r="C14" i="1"/>
  <c r="E14" i="1"/>
  <c r="F14" i="1" s="1"/>
  <c r="H14" i="1"/>
  <c r="H1235" i="5"/>
  <c r="H1223" i="5"/>
  <c r="H1220" i="5"/>
  <c r="H1211" i="5"/>
  <c r="H1202" i="5"/>
  <c r="H1199" i="5"/>
  <c r="H1190" i="5"/>
  <c r="H1181" i="5"/>
  <c r="H1169" i="5"/>
  <c r="H1166" i="5"/>
  <c r="H1157" i="5"/>
  <c r="H1148" i="5"/>
  <c r="H1145" i="5"/>
  <c r="H1136" i="5"/>
  <c r="H1127" i="5"/>
  <c r="H1115" i="5"/>
  <c r="H1112" i="5"/>
  <c r="H1103" i="5"/>
  <c r="H1094" i="5"/>
  <c r="H1091" i="5"/>
  <c r="H1082" i="5"/>
  <c r="H1073" i="5"/>
  <c r="H1061" i="5"/>
  <c r="H1058" i="5"/>
  <c r="H1049" i="5"/>
  <c r="H1040" i="5"/>
  <c r="H1037" i="5"/>
  <c r="H1028" i="5"/>
  <c r="H1019" i="5"/>
  <c r="H1004" i="5"/>
  <c r="H1001" i="5"/>
  <c r="H992" i="5"/>
  <c r="H983" i="5"/>
  <c r="H977" i="5"/>
  <c r="H968" i="5"/>
  <c r="H965" i="5"/>
  <c r="H953" i="5"/>
  <c r="H941" i="5"/>
  <c r="H932" i="5"/>
  <c r="H923" i="5"/>
  <c r="H920" i="5"/>
  <c r="H908" i="5"/>
  <c r="H896" i="5"/>
  <c r="H887" i="5"/>
  <c r="H878" i="5"/>
  <c r="H875" i="5"/>
  <c r="H863" i="5"/>
  <c r="H851" i="5"/>
  <c r="H842" i="5"/>
  <c r="H833" i="5"/>
  <c r="H830" i="5"/>
  <c r="H818" i="5"/>
  <c r="H806" i="5"/>
  <c r="H797" i="5"/>
  <c r="H788" i="5"/>
  <c r="H785" i="5"/>
  <c r="H770" i="5"/>
  <c r="H758" i="5"/>
  <c r="H749" i="5"/>
  <c r="H740" i="5"/>
  <c r="H731" i="5"/>
  <c r="H728" i="5"/>
  <c r="H719" i="5"/>
  <c r="H710" i="5"/>
  <c r="H704" i="5"/>
  <c r="H701" i="5"/>
  <c r="H692" i="5"/>
  <c r="H686" i="5"/>
  <c r="H683" i="5"/>
  <c r="H674" i="5"/>
  <c r="H668" i="5"/>
  <c r="H665" i="5"/>
  <c r="H656" i="5"/>
  <c r="H650" i="5"/>
  <c r="H647" i="5"/>
  <c r="H638" i="5"/>
  <c r="H632" i="5"/>
  <c r="H629" i="5"/>
  <c r="H620" i="5"/>
  <c r="H608" i="5"/>
  <c r="H605" i="5"/>
  <c r="H602" i="5"/>
  <c r="H593" i="5"/>
  <c r="H584" i="5"/>
  <c r="H572" i="5"/>
  <c r="H569" i="5"/>
  <c r="H566" i="5"/>
  <c r="H557" i="5"/>
  <c r="H548" i="5"/>
  <c r="H533" i="5"/>
  <c r="H536" i="5"/>
  <c r="H530" i="5"/>
  <c r="H521" i="5"/>
  <c r="H404" i="5"/>
  <c r="H392" i="5"/>
  <c r="H389" i="5"/>
  <c r="H386" i="5"/>
  <c r="H377" i="5"/>
  <c r="H368" i="5"/>
  <c r="H362" i="5"/>
  <c r="H359" i="5"/>
  <c r="H356" i="5"/>
  <c r="H347" i="5"/>
  <c r="H338" i="5"/>
  <c r="H332" i="5"/>
  <c r="H329" i="5"/>
  <c r="H326" i="5"/>
  <c r="H317" i="5"/>
  <c r="H308" i="5"/>
  <c r="H302" i="5"/>
  <c r="H299" i="5"/>
  <c r="H296" i="5"/>
  <c r="H287" i="5"/>
  <c r="H278" i="5"/>
  <c r="H272" i="5"/>
  <c r="H269" i="5"/>
  <c r="H266" i="5"/>
  <c r="H257" i="5"/>
  <c r="H248" i="5"/>
  <c r="H242" i="5"/>
  <c r="H239" i="5"/>
  <c r="H236" i="5"/>
  <c r="H227" i="5"/>
  <c r="H218" i="5"/>
  <c r="H209" i="5"/>
  <c r="H194" i="5"/>
  <c r="H185" i="5"/>
  <c r="H176" i="5"/>
  <c r="H167" i="5"/>
  <c r="H152" i="5"/>
  <c r="H143" i="5"/>
  <c r="H134" i="5"/>
  <c r="H125" i="5"/>
  <c r="H110" i="5"/>
  <c r="H101" i="5"/>
  <c r="H92" i="5"/>
  <c r="H83" i="5"/>
  <c r="H68" i="5"/>
  <c r="H59" i="5"/>
  <c r="E59" i="5"/>
  <c r="F59" i="5" s="1"/>
  <c r="E101" i="5"/>
  <c r="F101" i="5" s="1"/>
  <c r="E143" i="5"/>
  <c r="F143" i="5" s="1"/>
  <c r="E185" i="5"/>
  <c r="F185" i="5" s="1"/>
  <c r="E227" i="5"/>
  <c r="F227" i="5" s="1"/>
  <c r="E257" i="5"/>
  <c r="F257" i="5" s="1"/>
  <c r="E287" i="5"/>
  <c r="F287" i="5" s="1"/>
  <c r="E317" i="5"/>
  <c r="F317" i="5" s="1"/>
  <c r="E347" i="5"/>
  <c r="F347" i="5" s="1"/>
  <c r="E377" i="5"/>
  <c r="F377" i="5" s="1"/>
  <c r="E521" i="5"/>
  <c r="F521" i="5" s="1"/>
  <c r="E557" i="5"/>
  <c r="F557" i="5" s="1"/>
  <c r="E593" i="5"/>
  <c r="F593" i="5" s="1"/>
  <c r="E629" i="5"/>
  <c r="F629" i="5" s="1"/>
  <c r="E647" i="5"/>
  <c r="F647" i="5" s="1"/>
  <c r="E665" i="5"/>
  <c r="F665" i="5" s="1"/>
  <c r="E683" i="5"/>
  <c r="F683" i="5" s="1"/>
  <c r="E701" i="5"/>
  <c r="F701" i="5" s="1"/>
  <c r="E719" i="5"/>
  <c r="F719" i="5" s="1"/>
  <c r="E749" i="5"/>
  <c r="F749" i="5" s="1"/>
  <c r="E797" i="5"/>
  <c r="F797" i="5" s="1"/>
  <c r="E842" i="5"/>
  <c r="F842" i="5" s="1"/>
  <c r="E887" i="5"/>
  <c r="F887" i="5" s="1"/>
  <c r="E932" i="5"/>
  <c r="F932" i="5" s="1"/>
  <c r="E977" i="5"/>
  <c r="F977" i="5" s="1"/>
  <c r="E992" i="5"/>
  <c r="F992" i="5" s="1"/>
  <c r="E1028" i="5"/>
  <c r="F1028" i="5" s="1"/>
  <c r="E1082" i="5"/>
  <c r="F1082" i="5" s="1"/>
  <c r="E1136" i="5"/>
  <c r="F1136" i="5" s="1"/>
  <c r="E1190" i="5"/>
  <c r="F1190" i="5" s="1"/>
  <c r="H1244" i="5"/>
  <c r="H1253" i="5"/>
  <c r="H1256" i="5"/>
  <c r="H1265" i="5"/>
  <c r="H1274" i="5"/>
  <c r="H1277" i="5"/>
  <c r="H1289" i="5"/>
  <c r="E1244" i="5"/>
  <c r="F1244" i="5" s="1"/>
  <c r="C1028" i="5"/>
  <c r="C992" i="5"/>
  <c r="C749" i="5"/>
  <c r="C719" i="5"/>
  <c r="C629" i="5"/>
  <c r="C557" i="5"/>
  <c r="C377" i="5"/>
  <c r="C227" i="5"/>
  <c r="H50" i="5"/>
  <c r="H41" i="5"/>
  <c r="H26" i="5"/>
  <c r="H17" i="5"/>
  <c r="E17" i="5"/>
  <c r="F17" i="5" s="1"/>
  <c r="C17" i="5"/>
  <c r="D187" i="14" l="1"/>
  <c r="J186" i="14"/>
  <c r="L186" i="14" s="1"/>
  <c r="D129" i="14"/>
  <c r="J128" i="14"/>
  <c r="L128" i="14" s="1"/>
  <c r="F130" i="14"/>
  <c r="K130" i="14" s="1"/>
  <c r="K129" i="14"/>
  <c r="D149" i="14"/>
  <c r="J148" i="14"/>
  <c r="L148" i="14" s="1"/>
  <c r="F249" i="14"/>
  <c r="K248" i="14"/>
  <c r="F189" i="14"/>
  <c r="K188" i="14"/>
  <c r="D169" i="14"/>
  <c r="J168" i="14"/>
  <c r="L168" i="14" s="1"/>
  <c r="J226" i="14"/>
  <c r="L226" i="14" s="1"/>
  <c r="D227" i="14"/>
  <c r="D247" i="14"/>
  <c r="J246" i="14"/>
  <c r="L246" i="14" s="1"/>
  <c r="D208" i="14"/>
  <c r="J207" i="14"/>
  <c r="L207" i="14" s="1"/>
  <c r="F347" i="14"/>
  <c r="K346" i="14"/>
  <c r="K269" i="14"/>
  <c r="F270" i="14"/>
  <c r="K270" i="14" s="1"/>
  <c r="D289" i="14"/>
  <c r="J288" i="14"/>
  <c r="L288" i="14" s="1"/>
  <c r="D327" i="14"/>
  <c r="J326" i="14"/>
  <c r="L326" i="14" s="1"/>
  <c r="D269" i="14"/>
  <c r="J268" i="14"/>
  <c r="L268" i="14" s="1"/>
  <c r="K326" i="14"/>
  <c r="F327" i="14"/>
  <c r="F387" i="14"/>
  <c r="K386" i="14"/>
  <c r="D309" i="14"/>
  <c r="J308" i="14"/>
  <c r="L308" i="14" s="1"/>
  <c r="K368" i="14"/>
  <c r="F369" i="14"/>
  <c r="J347" i="14"/>
  <c r="L347" i="14" s="1"/>
  <c r="D348" i="14"/>
  <c r="D367" i="14"/>
  <c r="J366" i="14"/>
  <c r="L366" i="14" s="1"/>
  <c r="D387" i="14"/>
  <c r="J386" i="14"/>
  <c r="L386" i="14" s="1"/>
  <c r="D487" i="14"/>
  <c r="J486" i="14"/>
  <c r="L486" i="14" s="1"/>
  <c r="J466" i="14"/>
  <c r="L466" i="14" s="1"/>
  <c r="D467" i="14"/>
  <c r="F448" i="14"/>
  <c r="K447" i="14"/>
  <c r="D409" i="14"/>
  <c r="J408" i="14"/>
  <c r="L408" i="14" s="1"/>
  <c r="F409" i="14"/>
  <c r="K408" i="14"/>
  <c r="D449" i="14"/>
  <c r="J448" i="14"/>
  <c r="L448" i="14" s="1"/>
  <c r="D429" i="14"/>
  <c r="J428" i="14"/>
  <c r="L428" i="14" s="1"/>
  <c r="D567" i="14"/>
  <c r="J566" i="14"/>
  <c r="L566" i="14" s="1"/>
  <c r="D587" i="14"/>
  <c r="J586" i="14"/>
  <c r="L586" i="14" s="1"/>
  <c r="F549" i="14"/>
  <c r="K548" i="14"/>
  <c r="D529" i="14"/>
  <c r="J528" i="14"/>
  <c r="L528" i="14" s="1"/>
  <c r="D509" i="14"/>
  <c r="J508" i="14"/>
  <c r="L508" i="14" s="1"/>
  <c r="D550" i="14"/>
  <c r="J550" i="14" s="1"/>
  <c r="L550" i="14" s="1"/>
  <c r="J549" i="14"/>
  <c r="L549" i="14" s="1"/>
  <c r="F567" i="14"/>
  <c r="K566" i="14"/>
  <c r="F587" i="14"/>
  <c r="K586" i="14"/>
  <c r="D648" i="14"/>
  <c r="J647" i="14"/>
  <c r="L647" i="14" s="1"/>
  <c r="D667" i="14"/>
  <c r="J666" i="14"/>
  <c r="L666" i="14" s="1"/>
  <c r="F650" i="14"/>
  <c r="K649" i="14"/>
  <c r="D610" i="14"/>
  <c r="J610" i="14" s="1"/>
  <c r="L610" i="14" s="1"/>
  <c r="J609" i="14"/>
  <c r="L609" i="14" s="1"/>
  <c r="D630" i="14"/>
  <c r="J630" i="14" s="1"/>
  <c r="L630" i="14" s="1"/>
  <c r="J629" i="14"/>
  <c r="L629" i="14" s="1"/>
  <c r="F630" i="14"/>
  <c r="K629" i="14"/>
  <c r="D688" i="14"/>
  <c r="J687" i="14"/>
  <c r="L687" i="14" s="1"/>
  <c r="K610" i="14"/>
  <c r="J129" i="14" l="1"/>
  <c r="L129" i="14" s="1"/>
  <c r="D130" i="14"/>
  <c r="J130" i="14" s="1"/>
  <c r="L130" i="14" s="1"/>
  <c r="D150" i="14"/>
  <c r="J150" i="14" s="1"/>
  <c r="L150" i="14" s="1"/>
  <c r="J149" i="14"/>
  <c r="L149" i="14" s="1"/>
  <c r="J187" i="14"/>
  <c r="L187" i="14" s="1"/>
  <c r="D188" i="14"/>
  <c r="D248" i="14"/>
  <c r="J247" i="14"/>
  <c r="L247" i="14" s="1"/>
  <c r="D170" i="14"/>
  <c r="J170" i="14" s="1"/>
  <c r="L170" i="14" s="1"/>
  <c r="J169" i="14"/>
  <c r="L169" i="14" s="1"/>
  <c r="F190" i="14"/>
  <c r="K190" i="14" s="1"/>
  <c r="K189" i="14"/>
  <c r="D228" i="14"/>
  <c r="J227" i="14"/>
  <c r="L227" i="14" s="1"/>
  <c r="D209" i="14"/>
  <c r="J208" i="14"/>
  <c r="L208" i="14" s="1"/>
  <c r="F250" i="14"/>
  <c r="K250" i="14" s="1"/>
  <c r="K249" i="14"/>
  <c r="F328" i="14"/>
  <c r="K327" i="14"/>
  <c r="J327" i="14"/>
  <c r="L327" i="14" s="1"/>
  <c r="D328" i="14"/>
  <c r="D270" i="14"/>
  <c r="J270" i="14" s="1"/>
  <c r="L270" i="14" s="1"/>
  <c r="J269" i="14"/>
  <c r="L269" i="14" s="1"/>
  <c r="D290" i="14"/>
  <c r="J290" i="14" s="1"/>
  <c r="L290" i="14" s="1"/>
  <c r="J289" i="14"/>
  <c r="L289" i="14" s="1"/>
  <c r="F348" i="14"/>
  <c r="K347" i="14"/>
  <c r="D368" i="14"/>
  <c r="J367" i="14"/>
  <c r="L367" i="14" s="1"/>
  <c r="D310" i="14"/>
  <c r="J310" i="14" s="1"/>
  <c r="L310" i="14" s="1"/>
  <c r="J309" i="14"/>
  <c r="L309" i="14" s="1"/>
  <c r="D349" i="14"/>
  <c r="J348" i="14"/>
  <c r="L348" i="14" s="1"/>
  <c r="F370" i="14"/>
  <c r="K370" i="14" s="1"/>
  <c r="K369" i="14"/>
  <c r="D388" i="14"/>
  <c r="J387" i="14"/>
  <c r="L387" i="14" s="1"/>
  <c r="F388" i="14"/>
  <c r="K387" i="14"/>
  <c r="D450" i="14"/>
  <c r="J450" i="14" s="1"/>
  <c r="L450" i="14" s="1"/>
  <c r="J449" i="14"/>
  <c r="L449" i="14" s="1"/>
  <c r="J409" i="14"/>
  <c r="L409" i="14" s="1"/>
  <c r="D410" i="14"/>
  <c r="J410" i="14" s="1"/>
  <c r="L410" i="14" s="1"/>
  <c r="J467" i="14"/>
  <c r="L467" i="14" s="1"/>
  <c r="D468" i="14"/>
  <c r="D430" i="14"/>
  <c r="J430" i="14" s="1"/>
  <c r="L430" i="14" s="1"/>
  <c r="J429" i="14"/>
  <c r="L429" i="14" s="1"/>
  <c r="F410" i="14"/>
  <c r="K410" i="14" s="1"/>
  <c r="K409" i="14"/>
  <c r="K448" i="14"/>
  <c r="F449" i="14"/>
  <c r="D488" i="14"/>
  <c r="J487" i="14"/>
  <c r="L487" i="14" s="1"/>
  <c r="F588" i="14"/>
  <c r="K587" i="14"/>
  <c r="D530" i="14"/>
  <c r="J530" i="14" s="1"/>
  <c r="L530" i="14" s="1"/>
  <c r="J529" i="14"/>
  <c r="L529" i="14" s="1"/>
  <c r="D588" i="14"/>
  <c r="J587" i="14"/>
  <c r="L587" i="14" s="1"/>
  <c r="K650" i="14"/>
  <c r="F568" i="14"/>
  <c r="K567" i="14"/>
  <c r="D510" i="14"/>
  <c r="J510" i="14" s="1"/>
  <c r="L510" i="14" s="1"/>
  <c r="J509" i="14"/>
  <c r="L509" i="14" s="1"/>
  <c r="F550" i="14"/>
  <c r="K549" i="14"/>
  <c r="D568" i="14"/>
  <c r="J567" i="14"/>
  <c r="L567" i="14" s="1"/>
  <c r="J667" i="14"/>
  <c r="L667" i="14" s="1"/>
  <c r="D668" i="14"/>
  <c r="D649" i="14"/>
  <c r="J648" i="14"/>
  <c r="L648" i="14" s="1"/>
  <c r="K630" i="14"/>
  <c r="D689" i="14"/>
  <c r="J688" i="14"/>
  <c r="L688" i="14" s="1"/>
  <c r="S257" i="5"/>
  <c r="R779" i="5"/>
  <c r="V779" i="5" s="1"/>
  <c r="D189" i="14" l="1"/>
  <c r="J188" i="14"/>
  <c r="L188" i="14" s="1"/>
  <c r="D229" i="14"/>
  <c r="J228" i="14"/>
  <c r="L228" i="14" s="1"/>
  <c r="D210" i="14"/>
  <c r="J210" i="14" s="1"/>
  <c r="L210" i="14" s="1"/>
  <c r="J209" i="14"/>
  <c r="L209" i="14" s="1"/>
  <c r="D249" i="14"/>
  <c r="J248" i="14"/>
  <c r="L248" i="14" s="1"/>
  <c r="D329" i="14"/>
  <c r="J328" i="14"/>
  <c r="L328" i="14" s="1"/>
  <c r="F349" i="14"/>
  <c r="K348" i="14"/>
  <c r="K328" i="14"/>
  <c r="F329" i="14"/>
  <c r="D389" i="14"/>
  <c r="J388" i="14"/>
  <c r="L388" i="14" s="1"/>
  <c r="D350" i="14"/>
  <c r="J350" i="14" s="1"/>
  <c r="L350" i="14" s="1"/>
  <c r="J349" i="14"/>
  <c r="L349" i="14" s="1"/>
  <c r="J368" i="14"/>
  <c r="L368" i="14" s="1"/>
  <c r="D369" i="14"/>
  <c r="F389" i="14"/>
  <c r="K388" i="14"/>
  <c r="F450" i="14"/>
  <c r="K450" i="14" s="1"/>
  <c r="K449" i="14"/>
  <c r="D469" i="14"/>
  <c r="J468" i="14"/>
  <c r="L468" i="14" s="1"/>
  <c r="D489" i="14"/>
  <c r="J488" i="14"/>
  <c r="L488" i="14" s="1"/>
  <c r="K550" i="14"/>
  <c r="F569" i="14"/>
  <c r="K568" i="14"/>
  <c r="D569" i="14"/>
  <c r="J568" i="14"/>
  <c r="L568" i="14" s="1"/>
  <c r="D589" i="14"/>
  <c r="J588" i="14"/>
  <c r="L588" i="14" s="1"/>
  <c r="F589" i="14"/>
  <c r="K588" i="14"/>
  <c r="D650" i="14"/>
  <c r="J650" i="14" s="1"/>
  <c r="L650" i="14" s="1"/>
  <c r="J649" i="14"/>
  <c r="L649" i="14" s="1"/>
  <c r="D669" i="14"/>
  <c r="J668" i="14"/>
  <c r="L668" i="14" s="1"/>
  <c r="D690" i="14"/>
  <c r="J690" i="14" s="1"/>
  <c r="L690" i="14" s="1"/>
  <c r="J689" i="14"/>
  <c r="L689" i="14" s="1"/>
  <c r="W257" i="5"/>
  <c r="S94" i="1" s="1"/>
  <c r="S779" i="5"/>
  <c r="D190" i="14" l="1"/>
  <c r="J190" i="14" s="1"/>
  <c r="L190" i="14" s="1"/>
  <c r="J189" i="14"/>
  <c r="L189" i="14" s="1"/>
  <c r="D250" i="14"/>
  <c r="J250" i="14" s="1"/>
  <c r="L250" i="14" s="1"/>
  <c r="J249" i="14"/>
  <c r="L249" i="14" s="1"/>
  <c r="D230" i="14"/>
  <c r="J230" i="14" s="1"/>
  <c r="L230" i="14" s="1"/>
  <c r="J229" i="14"/>
  <c r="L229" i="14" s="1"/>
  <c r="K349" i="14"/>
  <c r="F350" i="14"/>
  <c r="K350" i="14" s="1"/>
  <c r="F330" i="14"/>
  <c r="K330" i="14" s="1"/>
  <c r="K329" i="14"/>
  <c r="D330" i="14"/>
  <c r="J330" i="14" s="1"/>
  <c r="L330" i="14" s="1"/>
  <c r="J329" i="14"/>
  <c r="L329" i="14" s="1"/>
  <c r="F390" i="14"/>
  <c r="K390" i="14" s="1"/>
  <c r="K389" i="14"/>
  <c r="D370" i="14"/>
  <c r="J370" i="14" s="1"/>
  <c r="L370" i="14" s="1"/>
  <c r="J369" i="14"/>
  <c r="L369" i="14" s="1"/>
  <c r="D390" i="14"/>
  <c r="J390" i="14" s="1"/>
  <c r="L390" i="14" s="1"/>
  <c r="J389" i="14"/>
  <c r="L389" i="14" s="1"/>
  <c r="J469" i="14"/>
  <c r="L469" i="14" s="1"/>
  <c r="D470" i="14"/>
  <c r="J470" i="14" s="1"/>
  <c r="L470" i="14" s="1"/>
  <c r="D490" i="14"/>
  <c r="J490" i="14" s="1"/>
  <c r="L490" i="14" s="1"/>
  <c r="J489" i="14"/>
  <c r="L489" i="14" s="1"/>
  <c r="F590" i="14"/>
  <c r="K590" i="14" s="1"/>
  <c r="K589" i="14"/>
  <c r="J569" i="14"/>
  <c r="L569" i="14" s="1"/>
  <c r="D570" i="14"/>
  <c r="J570" i="14" s="1"/>
  <c r="L570" i="14" s="1"/>
  <c r="D590" i="14"/>
  <c r="J590" i="14" s="1"/>
  <c r="L590" i="14" s="1"/>
  <c r="J589" i="14"/>
  <c r="L589" i="14" s="1"/>
  <c r="F570" i="14"/>
  <c r="K569" i="14"/>
  <c r="J669" i="14"/>
  <c r="L669" i="14" s="1"/>
  <c r="D670" i="14"/>
  <c r="J670" i="14" s="1"/>
  <c r="L670" i="14" s="1"/>
  <c r="G259" i="4"/>
  <c r="G270" i="4"/>
  <c r="W779" i="5"/>
  <c r="G55" i="4" l="1"/>
  <c r="G255" i="4"/>
  <c r="E301" i="11" s="1"/>
  <c r="E304" i="11" s="1"/>
  <c r="H299" i="11" s="1"/>
  <c r="H302" i="11" s="1"/>
  <c r="G94" i="4"/>
  <c r="E145" i="11" s="1"/>
  <c r="E148" i="11" s="1"/>
  <c r="J143" i="11" s="1"/>
  <c r="J146" i="11" s="1"/>
  <c r="G109" i="4"/>
  <c r="L163" i="1" s="1"/>
  <c r="G267" i="4"/>
  <c r="L386" i="1" s="1"/>
  <c r="G103" i="4"/>
  <c r="L155" i="1" s="1"/>
  <c r="G50" i="4"/>
  <c r="L78" i="1" s="1"/>
  <c r="G89" i="4"/>
  <c r="L133" i="1" s="1"/>
  <c r="G114" i="4"/>
  <c r="L177" i="1" s="1"/>
  <c r="G180" i="4"/>
  <c r="L256" i="1" s="1"/>
  <c r="G92" i="4"/>
  <c r="L138" i="1" s="1"/>
  <c r="G276" i="4"/>
  <c r="L404" i="1" s="1"/>
  <c r="G78" i="4"/>
  <c r="L119" i="1" s="1"/>
  <c r="G91" i="4"/>
  <c r="L134" i="1" s="1"/>
  <c r="G101" i="4"/>
  <c r="L151" i="1" s="1"/>
  <c r="G100" i="4"/>
  <c r="L150" i="1" s="1"/>
  <c r="G119" i="4"/>
  <c r="L179" i="1" s="1"/>
  <c r="G7" i="4"/>
  <c r="L19" i="1" s="1"/>
  <c r="G77" i="4"/>
  <c r="L118" i="1" s="1"/>
  <c r="G196" i="4"/>
  <c r="L284" i="1" s="1"/>
  <c r="G221" i="4"/>
  <c r="L310" i="1" s="1"/>
  <c r="G181" i="4"/>
  <c r="L257" i="1" s="1"/>
  <c r="G70" i="4"/>
  <c r="L108" i="1" s="1"/>
  <c r="G265" i="4"/>
  <c r="L384" i="1" s="1"/>
  <c r="G110" i="4"/>
  <c r="E169" i="11" s="1"/>
  <c r="E172" i="11" s="1"/>
  <c r="H167" i="11" s="1"/>
  <c r="H170" i="11" s="1"/>
  <c r="G129" i="4"/>
  <c r="L193" i="1" s="1"/>
  <c r="G167" i="4"/>
  <c r="L239" i="1" s="1"/>
  <c r="G10" i="4"/>
  <c r="L22" i="1" s="1"/>
  <c r="G199" i="4"/>
  <c r="L280" i="1" s="1"/>
  <c r="G145" i="4"/>
  <c r="L217" i="1" s="1"/>
  <c r="G64" i="4"/>
  <c r="L99" i="1" s="1"/>
  <c r="G27" i="4"/>
  <c r="L45" i="1" s="1"/>
  <c r="G277" i="4"/>
  <c r="L414" i="1" s="1"/>
  <c r="G112" i="4"/>
  <c r="L168" i="1" s="1"/>
  <c r="G252" i="4"/>
  <c r="L357" i="1" s="1"/>
  <c r="G107" i="4"/>
  <c r="L159" i="1" s="1"/>
  <c r="G105" i="4"/>
  <c r="L157" i="1" s="1"/>
  <c r="G102" i="4"/>
  <c r="E157" i="11" s="1"/>
  <c r="E160" i="11" s="1"/>
  <c r="H155" i="11" s="1"/>
  <c r="H158" i="11" s="1"/>
  <c r="G40" i="4"/>
  <c r="L64" i="1" s="1"/>
  <c r="G266" i="4"/>
  <c r="L385" i="1" s="1"/>
  <c r="G115" i="4"/>
  <c r="L173" i="1" s="1"/>
  <c r="G99" i="4"/>
  <c r="L146" i="1" s="1"/>
  <c r="G93" i="4"/>
  <c r="L139" i="1" s="1"/>
  <c r="G127" i="4"/>
  <c r="L191" i="1" s="1"/>
  <c r="G275" i="4"/>
  <c r="L403" i="1" s="1"/>
  <c r="G45" i="4"/>
  <c r="L72" i="1" s="1"/>
  <c r="H23" i="8"/>
  <c r="G79" i="4"/>
  <c r="E121" i="11" s="1"/>
  <c r="E124" i="11" s="1"/>
  <c r="H119" i="11" s="1"/>
  <c r="G179" i="4"/>
  <c r="L255" i="1" s="1"/>
  <c r="G76" i="4"/>
  <c r="L117" i="1" s="1"/>
  <c r="G137" i="4"/>
  <c r="L205" i="1" s="1"/>
  <c r="G205" i="4"/>
  <c r="G291" i="4"/>
  <c r="E349" i="11" s="1"/>
  <c r="E352" i="11" s="1"/>
  <c r="J347" i="11" s="1"/>
  <c r="G290" i="4"/>
  <c r="L434" i="1" s="1"/>
  <c r="G264" i="4"/>
  <c r="E313" i="11" s="1"/>
  <c r="E316" i="11" s="1"/>
  <c r="H311" i="11" s="1"/>
  <c r="H314" i="11" s="1"/>
  <c r="G261" i="4"/>
  <c r="L374" i="1" s="1"/>
  <c r="G263" i="4"/>
  <c r="L380" i="1" s="1"/>
  <c r="G250" i="4"/>
  <c r="L359" i="1" s="1"/>
  <c r="G108" i="4"/>
  <c r="L162" i="1" s="1"/>
  <c r="G106" i="4"/>
  <c r="L165" i="1" s="1"/>
  <c r="G117" i="4"/>
  <c r="L175" i="1" s="1"/>
  <c r="G96" i="4"/>
  <c r="L144" i="1" s="1"/>
  <c r="G95" i="4"/>
  <c r="L143" i="1" s="1"/>
  <c r="G111" i="4"/>
  <c r="L167" i="1" s="1"/>
  <c r="G125" i="4"/>
  <c r="L187" i="1" s="1"/>
  <c r="G126" i="4"/>
  <c r="E193" i="11" s="1"/>
  <c r="E196" i="11" s="1"/>
  <c r="H191" i="11" s="1"/>
  <c r="H194" i="11" s="1"/>
  <c r="G128" i="4"/>
  <c r="L192" i="1" s="1"/>
  <c r="G273" i="4"/>
  <c r="E325" i="11" s="1"/>
  <c r="E328" i="11" s="1"/>
  <c r="H323" i="11" s="1"/>
  <c r="H326" i="11" s="1"/>
  <c r="H46" i="8"/>
  <c r="G37" i="4"/>
  <c r="L61" i="1" s="1"/>
  <c r="G81" i="4"/>
  <c r="L122" i="1" s="1"/>
  <c r="H34" i="8"/>
  <c r="G12" i="4"/>
  <c r="L25" i="1" s="1"/>
  <c r="G238" i="4"/>
  <c r="G163" i="4"/>
  <c r="L235" i="1" s="1"/>
  <c r="G8" i="4"/>
  <c r="L21" i="1" s="1"/>
  <c r="G173" i="4"/>
  <c r="L245" i="1" s="1"/>
  <c r="G161" i="4"/>
  <c r="L233" i="1" s="1"/>
  <c r="G177" i="4"/>
  <c r="L252" i="1" s="1"/>
  <c r="G22" i="4"/>
  <c r="L39" i="1" s="1"/>
  <c r="G271" i="4"/>
  <c r="L397" i="1" s="1"/>
  <c r="G260" i="4"/>
  <c r="L372" i="1" s="1"/>
  <c r="G268" i="4"/>
  <c r="L396" i="1" s="1"/>
  <c r="G294" i="4"/>
  <c r="L440" i="1" s="1"/>
  <c r="G113" i="4"/>
  <c r="L169" i="1" s="1"/>
  <c r="G97" i="4"/>
  <c r="L145" i="1" s="1"/>
  <c r="G98" i="4"/>
  <c r="L154" i="1" s="1"/>
  <c r="G104" i="4"/>
  <c r="L156" i="1" s="1"/>
  <c r="G116" i="4"/>
  <c r="L174" i="1" s="1"/>
  <c r="G120" i="4"/>
  <c r="L180" i="1" s="1"/>
  <c r="G123" i="4"/>
  <c r="L182" i="1" s="1"/>
  <c r="G122" i="4"/>
  <c r="L189" i="1" s="1"/>
  <c r="G121" i="4"/>
  <c r="L181" i="1" s="1"/>
  <c r="G118" i="4"/>
  <c r="E181" i="11" s="1"/>
  <c r="E184" i="11" s="1"/>
  <c r="J179" i="11" s="1"/>
  <c r="J182" i="11" s="1"/>
  <c r="G274" i="4"/>
  <c r="L402" i="1" s="1"/>
  <c r="G234" i="4"/>
  <c r="L330" i="1" s="1"/>
  <c r="G57" i="4"/>
  <c r="L89" i="1" s="1"/>
  <c r="G165" i="4"/>
  <c r="G13" i="4"/>
  <c r="L26" i="1" s="1"/>
  <c r="G195" i="4"/>
  <c r="L276" i="1" s="1"/>
  <c r="G154" i="4"/>
  <c r="L224" i="1" s="1"/>
  <c r="G49" i="4"/>
  <c r="G51" i="4"/>
  <c r="E73" i="11" s="1"/>
  <c r="E76" i="11" s="1"/>
  <c r="H71" i="11" s="1"/>
  <c r="G41" i="4"/>
  <c r="E61" i="11" s="1"/>
  <c r="E64" i="11" s="1"/>
  <c r="H59" i="11" s="1"/>
  <c r="G190" i="4"/>
  <c r="L270" i="1" s="1"/>
  <c r="G29" i="4"/>
  <c r="G253" i="4"/>
  <c r="L361" i="1" s="1"/>
  <c r="G33" i="4"/>
  <c r="L54" i="1" s="1"/>
  <c r="G14" i="4"/>
  <c r="L27" i="1" s="1"/>
  <c r="G288" i="4"/>
  <c r="L427" i="1" s="1"/>
  <c r="G293" i="4"/>
  <c r="L439" i="1" s="1"/>
  <c r="G289" i="4"/>
  <c r="L433" i="1" s="1"/>
  <c r="G287" i="4"/>
  <c r="L425" i="1" s="1"/>
  <c r="G292" i="4"/>
  <c r="L438" i="1" s="1"/>
  <c r="G286" i="4"/>
  <c r="L432" i="1" s="1"/>
  <c r="L70" i="1"/>
  <c r="L80" i="1"/>
  <c r="J119" i="11"/>
  <c r="L115" i="1"/>
  <c r="K570" i="14"/>
  <c r="O818" i="6" s="1"/>
  <c r="O318" i="5" s="1"/>
  <c r="G257" i="4"/>
  <c r="L367" i="1" s="1"/>
  <c r="G245" i="4"/>
  <c r="G47" i="4"/>
  <c r="G26" i="4"/>
  <c r="H40" i="8"/>
  <c r="G236" i="4"/>
  <c r="L332" i="1" s="1"/>
  <c r="G144" i="4"/>
  <c r="L216" i="1" s="1"/>
  <c r="G176" i="4"/>
  <c r="G189" i="4"/>
  <c r="E229" i="11" s="1"/>
  <c r="E232" i="11" s="1"/>
  <c r="G209" i="4"/>
  <c r="G169" i="4"/>
  <c r="L241" i="1" s="1"/>
  <c r="H25" i="8"/>
  <c r="G215" i="4"/>
  <c r="G243" i="4"/>
  <c r="L337" i="1" s="1"/>
  <c r="G170" i="4"/>
  <c r="G9" i="4"/>
  <c r="G182" i="4"/>
  <c r="G34" i="4"/>
  <c r="L55" i="1" s="1"/>
  <c r="G136" i="4"/>
  <c r="L204" i="1" s="1"/>
  <c r="G227" i="4"/>
  <c r="G6" i="4"/>
  <c r="G244" i="4"/>
  <c r="G131" i="4"/>
  <c r="L197" i="1" s="1"/>
  <c r="G143" i="4"/>
  <c r="L215" i="1" s="1"/>
  <c r="G235" i="4"/>
  <c r="L331" i="1" s="1"/>
  <c r="G62" i="4"/>
  <c r="G84" i="4"/>
  <c r="L128" i="1" s="1"/>
  <c r="H32" i="8"/>
  <c r="G247" i="4"/>
  <c r="L348" i="1" s="1"/>
  <c r="G30" i="4"/>
  <c r="L50" i="1" s="1"/>
  <c r="G150" i="4"/>
  <c r="L222" i="1" s="1"/>
  <c r="G212" i="4"/>
  <c r="L300" i="1" s="1"/>
  <c r="G211" i="4"/>
  <c r="E253" i="11" s="1"/>
  <c r="E256" i="11" s="1"/>
  <c r="G178" i="4"/>
  <c r="L254" i="1" s="1"/>
  <c r="G82" i="4"/>
  <c r="L123" i="1" s="1"/>
  <c r="G158" i="4"/>
  <c r="G146" i="4"/>
  <c r="H18" i="8"/>
  <c r="G207" i="4"/>
  <c r="L299" i="1" s="1"/>
  <c r="G228" i="4"/>
  <c r="G174" i="4"/>
  <c r="L246" i="1" s="1"/>
  <c r="G203" i="4"/>
  <c r="L287" i="1" s="1"/>
  <c r="G139" i="4"/>
  <c r="L209" i="1" s="1"/>
  <c r="G148" i="4"/>
  <c r="L218" i="1" s="1"/>
  <c r="G217" i="4"/>
  <c r="G63" i="4"/>
  <c r="L98" i="1" s="1"/>
  <c r="G66" i="4"/>
  <c r="L101" i="1" s="1"/>
  <c r="G149" i="4"/>
  <c r="L221" i="1" s="1"/>
  <c r="H22" i="8"/>
  <c r="G241" i="4"/>
  <c r="L335" i="1" s="1"/>
  <c r="G134" i="4"/>
  <c r="E205" i="11" s="1"/>
  <c r="E208" i="11" s="1"/>
  <c r="G246" i="4"/>
  <c r="G254" i="4"/>
  <c r="L362" i="1" s="1"/>
  <c r="G31" i="4"/>
  <c r="E49" i="11" s="1"/>
  <c r="E52" i="11" s="1"/>
  <c r="G59" i="4"/>
  <c r="L91" i="1" s="1"/>
  <c r="G56" i="4"/>
  <c r="L88" i="1" s="1"/>
  <c r="G201" i="4"/>
  <c r="L285" i="1" s="1"/>
  <c r="G226" i="4"/>
  <c r="G11" i="4"/>
  <c r="E25" i="11" s="1"/>
  <c r="E28" i="11" s="1"/>
  <c r="G192" i="4"/>
  <c r="L272" i="1" s="1"/>
  <c r="G175" i="4"/>
  <c r="L247" i="1" s="1"/>
  <c r="G86" i="4"/>
  <c r="E133" i="11" s="1"/>
  <c r="E136" i="11" s="1"/>
  <c r="G230" i="4"/>
  <c r="L327" i="1" s="1"/>
  <c r="G155" i="4"/>
  <c r="L227" i="1" s="1"/>
  <c r="G229" i="4"/>
  <c r="L329" i="1" s="1"/>
  <c r="H42" i="8"/>
  <c r="G249" i="4"/>
  <c r="L350" i="1" s="1"/>
  <c r="G171" i="4"/>
  <c r="G237" i="4"/>
  <c r="G65" i="4"/>
  <c r="E97" i="11" s="1"/>
  <c r="E100" i="11" s="1"/>
  <c r="G73" i="4"/>
  <c r="L111" i="1" s="1"/>
  <c r="G75" i="4"/>
  <c r="L113" i="1" s="1"/>
  <c r="G188" i="4"/>
  <c r="L265" i="1" s="1"/>
  <c r="G15" i="4"/>
  <c r="G17" i="4"/>
  <c r="G61" i="4"/>
  <c r="L93" i="1" s="1"/>
  <c r="G142" i="4"/>
  <c r="E217" i="11" s="1"/>
  <c r="E220" i="11" s="1"/>
  <c r="G219" i="4"/>
  <c r="L312" i="1" s="1"/>
  <c r="G152" i="4"/>
  <c r="G32" i="4"/>
  <c r="L53" i="1" s="1"/>
  <c r="G151" i="4"/>
  <c r="L223" i="1" s="1"/>
  <c r="H38" i="8"/>
  <c r="G74" i="4"/>
  <c r="L112" i="1" s="1"/>
  <c r="H16" i="8"/>
  <c r="H47" i="8"/>
  <c r="G185" i="4"/>
  <c r="L269" i="1" s="1"/>
  <c r="G213" i="4"/>
  <c r="L301" i="1" s="1"/>
  <c r="G52" i="4"/>
  <c r="L81" i="1" s="1"/>
  <c r="G69" i="4"/>
  <c r="G166" i="4"/>
  <c r="L236" i="1" s="1"/>
  <c r="G224" i="4"/>
  <c r="L316" i="1" s="1"/>
  <c r="G54" i="4"/>
  <c r="L83" i="1" s="1"/>
  <c r="H19" i="8"/>
  <c r="G147" i="4"/>
  <c r="G258" i="4"/>
  <c r="L368" i="1" s="1"/>
  <c r="G198" i="4"/>
  <c r="G153" i="4"/>
  <c r="G25" i="4"/>
  <c r="G133" i="4"/>
  <c r="L199" i="1" s="1"/>
  <c r="G35" i="4"/>
  <c r="G48" i="4"/>
  <c r="L77" i="1" s="1"/>
  <c r="G208" i="4"/>
  <c r="L297" i="1" s="1"/>
  <c r="G43" i="4"/>
  <c r="L68" i="1" s="1"/>
  <c r="G156" i="4"/>
  <c r="L228" i="1" s="1"/>
  <c r="G206" i="4"/>
  <c r="G214" i="4"/>
  <c r="L302" i="1" s="1"/>
  <c r="G87" i="4"/>
  <c r="L131" i="1" s="1"/>
  <c r="H36" i="8"/>
  <c r="G135" i="4"/>
  <c r="L203" i="1" s="1"/>
  <c r="G24" i="4"/>
  <c r="L41" i="1" s="1"/>
  <c r="G216" i="4"/>
  <c r="H35" i="8"/>
  <c r="G46" i="4"/>
  <c r="G191" i="4"/>
  <c r="L271" i="1" s="1"/>
  <c r="G85" i="4"/>
  <c r="L129" i="1" s="1"/>
  <c r="G256" i="4"/>
  <c r="L366" i="1" s="1"/>
  <c r="G251" i="4"/>
  <c r="G272" i="4"/>
  <c r="L398" i="1" s="1"/>
  <c r="G187" i="4"/>
  <c r="H43" i="8"/>
  <c r="G42" i="4"/>
  <c r="L67" i="1" s="1"/>
  <c r="G23" i="4"/>
  <c r="L40" i="1" s="1"/>
  <c r="H28" i="8"/>
  <c r="G204" i="4"/>
  <c r="G242" i="4"/>
  <c r="L336" i="1" s="1"/>
  <c r="H27" i="8"/>
  <c r="G197" i="4"/>
  <c r="L282" i="1" s="1"/>
  <c r="G44" i="4"/>
  <c r="L69" i="1" s="1"/>
  <c r="G68" i="4"/>
  <c r="L103" i="1" s="1"/>
  <c r="G232" i="4"/>
  <c r="L325" i="1" s="1"/>
  <c r="G71" i="4"/>
  <c r="L109" i="1" s="1"/>
  <c r="G248" i="4"/>
  <c r="L349" i="1" s="1"/>
  <c r="H33" i="8"/>
  <c r="G202" i="4"/>
  <c r="L286" i="1" s="1"/>
  <c r="H39" i="8"/>
  <c r="H45" i="8"/>
  <c r="G269" i="4"/>
  <c r="G184" i="4"/>
  <c r="G132" i="4"/>
  <c r="L198" i="1" s="1"/>
  <c r="H24" i="8"/>
  <c r="G67" i="4"/>
  <c r="L102" i="1" s="1"/>
  <c r="G172" i="4"/>
  <c r="L242" i="1" s="1"/>
  <c r="G38" i="4"/>
  <c r="L63" i="1" s="1"/>
  <c r="G194" i="4"/>
  <c r="G80" i="4"/>
  <c r="L121" i="1" s="1"/>
  <c r="G200" i="4"/>
  <c r="E241" i="11" s="1"/>
  <c r="E244" i="11" s="1"/>
  <c r="G159" i="4"/>
  <c r="G210" i="4"/>
  <c r="L295" i="1" s="1"/>
  <c r="G233" i="4"/>
  <c r="E277" i="11" s="1"/>
  <c r="E280" i="11" s="1"/>
  <c r="G58" i="4"/>
  <c r="E85" i="11" s="1"/>
  <c r="E88" i="11" s="1"/>
  <c r="H44" i="8"/>
  <c r="G168" i="4"/>
  <c r="L240" i="1" s="1"/>
  <c r="H30" i="8"/>
  <c r="G138" i="4"/>
  <c r="H17" i="8"/>
  <c r="G19" i="4"/>
  <c r="G28" i="4"/>
  <c r="L49" i="1" s="1"/>
  <c r="H21" i="8"/>
  <c r="G220" i="4"/>
  <c r="G160" i="4"/>
  <c r="L230" i="1" s="1"/>
  <c r="G60" i="4"/>
  <c r="L92" i="1" s="1"/>
  <c r="H29" i="8"/>
  <c r="G21" i="4"/>
  <c r="E37" i="11" s="1"/>
  <c r="E40" i="11" s="1"/>
  <c r="G162" i="4"/>
  <c r="L234" i="1" s="1"/>
  <c r="H20" i="8"/>
  <c r="G193" i="4"/>
  <c r="H50" i="8"/>
  <c r="G223" i="4"/>
  <c r="L315" i="1" s="1"/>
  <c r="G141" i="4"/>
  <c r="L211" i="1" s="1"/>
  <c r="G231" i="4"/>
  <c r="G124" i="4"/>
  <c r="L186" i="1" s="1"/>
  <c r="G262" i="4"/>
  <c r="L379" i="1" s="1"/>
  <c r="H26" i="8"/>
  <c r="G140" i="4"/>
  <c r="L210" i="1" s="1"/>
  <c r="H37" i="8"/>
  <c r="G157" i="4"/>
  <c r="L229" i="1" s="1"/>
  <c r="G18" i="4"/>
  <c r="L35" i="1" s="1"/>
  <c r="G72" i="4"/>
  <c r="E109" i="11" s="1"/>
  <c r="E112" i="11" s="1"/>
  <c r="G239" i="4"/>
  <c r="L333" i="1" s="1"/>
  <c r="H48" i="8"/>
  <c r="H49" i="8"/>
  <c r="G53" i="4"/>
  <c r="L82" i="1" s="1"/>
  <c r="G88" i="4"/>
  <c r="L132" i="1" s="1"/>
  <c r="G186" i="4"/>
  <c r="L267" i="1" s="1"/>
  <c r="G90" i="4"/>
  <c r="G130" i="4"/>
  <c r="G36" i="4"/>
  <c r="G5" i="4"/>
  <c r="O866" i="6"/>
  <c r="O333" i="5" s="1"/>
  <c r="O3038" i="6"/>
  <c r="G222" i="4"/>
  <c r="E265" i="11" s="1"/>
  <c r="E268" i="11" s="1"/>
  <c r="G16" i="4"/>
  <c r="G183" i="4"/>
  <c r="G83" i="4"/>
  <c r="L87" i="1"/>
  <c r="L84" i="1"/>
  <c r="L85" i="1"/>
  <c r="L86" i="1"/>
  <c r="J299" i="11"/>
  <c r="J302" i="11" s="1"/>
  <c r="O993" i="6"/>
  <c r="O385" i="5" s="1"/>
  <c r="O1332" i="6"/>
  <c r="O3157" i="6"/>
  <c r="O1195" i="5" s="1"/>
  <c r="G164" i="4"/>
  <c r="G240" i="4"/>
  <c r="E289" i="11" s="1"/>
  <c r="E292" i="11" s="1"/>
  <c r="G39" i="4"/>
  <c r="G20" i="4"/>
  <c r="L36" i="1" s="1"/>
  <c r="O1103" i="6"/>
  <c r="O426" i="5" s="1"/>
  <c r="O1876" i="6"/>
  <c r="O723" i="5" s="1"/>
  <c r="O646" i="6"/>
  <c r="H31" i="8"/>
  <c r="H41" i="8"/>
  <c r="G225" i="4"/>
  <c r="L317" i="1" s="1"/>
  <c r="G218" i="4"/>
  <c r="L314" i="1" s="1"/>
  <c r="H143" i="11"/>
  <c r="H146" i="11" s="1"/>
  <c r="G282" i="4"/>
  <c r="E337" i="11" s="1"/>
  <c r="E340" i="11" s="1"/>
  <c r="G285" i="4"/>
  <c r="L422" i="1" s="1"/>
  <c r="G283" i="4"/>
  <c r="L420" i="1" s="1"/>
  <c r="L136" i="1"/>
  <c r="L147" i="1"/>
  <c r="G284" i="4"/>
  <c r="L421" i="1" s="1"/>
  <c r="G281" i="4"/>
  <c r="L416" i="1" s="1"/>
  <c r="G280" i="4"/>
  <c r="L415" i="1" s="1"/>
  <c r="G279" i="4"/>
  <c r="L409" i="1" s="1"/>
  <c r="G278" i="4"/>
  <c r="L405" i="1" s="1"/>
  <c r="L178" i="1"/>
  <c r="L364" i="1"/>
  <c r="T364" i="1" s="1"/>
  <c r="L412" i="1"/>
  <c r="L382" i="1"/>
  <c r="L377" i="1"/>
  <c r="L378" i="1"/>
  <c r="L376" i="1"/>
  <c r="L383" i="1"/>
  <c r="L391" i="1"/>
  <c r="L392" i="1"/>
  <c r="L393" i="1"/>
  <c r="M343" i="1"/>
  <c r="L401" i="1" l="1"/>
  <c r="L137" i="1"/>
  <c r="L371" i="1"/>
  <c r="L429" i="1"/>
  <c r="L149" i="1"/>
  <c r="L185" i="1"/>
  <c r="J155" i="11"/>
  <c r="J158" i="11" s="1"/>
  <c r="L17" i="1"/>
  <c r="J191" i="11"/>
  <c r="J194" i="11" s="1"/>
  <c r="L116" i="1"/>
  <c r="L20" i="1"/>
  <c r="L161" i="1"/>
  <c r="L373" i="1"/>
  <c r="L370" i="1"/>
  <c r="L358" i="1"/>
  <c r="L148" i="1"/>
  <c r="L135" i="1"/>
  <c r="H179" i="11"/>
  <c r="H182" i="11" s="1"/>
  <c r="O812" i="6"/>
  <c r="O316" i="5" s="1"/>
  <c r="L277" i="1"/>
  <c r="O1834" i="6"/>
  <c r="O2264" i="6"/>
  <c r="O864" i="5" s="1"/>
  <c r="O1045" i="6"/>
  <c r="O405" i="5" s="1"/>
  <c r="L114" i="1"/>
  <c r="L71" i="1"/>
  <c r="L18" i="1"/>
  <c r="L428" i="1"/>
  <c r="O3379" i="6"/>
  <c r="O630" i="6"/>
  <c r="O241" i="5" s="1"/>
  <c r="O2512" i="6"/>
  <c r="O954" i="5" s="1"/>
  <c r="O1572" i="6"/>
  <c r="O605" i="5" s="1"/>
  <c r="L59" i="1"/>
  <c r="L158" i="1"/>
  <c r="O2293" i="6"/>
  <c r="O877" i="5" s="1"/>
  <c r="O2158" i="6"/>
  <c r="O828" i="5" s="1"/>
  <c r="O3238" i="6"/>
  <c r="O1318" i="6"/>
  <c r="O510" i="5" s="1"/>
  <c r="O2550" i="6"/>
  <c r="O970" i="5" s="1"/>
  <c r="O653" i="6"/>
  <c r="O252" i="5" s="1"/>
  <c r="L60" i="1"/>
  <c r="L47" i="1"/>
  <c r="J167" i="11"/>
  <c r="J170" i="11" s="1"/>
  <c r="L418" i="1"/>
  <c r="N418" i="1" s="1"/>
  <c r="L170" i="1"/>
  <c r="H347" i="11"/>
  <c r="H350" i="11" s="1"/>
  <c r="L419" i="1"/>
  <c r="L171" i="1"/>
  <c r="L153" i="1"/>
  <c r="L430" i="1"/>
  <c r="L183" i="1"/>
  <c r="J311" i="11"/>
  <c r="J314" i="11" s="1"/>
  <c r="L314" i="11" s="1"/>
  <c r="M314" i="11" s="1"/>
  <c r="L395" i="1"/>
  <c r="L356" i="1"/>
  <c r="L400" i="1"/>
  <c r="T400" i="1" s="1"/>
  <c r="J71" i="11"/>
  <c r="J74" i="11" s="1"/>
  <c r="L413" i="1"/>
  <c r="L436" i="1"/>
  <c r="L355" i="1"/>
  <c r="L423" i="1"/>
  <c r="L394" i="1"/>
  <c r="L172" i="1"/>
  <c r="L184" i="1"/>
  <c r="L46" i="1"/>
  <c r="L160" i="1"/>
  <c r="L190" i="1"/>
  <c r="O3323" i="6"/>
  <c r="L48" i="1"/>
  <c r="O102" i="6"/>
  <c r="O48" i="5" s="1"/>
  <c r="O3239" i="6"/>
  <c r="O1221" i="5" s="1"/>
  <c r="O2984" i="6"/>
  <c r="O1273" i="6"/>
  <c r="O491" i="5" s="1"/>
  <c r="O129" i="6"/>
  <c r="O59" i="5" s="1"/>
  <c r="O399" i="6"/>
  <c r="O157" i="5" s="1"/>
  <c r="O3031" i="6"/>
  <c r="O1150" i="5" s="1"/>
  <c r="O2749" i="6"/>
  <c r="O1048" i="5" s="1"/>
  <c r="O1941" i="6"/>
  <c r="O747" i="5" s="1"/>
  <c r="O83" i="6"/>
  <c r="O3340" i="6"/>
  <c r="O1259" i="5" s="1"/>
  <c r="O715" i="6"/>
  <c r="O274" i="5" s="1"/>
  <c r="O1609" i="6"/>
  <c r="O621" i="5" s="1"/>
  <c r="O1755" i="6"/>
  <c r="O2986" i="6"/>
  <c r="O1135" i="5" s="1"/>
  <c r="O2102" i="6"/>
  <c r="O807" i="5" s="1"/>
  <c r="O2492" i="6"/>
  <c r="O949" i="5" s="1"/>
  <c r="O1850" i="6"/>
  <c r="O714" i="5" s="1"/>
  <c r="O2130" i="6"/>
  <c r="O816" i="5" s="1"/>
  <c r="O2548" i="6"/>
  <c r="O968" i="5" s="1"/>
  <c r="O2052" i="6"/>
  <c r="O788" i="5" s="1"/>
  <c r="J59" i="11"/>
  <c r="O3172" i="6"/>
  <c r="O1199" i="5" s="1"/>
  <c r="O3087" i="6"/>
  <c r="O1166" i="5" s="1"/>
  <c r="O227" i="6"/>
  <c r="O94" i="5" s="1"/>
  <c r="O36" i="6"/>
  <c r="O2416" i="6"/>
  <c r="O921" i="5" s="1"/>
  <c r="L411" i="1"/>
  <c r="H305" i="11"/>
  <c r="H308" i="11" s="1"/>
  <c r="H309" i="11" s="1"/>
  <c r="L166" i="1"/>
  <c r="O1985" i="6"/>
  <c r="O761" i="5" s="1"/>
  <c r="O2388" i="6"/>
  <c r="O909" i="5" s="1"/>
  <c r="O199" i="6"/>
  <c r="O81" i="5" s="1"/>
  <c r="O923" i="6"/>
  <c r="O2834" i="6"/>
  <c r="O1080" i="5" s="1"/>
  <c r="O1497" i="6"/>
  <c r="O579" i="5" s="1"/>
  <c r="O1591" i="6"/>
  <c r="O615" i="5" s="1"/>
  <c r="O1715" i="6"/>
  <c r="O663" i="5" s="1"/>
  <c r="O417" i="6"/>
  <c r="O161" i="5" s="1"/>
  <c r="O3247" i="6"/>
  <c r="O1223" i="5" s="1"/>
  <c r="J323" i="11"/>
  <c r="J326" i="11" s="1"/>
  <c r="L326" i="11" s="1"/>
  <c r="M326" i="11" s="1"/>
  <c r="O2377" i="6"/>
  <c r="O905" i="5" s="1"/>
  <c r="O1360" i="6"/>
  <c r="O526" i="5" s="1"/>
  <c r="O456" i="6"/>
  <c r="O177" i="5" s="1"/>
  <c r="O1902" i="6"/>
  <c r="O732" i="5" s="1"/>
  <c r="O1668" i="6"/>
  <c r="O645" i="5" s="1"/>
  <c r="O207" i="6"/>
  <c r="O83" i="5" s="1"/>
  <c r="O2466" i="6"/>
  <c r="O939" i="5" s="1"/>
  <c r="O1864" i="6"/>
  <c r="O721" i="5" s="1"/>
  <c r="O2189" i="6"/>
  <c r="O840" i="5" s="1"/>
  <c r="O637" i="6"/>
  <c r="O242" i="5" s="1"/>
  <c r="O2407" i="6"/>
  <c r="O919" i="5" s="1"/>
  <c r="O1317" i="6"/>
  <c r="O1920" i="6"/>
  <c r="O738" i="5" s="1"/>
  <c r="O1825" i="6"/>
  <c r="O704" i="5" s="1"/>
  <c r="O1489" i="6"/>
  <c r="O574" i="5" s="1"/>
  <c r="O1557" i="6"/>
  <c r="O601" i="5" s="1"/>
  <c r="O1875" i="6"/>
  <c r="O722" i="5" s="1"/>
  <c r="O267" i="6"/>
  <c r="O108" i="5" s="1"/>
  <c r="O2308" i="6"/>
  <c r="O883" i="5" s="1"/>
  <c r="O1780" i="6"/>
  <c r="O688" i="5" s="1"/>
  <c r="O1804" i="6"/>
  <c r="O697" i="5" s="1"/>
  <c r="L375" i="1"/>
  <c r="L369" i="1"/>
  <c r="L365" i="1"/>
  <c r="O999" i="6"/>
  <c r="O1334" i="6"/>
  <c r="O517" i="5" s="1"/>
  <c r="O2963" i="6"/>
  <c r="O1124" i="5" s="1"/>
  <c r="O2358" i="6"/>
  <c r="O900" i="5" s="1"/>
  <c r="O3039" i="6"/>
  <c r="O1152" i="5" s="1"/>
  <c r="O2342" i="6"/>
  <c r="O894" i="5" s="1"/>
  <c r="O2888" i="6"/>
  <c r="O1098" i="5" s="1"/>
  <c r="O1375" i="6"/>
  <c r="O283" i="6"/>
  <c r="O114" i="5" s="1"/>
  <c r="O2684" i="6"/>
  <c r="O1027" i="5" s="1"/>
  <c r="O1393" i="6"/>
  <c r="O536" i="5" s="1"/>
  <c r="O771" i="6"/>
  <c r="O324" i="6"/>
  <c r="O127" i="5" s="1"/>
  <c r="O3182" i="6"/>
  <c r="O1204" i="5" s="1"/>
  <c r="L278" i="1"/>
  <c r="O781" i="6"/>
  <c r="O300" i="5" s="1"/>
  <c r="O2664" i="6"/>
  <c r="O52" i="6"/>
  <c r="O29" i="5" s="1"/>
  <c r="O1308" i="6"/>
  <c r="O506" i="5" s="1"/>
  <c r="O446" i="6"/>
  <c r="O173" i="5" s="1"/>
  <c r="O3288" i="6"/>
  <c r="O1243" i="5" s="1"/>
  <c r="O118" i="6"/>
  <c r="O55" i="5" s="1"/>
  <c r="O314" i="6"/>
  <c r="O123" i="5" s="1"/>
  <c r="O697" i="6"/>
  <c r="O268" i="5" s="1"/>
  <c r="O1534" i="6"/>
  <c r="O594" i="5" s="1"/>
  <c r="O512" i="6"/>
  <c r="O197" i="5" s="1"/>
  <c r="O3229" i="6"/>
  <c r="O1218" i="5" s="1"/>
  <c r="O2657" i="6"/>
  <c r="O1012" i="5" s="1"/>
  <c r="O2786" i="6"/>
  <c r="O1059" i="5" s="1"/>
  <c r="O943" i="6"/>
  <c r="O364" i="5" s="1"/>
  <c r="O1426" i="6"/>
  <c r="O551" i="5" s="1"/>
  <c r="O1663" i="6"/>
  <c r="O643" i="5" s="1"/>
  <c r="O3089" i="6"/>
  <c r="O1168" i="5" s="1"/>
  <c r="O1441" i="6"/>
  <c r="O559" i="5" s="1"/>
  <c r="O1339" i="6"/>
  <c r="O519" i="5" s="1"/>
  <c r="O3190" i="6"/>
  <c r="O1206" i="5" s="1"/>
  <c r="O2878" i="6"/>
  <c r="O2425" i="6"/>
  <c r="O924" i="5" s="1"/>
  <c r="O2795" i="6"/>
  <c r="O1062" i="5" s="1"/>
  <c r="O2332" i="6"/>
  <c r="O890" i="5" s="1"/>
  <c r="O1749" i="6"/>
  <c r="O1583" i="6"/>
  <c r="O610" i="5" s="1"/>
  <c r="L62" i="1"/>
  <c r="J305" i="11"/>
  <c r="J308" i="11" s="1"/>
  <c r="J309" i="11" s="1"/>
  <c r="S1064" i="5" s="1"/>
  <c r="W1064" i="5" s="1"/>
  <c r="S363" i="1" s="1"/>
  <c r="T363" i="1" s="1"/>
  <c r="L360" i="1"/>
  <c r="O2938" i="6"/>
  <c r="O1114" i="5" s="1"/>
  <c r="O1265" i="6"/>
  <c r="O489" i="5" s="1"/>
  <c r="O1934" i="6"/>
  <c r="O743" i="5" s="1"/>
  <c r="O2168" i="6"/>
  <c r="O831" i="5" s="1"/>
  <c r="O488" i="6"/>
  <c r="O189" i="5" s="1"/>
  <c r="O589" i="6"/>
  <c r="O227" i="5" s="1"/>
  <c r="O2169" i="6"/>
  <c r="O832" i="5" s="1"/>
  <c r="O1282" i="6"/>
  <c r="O495" i="5" s="1"/>
  <c r="O2645" i="6"/>
  <c r="O1018" i="5" s="1"/>
  <c r="O1969" i="6"/>
  <c r="O755" i="5" s="1"/>
  <c r="O534" i="6"/>
  <c r="O205" i="5" s="1"/>
  <c r="O3098" i="6"/>
  <c r="O1171" i="5" s="1"/>
  <c r="O2567" i="6"/>
  <c r="O977" i="5" s="1"/>
  <c r="O2436" i="6"/>
  <c r="O929" i="5" s="1"/>
  <c r="O1376" i="6"/>
  <c r="O531" i="5" s="1"/>
  <c r="O1694" i="6"/>
  <c r="O654" i="5" s="1"/>
  <c r="O2887" i="6"/>
  <c r="O1936" i="6"/>
  <c r="O745" i="5" s="1"/>
  <c r="O3275" i="6"/>
  <c r="O1236" i="5" s="1"/>
  <c r="O1546" i="6"/>
  <c r="O2813" i="6"/>
  <c r="O1071" i="5" s="1"/>
  <c r="O2157" i="6"/>
  <c r="O827" i="5" s="1"/>
  <c r="O1656" i="6"/>
  <c r="O639" i="5" s="1"/>
  <c r="O2828" i="6"/>
  <c r="O1077" i="5" s="1"/>
  <c r="O498" i="6"/>
  <c r="O193" i="5" s="1"/>
  <c r="O463" i="6"/>
  <c r="O181" i="5" s="1"/>
  <c r="O475" i="6"/>
  <c r="O186" i="5" s="1"/>
  <c r="O1327" i="6"/>
  <c r="O513" i="5" s="1"/>
  <c r="O2727" i="6"/>
  <c r="O577" i="6"/>
  <c r="O222" i="5" s="1"/>
  <c r="O1947" i="6"/>
  <c r="O749" i="5" s="1"/>
  <c r="O2794" i="6"/>
  <c r="O2979" i="6"/>
  <c r="O1131" i="5" s="1"/>
  <c r="O2879" i="6"/>
  <c r="O1095" i="5" s="1"/>
  <c r="O819" i="6"/>
  <c r="O319" i="5" s="1"/>
  <c r="O2683" i="6"/>
  <c r="O1026" i="5" s="1"/>
  <c r="O1411" i="6"/>
  <c r="O545" i="5" s="1"/>
  <c r="O1522" i="6"/>
  <c r="O589" i="5" s="1"/>
  <c r="O437" i="6"/>
  <c r="O167" i="5" s="1"/>
  <c r="L431" i="1"/>
  <c r="O2176" i="6"/>
  <c r="O833" i="5" s="1"/>
  <c r="O177" i="6"/>
  <c r="O75" i="5" s="1"/>
  <c r="O1885" i="6"/>
  <c r="O726" i="5" s="1"/>
  <c r="O2835" i="6"/>
  <c r="O1081" i="5" s="1"/>
  <c r="O2672" i="6"/>
  <c r="O1021" i="5" s="1"/>
  <c r="O2822" i="6"/>
  <c r="O1074" i="5" s="1"/>
  <c r="O2521" i="6"/>
  <c r="O960" i="5" s="1"/>
  <c r="O2511" i="6"/>
  <c r="O1290" i="6"/>
  <c r="O497" i="5" s="1"/>
  <c r="O1386" i="6"/>
  <c r="O535" i="5" s="1"/>
  <c r="O3341" i="6"/>
  <c r="O1260" i="5" s="1"/>
  <c r="O2474" i="6"/>
  <c r="O942" i="5" s="1"/>
  <c r="O1462" i="6"/>
  <c r="O564" i="5" s="1"/>
  <c r="O2520" i="6"/>
  <c r="O959" i="5" s="1"/>
  <c r="O1714" i="6"/>
  <c r="O662" i="5" s="1"/>
  <c r="O2208" i="6"/>
  <c r="O2219" i="6"/>
  <c r="O850" i="5" s="1"/>
  <c r="O302" i="6"/>
  <c r="O119" i="5" s="1"/>
  <c r="O2759" i="6"/>
  <c r="O1051" i="5" s="1"/>
  <c r="O2872" i="6"/>
  <c r="O1093" i="5" s="1"/>
  <c r="O2072" i="6"/>
  <c r="O798" i="5" s="1"/>
  <c r="O2644" i="6"/>
  <c r="O1017" i="5" s="1"/>
  <c r="O160" i="6"/>
  <c r="O69" i="5" s="1"/>
  <c r="O1422" i="6"/>
  <c r="O550" i="5" s="1"/>
  <c r="O2956" i="6"/>
  <c r="O1123" i="5" s="1"/>
  <c r="O290" i="6"/>
  <c r="O116" i="5" s="1"/>
  <c r="O187" i="6"/>
  <c r="O77" i="5" s="1"/>
  <c r="O257" i="6"/>
  <c r="O1921" i="6"/>
  <c r="O739" i="5" s="1"/>
  <c r="O950" i="6"/>
  <c r="O368" i="5" s="1"/>
  <c r="O1809" i="6"/>
  <c r="O699" i="5" s="1"/>
  <c r="O2611" i="6"/>
  <c r="O997" i="5" s="1"/>
  <c r="O2738" i="6"/>
  <c r="O1045" i="5" s="1"/>
  <c r="O621" i="6"/>
  <c r="O238" i="5" s="1"/>
  <c r="O2283" i="6"/>
  <c r="O874" i="5" s="1"/>
  <c r="O2899" i="6"/>
  <c r="O1101" i="5" s="1"/>
  <c r="O1412" i="6"/>
  <c r="O546" i="5" s="1"/>
  <c r="O916" i="6"/>
  <c r="O354" i="5" s="1"/>
  <c r="O723" i="6"/>
  <c r="O279" i="5" s="1"/>
  <c r="O2729" i="6"/>
  <c r="O1042" i="5" s="1"/>
  <c r="O590" i="6"/>
  <c r="O228" i="5" s="1"/>
  <c r="O1547" i="6"/>
  <c r="O597" i="5" s="1"/>
  <c r="O2190" i="6"/>
  <c r="O841" i="5" s="1"/>
  <c r="O2775" i="6"/>
  <c r="O3006" i="6"/>
  <c r="O1141" i="5" s="1"/>
  <c r="O628" i="6"/>
  <c r="O239" i="5" s="1"/>
  <c r="O806" i="6"/>
  <c r="O313" i="5" s="1"/>
  <c r="O2066" i="6"/>
  <c r="O796" i="5" s="1"/>
  <c r="O544" i="6"/>
  <c r="O207" i="5" s="1"/>
  <c r="O790" i="6"/>
  <c r="O303" i="5" s="1"/>
  <c r="O333" i="6"/>
  <c r="O133" i="5" s="1"/>
  <c r="O2059" i="6"/>
  <c r="O792" i="5" s="1"/>
  <c r="O2691" i="6"/>
  <c r="O1030" i="5" s="1"/>
  <c r="O1102" i="6"/>
  <c r="O425" i="5" s="1"/>
  <c r="O347" i="6"/>
  <c r="O138" i="5" s="1"/>
  <c r="O352" i="6"/>
  <c r="O2458" i="6"/>
  <c r="O937" i="5" s="1"/>
  <c r="O92" i="6"/>
  <c r="O3333" i="6"/>
  <c r="O1258" i="5" s="1"/>
  <c r="O2483" i="6"/>
  <c r="O946" i="5" s="1"/>
  <c r="O2017" i="6"/>
  <c r="O772" i="5" s="1"/>
  <c r="O3390" i="6"/>
  <c r="O1275" i="5" s="1"/>
  <c r="O2217" i="6"/>
  <c r="O658" i="6"/>
  <c r="O3361" i="6"/>
  <c r="O1265" i="5" s="1"/>
  <c r="O3005" i="6"/>
  <c r="O1140" i="5" s="1"/>
  <c r="O2855" i="6"/>
  <c r="O1087" i="5" s="1"/>
  <c r="O2501" i="6"/>
  <c r="O73" i="6"/>
  <c r="O36" i="5" s="1"/>
  <c r="O2254" i="6"/>
  <c r="O861" i="5" s="1"/>
  <c r="O3173" i="6"/>
  <c r="O1200" i="5" s="1"/>
  <c r="O1582" i="6"/>
  <c r="O609" i="5" s="1"/>
  <c r="O469" i="6"/>
  <c r="O184" i="5" s="1"/>
  <c r="O2307" i="6"/>
  <c r="O882" i="5" s="1"/>
  <c r="O2827" i="6"/>
  <c r="O1076" i="5" s="1"/>
  <c r="O743" i="6"/>
  <c r="O289" i="5" s="1"/>
  <c r="O2084" i="6"/>
  <c r="O1723" i="6"/>
  <c r="O666" i="5" s="1"/>
  <c r="O2095" i="6"/>
  <c r="O805" i="5" s="1"/>
  <c r="O1684" i="6"/>
  <c r="O1093" i="6"/>
  <c r="O422" i="5" s="1"/>
  <c r="L437" i="1"/>
  <c r="L426" i="1"/>
  <c r="O639" i="6"/>
  <c r="O244" i="5" s="1"/>
  <c r="O688" i="6"/>
  <c r="O264" i="5" s="1"/>
  <c r="O1657" i="6"/>
  <c r="O640" i="5" s="1"/>
  <c r="O2312" i="6"/>
  <c r="O884" i="5" s="1"/>
  <c r="O1893" i="6"/>
  <c r="O729" i="5" s="1"/>
  <c r="O3416" i="6"/>
  <c r="O1286" i="5" s="1"/>
  <c r="O111" i="6"/>
  <c r="O51" i="5" s="1"/>
  <c r="O1675" i="6"/>
  <c r="O647" i="5" s="1"/>
  <c r="O3211" i="6"/>
  <c r="O1212" i="5" s="1"/>
  <c r="O2357" i="6"/>
  <c r="O899" i="5" s="1"/>
  <c r="O1452" i="6"/>
  <c r="O560" i="5" s="1"/>
  <c r="O728" i="6"/>
  <c r="O281" i="5" s="1"/>
  <c r="O2255" i="6"/>
  <c r="O862" i="5" s="1"/>
  <c r="O3391" i="6"/>
  <c r="O1276" i="5" s="1"/>
  <c r="O3257" i="6"/>
  <c r="O1230" i="5" s="1"/>
  <c r="O1478" i="6"/>
  <c r="O569" i="5" s="1"/>
  <c r="O2598" i="6"/>
  <c r="O994" i="5" s="1"/>
  <c r="O638" i="6"/>
  <c r="O243" i="5" s="1"/>
  <c r="O1326" i="6"/>
  <c r="O512" i="5" s="1"/>
  <c r="O1843" i="6"/>
  <c r="O710" i="5" s="1"/>
  <c r="O1844" i="6"/>
  <c r="O711" i="5" s="1"/>
  <c r="O2964" i="6"/>
  <c r="O1125" i="5" s="1"/>
  <c r="O354" i="6"/>
  <c r="O142" i="5" s="1"/>
  <c r="O3265" i="6"/>
  <c r="O1232" i="5" s="1"/>
  <c r="O2703" i="6"/>
  <c r="O1032" i="5" s="1"/>
  <c r="O2926" i="6"/>
  <c r="O1109" i="5" s="1"/>
  <c r="O1085" i="6"/>
  <c r="O419" i="5" s="1"/>
  <c r="O2367" i="6"/>
  <c r="O903" i="5" s="1"/>
  <c r="O2396" i="6"/>
  <c r="O1232" i="6"/>
  <c r="O476" i="5" s="1"/>
  <c r="O880" i="6"/>
  <c r="O341" i="5" s="1"/>
  <c r="O2880" i="6"/>
  <c r="O1096" i="5" s="1"/>
  <c r="O2015" i="6"/>
  <c r="O1333" i="6"/>
  <c r="O516" i="5" s="1"/>
  <c r="O804" i="6"/>
  <c r="O311" i="5" s="1"/>
  <c r="O2253" i="6"/>
  <c r="O860" i="5" s="1"/>
  <c r="O2556" i="6"/>
  <c r="O973" i="5" s="1"/>
  <c r="O1686" i="6"/>
  <c r="O652" i="5" s="1"/>
  <c r="O2273" i="6"/>
  <c r="O870" i="5" s="1"/>
  <c r="O169" i="6"/>
  <c r="O73" i="5" s="1"/>
  <c r="O3307" i="6"/>
  <c r="O1248" i="5" s="1"/>
  <c r="O2713" i="6"/>
  <c r="O1036" i="5" s="1"/>
  <c r="O2992" i="6"/>
  <c r="O1137" i="5" s="1"/>
  <c r="O1646" i="6"/>
  <c r="O635" i="5" s="1"/>
  <c r="O1496" i="6"/>
  <c r="O3256" i="6"/>
  <c r="O1229" i="5" s="1"/>
  <c r="O2026" i="6"/>
  <c r="O778" i="5" s="1"/>
  <c r="O3212" i="6"/>
  <c r="O1213" i="5" s="1"/>
  <c r="O2747" i="6"/>
  <c r="O2243" i="6"/>
  <c r="O858" i="5" s="1"/>
  <c r="O1377" i="6"/>
  <c r="O532" i="5" s="1"/>
  <c r="O3363" i="6"/>
  <c r="O1267" i="5" s="1"/>
  <c r="O63" i="6"/>
  <c r="O34" i="5" s="1"/>
  <c r="O276" i="6"/>
  <c r="O112" i="5" s="1"/>
  <c r="O1292" i="6"/>
  <c r="O499" i="5" s="1"/>
  <c r="O2334" i="6"/>
  <c r="O892" i="5" s="1"/>
  <c r="O16" i="6"/>
  <c r="O19" i="5" s="1"/>
  <c r="O942" i="6"/>
  <c r="O363" i="5" s="1"/>
  <c r="O1319" i="6"/>
  <c r="O511" i="5" s="1"/>
  <c r="O532" i="6"/>
  <c r="O203" i="5" s="1"/>
  <c r="O2777" i="6"/>
  <c r="O1057" i="5" s="1"/>
  <c r="O756" i="6"/>
  <c r="O292" i="5" s="1"/>
  <c r="O764" i="6"/>
  <c r="O294" i="5" s="1"/>
  <c r="O2702" i="6"/>
  <c r="O1031" i="5" s="1"/>
  <c r="O341" i="6"/>
  <c r="O135" i="5" s="1"/>
  <c r="O3022" i="6"/>
  <c r="O1146" i="5" s="1"/>
  <c r="O619" i="6"/>
  <c r="O236" i="5" s="1"/>
  <c r="O849" i="6"/>
  <c r="O328" i="5" s="1"/>
  <c r="O1928" i="6"/>
  <c r="O3425" i="6"/>
  <c r="O1289" i="5" s="1"/>
  <c r="O1808" i="6"/>
  <c r="O698" i="5" s="1"/>
  <c r="O1802" i="6"/>
  <c r="O695" i="5" s="1"/>
  <c r="O2321" i="6"/>
  <c r="O889" i="5" s="1"/>
  <c r="O964" i="6"/>
  <c r="O376" i="5" s="1"/>
  <c r="O2650" i="6"/>
  <c r="O1008" i="5" s="1"/>
  <c r="O1894" i="6"/>
  <c r="O730" i="5" s="1"/>
  <c r="O584" i="6"/>
  <c r="O226" i="5" s="1"/>
  <c r="O2209" i="6"/>
  <c r="O846" i="5" s="1"/>
  <c r="O372" i="6"/>
  <c r="O146" i="5" s="1"/>
  <c r="O360" i="6"/>
  <c r="O144" i="5" s="1"/>
  <c r="L424" i="1"/>
  <c r="L408" i="1"/>
  <c r="H353" i="11"/>
  <c r="H356" i="11" s="1"/>
  <c r="H357" i="11" s="1"/>
  <c r="O1271" i="5"/>
  <c r="O248" i="5"/>
  <c r="O38" i="5"/>
  <c r="O1133" i="5"/>
  <c r="L237" i="1"/>
  <c r="L238" i="1"/>
  <c r="O1013" i="5"/>
  <c r="O1097" i="5"/>
  <c r="O596" i="5"/>
  <c r="O1151" i="5"/>
  <c r="L16" i="1"/>
  <c r="L15" i="1"/>
  <c r="L14" i="1"/>
  <c r="L24" i="1"/>
  <c r="D45" i="8"/>
  <c r="L289" i="1"/>
  <c r="L288" i="1"/>
  <c r="L294" i="1"/>
  <c r="L290" i="1"/>
  <c r="L298" i="1"/>
  <c r="L58" i="1"/>
  <c r="L56" i="1"/>
  <c r="L66" i="1"/>
  <c r="L57" i="1"/>
  <c r="D16" i="8"/>
  <c r="H51" i="8"/>
  <c r="I48" i="8" s="1"/>
  <c r="L322" i="1"/>
  <c r="L321" i="1"/>
  <c r="L323" i="1"/>
  <c r="L231" i="1"/>
  <c r="L232" i="1"/>
  <c r="L249" i="1"/>
  <c r="L251" i="1"/>
  <c r="L253" i="1"/>
  <c r="L250" i="1"/>
  <c r="L248" i="1"/>
  <c r="O1196" i="6"/>
  <c r="O984" i="6"/>
  <c r="O382" i="5" s="1"/>
  <c r="O131" i="6"/>
  <c r="O61" i="5" s="1"/>
  <c r="O2465" i="6"/>
  <c r="O1144" i="6"/>
  <c r="O1051" i="6"/>
  <c r="O408" i="5" s="1"/>
  <c r="O1340" i="6"/>
  <c r="O3267" i="6"/>
  <c r="O1234" i="5" s="1"/>
  <c r="O736" i="6"/>
  <c r="O286" i="5" s="1"/>
  <c r="O1750" i="6"/>
  <c r="O675" i="5" s="1"/>
  <c r="O1789" i="6"/>
  <c r="O691" i="5" s="1"/>
  <c r="O1507" i="6"/>
  <c r="O583" i="5" s="1"/>
  <c r="O2481" i="6"/>
  <c r="O1309" i="6"/>
  <c r="O507" i="5" s="1"/>
  <c r="O2149" i="6"/>
  <c r="O825" i="5" s="1"/>
  <c r="O1151" i="6"/>
  <c r="O447" i="5" s="1"/>
  <c r="O992" i="6"/>
  <c r="O384" i="5" s="1"/>
  <c r="O3097" i="6"/>
  <c r="O1170" i="5" s="1"/>
  <c r="O735" i="6"/>
  <c r="O285" i="5" s="1"/>
  <c r="O881" i="6"/>
  <c r="O342" i="5" s="1"/>
  <c r="O1129" i="6"/>
  <c r="O1179" i="6"/>
  <c r="O2561" i="6"/>
  <c r="O975" i="5" s="1"/>
  <c r="O705" i="6"/>
  <c r="O270" i="5" s="1"/>
  <c r="O1113" i="6"/>
  <c r="O430" i="5" s="1"/>
  <c r="O1121" i="6"/>
  <c r="O435" i="5" s="1"/>
  <c r="O2676" i="6"/>
  <c r="O2282" i="6"/>
  <c r="O873" i="5" s="1"/>
  <c r="O1638" i="6"/>
  <c r="O633" i="5" s="1"/>
  <c r="O331" i="6"/>
  <c r="O74" i="6"/>
  <c r="O37" i="5" s="1"/>
  <c r="O798" i="6"/>
  <c r="O1886" i="6"/>
  <c r="O727" i="5" s="1"/>
  <c r="O462" i="6"/>
  <c r="O180" i="5" s="1"/>
  <c r="O2119" i="6"/>
  <c r="O813" i="5" s="1"/>
  <c r="O1044" i="6"/>
  <c r="O983" i="6"/>
  <c r="O381" i="5" s="1"/>
  <c r="O1037" i="6"/>
  <c r="O403" i="5" s="1"/>
  <c r="O3021" i="6"/>
  <c r="O239" i="6"/>
  <c r="O100" i="5" s="1"/>
  <c r="O2320" i="6"/>
  <c r="O888" i="5" s="1"/>
  <c r="O1246" i="6"/>
  <c r="O484" i="5" s="1"/>
  <c r="O3156" i="6"/>
  <c r="O1194" i="5" s="1"/>
  <c r="O2456" i="6"/>
  <c r="O218" i="6"/>
  <c r="O91" i="5" s="1"/>
  <c r="O1187" i="6"/>
  <c r="O1233" i="6"/>
  <c r="O477" i="5" s="1"/>
  <c r="O2291" i="6"/>
  <c r="O613" i="6"/>
  <c r="O235" i="5" s="1"/>
  <c r="O2539" i="6"/>
  <c r="O46" i="6"/>
  <c r="O28" i="5" s="1"/>
  <c r="O291" i="6"/>
  <c r="O117" i="5" s="1"/>
  <c r="O1433" i="6"/>
  <c r="O555" i="5" s="1"/>
  <c r="O1615" i="6"/>
  <c r="O624" i="5" s="1"/>
  <c r="O810" i="6"/>
  <c r="O1471" i="6"/>
  <c r="O568" i="5" s="1"/>
  <c r="O773" i="6"/>
  <c r="O298" i="5" s="1"/>
  <c r="O2736" i="6"/>
  <c r="O1359" i="6"/>
  <c r="O525" i="5" s="1"/>
  <c r="O110" i="6"/>
  <c r="O1630" i="6"/>
  <c r="O631" i="5" s="1"/>
  <c r="O3210" i="6"/>
  <c r="O1942" i="6"/>
  <c r="O748" i="5" s="1"/>
  <c r="O353" i="6"/>
  <c r="O141" i="5" s="1"/>
  <c r="O2889" i="6"/>
  <c r="O1099" i="5" s="1"/>
  <c r="O1929" i="6"/>
  <c r="O741" i="5" s="1"/>
  <c r="O2597" i="6"/>
  <c r="O993" i="5" s="1"/>
  <c r="O1771" i="6"/>
  <c r="O685" i="5" s="1"/>
  <c r="O1139" i="6"/>
  <c r="O441" i="5" s="1"/>
  <c r="O1152" i="6"/>
  <c r="O448" i="5" s="1"/>
  <c r="O2531" i="6"/>
  <c r="O964" i="5" s="1"/>
  <c r="O1862" i="6"/>
  <c r="O1971" i="6"/>
  <c r="O757" i="5" s="1"/>
  <c r="O1310" i="6"/>
  <c r="O508" i="5" s="1"/>
  <c r="O561" i="6"/>
  <c r="O3060" i="6"/>
  <c r="O1158" i="5" s="1"/>
  <c r="O2314" i="6"/>
  <c r="O886" i="5" s="1"/>
  <c r="O2235" i="6"/>
  <c r="O856" i="5" s="1"/>
  <c r="O1299" i="6"/>
  <c r="O1836" i="6"/>
  <c r="O709" i="5" s="1"/>
  <c r="O1648" i="6"/>
  <c r="O637" i="5" s="1"/>
  <c r="O2343" i="6"/>
  <c r="O895" i="5" s="1"/>
  <c r="O233" i="6"/>
  <c r="O97" i="5" s="1"/>
  <c r="O2821" i="6"/>
  <c r="O1301" i="6"/>
  <c r="O502" i="5" s="1"/>
  <c r="O1610" i="6"/>
  <c r="O622" i="5" s="1"/>
  <c r="O238" i="6"/>
  <c r="O99" i="5" s="1"/>
  <c r="O952" i="6"/>
  <c r="O370" i="5" s="1"/>
  <c r="O906" i="6"/>
  <c r="O1733" i="6"/>
  <c r="O670" i="5" s="1"/>
  <c r="O1763" i="6"/>
  <c r="O682" i="5" s="1"/>
  <c r="O3107" i="6"/>
  <c r="O1177" i="5" s="1"/>
  <c r="O1281" i="6"/>
  <c r="O122" i="6"/>
  <c r="O1018" i="6"/>
  <c r="O393" i="5" s="1"/>
  <c r="O3249" i="6"/>
  <c r="O1225" i="5" s="1"/>
  <c r="O1440" i="6"/>
  <c r="O558" i="5" s="1"/>
  <c r="O2689" i="6"/>
  <c r="O322" i="6"/>
  <c r="O2776" i="6"/>
  <c r="O1056" i="5" s="1"/>
  <c r="O1620" i="6"/>
  <c r="O1751" i="6"/>
  <c r="O676" i="5" s="1"/>
  <c r="O3228" i="6"/>
  <c r="O2405" i="6"/>
  <c r="O383" i="6"/>
  <c r="O151" i="5" s="1"/>
  <c r="O2431" i="6"/>
  <c r="O927" i="5" s="1"/>
  <c r="O2379" i="6"/>
  <c r="O907" i="5" s="1"/>
  <c r="O841" i="6"/>
  <c r="O325" i="5" s="1"/>
  <c r="O667" i="6"/>
  <c r="O259" i="5" s="1"/>
  <c r="O1935" i="6"/>
  <c r="O744" i="5" s="1"/>
  <c r="O2974" i="6"/>
  <c r="O1129" i="5" s="1"/>
  <c r="O2086" i="6"/>
  <c r="O802" i="5" s="1"/>
  <c r="O3219" i="6"/>
  <c r="O3408" i="6"/>
  <c r="O1284" i="5" s="1"/>
  <c r="O1892" i="6"/>
  <c r="O3399" i="6"/>
  <c r="O1278" i="5" s="1"/>
  <c r="O523" i="6"/>
  <c r="O202" i="5" s="1"/>
  <c r="O3155" i="6"/>
  <c r="O1628" i="6"/>
  <c r="O917" i="6"/>
  <c r="O355" i="5" s="1"/>
  <c r="O390" i="6"/>
  <c r="O153" i="5" s="1"/>
  <c r="O1581" i="6"/>
  <c r="O704" i="6"/>
  <c r="O274" i="6"/>
  <c r="O1346" i="6"/>
  <c r="O522" i="5" s="1"/>
  <c r="O724" i="6"/>
  <c r="O280" i="5" s="1"/>
  <c r="O1911" i="6"/>
  <c r="O735" i="5" s="1"/>
  <c r="O3221" i="6"/>
  <c r="O1216" i="5" s="1"/>
  <c r="O2590" i="6"/>
  <c r="O990" i="5" s="1"/>
  <c r="O2064" i="6"/>
  <c r="O142" i="6"/>
  <c r="O2093" i="6"/>
  <c r="O1573" i="6"/>
  <c r="O606" i="5" s="1"/>
  <c r="O934" i="6"/>
  <c r="O361" i="5" s="1"/>
  <c r="O2908" i="6"/>
  <c r="O200" i="6"/>
  <c r="O82" i="5" s="1"/>
  <c r="O3407" i="6"/>
  <c r="O2900" i="6"/>
  <c r="O1102" i="5" s="1"/>
  <c r="O915" i="6"/>
  <c r="O1994" i="6"/>
  <c r="O2111" i="6"/>
  <c r="O811" i="5" s="1"/>
  <c r="O571" i="6"/>
  <c r="O219" i="5" s="1"/>
  <c r="O2150" i="6"/>
  <c r="O826" i="5" s="1"/>
  <c r="O3061" i="6"/>
  <c r="O1159" i="5" s="1"/>
  <c r="O3417" i="6"/>
  <c r="O1287" i="5" s="1"/>
  <c r="O2529" i="6"/>
  <c r="O130" i="6"/>
  <c r="O60" i="5" s="1"/>
  <c r="O1778" i="6"/>
  <c r="O2387" i="6"/>
  <c r="O831" i="6"/>
  <c r="O321" i="5" s="1"/>
  <c r="O1639" i="6"/>
  <c r="O634" i="5" s="1"/>
  <c r="O2045" i="6"/>
  <c r="O787" i="5" s="1"/>
  <c r="O1762" i="6"/>
  <c r="O681" i="5" s="1"/>
  <c r="O447" i="6"/>
  <c r="O174" i="5" s="1"/>
  <c r="O582" i="6"/>
  <c r="O2389" i="6"/>
  <c r="O910" i="5" s="1"/>
  <c r="O680" i="6"/>
  <c r="O262" i="5" s="1"/>
  <c r="O1637" i="6"/>
  <c r="O3266" i="6"/>
  <c r="O1233" i="5" s="1"/>
  <c r="O1520" i="6"/>
  <c r="O313" i="6"/>
  <c r="O3230" i="6"/>
  <c r="O1219" i="5" s="1"/>
  <c r="O1919" i="6"/>
  <c r="O1616" i="6"/>
  <c r="O625" i="5" s="1"/>
  <c r="O1827" i="6"/>
  <c r="O706" i="5" s="1"/>
  <c r="O2560" i="6"/>
  <c r="O714" i="6"/>
  <c r="O273" i="5" s="1"/>
  <c r="O3220" i="6"/>
  <c r="O1215" i="5" s="1"/>
  <c r="O3201" i="6"/>
  <c r="O1209" i="5" s="1"/>
  <c r="O268" i="6"/>
  <c r="O109" i="5" s="1"/>
  <c r="O2918" i="6"/>
  <c r="O1107" i="5" s="1"/>
  <c r="O1216" i="6"/>
  <c r="O472" i="5" s="1"/>
  <c r="O292" i="6"/>
  <c r="O118" i="5" s="1"/>
  <c r="O1427" i="6"/>
  <c r="O552" i="5" s="1"/>
  <c r="O832" i="6"/>
  <c r="O322" i="5" s="1"/>
  <c r="O1095" i="6"/>
  <c r="O424" i="5" s="1"/>
  <c r="O1214" i="6"/>
  <c r="O3029" i="6"/>
  <c r="O958" i="6"/>
  <c r="O373" i="5" s="1"/>
  <c r="O886" i="6"/>
  <c r="O2767" i="6"/>
  <c r="O1053" i="5" s="1"/>
  <c r="O1439" i="6"/>
  <c r="O2555" i="6"/>
  <c r="O972" i="5" s="1"/>
  <c r="O2024" i="6"/>
  <c r="O1454" i="6"/>
  <c r="O562" i="5" s="1"/>
  <c r="O1017" i="6"/>
  <c r="O1056" i="6"/>
  <c r="O1131" i="6"/>
  <c r="O439" i="5" s="1"/>
  <c r="O1731" i="6"/>
  <c r="O2417" i="6"/>
  <c r="O922" i="5" s="1"/>
  <c r="O533" i="6"/>
  <c r="O204" i="5" s="1"/>
  <c r="O1010" i="6"/>
  <c r="O391" i="5" s="1"/>
  <c r="O1826" i="6"/>
  <c r="O705" i="5" s="1"/>
  <c r="O3200" i="6"/>
  <c r="O1722" i="6"/>
  <c r="O1197" i="6"/>
  <c r="O462" i="5" s="1"/>
  <c r="O1205" i="6"/>
  <c r="O3105" i="6"/>
  <c r="O487" i="6"/>
  <c r="O3274" i="6"/>
  <c r="O266" i="6"/>
  <c r="O648" i="6"/>
  <c r="O250" i="5" s="1"/>
  <c r="O3287" i="6"/>
  <c r="O1242" i="5" s="1"/>
  <c r="O754" i="6"/>
  <c r="O2225" i="6"/>
  <c r="O123" i="6"/>
  <c r="O57" i="5" s="1"/>
  <c r="O1150" i="6"/>
  <c r="O1122" i="6"/>
  <c r="O436" i="5" s="1"/>
  <c r="O1157" i="6"/>
  <c r="O1787" i="6"/>
  <c r="O522" i="6"/>
  <c r="O201" i="5" s="1"/>
  <c r="O3059" i="6"/>
  <c r="O1077" i="6"/>
  <c r="O417" i="5" s="1"/>
  <c r="O1662" i="6"/>
  <c r="O642" i="5" s="1"/>
  <c r="O572" i="6"/>
  <c r="O220" i="5" s="1"/>
  <c r="O3281" i="6"/>
  <c r="O1239" i="5" s="1"/>
  <c r="O1063" i="6"/>
  <c r="O2871" i="6"/>
  <c r="O1092" i="5" s="1"/>
  <c r="O2444" i="6"/>
  <c r="O933" i="5" s="1"/>
  <c r="O1283" i="6"/>
  <c r="O496" i="5" s="1"/>
  <c r="O29" i="6"/>
  <c r="O22" i="5" s="1"/>
  <c r="O1996" i="6"/>
  <c r="O766" i="5" s="1"/>
  <c r="O3433" i="6"/>
  <c r="O1294" i="5" s="1"/>
  <c r="O2182" i="6"/>
  <c r="O382" i="6"/>
  <c r="O150" i="5" s="1"/>
  <c r="O468" i="6"/>
  <c r="O183" i="5" s="1"/>
  <c r="O1027" i="6"/>
  <c r="O399" i="5" s="1"/>
  <c r="O1856" i="6"/>
  <c r="O717" i="5" s="1"/>
  <c r="O553" i="6"/>
  <c r="O210" i="5" s="1"/>
  <c r="O1358" i="6"/>
  <c r="O3315" i="6"/>
  <c r="O216" i="6"/>
  <c r="O2768" i="6"/>
  <c r="O1054" i="5" s="1"/>
  <c r="O2569" i="6"/>
  <c r="O979" i="5" s="1"/>
  <c r="O84" i="6"/>
  <c r="O39" i="5" s="1"/>
  <c r="O1709" i="6"/>
  <c r="O660" i="5" s="1"/>
  <c r="O3135" i="6"/>
  <c r="O2196" i="6"/>
  <c r="O843" i="5" s="1"/>
  <c r="O1058" i="6"/>
  <c r="O412" i="5" s="1"/>
  <c r="O3125" i="6"/>
  <c r="O1183" i="5" s="1"/>
  <c r="O1206" i="6"/>
  <c r="O465" i="5" s="1"/>
  <c r="O1732" i="6"/>
  <c r="O669" i="5" s="1"/>
  <c r="O391" i="6"/>
  <c r="O154" i="5" s="1"/>
  <c r="O858" i="6"/>
  <c r="O331" i="5" s="1"/>
  <c r="O3051" i="6"/>
  <c r="O1156" i="5" s="1"/>
  <c r="O1138" i="6"/>
  <c r="O3353" i="6"/>
  <c r="O1264" i="5" s="1"/>
  <c r="O2627" i="6"/>
  <c r="O1002" i="5" s="1"/>
  <c r="O552" i="6"/>
  <c r="O1703" i="6"/>
  <c r="O657" i="5" s="1"/>
  <c r="O782" i="6"/>
  <c r="O301" i="5" s="1"/>
  <c r="O2677" i="6"/>
  <c r="O1023" i="5" s="1"/>
  <c r="O2909" i="6"/>
  <c r="O1104" i="5" s="1"/>
  <c r="O2785" i="6"/>
  <c r="O1903" i="6"/>
  <c r="O733" i="5" s="1"/>
  <c r="O3078" i="6"/>
  <c r="O1164" i="5" s="1"/>
  <c r="O2073" i="6"/>
  <c r="O799" i="5" s="1"/>
  <c r="O303" i="6"/>
  <c r="O120" i="5" s="1"/>
  <c r="O2378" i="6"/>
  <c r="O906" i="5" s="1"/>
  <c r="O1742" i="6"/>
  <c r="O673" i="5" s="1"/>
  <c r="O397" i="6"/>
  <c r="O2244" i="6"/>
  <c r="O859" i="5" s="1"/>
  <c r="O666" i="6"/>
  <c r="O258" i="5" s="1"/>
  <c r="O3114" i="6"/>
  <c r="O2263" i="6"/>
  <c r="O1599" i="6"/>
  <c r="O2973" i="6"/>
  <c r="O1128" i="5" s="1"/>
  <c r="O3427" i="6"/>
  <c r="O1291" i="5" s="1"/>
  <c r="O2053" i="6"/>
  <c r="O789" i="5" s="1"/>
  <c r="O72" i="6"/>
  <c r="O847" i="6"/>
  <c r="O3380" i="6"/>
  <c r="O1272" i="5" s="1"/>
  <c r="O2898" i="6"/>
  <c r="O406" i="6"/>
  <c r="O830" i="6"/>
  <c r="O1345" i="6"/>
  <c r="O3030" i="6"/>
  <c r="O1149" i="5" s="1"/>
  <c r="O679" i="6"/>
  <c r="O261" i="5" s="1"/>
  <c r="O2585" i="6"/>
  <c r="O988" i="5" s="1"/>
  <c r="O840" i="6"/>
  <c r="O324" i="5" s="1"/>
  <c r="O2671" i="6"/>
  <c r="O1020" i="5" s="1"/>
  <c r="O1548" i="6"/>
  <c r="O598" i="5" s="1"/>
  <c r="O3248" i="6"/>
  <c r="O1224" i="5" s="1"/>
  <c r="O1244" i="6"/>
  <c r="O2184" i="6"/>
  <c r="O838" i="5" s="1"/>
  <c r="O2665" i="6"/>
  <c r="O1014" i="5" s="1"/>
  <c r="O2690" i="6"/>
  <c r="O1029" i="5" s="1"/>
  <c r="O848" i="6"/>
  <c r="O327" i="5" s="1"/>
  <c r="O2634" i="6"/>
  <c r="O660" i="6"/>
  <c r="O256" i="5" s="1"/>
  <c r="O44" i="6"/>
  <c r="O741" i="6"/>
  <c r="O620" i="6"/>
  <c r="O237" i="5" s="1"/>
  <c r="O2670" i="6"/>
  <c r="O3351" i="6"/>
  <c r="O3316" i="6"/>
  <c r="O1251" i="5" s="1"/>
  <c r="O340" i="6"/>
  <c r="O2178" i="6"/>
  <c r="O835" i="5" s="1"/>
  <c r="O1251" i="6"/>
  <c r="O2945" i="6"/>
  <c r="O3282" i="6"/>
  <c r="O1240" i="5" s="1"/>
  <c r="O2619" i="6"/>
  <c r="O999" i="5" s="1"/>
  <c r="O1710" i="6"/>
  <c r="O661" i="5" s="1"/>
  <c r="O2005" i="6"/>
  <c r="O3096" i="6"/>
  <c r="O474" i="6"/>
  <c r="O2148" i="6"/>
  <c r="O941" i="6"/>
  <c r="O1266" i="6"/>
  <c r="O490" i="5" s="1"/>
  <c r="O2265" i="6"/>
  <c r="O865" i="5" s="1"/>
  <c r="O2589" i="6"/>
  <c r="O957" i="6"/>
  <c r="O372" i="5" s="1"/>
  <c r="O245" i="6"/>
  <c r="O102" i="5" s="1"/>
  <c r="O2103" i="6"/>
  <c r="O808" i="5" s="1"/>
  <c r="O1521" i="6"/>
  <c r="O588" i="5" s="1"/>
  <c r="O1453" i="6"/>
  <c r="O561" i="5" s="1"/>
  <c r="O3331" i="6"/>
  <c r="O1555" i="6"/>
  <c r="O225" i="6"/>
  <c r="O3144" i="6"/>
  <c r="O1192" i="5" s="1"/>
  <c r="O3295" i="6"/>
  <c r="O1246" i="5" s="1"/>
  <c r="O925" i="6"/>
  <c r="O358" i="5" s="1"/>
  <c r="O2568" i="6"/>
  <c r="O978" i="5" s="1"/>
  <c r="O2554" i="6"/>
  <c r="O765" i="6"/>
  <c r="O295" i="5" s="1"/>
  <c r="O429" i="6"/>
  <c r="O165" i="5" s="1"/>
  <c r="O2349" i="6"/>
  <c r="O3079" i="6"/>
  <c r="O1165" i="5" s="1"/>
  <c r="O2578" i="6"/>
  <c r="O984" i="5" s="1"/>
  <c r="O3106" i="6"/>
  <c r="O1176" i="5" s="1"/>
  <c r="O578" i="6"/>
  <c r="O223" i="5" s="1"/>
  <c r="O734" i="6"/>
  <c r="O1104" i="6"/>
  <c r="O427" i="5" s="1"/>
  <c r="O1171" i="6"/>
  <c r="O453" i="5" s="1"/>
  <c r="O112" i="6"/>
  <c r="O52" i="5" s="1"/>
  <c r="O1574" i="6"/>
  <c r="O607" i="5" s="1"/>
  <c r="O151" i="6"/>
  <c r="O3181" i="6"/>
  <c r="O1203" i="5" s="1"/>
  <c r="O1328" i="6"/>
  <c r="O514" i="5" s="1"/>
  <c r="O1647" i="6"/>
  <c r="O636" i="5" s="1"/>
  <c r="O3293" i="6"/>
  <c r="O1050" i="6"/>
  <c r="O2094" i="6"/>
  <c r="O804" i="5" s="1"/>
  <c r="O1757" i="6"/>
  <c r="O679" i="5" s="1"/>
  <c r="O85" i="6"/>
  <c r="O40" i="5" s="1"/>
  <c r="O1180" i="6"/>
  <c r="O456" i="5" s="1"/>
  <c r="O1877" i="6"/>
  <c r="O724" i="5" s="1"/>
  <c r="O755" i="6"/>
  <c r="O291" i="5" s="1"/>
  <c r="O3070" i="6"/>
  <c r="O1162" i="5" s="1"/>
  <c r="O1810" i="6"/>
  <c r="O700" i="5" s="1"/>
  <c r="O1367" i="6"/>
  <c r="O3280" i="6"/>
  <c r="O3202" i="6"/>
  <c r="O1210" i="5" s="1"/>
  <c r="O323" i="6"/>
  <c r="O126" i="5" s="1"/>
  <c r="O198" i="6"/>
  <c r="O1008" i="6"/>
  <c r="O1223" i="6"/>
  <c r="O1111" i="6"/>
  <c r="O398" i="6"/>
  <c r="O156" i="5" s="1"/>
  <c r="O2071" i="6"/>
  <c r="O2748" i="6"/>
  <c r="O1047" i="5" s="1"/>
  <c r="O1159" i="6"/>
  <c r="O451" i="5" s="1"/>
  <c r="O2233" i="6"/>
  <c r="O497" i="6"/>
  <c r="O192" i="5" s="1"/>
  <c r="O2141" i="6"/>
  <c r="O820" i="5" s="1"/>
  <c r="O1181" i="6"/>
  <c r="O457" i="5" s="1"/>
  <c r="O521" i="6"/>
  <c r="O2955" i="6"/>
  <c r="O1122" i="5" s="1"/>
  <c r="O2350" i="6"/>
  <c r="O897" i="5" s="1"/>
  <c r="O652" i="6"/>
  <c r="O2787" i="6"/>
  <c r="O1060" i="5" s="1"/>
  <c r="O2863" i="6"/>
  <c r="O1089" i="5" s="1"/>
  <c r="O2636" i="6"/>
  <c r="O1006" i="5" s="1"/>
  <c r="O2025" i="6"/>
  <c r="O777" i="5" s="1"/>
  <c r="O1264" i="6"/>
  <c r="O1028" i="6"/>
  <c r="O400" i="5" s="1"/>
  <c r="O1207" i="6"/>
  <c r="O466" i="5" s="1"/>
  <c r="O1065" i="6"/>
  <c r="O415" i="5" s="1"/>
  <c r="O1238" i="6"/>
  <c r="O3426" i="6"/>
  <c r="O1290" i="5" s="1"/>
  <c r="O2101" i="6"/>
  <c r="O1086" i="6"/>
  <c r="O420" i="5" s="1"/>
  <c r="O1064" i="6"/>
  <c r="O414" i="5" s="1"/>
  <c r="O2610" i="6"/>
  <c r="O996" i="5" s="1"/>
  <c r="O101" i="6"/>
  <c r="O1461" i="6"/>
  <c r="O1009" i="6"/>
  <c r="O390" i="5" s="1"/>
  <c r="O856" i="6"/>
  <c r="O2398" i="6"/>
  <c r="O916" i="5" s="1"/>
  <c r="O1741" i="6"/>
  <c r="O672" i="5" s="1"/>
  <c r="O2927" i="6"/>
  <c r="O1110" i="5" s="1"/>
  <c r="O374" i="6"/>
  <c r="O148" i="5" s="1"/>
  <c r="O1291" i="6"/>
  <c r="O1608" i="6"/>
  <c r="O570" i="6"/>
  <c r="O514" i="6"/>
  <c r="O199" i="5" s="1"/>
  <c r="O1078" i="6"/>
  <c r="O418" i="5" s="1"/>
  <c r="O1225" i="6"/>
  <c r="O475" i="5" s="1"/>
  <c r="O1527" i="6"/>
  <c r="O591" i="5" s="1"/>
  <c r="O14" i="6"/>
  <c r="O152" i="6"/>
  <c r="O66" i="5" s="1"/>
  <c r="O2502" i="6"/>
  <c r="O951" i="5" s="1"/>
  <c r="O742" i="6"/>
  <c r="O288" i="5" s="1"/>
  <c r="O1224" i="6"/>
  <c r="O474" i="5" s="1"/>
  <c r="O1046" i="6"/>
  <c r="O406" i="5" s="1"/>
  <c r="O1087" i="6"/>
  <c r="O421" i="5" s="1"/>
  <c r="O419" i="6"/>
  <c r="O163" i="5" s="1"/>
  <c r="O439" i="6"/>
  <c r="O169" i="5" s="1"/>
  <c r="O1000" i="6"/>
  <c r="O387" i="5" s="1"/>
  <c r="O2978" i="6"/>
  <c r="O1076" i="6"/>
  <c r="O971" i="6"/>
  <c r="O379" i="5" s="1"/>
  <c r="O1052" i="6"/>
  <c r="O409" i="5" s="1"/>
  <c r="O2562" i="6"/>
  <c r="O976" i="5" s="1"/>
  <c r="O962" i="6"/>
  <c r="O428" i="6"/>
  <c r="O1245" i="6"/>
  <c r="O483" i="5" s="1"/>
  <c r="O209" i="6"/>
  <c r="O85" i="5" s="1"/>
  <c r="O895" i="6"/>
  <c r="O349" i="5" s="1"/>
  <c r="O3431" i="6"/>
  <c r="O2183" i="6"/>
  <c r="O837" i="5" s="1"/>
  <c r="O1404" i="6"/>
  <c r="O544" i="5" s="1"/>
  <c r="O189" i="6"/>
  <c r="O79" i="5" s="1"/>
  <c r="O2443" i="6"/>
  <c r="O603" i="6"/>
  <c r="O231" i="5" s="1"/>
  <c r="O2359" i="6"/>
  <c r="O901" i="5" s="1"/>
  <c r="O37" i="6"/>
  <c r="O24" i="5" s="1"/>
  <c r="O1432" i="6"/>
  <c r="O45" i="6"/>
  <c r="O27" i="5" s="1"/>
  <c r="O467" i="6"/>
  <c r="O2007" i="6"/>
  <c r="O769" i="5" s="1"/>
  <c r="O258" i="6"/>
  <c r="O105" i="5" s="1"/>
  <c r="O2475" i="6"/>
  <c r="O943" i="5" s="1"/>
  <c r="O924" i="6"/>
  <c r="O357" i="5" s="1"/>
  <c r="O817" i="6"/>
  <c r="O1480" i="6"/>
  <c r="O571" i="5" s="1"/>
  <c r="O28" i="6"/>
  <c r="O21" i="5" s="1"/>
  <c r="O2823" i="6"/>
  <c r="O1075" i="5" s="1"/>
  <c r="O282" i="6"/>
  <c r="O1535" i="6"/>
  <c r="O595" i="5" s="1"/>
  <c r="O188" i="6"/>
  <c r="O78" i="5" s="1"/>
  <c r="O1835" i="6"/>
  <c r="O708" i="5" s="1"/>
  <c r="O2120" i="6"/>
  <c r="O814" i="5" s="1"/>
  <c r="O1756" i="6"/>
  <c r="O678" i="5" s="1"/>
  <c r="O2131" i="6"/>
  <c r="O817" i="5" s="1"/>
  <c r="O1528" i="6"/>
  <c r="O592" i="5" s="1"/>
  <c r="O908" i="6"/>
  <c r="O352" i="5" s="1"/>
  <c r="O2034" i="6"/>
  <c r="O783" i="5" s="1"/>
  <c r="O3069" i="6"/>
  <c r="O1161" i="5" s="1"/>
  <c r="O3286" i="6"/>
  <c r="O2678" i="6"/>
  <c r="O1024" i="5" s="1"/>
  <c r="O1275" i="6"/>
  <c r="O493" i="5" s="1"/>
  <c r="O2928" i="6"/>
  <c r="O1111" i="5" s="1"/>
  <c r="O604" i="6"/>
  <c r="O232" i="5" s="1"/>
  <c r="O3077" i="6"/>
  <c r="O2814" i="6"/>
  <c r="O1072" i="5" s="1"/>
  <c r="O373" i="6"/>
  <c r="O147" i="5" s="1"/>
  <c r="O1930" i="6"/>
  <c r="O742" i="5" s="1"/>
  <c r="O2234" i="6"/>
  <c r="O855" i="5" s="1"/>
  <c r="O2366" i="6"/>
  <c r="O3362" i="6"/>
  <c r="O1266" i="5" s="1"/>
  <c r="O1702" i="6"/>
  <c r="O2016" i="6"/>
  <c r="O771" i="5" s="1"/>
  <c r="O2333" i="6"/>
  <c r="O891" i="5" s="1"/>
  <c r="O1948" i="6"/>
  <c r="O750" i="5" s="1"/>
  <c r="O3325" i="6"/>
  <c r="O1255" i="5" s="1"/>
  <c r="O438" i="6"/>
  <c r="O168" i="5" s="1"/>
  <c r="O689" i="6"/>
  <c r="O265" i="5" s="1"/>
  <c r="O2635" i="6"/>
  <c r="O1005" i="5" s="1"/>
  <c r="O2584" i="6"/>
  <c r="O987" i="5" s="1"/>
  <c r="O1962" i="6"/>
  <c r="O754" i="5" s="1"/>
  <c r="O124" i="6"/>
  <c r="O58" i="5" s="1"/>
  <c r="O2473" i="6"/>
  <c r="O2917" i="6"/>
  <c r="O799" i="6"/>
  <c r="O309" i="5" s="1"/>
  <c r="O3004" i="6"/>
  <c r="O461" i="6"/>
  <c r="O1338" i="6"/>
  <c r="O518" i="5" s="1"/>
  <c r="O2833" i="6"/>
  <c r="O3389" i="6"/>
  <c r="O3015" i="6"/>
  <c r="O1144" i="5" s="1"/>
  <c r="O2368" i="6"/>
  <c r="O904" i="5" s="1"/>
  <c r="O772" i="6"/>
  <c r="O297" i="5" s="1"/>
  <c r="O2035" i="6"/>
  <c r="O784" i="5" s="1"/>
  <c r="O3164" i="6"/>
  <c r="O1488" i="6"/>
  <c r="O573" i="5" s="1"/>
  <c r="O2457" i="6"/>
  <c r="O936" i="5" s="1"/>
  <c r="O38" i="6"/>
  <c r="O25" i="5" s="1"/>
  <c r="O361" i="6"/>
  <c r="O145" i="5" s="1"/>
  <c r="O3136" i="6"/>
  <c r="O1188" i="5" s="1"/>
  <c r="O3129" i="6"/>
  <c r="O3398" i="6"/>
  <c r="O2406" i="6"/>
  <c r="O918" i="5" s="1"/>
  <c r="O2490" i="6"/>
  <c r="O687" i="6"/>
  <c r="O284" i="6"/>
  <c r="O115" i="5" s="1"/>
  <c r="O1704" i="6"/>
  <c r="O658" i="5" s="1"/>
  <c r="O2649" i="6"/>
  <c r="O1970" i="6"/>
  <c r="O756" i="5" s="1"/>
  <c r="O506" i="6"/>
  <c r="O196" i="5" s="1"/>
  <c r="O2227" i="6"/>
  <c r="O853" i="5" s="1"/>
  <c r="O2530" i="6"/>
  <c r="O963" i="5" s="1"/>
  <c r="O1368" i="6"/>
  <c r="O528" i="5" s="1"/>
  <c r="O1145" i="6"/>
  <c r="O444" i="5" s="1"/>
  <c r="O94" i="6"/>
  <c r="O43" i="5" s="1"/>
  <c r="O275" i="6"/>
  <c r="O111" i="5" s="1"/>
  <c r="O2006" i="6"/>
  <c r="O768" i="5" s="1"/>
  <c r="O1910" i="6"/>
  <c r="O3130" i="6"/>
  <c r="O1185" i="5" s="1"/>
  <c r="O3324" i="6"/>
  <c r="O1254" i="5" s="1"/>
  <c r="O982" i="6"/>
  <c r="O144" i="6"/>
  <c r="O64" i="5" s="1"/>
  <c r="O3308" i="6"/>
  <c r="O1249" i="5" s="1"/>
  <c r="O1036" i="6"/>
  <c r="O402" i="5" s="1"/>
  <c r="O1026" i="6"/>
  <c r="O3137" i="6"/>
  <c r="O1189" i="5" s="1"/>
  <c r="O1724" i="6"/>
  <c r="O667" i="5" s="1"/>
  <c r="O2643" i="6"/>
  <c r="O3123" i="6"/>
  <c r="O2993" i="6"/>
  <c r="O1138" i="5" s="1"/>
  <c r="O455" i="6"/>
  <c r="O1961" i="6"/>
  <c r="O753" i="5" s="1"/>
  <c r="O246" i="6"/>
  <c r="O103" i="5" s="1"/>
  <c r="O2432" i="6"/>
  <c r="O928" i="5" s="1"/>
  <c r="O1001" i="6"/>
  <c r="O388" i="5" s="1"/>
  <c r="O1170" i="6"/>
  <c r="O1198" i="6"/>
  <c r="O463" i="5" s="1"/>
  <c r="O2862" i="6"/>
  <c r="O2829" i="6"/>
  <c r="O1078" i="5" s="1"/>
  <c r="O1189" i="6"/>
  <c r="O460" i="5" s="1"/>
  <c r="O1057" i="6"/>
  <c r="O411" i="5" s="1"/>
  <c r="O3131" i="6"/>
  <c r="O1186" i="5" s="1"/>
  <c r="O933" i="6"/>
  <c r="O360" i="5" s="1"/>
  <c r="O1669" i="6"/>
  <c r="O646" i="5" s="1"/>
  <c r="O1035" i="6"/>
  <c r="O407" i="6"/>
  <c r="O159" i="5" s="1"/>
  <c r="O1421" i="6"/>
  <c r="O549" i="5" s="1"/>
  <c r="O1761" i="6"/>
  <c r="O1385" i="6"/>
  <c r="O534" i="5" s="1"/>
  <c r="O2577" i="6"/>
  <c r="O706" i="6"/>
  <c r="O271" i="5" s="1"/>
  <c r="O3370" i="6"/>
  <c r="O1740" i="6"/>
  <c r="O1676" i="6"/>
  <c r="O648" i="5" s="1"/>
  <c r="O1158" i="6"/>
  <c r="O450" i="5" s="1"/>
  <c r="O1240" i="6"/>
  <c r="O481" i="5" s="1"/>
  <c r="O1172" i="6"/>
  <c r="O454" i="5" s="1"/>
  <c r="O1849" i="6"/>
  <c r="O1901" i="6"/>
  <c r="O2628" i="6"/>
  <c r="O1003" i="5" s="1"/>
  <c r="O970" i="6"/>
  <c r="O378" i="5" s="1"/>
  <c r="O1215" i="6"/>
  <c r="O471" i="5" s="1"/>
  <c r="O1979" i="6"/>
  <c r="O760" i="5" s="1"/>
  <c r="O2159" i="6"/>
  <c r="O829" i="5" s="1"/>
  <c r="O1019" i="6"/>
  <c r="O394" i="5" s="1"/>
  <c r="O1239" i="6"/>
  <c r="O480" i="5" s="1"/>
  <c r="O3400" i="6"/>
  <c r="O1279" i="5" s="1"/>
  <c r="O103" i="6"/>
  <c r="O49" i="5" s="1"/>
  <c r="O3174" i="6"/>
  <c r="O1201" i="5" s="1"/>
  <c r="O2313" i="6"/>
  <c r="O885" i="5" s="1"/>
  <c r="O116" i="6"/>
  <c r="O722" i="6"/>
  <c r="O865" i="6"/>
  <c r="O3165" i="6"/>
  <c r="O1197" i="5" s="1"/>
  <c r="O678" i="6"/>
  <c r="O2306" i="6"/>
  <c r="O1234" i="6"/>
  <c r="O478" i="5" s="1"/>
  <c r="O1112" i="6"/>
  <c r="O429" i="5" s="1"/>
  <c r="O143" i="6"/>
  <c r="O63" i="5" s="1"/>
  <c r="O1949" i="6"/>
  <c r="O751" i="5" s="1"/>
  <c r="O27" i="6"/>
  <c r="O2549" i="6"/>
  <c r="O969" i="5" s="1"/>
  <c r="O800" i="6"/>
  <c r="O310" i="5" s="1"/>
  <c r="O1130" i="6"/>
  <c r="O438" i="5" s="1"/>
  <c r="O1188" i="6"/>
  <c r="O459" i="5" s="1"/>
  <c r="O1677" i="6"/>
  <c r="O649" i="5" s="1"/>
  <c r="O963" i="6"/>
  <c r="O375" i="5" s="1"/>
  <c r="O1094" i="6"/>
  <c r="O423" i="5" s="1"/>
  <c r="O1140" i="6"/>
  <c r="O442" i="5" s="1"/>
  <c r="O359" i="6"/>
  <c r="O3014" i="6"/>
  <c r="O1143" i="5" s="1"/>
  <c r="O1146" i="6"/>
  <c r="O445" i="5" s="1"/>
  <c r="O1667" i="6"/>
  <c r="O730" i="6"/>
  <c r="O283" i="5" s="1"/>
  <c r="O2682" i="6"/>
  <c r="O969" i="6"/>
  <c r="O2426" i="6"/>
  <c r="O925" i="5" s="1"/>
  <c r="O1300" i="6"/>
  <c r="O501" i="5" s="1"/>
  <c r="O2596" i="6"/>
  <c r="O2188" i="6"/>
  <c r="O332" i="6"/>
  <c r="O132" i="5" s="1"/>
  <c r="O3418" i="6"/>
  <c r="O1288" i="5" s="1"/>
  <c r="O991" i="6"/>
  <c r="O554" i="6"/>
  <c r="O211" i="5" s="1"/>
  <c r="O513" i="6"/>
  <c r="O198" i="5" s="1"/>
  <c r="O1863" i="6"/>
  <c r="O720" i="5" s="1"/>
  <c r="O226" i="6"/>
  <c r="O93" i="5" s="1"/>
  <c r="O1803" i="6"/>
  <c r="O696" i="5" s="1"/>
  <c r="O2919" i="6"/>
  <c r="O1108" i="5" s="1"/>
  <c r="O3437" i="6"/>
  <c r="O2177" i="6"/>
  <c r="O834" i="5" s="1"/>
  <c r="O591" i="6"/>
  <c r="O229" i="5" s="1"/>
  <c r="O3317" i="6"/>
  <c r="O1252" i="5" s="1"/>
  <c r="O1661" i="6"/>
  <c r="O1526" i="6"/>
  <c r="O1347" i="6"/>
  <c r="O523" i="5" s="1"/>
  <c r="O893" i="6"/>
  <c r="O2991" i="6"/>
  <c r="O2341" i="6"/>
  <c r="O2618" i="6"/>
  <c r="O1621" i="6"/>
  <c r="O627" i="5" s="1"/>
  <c r="O1402" i="6"/>
  <c r="O232" i="6"/>
  <c r="O96" i="5" s="1"/>
  <c r="O208" i="6"/>
  <c r="O84" i="5" s="1"/>
  <c r="O2870" i="6"/>
  <c r="O1655" i="6"/>
  <c r="O168" i="6"/>
  <c r="O72" i="5" s="1"/>
  <c r="O2513" i="6"/>
  <c r="O955" i="5" s="1"/>
  <c r="O1818" i="6"/>
  <c r="O703" i="5" s="1"/>
  <c r="O2946" i="6"/>
  <c r="O1116" i="5" s="1"/>
  <c r="O562" i="6"/>
  <c r="O216" i="5" s="1"/>
  <c r="O887" i="6"/>
  <c r="O345" i="5" s="1"/>
  <c r="O874" i="6"/>
  <c r="O3438" i="6"/>
  <c r="O1296" i="5" s="1"/>
  <c r="O1769" i="6"/>
  <c r="O15" i="6"/>
  <c r="O18" i="5" s="1"/>
  <c r="O1601" i="6"/>
  <c r="O619" i="5" s="1"/>
  <c r="O408" i="6"/>
  <c r="O160" i="5" s="1"/>
  <c r="O237" i="6"/>
  <c r="O1977" i="6"/>
  <c r="O457" i="6"/>
  <c r="O178" i="5" s="1"/>
  <c r="O894" i="6"/>
  <c r="O348" i="5" s="1"/>
  <c r="O1693" i="6"/>
  <c r="O2854" i="6"/>
  <c r="O1086" i="5" s="1"/>
  <c r="O2626" i="6"/>
  <c r="O611" i="6"/>
  <c r="O2720" i="6"/>
  <c r="O1038" i="5" s="1"/>
  <c r="O2491" i="6"/>
  <c r="O948" i="5" s="1"/>
  <c r="O2438" i="6"/>
  <c r="O931" i="5" s="1"/>
  <c r="O1855" i="6"/>
  <c r="O2085" i="6"/>
  <c r="O801" i="5" s="1"/>
  <c r="O2591" i="6"/>
  <c r="O991" i="5" s="1"/>
  <c r="O3306" i="6"/>
  <c r="O932" i="6"/>
  <c r="O2424" i="6"/>
  <c r="O2242" i="6"/>
  <c r="O951" i="6"/>
  <c r="O369" i="5" s="1"/>
  <c r="O576" i="6"/>
  <c r="O2301" i="6"/>
  <c r="O879" i="5" s="1"/>
  <c r="O2719" i="6"/>
  <c r="O2110" i="6"/>
  <c r="O810" i="5" s="1"/>
  <c r="O217" i="6"/>
  <c r="O90" i="5" s="1"/>
  <c r="O647" i="6"/>
  <c r="O249" i="5" s="1"/>
  <c r="O1394" i="6"/>
  <c r="O537" i="5" s="1"/>
  <c r="O2195" i="6"/>
  <c r="O3115" i="6"/>
  <c r="O1179" i="5" s="1"/>
  <c r="O2651" i="6"/>
  <c r="O1009" i="5" s="1"/>
  <c r="O876" i="6"/>
  <c r="O340" i="5" s="1"/>
  <c r="O1556" i="6"/>
  <c r="O600" i="5" s="1"/>
  <c r="O1469" i="6"/>
  <c r="O1986" i="6"/>
  <c r="O762" i="5" s="1"/>
  <c r="O1995" i="6"/>
  <c r="O765" i="5" s="1"/>
  <c r="O2864" i="6"/>
  <c r="O1090" i="5" s="1"/>
  <c r="O713" i="6"/>
  <c r="O1912" i="6"/>
  <c r="O736" i="5" s="1"/>
  <c r="O1940" i="6"/>
  <c r="O2226" i="6"/>
  <c r="O852" i="5" s="1"/>
  <c r="O2522" i="6"/>
  <c r="O961" i="5" s="1"/>
  <c r="O1798" i="6"/>
  <c r="O694" i="5" s="1"/>
  <c r="O1506" i="6"/>
  <c r="O582" i="5" s="1"/>
  <c r="O1851" i="6"/>
  <c r="O715" i="5" s="1"/>
  <c r="O2430" i="6"/>
  <c r="O956" i="6"/>
  <c r="O3142" i="6"/>
  <c r="O1253" i="6"/>
  <c r="O487" i="5" s="1"/>
  <c r="O231" i="6"/>
  <c r="O729" i="6"/>
  <c r="O282" i="5" s="1"/>
  <c r="O1592" i="6"/>
  <c r="O616" i="5" s="1"/>
  <c r="O1622" i="6"/>
  <c r="O628" i="5" s="1"/>
  <c r="O304" i="6"/>
  <c r="O121" i="5" s="1"/>
  <c r="O1817" i="6"/>
  <c r="O702" i="5" s="1"/>
  <c r="O1274" i="6"/>
  <c r="O492" i="5" s="1"/>
  <c r="O3116" i="6"/>
  <c r="O1180" i="5" s="1"/>
  <c r="O3409" i="6"/>
  <c r="O1285" i="5" s="1"/>
  <c r="O342" i="6"/>
  <c r="O136" i="5" s="1"/>
  <c r="O3191" i="6"/>
  <c r="O1207" i="5" s="1"/>
  <c r="O1796" i="6"/>
  <c r="O907" i="6"/>
  <c r="O351" i="5" s="1"/>
  <c r="O2043" i="6"/>
  <c r="O805" i="6"/>
  <c r="O312" i="5" s="1"/>
  <c r="O2937" i="6"/>
  <c r="O1113" i="5" s="1"/>
  <c r="O2737" i="6"/>
  <c r="O1044" i="5" s="1"/>
  <c r="O2620" i="6"/>
  <c r="O1000" i="5" s="1"/>
  <c r="O888" i="6"/>
  <c r="O346" i="5" s="1"/>
  <c r="O3050" i="6"/>
  <c r="O1155" i="5" s="1"/>
  <c r="O3013" i="6"/>
  <c r="O3371" i="6"/>
  <c r="O1269" i="5" s="1"/>
  <c r="O612" i="6"/>
  <c r="O234" i="5" s="1"/>
  <c r="O2351" i="6"/>
  <c r="O898" i="5" s="1"/>
  <c r="O3381" i="6"/>
  <c r="O1273" i="5" s="1"/>
  <c r="O3439" i="6"/>
  <c r="O1297" i="5" s="1"/>
  <c r="O2437" i="6"/>
  <c r="O930" i="5" s="1"/>
  <c r="O2841" i="6"/>
  <c r="O1083" i="5" s="1"/>
  <c r="O789" i="6"/>
  <c r="O1960" i="6"/>
  <c r="O2060" i="6"/>
  <c r="O793" i="5" s="1"/>
  <c r="O1369" i="6"/>
  <c r="O529" i="5" s="1"/>
  <c r="O3049" i="6"/>
  <c r="O153" i="6"/>
  <c r="O67" i="5" s="1"/>
  <c r="O259" i="6"/>
  <c r="O106" i="5" s="1"/>
  <c r="O1487" i="6"/>
  <c r="O61" i="6"/>
  <c r="O2666" i="6"/>
  <c r="O1015" i="5" s="1"/>
  <c r="O2954" i="6"/>
  <c r="O629" i="6"/>
  <c r="O240" i="5" s="1"/>
  <c r="O2210" i="6"/>
  <c r="O847" i="5" s="1"/>
  <c r="O3166" i="6"/>
  <c r="O1198" i="5" s="1"/>
  <c r="O1695" i="6"/>
  <c r="O655" i="5" s="1"/>
  <c r="O3332" i="6"/>
  <c r="O1257" i="5" s="1"/>
  <c r="O875" i="6"/>
  <c r="O339" i="5" s="1"/>
  <c r="O563" i="6"/>
  <c r="O217" i="5" s="1"/>
  <c r="O161" i="6"/>
  <c r="O70" i="5" s="1"/>
  <c r="O448" i="6"/>
  <c r="O175" i="5" s="1"/>
  <c r="O2711" i="6"/>
  <c r="O93" i="6"/>
  <c r="O42" i="5" s="1"/>
  <c r="O2728" i="6"/>
  <c r="O1041" i="5" s="1"/>
  <c r="O2467" i="6"/>
  <c r="O940" i="5" s="1"/>
  <c r="O3124" i="6"/>
  <c r="O1182" i="5" s="1"/>
  <c r="L410" i="1"/>
  <c r="I41" i="8"/>
  <c r="H74" i="11"/>
  <c r="H77" i="11"/>
  <c r="O914" i="5"/>
  <c r="O770" i="5"/>
  <c r="O578" i="5"/>
  <c r="O1046" i="5"/>
  <c r="J263" i="11"/>
  <c r="H263" i="11"/>
  <c r="O740" i="5"/>
  <c r="I37" i="8"/>
  <c r="J35" i="11"/>
  <c r="H35" i="11"/>
  <c r="I17" i="8"/>
  <c r="D44" i="8"/>
  <c r="D39" i="8"/>
  <c r="I39" i="8"/>
  <c r="L225" i="1"/>
  <c r="L226" i="1"/>
  <c r="L34" i="1"/>
  <c r="L33" i="1"/>
  <c r="L32" i="1"/>
  <c r="L31" i="1"/>
  <c r="J23" i="11"/>
  <c r="H23" i="11"/>
  <c r="J203" i="11"/>
  <c r="H203" i="11"/>
  <c r="L244" i="1"/>
  <c r="L243" i="1"/>
  <c r="L73" i="1"/>
  <c r="L76" i="1"/>
  <c r="L75" i="1"/>
  <c r="L74" i="1"/>
  <c r="O1384" i="6"/>
  <c r="O504" i="6"/>
  <c r="O882" i="6"/>
  <c r="O343" i="5" s="1"/>
  <c r="O1498" i="6"/>
  <c r="O580" i="5" s="1"/>
  <c r="O3180" i="6"/>
  <c r="O2129" i="6"/>
  <c r="O2812" i="6"/>
  <c r="O1515" i="6"/>
  <c r="O585" i="5" s="1"/>
  <c r="O545" i="6"/>
  <c r="O208" i="5" s="1"/>
  <c r="O1434" i="6"/>
  <c r="O556" i="5" s="1"/>
  <c r="O1428" i="6"/>
  <c r="O553" i="5" s="1"/>
  <c r="O3372" i="6"/>
  <c r="O1270" i="5" s="1"/>
  <c r="O1563" i="6"/>
  <c r="O2167" i="6"/>
  <c r="O3189" i="6"/>
  <c r="O1978" i="6"/>
  <c r="O759" i="5" s="1"/>
  <c r="O2936" i="6"/>
  <c r="O1857" i="6"/>
  <c r="O718" i="5" s="1"/>
  <c r="O2583" i="6"/>
  <c r="O1614" i="6"/>
  <c r="O3023" i="6"/>
  <c r="O1147" i="5" s="1"/>
  <c r="O2292" i="6"/>
  <c r="O876" i="5" s="1"/>
  <c r="O2796" i="6"/>
  <c r="O1063" i="5" s="1"/>
  <c r="O696" i="6"/>
  <c r="O267" i="5" s="1"/>
  <c r="O1884" i="6"/>
  <c r="O1120" i="6"/>
  <c r="O2503" i="6"/>
  <c r="O952" i="5" s="1"/>
  <c r="O1590" i="6"/>
  <c r="O2758" i="6"/>
  <c r="O1050" i="5" s="1"/>
  <c r="O2853" i="6"/>
  <c r="O1403" i="6"/>
  <c r="O543" i="5" s="1"/>
  <c r="O2704" i="6"/>
  <c r="O1033" i="5" s="1"/>
  <c r="O2972" i="6"/>
  <c r="O811" i="6"/>
  <c r="O315" i="5" s="1"/>
  <c r="O489" i="6"/>
  <c r="O190" i="5" s="1"/>
  <c r="O2965" i="6"/>
  <c r="O1126" i="5" s="1"/>
  <c r="O763" i="6"/>
  <c r="O1505" i="6"/>
  <c r="O602" i="6"/>
  <c r="O1463" i="6"/>
  <c r="O565" i="5" s="1"/>
  <c r="O2139" i="6"/>
  <c r="O1816" i="6"/>
  <c r="O3276" i="6"/>
  <c r="O1237" i="5" s="1"/>
  <c r="O1708" i="6"/>
  <c r="O2721" i="6"/>
  <c r="O1039" i="5" s="1"/>
  <c r="O1420" i="6"/>
  <c r="O3432" i="6"/>
  <c r="O1293" i="5" s="1"/>
  <c r="O1413" i="6"/>
  <c r="O547" i="5" s="1"/>
  <c r="H329" i="11"/>
  <c r="H332" i="11" s="1"/>
  <c r="H333" i="11" s="1"/>
  <c r="O386" i="5"/>
  <c r="D31" i="8"/>
  <c r="O530" i="5"/>
  <c r="O296" i="5"/>
  <c r="H62" i="11"/>
  <c r="H65" i="11"/>
  <c r="O1220" i="5"/>
  <c r="O356" i="5"/>
  <c r="O640" i="6"/>
  <c r="O515" i="5"/>
  <c r="O509" i="5"/>
  <c r="O707" i="5"/>
  <c r="O1253" i="5"/>
  <c r="O677" i="5"/>
  <c r="O23" i="5"/>
  <c r="L124" i="1"/>
  <c r="L125" i="1"/>
  <c r="L126" i="1"/>
  <c r="L127" i="1"/>
  <c r="O1040" i="5"/>
  <c r="O1061" i="5"/>
  <c r="O1094" i="5"/>
  <c r="O674" i="5"/>
  <c r="L202" i="1"/>
  <c r="L196" i="1"/>
  <c r="L195" i="1"/>
  <c r="L201" i="1"/>
  <c r="L194" i="1"/>
  <c r="H107" i="11"/>
  <c r="J107" i="11"/>
  <c r="L283" i="1"/>
  <c r="L273" i="1"/>
  <c r="L275" i="1"/>
  <c r="L279" i="1"/>
  <c r="L274" i="1"/>
  <c r="D21" i="8"/>
  <c r="I21" i="8"/>
  <c r="L207" i="1"/>
  <c r="L208" i="1"/>
  <c r="L206" i="1"/>
  <c r="L213" i="1"/>
  <c r="L214" i="1"/>
  <c r="J83" i="11"/>
  <c r="H83" i="11"/>
  <c r="J239" i="11"/>
  <c r="H239" i="11"/>
  <c r="L263" i="1"/>
  <c r="L261" i="1"/>
  <c r="L262" i="1"/>
  <c r="I27" i="8"/>
  <c r="L44" i="1"/>
  <c r="L43" i="1"/>
  <c r="L42" i="1"/>
  <c r="L52" i="1"/>
  <c r="D38" i="8"/>
  <c r="L28" i="1"/>
  <c r="L29" i="1"/>
  <c r="L30" i="1"/>
  <c r="L38" i="1"/>
  <c r="H95" i="11"/>
  <c r="J95" i="11"/>
  <c r="H131" i="11"/>
  <c r="J131" i="11"/>
  <c r="L324" i="1"/>
  <c r="L318" i="1"/>
  <c r="L319" i="1"/>
  <c r="L320" i="1"/>
  <c r="L328" i="1"/>
  <c r="J47" i="11"/>
  <c r="H47" i="11"/>
  <c r="I18" i="8"/>
  <c r="L96" i="1"/>
  <c r="L97" i="1"/>
  <c r="L94" i="1"/>
  <c r="L95" i="1"/>
  <c r="L346" i="1"/>
  <c r="L345" i="1"/>
  <c r="L343" i="1"/>
  <c r="L342" i="1"/>
  <c r="L347" i="1"/>
  <c r="L344" i="1"/>
  <c r="L341" i="1"/>
  <c r="L339" i="1"/>
  <c r="L340" i="1"/>
  <c r="L338" i="1"/>
  <c r="O2803" i="6"/>
  <c r="O2947" i="6"/>
  <c r="O1117" i="5" s="1"/>
  <c r="O2272" i="6"/>
  <c r="O346" i="6"/>
  <c r="O3352" i="6"/>
  <c r="O1263" i="5" s="1"/>
  <c r="O2541" i="6"/>
  <c r="O967" i="5" s="1"/>
  <c r="O2054" i="6"/>
  <c r="O790" i="5" s="1"/>
  <c r="O2980" i="6"/>
  <c r="O1132" i="5" s="1"/>
  <c r="O2910" i="6"/>
  <c r="O1105" i="5" s="1"/>
  <c r="O1600" i="6"/>
  <c r="O618" i="5" s="1"/>
  <c r="O315" i="6"/>
  <c r="O124" i="5" s="1"/>
  <c r="O839" i="6"/>
  <c r="O857" i="6"/>
  <c r="O330" i="5" s="1"/>
  <c r="O3068" i="6"/>
  <c r="O2656" i="6"/>
  <c r="O1011" i="5" s="1"/>
  <c r="O3143" i="6"/>
  <c r="O1191" i="5" s="1"/>
  <c r="O159" i="6"/>
  <c r="O2445" i="6"/>
  <c r="O934" i="5" s="1"/>
  <c r="O2281" i="6"/>
  <c r="O54" i="6"/>
  <c r="O31" i="5" s="1"/>
  <c r="O1845" i="6"/>
  <c r="O712" i="5" s="1"/>
  <c r="O2579" i="6"/>
  <c r="O985" i="5" s="1"/>
  <c r="O117" i="6"/>
  <c r="O54" i="5" s="1"/>
  <c r="O2842" i="6"/>
  <c r="O1084" i="5" s="1"/>
  <c r="O178" i="6"/>
  <c r="O76" i="5" s="1"/>
  <c r="O2140" i="6"/>
  <c r="O819" i="5" s="1"/>
  <c r="O654" i="6"/>
  <c r="O253" i="5" s="1"/>
  <c r="O389" i="6"/>
  <c r="O1716" i="6"/>
  <c r="O664" i="5" s="1"/>
  <c r="O659" i="6"/>
  <c r="O255" i="5" s="1"/>
  <c r="O176" i="6"/>
  <c r="O3294" i="6"/>
  <c r="O1245" i="5" s="1"/>
  <c r="O2540" i="6"/>
  <c r="O966" i="5" s="1"/>
  <c r="O1252" i="6"/>
  <c r="O486" i="5" s="1"/>
  <c r="O3240" i="6"/>
  <c r="O1222" i="5" s="1"/>
  <c r="O2397" i="6"/>
  <c r="O915" i="5" s="1"/>
  <c r="O1788" i="6"/>
  <c r="O690" i="5" s="1"/>
  <c r="O1479" i="6"/>
  <c r="O570" i="5" s="1"/>
  <c r="O53" i="6"/>
  <c r="O30" i="5" s="1"/>
  <c r="O1779" i="6"/>
  <c r="O687" i="5" s="1"/>
  <c r="O2274" i="6"/>
  <c r="O871" i="5" s="1"/>
  <c r="O791" i="6"/>
  <c r="O304" i="5" s="1"/>
  <c r="O780" i="6"/>
  <c r="O1395" i="6"/>
  <c r="O538" i="5" s="1"/>
  <c r="O1987" i="6"/>
  <c r="O763" i="5" s="1"/>
  <c r="O665" i="6"/>
  <c r="O1514" i="6"/>
  <c r="O2218" i="6"/>
  <c r="O849" i="5" s="1"/>
  <c r="O953" i="5"/>
  <c r="O845" i="5"/>
  <c r="J62" i="11"/>
  <c r="J65" i="11"/>
  <c r="J287" i="11"/>
  <c r="H287" i="11"/>
  <c r="O104" i="5"/>
  <c r="O1055" i="5"/>
  <c r="O140" i="5"/>
  <c r="O848" i="5"/>
  <c r="O254" i="5"/>
  <c r="O950" i="5"/>
  <c r="O800" i="5"/>
  <c r="O650" i="5"/>
  <c r="L142" i="1"/>
  <c r="L141" i="1"/>
  <c r="D26" i="8"/>
  <c r="I26" i="8"/>
  <c r="J275" i="11"/>
  <c r="H275" i="11"/>
  <c r="L388" i="1"/>
  <c r="L387" i="1"/>
  <c r="L389" i="1"/>
  <c r="L390" i="1"/>
  <c r="D33" i="8"/>
  <c r="L354" i="1"/>
  <c r="L353" i="1"/>
  <c r="L352" i="1"/>
  <c r="L351" i="1"/>
  <c r="L291" i="1"/>
  <c r="L292" i="1"/>
  <c r="L293" i="1"/>
  <c r="L106" i="1"/>
  <c r="L105" i="1"/>
  <c r="L104" i="1"/>
  <c r="L107" i="1"/>
  <c r="D46" i="8"/>
  <c r="I47" i="8"/>
  <c r="J215" i="11"/>
  <c r="H215" i="11"/>
  <c r="L307" i="1"/>
  <c r="L306" i="1"/>
  <c r="L308" i="1"/>
  <c r="L220" i="1"/>
  <c r="L219" i="1"/>
  <c r="J251" i="11"/>
  <c r="H251" i="11"/>
  <c r="L268" i="1"/>
  <c r="L258" i="1"/>
  <c r="L260" i="1"/>
  <c r="L264" i="1"/>
  <c r="L259" i="1"/>
  <c r="L304" i="1"/>
  <c r="L313" i="1"/>
  <c r="L305" i="1"/>
  <c r="L303" i="1"/>
  <c r="L309" i="1"/>
  <c r="J227" i="11"/>
  <c r="H227" i="11"/>
  <c r="O2058" i="6"/>
  <c r="O1797" i="6"/>
  <c r="O693" i="5" s="1"/>
  <c r="O1533" i="6"/>
  <c r="O167" i="6"/>
  <c r="O2840" i="6"/>
  <c r="O2985" i="6"/>
  <c r="O1134" i="5" s="1"/>
  <c r="O2033" i="6"/>
  <c r="O1565" i="6"/>
  <c r="O604" i="5" s="1"/>
  <c r="O348" i="6"/>
  <c r="O139" i="5" s="1"/>
  <c r="O62" i="6"/>
  <c r="O33" i="5" s="1"/>
  <c r="O2118" i="6"/>
  <c r="O2482" i="6"/>
  <c r="O945" i="5" s="1"/>
  <c r="O2415" i="6"/>
  <c r="O1629" i="6"/>
  <c r="O630" i="5" s="1"/>
  <c r="O2805" i="6"/>
  <c r="O1069" i="5" s="1"/>
  <c r="O381" i="6"/>
  <c r="O2804" i="6"/>
  <c r="O1068" i="5" s="1"/>
  <c r="O2109" i="6"/>
  <c r="O2319" i="6"/>
  <c r="O476" i="6"/>
  <c r="O187" i="5" s="1"/>
  <c r="O2302" i="6"/>
  <c r="O880" i="5" s="1"/>
  <c r="O1516" i="6"/>
  <c r="O586" i="5" s="1"/>
  <c r="O695" i="6"/>
  <c r="O418" i="6"/>
  <c r="O162" i="5" s="1"/>
  <c r="O867" i="6"/>
  <c r="O334" i="5" s="1"/>
  <c r="O3040" i="6"/>
  <c r="O1153" i="5" s="1"/>
  <c r="O1564" i="6"/>
  <c r="O603" i="5" s="1"/>
  <c r="O2712" i="6"/>
  <c r="O1035" i="5" s="1"/>
  <c r="O1685" i="6"/>
  <c r="O651" i="5" s="1"/>
  <c r="O3258" i="6"/>
  <c r="O1231" i="5" s="1"/>
  <c r="O505" i="6"/>
  <c r="O195" i="5" s="1"/>
  <c r="O2655" i="6"/>
  <c r="O2300" i="6"/>
  <c r="O496" i="6"/>
  <c r="O1470" i="6"/>
  <c r="O567" i="5" s="1"/>
  <c r="O3088" i="6"/>
  <c r="O1167" i="5" s="1"/>
  <c r="O430" i="6"/>
  <c r="O166" i="5" s="1"/>
  <c r="O1770" i="6"/>
  <c r="O684" i="5" s="1"/>
  <c r="O583" i="6"/>
  <c r="O225" i="5" s="1"/>
  <c r="O2766" i="6"/>
  <c r="O2609" i="6"/>
  <c r="O2197" i="6"/>
  <c r="O844" i="5" s="1"/>
  <c r="O3342" i="6"/>
  <c r="O1261" i="5" s="1"/>
  <c r="O543" i="6"/>
  <c r="O2065" i="6"/>
  <c r="O795" i="5" s="1"/>
  <c r="O2044" i="6"/>
  <c r="O786" i="5" s="1"/>
  <c r="O2757" i="6"/>
  <c r="O244" i="6"/>
  <c r="J122" i="11"/>
  <c r="J125" i="11"/>
  <c r="H122" i="11"/>
  <c r="H125" i="11"/>
  <c r="L407" i="1"/>
  <c r="J335" i="11"/>
  <c r="J338" i="11" s="1"/>
  <c r="H335" i="11"/>
  <c r="H338" i="11" s="1"/>
  <c r="J350" i="11"/>
  <c r="J353" i="11"/>
  <c r="L406" i="1"/>
  <c r="J149" i="11"/>
  <c r="H149" i="11"/>
  <c r="H197" i="11"/>
  <c r="J197" i="11"/>
  <c r="N400" i="1"/>
  <c r="H317" i="11"/>
  <c r="H320" i="11" s="1"/>
  <c r="N382" i="1"/>
  <c r="T382" i="1"/>
  <c r="L302" i="11"/>
  <c r="M302" i="11" s="1"/>
  <c r="J329" i="11" l="1"/>
  <c r="J332" i="11" s="1"/>
  <c r="J333" i="11" s="1"/>
  <c r="S1172" i="5" s="1"/>
  <c r="W1172" i="5" s="1"/>
  <c r="S399" i="1" s="1"/>
  <c r="T399" i="1" s="1"/>
  <c r="O1752" i="6"/>
  <c r="T418" i="1"/>
  <c r="R140" i="5"/>
  <c r="V140" i="5" s="1"/>
  <c r="M55" i="1" s="1"/>
  <c r="N55" i="1" s="1"/>
  <c r="R800" i="5"/>
  <c r="S800" i="5" s="1"/>
  <c r="W800" i="5" s="1"/>
  <c r="S274" i="1" s="1"/>
  <c r="T274" i="1" s="1"/>
  <c r="R1055" i="5"/>
  <c r="S1055" i="5" s="1"/>
  <c r="O2335" i="6"/>
  <c r="R242" i="5"/>
  <c r="O3419" i="6"/>
  <c r="R677" i="5"/>
  <c r="V677" i="5" s="1"/>
  <c r="M234" i="1" s="1"/>
  <c r="N234" i="1" s="1"/>
  <c r="J317" i="11"/>
  <c r="J77" i="11"/>
  <c r="J80" i="11" s="1"/>
  <c r="J81" i="11" s="1"/>
  <c r="S212" i="5" s="1"/>
  <c r="W212" i="5" s="1"/>
  <c r="S79" i="1" s="1"/>
  <c r="T79" i="1" s="1"/>
  <c r="R515" i="5"/>
  <c r="V515" i="5" s="1"/>
  <c r="M180" i="1" s="1"/>
  <c r="N180" i="1" s="1"/>
  <c r="O440" i="6"/>
  <c r="O1335" i="6"/>
  <c r="O1828" i="6"/>
  <c r="O2750" i="6"/>
  <c r="O926" i="6"/>
  <c r="R1046" i="5"/>
  <c r="V1046" i="5" s="1"/>
  <c r="M357" i="1" s="1"/>
  <c r="N357" i="1" s="1"/>
  <c r="I38" i="8"/>
  <c r="I44" i="8"/>
  <c r="I40" i="8"/>
  <c r="I22" i="8"/>
  <c r="I49" i="8"/>
  <c r="R833" i="5"/>
  <c r="S833" i="5" s="1"/>
  <c r="W833" i="5" s="1"/>
  <c r="S285" i="1" s="1"/>
  <c r="T285" i="1" s="1"/>
  <c r="R674" i="5"/>
  <c r="S674" i="5" s="1"/>
  <c r="W674" i="5" s="1"/>
  <c r="S233" i="1" s="1"/>
  <c r="T233" i="1" s="1"/>
  <c r="I31" i="8"/>
  <c r="I19" i="8"/>
  <c r="I33" i="8"/>
  <c r="I20" i="8"/>
  <c r="I42" i="8"/>
  <c r="I29" i="8"/>
  <c r="O1320" i="6"/>
  <c r="R296" i="5"/>
  <c r="V296" i="5" s="1"/>
  <c r="M107" i="1" s="1"/>
  <c r="N107" i="1" s="1"/>
  <c r="P107" i="1" s="1"/>
  <c r="I28" i="8"/>
  <c r="I50" i="8"/>
  <c r="R740" i="5"/>
  <c r="V740" i="5" s="1"/>
  <c r="M255" i="1" s="1"/>
  <c r="N255" i="1" s="1"/>
  <c r="R635" i="5"/>
  <c r="S635" i="5" s="1"/>
  <c r="W635" i="5" s="1"/>
  <c r="S220" i="1" s="1"/>
  <c r="T220" i="1" s="1"/>
  <c r="R884" i="5"/>
  <c r="V884" i="5" s="1"/>
  <c r="M302" i="1" s="1"/>
  <c r="N302" i="1" s="1"/>
  <c r="R749" i="5"/>
  <c r="O1378" i="6"/>
  <c r="O1758" i="6"/>
  <c r="O305" i="6"/>
  <c r="R560" i="5"/>
  <c r="R236" i="5"/>
  <c r="V236" i="5" s="1"/>
  <c r="M87" i="1" s="1"/>
  <c r="N87" i="1" s="1"/>
  <c r="P87" i="1" s="1"/>
  <c r="R311" i="5"/>
  <c r="V311" i="5" s="1"/>
  <c r="M112" i="1" s="1"/>
  <c r="N112" i="1" s="1"/>
  <c r="O95" i="6"/>
  <c r="R425" i="5"/>
  <c r="R116" i="5"/>
  <c r="S116" i="5" s="1"/>
  <c r="W116" i="5" s="1"/>
  <c r="S47" i="1" s="1"/>
  <c r="T47" i="1" s="1"/>
  <c r="L305" i="11"/>
  <c r="M305" i="11" s="1"/>
  <c r="R1289" i="5"/>
  <c r="V1289" i="5" s="1"/>
  <c r="M438" i="1" s="1"/>
  <c r="N438" i="1" s="1"/>
  <c r="O2778" i="6"/>
  <c r="O2211" i="6"/>
  <c r="O2179" i="6"/>
  <c r="R899" i="5"/>
  <c r="V899" i="5" s="1"/>
  <c r="M307" i="1" s="1"/>
  <c r="N307" i="1" s="1"/>
  <c r="R509" i="5"/>
  <c r="O375" i="6"/>
  <c r="O1329" i="6"/>
  <c r="O41" i="5"/>
  <c r="R41" i="5" s="1"/>
  <c r="V41" i="5" s="1"/>
  <c r="M22" i="1" s="1"/>
  <c r="N22" i="1" s="1"/>
  <c r="O1105" i="6"/>
  <c r="L353" i="11"/>
  <c r="M353" i="11" s="1"/>
  <c r="O2881" i="6"/>
  <c r="R530" i="5"/>
  <c r="V530" i="5" s="1"/>
  <c r="M185" i="1" s="1"/>
  <c r="N185" i="1" s="1"/>
  <c r="R743" i="5"/>
  <c r="V743" i="5" s="1"/>
  <c r="M256" i="1" s="1"/>
  <c r="N256" i="1" s="1"/>
  <c r="AZ77" i="3" s="1"/>
  <c r="O1002" i="6"/>
  <c r="O293" i="6"/>
  <c r="O355" i="6"/>
  <c r="O1937" i="6"/>
  <c r="O1235" i="6"/>
  <c r="R1109" i="5"/>
  <c r="V1109" i="5" s="1"/>
  <c r="M378" i="1" s="1"/>
  <c r="N378" i="1" s="1"/>
  <c r="R203" i="5"/>
  <c r="O1649" i="6"/>
  <c r="R860" i="5"/>
  <c r="V860" i="5" s="1"/>
  <c r="M294" i="1" s="1"/>
  <c r="N294" i="1" s="1"/>
  <c r="R1232" i="5"/>
  <c r="S1232" i="5" s="1"/>
  <c r="W1232" i="5" s="1"/>
  <c r="S419" i="1" s="1"/>
  <c r="T419" i="1" s="1"/>
  <c r="O731" i="6"/>
  <c r="R647" i="5"/>
  <c r="V647" i="5" s="1"/>
  <c r="M224" i="1" s="1"/>
  <c r="N224" i="1" s="1"/>
  <c r="R1076" i="5"/>
  <c r="S1076" i="5" s="1"/>
  <c r="W1076" i="5" s="1"/>
  <c r="S367" i="1" s="1"/>
  <c r="T367" i="1" s="1"/>
  <c r="R59" i="5"/>
  <c r="V59" i="5" s="1"/>
  <c r="M28" i="1" s="1"/>
  <c r="N28" i="1" s="1"/>
  <c r="O535" i="6"/>
  <c r="O1678" i="6"/>
  <c r="R845" i="5"/>
  <c r="S845" i="5" s="1"/>
  <c r="W845" i="5" s="1"/>
  <c r="S289" i="1" s="1"/>
  <c r="T289" i="1" s="1"/>
  <c r="R119" i="5"/>
  <c r="V119" i="5" s="1"/>
  <c r="M48" i="1" s="1"/>
  <c r="N48" i="1" s="1"/>
  <c r="O1837" i="6"/>
  <c r="O3428" i="6"/>
  <c r="O1088" i="6"/>
  <c r="R281" i="5"/>
  <c r="S281" i="5" s="1"/>
  <c r="W281" i="5" s="1"/>
  <c r="S102" i="1" s="1"/>
  <c r="T102" i="1" s="1"/>
  <c r="R1286" i="5"/>
  <c r="S1286" i="5" s="1"/>
  <c r="W1286" i="5" s="1"/>
  <c r="S437" i="1" s="1"/>
  <c r="T437" i="1" s="1"/>
  <c r="V1076" i="5"/>
  <c r="M367" i="1" s="1"/>
  <c r="N367" i="1" s="1"/>
  <c r="O2830" i="6"/>
  <c r="R512" i="5"/>
  <c r="R167" i="5"/>
  <c r="V167" i="5" s="1"/>
  <c r="M64" i="1" s="1"/>
  <c r="N64" i="1" s="1"/>
  <c r="O1811" i="6"/>
  <c r="R368" i="5"/>
  <c r="O190" i="6"/>
  <c r="R698" i="5"/>
  <c r="V698" i="5" s="1"/>
  <c r="M241" i="1" s="1"/>
  <c r="N241" i="1" s="1"/>
  <c r="R1265" i="5"/>
  <c r="V1265" i="5" s="1"/>
  <c r="M430" i="1" s="1"/>
  <c r="N430" i="1" s="1"/>
  <c r="R890" i="5"/>
  <c r="V890" i="5" s="1"/>
  <c r="M304" i="1" s="1"/>
  <c r="N304" i="1" s="1"/>
  <c r="R1094" i="5"/>
  <c r="S1094" i="5" s="1"/>
  <c r="W1094" i="5" s="1"/>
  <c r="S373" i="1" s="1"/>
  <c r="T373" i="1" s="1"/>
  <c r="O774" i="6"/>
  <c r="O3268" i="6"/>
  <c r="O3364" i="6"/>
  <c r="R959" i="5"/>
  <c r="V959" i="5" s="1"/>
  <c r="M327" i="1" s="1"/>
  <c r="N327" i="1" s="1"/>
  <c r="O1414" i="6"/>
  <c r="O2797" i="6"/>
  <c r="O1429" i="6"/>
  <c r="R23" i="5"/>
  <c r="R491" i="5"/>
  <c r="S491" i="5" s="1"/>
  <c r="W491" i="5" s="1"/>
  <c r="S172" i="1" s="1"/>
  <c r="T172" i="1" s="1"/>
  <c r="O2570" i="6"/>
  <c r="O2256" i="6"/>
  <c r="O2018" i="6"/>
  <c r="S41" i="5"/>
  <c r="W41" i="5" s="1"/>
  <c r="S22" i="1" s="1"/>
  <c r="T22" i="1" s="1"/>
  <c r="O2504" i="6"/>
  <c r="R239" i="5"/>
  <c r="S239" i="5" s="1"/>
  <c r="W239" i="5" s="1"/>
  <c r="S88" i="1" s="1"/>
  <c r="T88" i="1" s="1"/>
  <c r="V88" i="1" s="1"/>
  <c r="O260" i="6"/>
  <c r="O2523" i="6"/>
  <c r="R1061" i="5"/>
  <c r="R551" i="5"/>
  <c r="O39" i="6"/>
  <c r="O3326" i="6"/>
  <c r="O132" i="6"/>
  <c r="R356" i="5"/>
  <c r="V356" i="5" s="1"/>
  <c r="M127" i="1" s="1"/>
  <c r="N127" i="1" s="1"/>
  <c r="R1199" i="5"/>
  <c r="V1199" i="5" s="1"/>
  <c r="M408" i="1" s="1"/>
  <c r="N408" i="1" s="1"/>
  <c r="P408" i="1" s="1"/>
  <c r="R977" i="5"/>
  <c r="R755" i="5"/>
  <c r="V755" i="5" s="1"/>
  <c r="M260" i="1" s="1"/>
  <c r="N260" i="1" s="1"/>
  <c r="R146" i="5"/>
  <c r="V146" i="5" s="1"/>
  <c r="M57" i="1" s="1"/>
  <c r="N57" i="1" s="1"/>
  <c r="O2929" i="6"/>
  <c r="O2360" i="6"/>
  <c r="L125" i="11"/>
  <c r="M125" i="11" s="1"/>
  <c r="R422" i="5"/>
  <c r="V422" i="5" s="1"/>
  <c r="M149" i="1" s="1"/>
  <c r="N149" i="1" s="1"/>
  <c r="O1717" i="6"/>
  <c r="R953" i="5"/>
  <c r="O1950" i="6"/>
  <c r="R1253" i="5"/>
  <c r="V1253" i="5" s="1"/>
  <c r="M426" i="1" s="1"/>
  <c r="N426" i="1" s="1"/>
  <c r="P426" i="1" s="1"/>
  <c r="O1276" i="6"/>
  <c r="O592" i="6"/>
  <c r="O1931" i="6"/>
  <c r="L329" i="11"/>
  <c r="M329" i="11" s="1"/>
  <c r="R104" i="5"/>
  <c r="V104" i="5" s="1"/>
  <c r="M43" i="1" s="1"/>
  <c r="N43" i="1" s="1"/>
  <c r="O2730" i="6"/>
  <c r="O661" i="6"/>
  <c r="O1805" i="6"/>
  <c r="O807" i="6"/>
  <c r="S530" i="5"/>
  <c r="W530" i="5" s="1"/>
  <c r="S185" i="1" s="1"/>
  <c r="T185" i="1" s="1"/>
  <c r="J128" i="11"/>
  <c r="J129" i="11" s="1"/>
  <c r="S335" i="5" s="1"/>
  <c r="W335" i="5" s="1"/>
  <c r="S120" i="1" s="1"/>
  <c r="T120" i="1" s="1"/>
  <c r="O1096" i="6"/>
  <c r="O2087" i="6"/>
  <c r="R950" i="5"/>
  <c r="R254" i="5"/>
  <c r="S254" i="5" s="1"/>
  <c r="W254" i="5" s="1"/>
  <c r="S93" i="1" s="1"/>
  <c r="T93" i="1" s="1"/>
  <c r="O631" i="6"/>
  <c r="O953" i="6"/>
  <c r="R77" i="5"/>
  <c r="V77" i="5" s="1"/>
  <c r="M34" i="1" s="1"/>
  <c r="N34" i="1" s="1"/>
  <c r="R662" i="5"/>
  <c r="V662" i="5" s="1"/>
  <c r="M229" i="1" s="1"/>
  <c r="N229" i="1" s="1"/>
  <c r="O2514" i="6"/>
  <c r="R545" i="5"/>
  <c r="R1040" i="5"/>
  <c r="S1040" i="5" s="1"/>
  <c r="W1040" i="5" s="1"/>
  <c r="S355" i="1" s="1"/>
  <c r="T355" i="1" s="1"/>
  <c r="R704" i="5"/>
  <c r="R707" i="5"/>
  <c r="O3175" i="6"/>
  <c r="O1972" i="6"/>
  <c r="R227" i="5"/>
  <c r="S227" i="5" s="1"/>
  <c r="W227" i="5" s="1"/>
  <c r="S84" i="1" s="1"/>
  <c r="T84" i="1" s="1"/>
  <c r="R1124" i="5"/>
  <c r="V1124" i="5" s="1"/>
  <c r="M383" i="1" s="1"/>
  <c r="N383" i="1" s="1"/>
  <c r="R386" i="5"/>
  <c r="R695" i="5"/>
  <c r="V695" i="5" s="1"/>
  <c r="M240" i="1" s="1"/>
  <c r="N240" i="1" s="1"/>
  <c r="O622" i="6"/>
  <c r="R770" i="5"/>
  <c r="S770" i="5" s="1"/>
  <c r="W770" i="5" s="1"/>
  <c r="S265" i="1" s="1"/>
  <c r="T265" i="1" s="1"/>
  <c r="R476" i="5"/>
  <c r="S476" i="5" s="1"/>
  <c r="W476" i="5" s="1"/>
  <c r="S167" i="1" s="1"/>
  <c r="T167" i="1" s="1"/>
  <c r="R419" i="5"/>
  <c r="V419" i="5" s="1"/>
  <c r="M148" i="1" s="1"/>
  <c r="N148" i="1" s="1"/>
  <c r="O1455" i="6"/>
  <c r="O2315" i="6"/>
  <c r="O920" i="5"/>
  <c r="R920" i="5" s="1"/>
  <c r="O2418" i="6"/>
  <c r="O2843" i="6"/>
  <c r="O1082" i="5"/>
  <c r="R1082" i="5" s="1"/>
  <c r="O2061" i="6"/>
  <c r="O791" i="5"/>
  <c r="R791" i="5" s="1"/>
  <c r="J218" i="11"/>
  <c r="J221" i="11"/>
  <c r="J278" i="11"/>
  <c r="J281" i="11"/>
  <c r="V254" i="5"/>
  <c r="M93" i="1" s="1"/>
  <c r="N93" i="1" s="1"/>
  <c r="O152" i="5"/>
  <c r="R152" i="5" s="1"/>
  <c r="O392" i="6"/>
  <c r="O323" i="5"/>
  <c r="R323" i="5" s="1"/>
  <c r="O842" i="6"/>
  <c r="O137" i="5"/>
  <c r="R137" i="5" s="1"/>
  <c r="O349" i="6"/>
  <c r="J50" i="11"/>
  <c r="J53" i="11"/>
  <c r="J242" i="11"/>
  <c r="J245" i="11"/>
  <c r="J110" i="11"/>
  <c r="J113" i="11"/>
  <c r="S890" i="5"/>
  <c r="W890" i="5" s="1"/>
  <c r="S304" i="1" s="1"/>
  <c r="T304" i="1" s="1"/>
  <c r="V749" i="5"/>
  <c r="M258" i="1" s="1"/>
  <c r="N258" i="1" s="1"/>
  <c r="S749" i="5"/>
  <c r="W749" i="5" s="1"/>
  <c r="S258" i="1" s="1"/>
  <c r="T258" i="1" s="1"/>
  <c r="O3090" i="6"/>
  <c r="O3241" i="6"/>
  <c r="H68" i="11"/>
  <c r="L62" i="11"/>
  <c r="M62" i="11" s="1"/>
  <c r="O659" i="5"/>
  <c r="R659" i="5" s="1"/>
  <c r="O1711" i="6"/>
  <c r="O614" i="5"/>
  <c r="R614" i="5" s="1"/>
  <c r="O1593" i="6"/>
  <c r="O623" i="5"/>
  <c r="R623" i="5" s="1"/>
  <c r="O1617" i="6"/>
  <c r="H206" i="11"/>
  <c r="H209" i="11"/>
  <c r="J38" i="11"/>
  <c r="J41" i="11"/>
  <c r="R1031" i="5"/>
  <c r="J266" i="11"/>
  <c r="J269" i="11"/>
  <c r="R1229" i="5"/>
  <c r="V635" i="5"/>
  <c r="M220" i="1" s="1"/>
  <c r="N220" i="1" s="1"/>
  <c r="O883" i="6"/>
  <c r="R914" i="5"/>
  <c r="H80" i="11"/>
  <c r="L74" i="11"/>
  <c r="M74" i="11" s="1"/>
  <c r="O1846" i="6"/>
  <c r="R569" i="5"/>
  <c r="V560" i="5"/>
  <c r="M195" i="1" s="1"/>
  <c r="N195" i="1" s="1"/>
  <c r="S560" i="5"/>
  <c r="W560" i="5" s="1"/>
  <c r="S195" i="1" s="1"/>
  <c r="T195" i="1" s="1"/>
  <c r="O1121" i="5"/>
  <c r="R1121" i="5" s="1"/>
  <c r="O2957" i="6"/>
  <c r="O842" i="5"/>
  <c r="R842" i="5" s="1"/>
  <c r="O2198" i="6"/>
  <c r="O1247" i="5"/>
  <c r="R1247" i="5" s="1"/>
  <c r="O3309" i="6"/>
  <c r="O2629" i="6"/>
  <c r="O1001" i="5"/>
  <c r="R1001" i="5" s="1"/>
  <c r="O877" i="6"/>
  <c r="O338" i="5"/>
  <c r="R338" i="5" s="1"/>
  <c r="O1091" i="5"/>
  <c r="R1091" i="5" s="1"/>
  <c r="O2873" i="6"/>
  <c r="O347" i="5"/>
  <c r="R347" i="5" s="1"/>
  <c r="O896" i="6"/>
  <c r="O1670" i="6"/>
  <c r="O644" i="5"/>
  <c r="R644" i="5" s="1"/>
  <c r="O20" i="5"/>
  <c r="R20" i="5" s="1"/>
  <c r="O30" i="6"/>
  <c r="O332" i="5"/>
  <c r="R332" i="5" s="1"/>
  <c r="O868" i="6"/>
  <c r="O671" i="5"/>
  <c r="R671" i="5" s="1"/>
  <c r="O1743" i="6"/>
  <c r="O401" i="5"/>
  <c r="R401" i="5" s="1"/>
  <c r="O1038" i="6"/>
  <c r="O1181" i="5"/>
  <c r="R1181" i="5" s="1"/>
  <c r="O3126" i="6"/>
  <c r="O398" i="5"/>
  <c r="R398" i="5" s="1"/>
  <c r="O1029" i="6"/>
  <c r="O380" i="5"/>
  <c r="R380" i="5" s="1"/>
  <c r="O985" i="6"/>
  <c r="O263" i="5"/>
  <c r="R263" i="5" s="1"/>
  <c r="O690" i="6"/>
  <c r="O1184" i="5"/>
  <c r="R1184" i="5" s="1"/>
  <c r="O3132" i="6"/>
  <c r="O1079" i="5"/>
  <c r="R1079" i="5" s="1"/>
  <c r="O2836" i="6"/>
  <c r="O1163" i="5"/>
  <c r="R1163" i="5" s="1"/>
  <c r="O3080" i="6"/>
  <c r="O285" i="6"/>
  <c r="O113" i="5"/>
  <c r="R113" i="5" s="1"/>
  <c r="O820" i="6"/>
  <c r="O317" i="5"/>
  <c r="R317" i="5" s="1"/>
  <c r="O374" i="5"/>
  <c r="R374" i="5" s="1"/>
  <c r="O965" i="6"/>
  <c r="O1079" i="6"/>
  <c r="O416" i="5"/>
  <c r="R416" i="5" s="1"/>
  <c r="O218" i="5"/>
  <c r="R218" i="5" s="1"/>
  <c r="O573" i="6"/>
  <c r="O1241" i="6"/>
  <c r="O479" i="5"/>
  <c r="R479" i="5" s="1"/>
  <c r="O488" i="5"/>
  <c r="R488" i="5" s="1"/>
  <c r="O1267" i="6"/>
  <c r="O200" i="5"/>
  <c r="R200" i="5" s="1"/>
  <c r="O524" i="6"/>
  <c r="O2236" i="6"/>
  <c r="O854" i="5"/>
  <c r="R854" i="5" s="1"/>
  <c r="O80" i="5"/>
  <c r="R80" i="5" s="1"/>
  <c r="O201" i="6"/>
  <c r="O527" i="5"/>
  <c r="R527" i="5" s="1"/>
  <c r="O1370" i="6"/>
  <c r="O896" i="5"/>
  <c r="R896" i="5" s="1"/>
  <c r="O2352" i="6"/>
  <c r="O228" i="6"/>
  <c r="O92" i="5"/>
  <c r="R92" i="5" s="1"/>
  <c r="O989" i="5"/>
  <c r="R989" i="5" s="1"/>
  <c r="O2592" i="6"/>
  <c r="O824" i="5"/>
  <c r="R824" i="5" s="1"/>
  <c r="O2151" i="6"/>
  <c r="O485" i="5"/>
  <c r="R485" i="5" s="1"/>
  <c r="O1254" i="6"/>
  <c r="O1262" i="5"/>
  <c r="R1262" i="5" s="1"/>
  <c r="O3354" i="6"/>
  <c r="O26" i="5"/>
  <c r="R26" i="5" s="1"/>
  <c r="O47" i="6"/>
  <c r="O320" i="5"/>
  <c r="R320" i="5" s="1"/>
  <c r="O833" i="6"/>
  <c r="O850" i="6"/>
  <c r="O326" i="5"/>
  <c r="R326" i="5" s="1"/>
  <c r="O1250" i="5"/>
  <c r="R1250" i="5" s="1"/>
  <c r="O3318" i="6"/>
  <c r="O446" i="5"/>
  <c r="R446" i="5" s="1"/>
  <c r="O1153" i="6"/>
  <c r="O188" i="5"/>
  <c r="R188" i="5" s="1"/>
  <c r="O490" i="6"/>
  <c r="O665" i="5"/>
  <c r="R665" i="5" s="1"/>
  <c r="O1725" i="6"/>
  <c r="O410" i="5"/>
  <c r="R410" i="5" s="1"/>
  <c r="O1059" i="6"/>
  <c r="O1922" i="6"/>
  <c r="O737" i="5"/>
  <c r="R737" i="5" s="1"/>
  <c r="O585" i="6"/>
  <c r="O224" i="5"/>
  <c r="R224" i="5" s="1"/>
  <c r="O353" i="5"/>
  <c r="R353" i="5" s="1"/>
  <c r="O918" i="6"/>
  <c r="O2911" i="6"/>
  <c r="O1103" i="5"/>
  <c r="R1103" i="5" s="1"/>
  <c r="O62" i="5"/>
  <c r="R62" i="5" s="1"/>
  <c r="O145" i="6"/>
  <c r="O269" i="5"/>
  <c r="R269" i="5" s="1"/>
  <c r="O707" i="6"/>
  <c r="O629" i="5"/>
  <c r="R629" i="5" s="1"/>
  <c r="O1631" i="6"/>
  <c r="O1895" i="6"/>
  <c r="O728" i="5"/>
  <c r="R728" i="5" s="1"/>
  <c r="O3231" i="6"/>
  <c r="O1217" i="5"/>
  <c r="R1217" i="5" s="1"/>
  <c r="O125" i="5"/>
  <c r="R125" i="5" s="1"/>
  <c r="O325" i="6"/>
  <c r="O500" i="5"/>
  <c r="R500" i="5" s="1"/>
  <c r="O1302" i="6"/>
  <c r="O215" i="5"/>
  <c r="R215" i="5" s="1"/>
  <c r="O564" i="6"/>
  <c r="O314" i="5"/>
  <c r="R314" i="5" s="1"/>
  <c r="O813" i="6"/>
  <c r="O1145" i="5"/>
  <c r="R1145" i="5" s="1"/>
  <c r="O3024" i="6"/>
  <c r="O2679" i="6"/>
  <c r="O1022" i="5"/>
  <c r="R1022" i="5" s="1"/>
  <c r="O1341" i="6"/>
  <c r="O520" i="5"/>
  <c r="R518" i="5" s="1"/>
  <c r="I25" i="8"/>
  <c r="D51" i="8"/>
  <c r="E44" i="8" s="1"/>
  <c r="I43" i="8"/>
  <c r="I24" i="8"/>
  <c r="R1223" i="5"/>
  <c r="O1575" i="6"/>
  <c r="O1878" i="6"/>
  <c r="O2160" i="6"/>
  <c r="O449" i="6"/>
  <c r="O2890" i="6"/>
  <c r="O2667" i="6"/>
  <c r="R788" i="5"/>
  <c r="O2987" i="6"/>
  <c r="O2551" i="6"/>
  <c r="R761" i="5"/>
  <c r="R1271" i="5"/>
  <c r="O878" i="5"/>
  <c r="R878" i="5" s="1"/>
  <c r="O2303" i="6"/>
  <c r="J341" i="11"/>
  <c r="J344" i="11" s="1"/>
  <c r="J345" i="11" s="1"/>
  <c r="S1226" i="5" s="1"/>
  <c r="W1226" i="5" s="1"/>
  <c r="S417" i="1" s="1"/>
  <c r="T417" i="1" s="1"/>
  <c r="O101" i="5"/>
  <c r="R101" i="5" s="1"/>
  <c r="O247" i="6"/>
  <c r="O546" i="6"/>
  <c r="O206" i="5"/>
  <c r="R206" i="5" s="1"/>
  <c r="O1052" i="5"/>
  <c r="R1052" i="5" s="1"/>
  <c r="O2769" i="6"/>
  <c r="O1010" i="5"/>
  <c r="R1010" i="5" s="1"/>
  <c r="O2658" i="6"/>
  <c r="O149" i="5"/>
  <c r="R149" i="5" s="1"/>
  <c r="O384" i="6"/>
  <c r="O71" i="5"/>
  <c r="R71" i="5" s="1"/>
  <c r="O170" i="6"/>
  <c r="O1687" i="6"/>
  <c r="O2220" i="6"/>
  <c r="S140" i="5"/>
  <c r="W140" i="5" s="1"/>
  <c r="S55" i="1" s="1"/>
  <c r="T55" i="1" s="1"/>
  <c r="S425" i="5"/>
  <c r="W425" i="5" s="1"/>
  <c r="S150" i="1" s="1"/>
  <c r="T150" i="1" s="1"/>
  <c r="V425" i="5"/>
  <c r="M150" i="1" s="1"/>
  <c r="N150" i="1" s="1"/>
  <c r="J68" i="11"/>
  <c r="J69" i="11" s="1"/>
  <c r="S170" i="5" s="1"/>
  <c r="W170" i="5" s="1"/>
  <c r="S65" i="1" s="1"/>
  <c r="T65" i="1" s="1"/>
  <c r="V845" i="5"/>
  <c r="M289" i="1" s="1"/>
  <c r="N289" i="1" s="1"/>
  <c r="O584" i="5"/>
  <c r="R584" i="5" s="1"/>
  <c r="O1517" i="6"/>
  <c r="O299" i="5"/>
  <c r="R299" i="5" s="1"/>
  <c r="O783" i="6"/>
  <c r="O74" i="5"/>
  <c r="R74" i="5" s="1"/>
  <c r="O179" i="6"/>
  <c r="O872" i="5"/>
  <c r="R872" i="5" s="1"/>
  <c r="O2284" i="6"/>
  <c r="O2275" i="6"/>
  <c r="O869" i="5"/>
  <c r="R869" i="5" s="1"/>
  <c r="J98" i="11"/>
  <c r="J101" i="11"/>
  <c r="H86" i="11"/>
  <c r="H89" i="11"/>
  <c r="H110" i="11"/>
  <c r="H113" i="11"/>
  <c r="V509" i="5"/>
  <c r="M178" i="1" s="1"/>
  <c r="N178" i="1" s="1"/>
  <c r="S509" i="5"/>
  <c r="W509" i="5" s="1"/>
  <c r="S178" i="1" s="1"/>
  <c r="T178" i="1" s="1"/>
  <c r="R1166" i="5"/>
  <c r="V242" i="5"/>
  <c r="M89" i="1" s="1"/>
  <c r="N89" i="1" s="1"/>
  <c r="S242" i="5"/>
  <c r="W242" i="5" s="1"/>
  <c r="S89" i="1" s="1"/>
  <c r="T89" i="1" s="1"/>
  <c r="R1220" i="5"/>
  <c r="R536" i="5"/>
  <c r="O230" i="5"/>
  <c r="R230" i="5" s="1"/>
  <c r="O605" i="6"/>
  <c r="O2586" i="6"/>
  <c r="O986" i="5"/>
  <c r="R986" i="5" s="1"/>
  <c r="O3192" i="6"/>
  <c r="O1205" i="5"/>
  <c r="R1205" i="5" s="1"/>
  <c r="O1070" i="5"/>
  <c r="R1070" i="5" s="1"/>
  <c r="O2815" i="6"/>
  <c r="J206" i="11"/>
  <c r="J209" i="11"/>
  <c r="O3259" i="6"/>
  <c r="R341" i="5"/>
  <c r="O2399" i="6"/>
  <c r="V1286" i="5"/>
  <c r="M437" i="1" s="1"/>
  <c r="N437" i="1" s="1"/>
  <c r="O752" i="5"/>
  <c r="R752" i="5" s="1"/>
  <c r="O1963" i="6"/>
  <c r="O2046" i="6"/>
  <c r="O785" i="5"/>
  <c r="R785" i="5" s="1"/>
  <c r="O3145" i="6"/>
  <c r="O1190" i="5"/>
  <c r="R1190" i="5" s="1"/>
  <c r="O746" i="5"/>
  <c r="R746" i="5" s="1"/>
  <c r="O1943" i="6"/>
  <c r="O1037" i="5"/>
  <c r="R1037" i="5" s="1"/>
  <c r="O2722" i="6"/>
  <c r="O857" i="5"/>
  <c r="R857" i="5" s="1"/>
  <c r="O2245" i="6"/>
  <c r="O1980" i="6"/>
  <c r="O758" i="5"/>
  <c r="R758" i="5" s="1"/>
  <c r="O998" i="5"/>
  <c r="R998" i="5" s="1"/>
  <c r="O2621" i="6"/>
  <c r="O839" i="5"/>
  <c r="R839" i="5" s="1"/>
  <c r="O2191" i="6"/>
  <c r="O377" i="5"/>
  <c r="R377" i="5" s="1"/>
  <c r="O972" i="6"/>
  <c r="O881" i="5"/>
  <c r="R881" i="5" s="1"/>
  <c r="O2309" i="6"/>
  <c r="O278" i="5"/>
  <c r="R278" i="5" s="1"/>
  <c r="O725" i="6"/>
  <c r="O1268" i="5"/>
  <c r="R1268" i="5" s="1"/>
  <c r="O3373" i="6"/>
  <c r="O680" i="5"/>
  <c r="R680" i="5" s="1"/>
  <c r="O1764" i="6"/>
  <c r="O1173" i="6"/>
  <c r="O452" i="5"/>
  <c r="R452" i="5" s="1"/>
  <c r="O1016" i="5"/>
  <c r="R1016" i="5" s="1"/>
  <c r="O2646" i="6"/>
  <c r="O2652" i="6"/>
  <c r="O1007" i="5"/>
  <c r="R1007" i="5" s="1"/>
  <c r="O2493" i="6"/>
  <c r="O947" i="5"/>
  <c r="R947" i="5" s="1"/>
  <c r="O1106" i="5"/>
  <c r="R1106" i="5" s="1"/>
  <c r="O2920" i="6"/>
  <c r="O656" i="5"/>
  <c r="R656" i="5" s="1"/>
  <c r="O1705" i="6"/>
  <c r="O1241" i="5"/>
  <c r="R1241" i="5" s="1"/>
  <c r="O3289" i="6"/>
  <c r="O182" i="5"/>
  <c r="R182" i="5" s="1"/>
  <c r="O470" i="6"/>
  <c r="O1130" i="5"/>
  <c r="R1130" i="5" s="1"/>
  <c r="O2981" i="6"/>
  <c r="O1611" i="6"/>
  <c r="O620" i="5"/>
  <c r="R620" i="5" s="1"/>
  <c r="O563" i="5"/>
  <c r="R563" i="5" s="1"/>
  <c r="O1464" i="6"/>
  <c r="O251" i="5"/>
  <c r="R251" i="5" s="1"/>
  <c r="O655" i="6"/>
  <c r="O428" i="5"/>
  <c r="R428" i="5" s="1"/>
  <c r="O1114" i="6"/>
  <c r="O407" i="5"/>
  <c r="R407" i="5" s="1"/>
  <c r="O1053" i="6"/>
  <c r="O599" i="5"/>
  <c r="R599" i="5" s="1"/>
  <c r="O1558" i="6"/>
  <c r="O185" i="5"/>
  <c r="R185" i="5" s="1"/>
  <c r="O477" i="6"/>
  <c r="O2673" i="6"/>
  <c r="O1019" i="5"/>
  <c r="R1019" i="5" s="1"/>
  <c r="O158" i="5"/>
  <c r="R158" i="5" s="1"/>
  <c r="O409" i="6"/>
  <c r="O35" i="5"/>
  <c r="R35" i="5" s="1"/>
  <c r="O75" i="6"/>
  <c r="O617" i="5"/>
  <c r="R617" i="5" s="1"/>
  <c r="O1602" i="6"/>
  <c r="O1058" i="5"/>
  <c r="R1058" i="5" s="1"/>
  <c r="O2788" i="6"/>
  <c r="O1141" i="6"/>
  <c r="O440" i="5"/>
  <c r="R440" i="5" s="1"/>
  <c r="O1361" i="6"/>
  <c r="O524" i="5"/>
  <c r="R524" i="5" s="1"/>
  <c r="O689" i="5"/>
  <c r="R689" i="5" s="1"/>
  <c r="O1790" i="6"/>
  <c r="O1175" i="5"/>
  <c r="R1175" i="5" s="1"/>
  <c r="O3108" i="6"/>
  <c r="O1208" i="5"/>
  <c r="R1208" i="5" s="1"/>
  <c r="O3203" i="6"/>
  <c r="O1020" i="6"/>
  <c r="O392" i="5"/>
  <c r="R392" i="5" s="1"/>
  <c r="O557" i="5"/>
  <c r="R557" i="5" s="1"/>
  <c r="O1442" i="6"/>
  <c r="O3032" i="6"/>
  <c r="O1148" i="5"/>
  <c r="R1148" i="5" s="1"/>
  <c r="O974" i="5"/>
  <c r="R974" i="5" s="1"/>
  <c r="O2563" i="6"/>
  <c r="O632" i="5"/>
  <c r="R632" i="5" s="1"/>
  <c r="O1640" i="6"/>
  <c r="O2532" i="6"/>
  <c r="O962" i="5"/>
  <c r="R962" i="5" s="1"/>
  <c r="O2067" i="6"/>
  <c r="O794" i="5"/>
  <c r="R794" i="5" s="1"/>
  <c r="O608" i="5"/>
  <c r="R608" i="5" s="1"/>
  <c r="O1584" i="6"/>
  <c r="O1193" i="5"/>
  <c r="R1193" i="5" s="1"/>
  <c r="O3158" i="6"/>
  <c r="O1028" i="5"/>
  <c r="R1028" i="5" s="1"/>
  <c r="O2692" i="6"/>
  <c r="O56" i="5"/>
  <c r="R56" i="5" s="1"/>
  <c r="O125" i="6"/>
  <c r="O3213" i="6"/>
  <c r="O1211" i="5"/>
  <c r="R1211" i="5" s="1"/>
  <c r="O1043" i="5"/>
  <c r="R1043" i="5" s="1"/>
  <c r="O2739" i="6"/>
  <c r="O2542" i="6"/>
  <c r="O965" i="5"/>
  <c r="R965" i="5" s="1"/>
  <c r="O458" i="5"/>
  <c r="R458" i="5" s="1"/>
  <c r="O1190" i="6"/>
  <c r="O131" i="5"/>
  <c r="R131" i="5" s="1"/>
  <c r="O334" i="6"/>
  <c r="O455" i="5"/>
  <c r="R455" i="5" s="1"/>
  <c r="O1182" i="6"/>
  <c r="I32" i="8"/>
  <c r="O3250" i="6"/>
  <c r="R605" i="5"/>
  <c r="R722" i="5"/>
  <c r="R827" i="5"/>
  <c r="R173" i="5"/>
  <c r="R1097" i="5"/>
  <c r="R1013" i="5"/>
  <c r="O2055" i="6"/>
  <c r="R1133" i="5"/>
  <c r="R968" i="5"/>
  <c r="O1988" i="6"/>
  <c r="O3382" i="6"/>
  <c r="O995" i="5"/>
  <c r="R995" i="5" s="1"/>
  <c r="O2612" i="6"/>
  <c r="O2760" i="6"/>
  <c r="O1049" i="5"/>
  <c r="R1049" i="5" s="1"/>
  <c r="O266" i="5"/>
  <c r="R266" i="5" s="1"/>
  <c r="O698" i="6"/>
  <c r="O2322" i="6"/>
  <c r="O887" i="5"/>
  <c r="R887" i="5" s="1"/>
  <c r="O812" i="5"/>
  <c r="R812" i="5" s="1"/>
  <c r="O2121" i="6"/>
  <c r="O2036" i="6"/>
  <c r="O782" i="5"/>
  <c r="R782" i="5" s="1"/>
  <c r="O1536" i="6"/>
  <c r="O593" i="5"/>
  <c r="R593" i="5" s="1"/>
  <c r="H230" i="11"/>
  <c r="H233" i="11"/>
  <c r="H254" i="11"/>
  <c r="H257" i="11"/>
  <c r="R650" i="5"/>
  <c r="R848" i="5"/>
  <c r="H290" i="11"/>
  <c r="H293" i="11"/>
  <c r="S662" i="5"/>
  <c r="W662" i="5" s="1"/>
  <c r="S229" i="1" s="1"/>
  <c r="T229" i="1" s="1"/>
  <c r="O668" i="6"/>
  <c r="O257" i="5"/>
  <c r="R257" i="5" s="1"/>
  <c r="V257" i="5" s="1"/>
  <c r="M94" i="1" s="1"/>
  <c r="N94" i="1" s="1"/>
  <c r="O1160" i="5"/>
  <c r="R1160" i="5" s="1"/>
  <c r="O3071" i="6"/>
  <c r="J134" i="11"/>
  <c r="J137" i="11"/>
  <c r="H98" i="11"/>
  <c r="H101" i="11"/>
  <c r="J86" i="11"/>
  <c r="J89" i="11"/>
  <c r="V674" i="5"/>
  <c r="M233" i="1" s="1"/>
  <c r="N233" i="1" s="1"/>
  <c r="O1396" i="6"/>
  <c r="O548" i="5"/>
  <c r="R548" i="5" s="1"/>
  <c r="O1423" i="6"/>
  <c r="O701" i="5"/>
  <c r="R701" i="5" s="1"/>
  <c r="O1819" i="6"/>
  <c r="O581" i="5"/>
  <c r="R581" i="5" s="1"/>
  <c r="O1508" i="6"/>
  <c r="O1085" i="5"/>
  <c r="R1085" i="5" s="1"/>
  <c r="O2856" i="6"/>
  <c r="O1123" i="6"/>
  <c r="O434" i="5"/>
  <c r="R434" i="5" s="1"/>
  <c r="O2170" i="6"/>
  <c r="O830" i="5"/>
  <c r="R830" i="5" s="1"/>
  <c r="O815" i="5"/>
  <c r="R815" i="5" s="1"/>
  <c r="O2132" i="6"/>
  <c r="O194" i="5"/>
  <c r="R194" i="5" s="1"/>
  <c r="O507" i="6"/>
  <c r="H26" i="11"/>
  <c r="H29" i="11"/>
  <c r="V203" i="5"/>
  <c r="M76" i="1" s="1"/>
  <c r="N76" i="1" s="1"/>
  <c r="S203" i="5"/>
  <c r="W203" i="5" s="1"/>
  <c r="S76" i="1" s="1"/>
  <c r="T76" i="1" s="1"/>
  <c r="R578" i="5"/>
  <c r="V1232" i="5"/>
  <c r="M419" i="1" s="1"/>
  <c r="N419" i="1" s="1"/>
  <c r="S512" i="5"/>
  <c r="W512" i="5" s="1"/>
  <c r="S179" i="1" s="1"/>
  <c r="T179" i="1" s="1"/>
  <c r="V512" i="5"/>
  <c r="M179" i="1" s="1"/>
  <c r="N179" i="1" s="1"/>
  <c r="O2714" i="6"/>
  <c r="O1034" i="5"/>
  <c r="R1034" i="5" s="1"/>
  <c r="O32" i="5"/>
  <c r="R32" i="5" s="1"/>
  <c r="O64" i="6"/>
  <c r="O1154" i="5"/>
  <c r="R1154" i="5" s="1"/>
  <c r="O3052" i="6"/>
  <c r="O792" i="6"/>
  <c r="O302" i="5"/>
  <c r="R302" i="5" s="1"/>
  <c r="O1142" i="5"/>
  <c r="R1142" i="5" s="1"/>
  <c r="O3016" i="6"/>
  <c r="O371" i="5"/>
  <c r="R371" i="5" s="1"/>
  <c r="O959" i="6"/>
  <c r="O923" i="5"/>
  <c r="R923" i="5" s="1"/>
  <c r="O2427" i="6"/>
  <c r="O653" i="5"/>
  <c r="R653" i="5" s="1"/>
  <c r="O1696" i="6"/>
  <c r="O240" i="6"/>
  <c r="O98" i="5"/>
  <c r="R98" i="5" s="1"/>
  <c r="O683" i="5"/>
  <c r="R683" i="5" s="1"/>
  <c r="O1772" i="6"/>
  <c r="O893" i="5"/>
  <c r="R893" i="5" s="1"/>
  <c r="O2344" i="6"/>
  <c r="O590" i="5"/>
  <c r="R590" i="5" s="1"/>
  <c r="O1529" i="6"/>
  <c r="O383" i="5"/>
  <c r="O994" i="6"/>
  <c r="O992" i="5"/>
  <c r="R992" i="5" s="1"/>
  <c r="O2599" i="6"/>
  <c r="O2685" i="6"/>
  <c r="O1025" i="5"/>
  <c r="R1025" i="5" s="1"/>
  <c r="O260" i="5"/>
  <c r="R260" i="5" s="1"/>
  <c r="O681" i="6"/>
  <c r="O53" i="5"/>
  <c r="R53" i="5" s="1"/>
  <c r="O119" i="6"/>
  <c r="O731" i="5"/>
  <c r="R731" i="5" s="1"/>
  <c r="O1904" i="6"/>
  <c r="O458" i="6"/>
  <c r="O176" i="5"/>
  <c r="R176" i="5" s="1"/>
  <c r="O3167" i="6"/>
  <c r="O1196" i="5"/>
  <c r="R1196" i="5" s="1"/>
  <c r="O179" i="5"/>
  <c r="R179" i="5" s="1"/>
  <c r="O464" i="6"/>
  <c r="O2476" i="6"/>
  <c r="O941" i="5"/>
  <c r="R941" i="5" s="1"/>
  <c r="O1293" i="6"/>
  <c r="O498" i="5"/>
  <c r="R497" i="5" s="1"/>
  <c r="O104" i="6"/>
  <c r="O47" i="5"/>
  <c r="R47" i="5" s="1"/>
  <c r="O2104" i="6"/>
  <c r="O806" i="5"/>
  <c r="R806" i="5" s="1"/>
  <c r="O1226" i="6"/>
  <c r="O473" i="5"/>
  <c r="R473" i="5" s="1"/>
  <c r="O1244" i="5"/>
  <c r="R1244" i="5" s="1"/>
  <c r="O3296" i="6"/>
  <c r="O65" i="5"/>
  <c r="R65" i="5" s="1"/>
  <c r="O154" i="6"/>
  <c r="O1256" i="5"/>
  <c r="R1256" i="5" s="1"/>
  <c r="O3334" i="6"/>
  <c r="O1169" i="5"/>
  <c r="R1169" i="5" s="1"/>
  <c r="O3099" i="6"/>
  <c r="O134" i="5"/>
  <c r="R134" i="5" s="1"/>
  <c r="O343" i="6"/>
  <c r="O1004" i="5"/>
  <c r="R1004" i="5" s="1"/>
  <c r="O2637" i="6"/>
  <c r="O1100" i="5"/>
  <c r="R1100" i="5" s="1"/>
  <c r="O2901" i="6"/>
  <c r="O863" i="5"/>
  <c r="R863" i="5" s="1"/>
  <c r="O2266" i="6"/>
  <c r="O155" i="5"/>
  <c r="R155" i="5" s="1"/>
  <c r="O400" i="6"/>
  <c r="O209" i="5"/>
  <c r="R209" i="5" s="1"/>
  <c r="O555" i="6"/>
  <c r="O1187" i="5"/>
  <c r="R1187" i="5" s="1"/>
  <c r="O3138" i="6"/>
  <c r="O413" i="5"/>
  <c r="R413" i="5" s="1"/>
  <c r="O1066" i="6"/>
  <c r="O449" i="5"/>
  <c r="R449" i="5" s="1"/>
  <c r="O1160" i="6"/>
  <c r="O851" i="5"/>
  <c r="R851" i="5" s="1"/>
  <c r="O2228" i="6"/>
  <c r="O107" i="5"/>
  <c r="R107" i="5" s="1"/>
  <c r="O269" i="6"/>
  <c r="O1208" i="6"/>
  <c r="O464" i="5"/>
  <c r="R464" i="5" s="1"/>
  <c r="O1734" i="6"/>
  <c r="O668" i="5"/>
  <c r="R668" i="5" s="1"/>
  <c r="O1217" i="6"/>
  <c r="O470" i="5"/>
  <c r="R470" i="5" s="1"/>
  <c r="O122" i="5"/>
  <c r="R122" i="5" s="1"/>
  <c r="O316" i="6"/>
  <c r="O2390" i="6"/>
  <c r="O908" i="5"/>
  <c r="R908" i="5" s="1"/>
  <c r="O1283" i="5"/>
  <c r="R1283" i="5" s="1"/>
  <c r="O3410" i="6"/>
  <c r="O3222" i="6"/>
  <c r="O1214" i="5"/>
  <c r="R1214" i="5" s="1"/>
  <c r="O626" i="5"/>
  <c r="R626" i="5" s="1"/>
  <c r="O1623" i="6"/>
  <c r="O494" i="5"/>
  <c r="R494" i="5" s="1"/>
  <c r="O1284" i="6"/>
  <c r="O909" i="6"/>
  <c r="O350" i="5"/>
  <c r="R350" i="5" s="1"/>
  <c r="O1132" i="6"/>
  <c r="O437" i="5"/>
  <c r="R437" i="5" s="1"/>
  <c r="R383" i="5"/>
  <c r="O944" i="5"/>
  <c r="R944" i="5" s="1"/>
  <c r="O2484" i="6"/>
  <c r="O1147" i="6"/>
  <c r="O443" i="5"/>
  <c r="R443" i="5" s="1"/>
  <c r="O1199" i="6"/>
  <c r="O461" i="5"/>
  <c r="R461" i="5" s="1"/>
  <c r="I16" i="8"/>
  <c r="I36" i="8"/>
  <c r="I45" i="8"/>
  <c r="O420" i="6"/>
  <c r="O3041" i="6"/>
  <c r="O515" i="6"/>
  <c r="R596" i="5"/>
  <c r="O1311" i="6"/>
  <c r="O55" i="6"/>
  <c r="O2439" i="6"/>
  <c r="R1259" i="5"/>
  <c r="O210" i="6"/>
  <c r="O86" i="6"/>
  <c r="O649" i="6"/>
  <c r="R905" i="5"/>
  <c r="L122" i="11"/>
  <c r="M122" i="11" s="1"/>
  <c r="H128" i="11"/>
  <c r="O191" i="5"/>
  <c r="R191" i="5" s="1"/>
  <c r="O499" i="6"/>
  <c r="O809" i="5"/>
  <c r="R809" i="5" s="1"/>
  <c r="O2112" i="6"/>
  <c r="J230" i="11"/>
  <c r="J233" i="11"/>
  <c r="J254" i="11"/>
  <c r="J257" i="11"/>
  <c r="H218" i="11"/>
  <c r="H221" i="11"/>
  <c r="H278" i="11"/>
  <c r="H281" i="11"/>
  <c r="L281" i="11" s="1"/>
  <c r="M281" i="11" s="1"/>
  <c r="V239" i="5"/>
  <c r="M88" i="1" s="1"/>
  <c r="N88" i="1" s="1"/>
  <c r="P88" i="1" s="1"/>
  <c r="J290" i="11"/>
  <c r="J293" i="11"/>
  <c r="O162" i="6"/>
  <c r="O68" i="5"/>
  <c r="R68" i="5" s="1"/>
  <c r="O1067" i="5"/>
  <c r="R1067" i="5" s="1"/>
  <c r="O2806" i="6"/>
  <c r="T94" i="1"/>
  <c r="H50" i="11"/>
  <c r="H53" i="11"/>
  <c r="H134" i="11"/>
  <c r="H137" i="11"/>
  <c r="H242" i="11"/>
  <c r="H245" i="11"/>
  <c r="S59" i="5"/>
  <c r="W59" i="5" s="1"/>
  <c r="S28" i="1" s="1"/>
  <c r="T28" i="1" s="1"/>
  <c r="L65" i="11"/>
  <c r="M65" i="11" s="1"/>
  <c r="V227" i="5"/>
  <c r="M84" i="1" s="1"/>
  <c r="N84" i="1" s="1"/>
  <c r="O2966" i="6"/>
  <c r="O818" i="5"/>
  <c r="R818" i="5" s="1"/>
  <c r="O2142" i="6"/>
  <c r="O766" i="6"/>
  <c r="O293" i="5"/>
  <c r="R293" i="5" s="1"/>
  <c r="O2975" i="6"/>
  <c r="O1127" i="5"/>
  <c r="R1127" i="5" s="1"/>
  <c r="O725" i="5"/>
  <c r="R725" i="5" s="1"/>
  <c r="O1887" i="6"/>
  <c r="O1112" i="5"/>
  <c r="R1112" i="5" s="1"/>
  <c r="O2939" i="6"/>
  <c r="O602" i="5"/>
  <c r="R602" i="5" s="1"/>
  <c r="O1566" i="6"/>
  <c r="O1202" i="5"/>
  <c r="R1202" i="5" s="1"/>
  <c r="O3183" i="6"/>
  <c r="O533" i="5"/>
  <c r="R533" i="5" s="1"/>
  <c r="O1387" i="6"/>
  <c r="J26" i="11"/>
  <c r="J29" i="11"/>
  <c r="H38" i="11"/>
  <c r="H41" i="11"/>
  <c r="O2705" i="6"/>
  <c r="H266" i="11"/>
  <c r="H269" i="11"/>
  <c r="L269" i="11" s="1"/>
  <c r="M269" i="11" s="1"/>
  <c r="O1499" i="6"/>
  <c r="S860" i="5"/>
  <c r="W860" i="5" s="1"/>
  <c r="S294" i="1" s="1"/>
  <c r="T294" i="1" s="1"/>
  <c r="V476" i="5"/>
  <c r="M167" i="1" s="1"/>
  <c r="N167" i="1" s="1"/>
  <c r="R710" i="5"/>
  <c r="O1481" i="6"/>
  <c r="O572" i="5"/>
  <c r="R572" i="5" s="1"/>
  <c r="O1490" i="6"/>
  <c r="O692" i="5"/>
  <c r="R692" i="5" s="1"/>
  <c r="O1799" i="6"/>
  <c r="O95" i="5"/>
  <c r="R95" i="5" s="1"/>
  <c r="O234" i="6"/>
  <c r="O926" i="5"/>
  <c r="R926" i="5" s="1"/>
  <c r="O2433" i="6"/>
  <c r="O716" i="6"/>
  <c r="O272" i="5"/>
  <c r="R272" i="5" s="1"/>
  <c r="O566" i="5"/>
  <c r="R566" i="5" s="1"/>
  <c r="O1472" i="6"/>
  <c r="O579" i="6"/>
  <c r="O221" i="5"/>
  <c r="R221" i="5" s="1"/>
  <c r="O359" i="5"/>
  <c r="R359" i="5" s="1"/>
  <c r="O935" i="6"/>
  <c r="O1858" i="6"/>
  <c r="O716" i="5"/>
  <c r="R716" i="5" s="1"/>
  <c r="O614" i="6"/>
  <c r="O233" i="5"/>
  <c r="R233" i="5" s="1"/>
  <c r="O638" i="5"/>
  <c r="R638" i="5" s="1"/>
  <c r="O1658" i="6"/>
  <c r="O542" i="5"/>
  <c r="R542" i="5" s="1"/>
  <c r="O1405" i="6"/>
  <c r="O1136" i="5"/>
  <c r="R1136" i="5" s="1"/>
  <c r="O2994" i="6"/>
  <c r="O1664" i="6"/>
  <c r="O641" i="5"/>
  <c r="R641" i="5" s="1"/>
  <c r="O1295" i="5"/>
  <c r="R1295" i="5" s="1"/>
  <c r="O3440" i="6"/>
  <c r="O143" i="5"/>
  <c r="R143" i="5" s="1"/>
  <c r="O362" i="6"/>
  <c r="O713" i="5"/>
  <c r="R713" i="5" s="1"/>
  <c r="O1852" i="6"/>
  <c r="O983" i="5"/>
  <c r="R983" i="5" s="1"/>
  <c r="O2580" i="6"/>
  <c r="O1088" i="5"/>
  <c r="R1088" i="5" s="1"/>
  <c r="O2865" i="6"/>
  <c r="O1913" i="6"/>
  <c r="O734" i="5"/>
  <c r="R734" i="5" s="1"/>
  <c r="O3401" i="6"/>
  <c r="O1277" i="5"/>
  <c r="R1277" i="5" s="1"/>
  <c r="O3392" i="6"/>
  <c r="O1274" i="5"/>
  <c r="R1274" i="5" s="1"/>
  <c r="O1139" i="5"/>
  <c r="R1139" i="5" s="1"/>
  <c r="O3007" i="6"/>
  <c r="O2369" i="6"/>
  <c r="O902" i="5"/>
  <c r="R902" i="5" s="1"/>
  <c r="O554" i="5"/>
  <c r="R554" i="5" s="1"/>
  <c r="O1435" i="6"/>
  <c r="O932" i="5"/>
  <c r="R932" i="5" s="1"/>
  <c r="O2446" i="6"/>
  <c r="O3434" i="6"/>
  <c r="O1292" i="5"/>
  <c r="R1292" i="5" s="1"/>
  <c r="O431" i="6"/>
  <c r="O164" i="5"/>
  <c r="R164" i="5" s="1"/>
  <c r="O17" i="5"/>
  <c r="R17" i="5" s="1"/>
  <c r="O17" i="6"/>
  <c r="O329" i="5"/>
  <c r="R329" i="5" s="1"/>
  <c r="O859" i="6"/>
  <c r="O797" i="5"/>
  <c r="R797" i="5" s="1"/>
  <c r="O2074" i="6"/>
  <c r="O389" i="5"/>
  <c r="R389" i="5" s="1"/>
  <c r="O1011" i="6"/>
  <c r="O1238" i="5"/>
  <c r="R1238" i="5" s="1"/>
  <c r="O3283" i="6"/>
  <c r="O284" i="5"/>
  <c r="R284" i="5" s="1"/>
  <c r="O737" i="6"/>
  <c r="O971" i="5"/>
  <c r="R971" i="5" s="1"/>
  <c r="O2557" i="6"/>
  <c r="O944" i="6"/>
  <c r="O362" i="5"/>
  <c r="R362" i="5" s="1"/>
  <c r="O2008" i="6"/>
  <c r="O767" i="5"/>
  <c r="R767" i="5" s="1"/>
  <c r="O2948" i="6"/>
  <c r="O1115" i="5"/>
  <c r="R1115" i="5" s="1"/>
  <c r="O287" i="5"/>
  <c r="R287" i="5" s="1"/>
  <c r="O744" i="6"/>
  <c r="O482" i="5"/>
  <c r="R482" i="5" s="1"/>
  <c r="O1247" i="6"/>
  <c r="O1348" i="6"/>
  <c r="O521" i="5"/>
  <c r="R521" i="5" s="1"/>
  <c r="O1178" i="5"/>
  <c r="R1178" i="5" s="1"/>
  <c r="O3117" i="6"/>
  <c r="O89" i="5"/>
  <c r="R89" i="5" s="1"/>
  <c r="O219" i="6"/>
  <c r="O2185" i="6"/>
  <c r="O836" i="5"/>
  <c r="R836" i="5" s="1"/>
  <c r="O3062" i="6"/>
  <c r="O1157" i="5"/>
  <c r="R1157" i="5" s="1"/>
  <c r="O290" i="5"/>
  <c r="R290" i="5" s="1"/>
  <c r="O757" i="6"/>
  <c r="O3277" i="6"/>
  <c r="O1235" i="5"/>
  <c r="R1235" i="5" s="1"/>
  <c r="O776" i="5"/>
  <c r="R776" i="5" s="1"/>
  <c r="O2027" i="6"/>
  <c r="O344" i="5"/>
  <c r="R344" i="5" s="1"/>
  <c r="O889" i="6"/>
  <c r="O587" i="5"/>
  <c r="R587" i="5" s="1"/>
  <c r="O1523" i="6"/>
  <c r="O1781" i="6"/>
  <c r="O686" i="5"/>
  <c r="R686" i="5" s="1"/>
  <c r="O764" i="5"/>
  <c r="R764" i="5" s="1"/>
  <c r="O1997" i="6"/>
  <c r="O803" i="5"/>
  <c r="R803" i="5" s="1"/>
  <c r="O2096" i="6"/>
  <c r="O110" i="5"/>
  <c r="R110" i="5" s="1"/>
  <c r="O277" i="6"/>
  <c r="O917" i="5"/>
  <c r="R917" i="5" s="1"/>
  <c r="O2408" i="6"/>
  <c r="O2824" i="6"/>
  <c r="O1073" i="5"/>
  <c r="R1073" i="5" s="1"/>
  <c r="O1865" i="6"/>
  <c r="O719" i="5"/>
  <c r="R719" i="5" s="1"/>
  <c r="O113" i="6"/>
  <c r="O50" i="5"/>
  <c r="R50" i="5" s="1"/>
  <c r="O875" i="5"/>
  <c r="R875" i="5" s="1"/>
  <c r="O2294" i="6"/>
  <c r="O935" i="5"/>
  <c r="R935" i="5" s="1"/>
  <c r="O2459" i="6"/>
  <c r="O404" i="5"/>
  <c r="R404" i="5" s="1"/>
  <c r="O1047" i="6"/>
  <c r="O801" i="6"/>
  <c r="O308" i="5"/>
  <c r="R308" i="5" s="1"/>
  <c r="O938" i="5"/>
  <c r="R938" i="5" s="1"/>
  <c r="O2468" i="6"/>
  <c r="I30" i="8"/>
  <c r="I46" i="8"/>
  <c r="I34" i="8"/>
  <c r="I23" i="8"/>
  <c r="I35" i="8"/>
  <c r="R161" i="5"/>
  <c r="R1151" i="5"/>
  <c r="R197" i="5"/>
  <c r="O1549" i="6"/>
  <c r="R506" i="5"/>
  <c r="R29" i="5"/>
  <c r="R929" i="5"/>
  <c r="O3343" i="6"/>
  <c r="R83" i="5"/>
  <c r="R38" i="5"/>
  <c r="R248" i="5"/>
  <c r="O2380" i="6"/>
  <c r="H341" i="11"/>
  <c r="J356" i="11"/>
  <c r="J357" i="11" s="1"/>
  <c r="S1280" i="5" s="1"/>
  <c r="W1280" i="5" s="1"/>
  <c r="S435" i="1" s="1"/>
  <c r="T435" i="1" s="1"/>
  <c r="L350" i="11"/>
  <c r="M350" i="11" s="1"/>
  <c r="L149" i="11"/>
  <c r="M149" i="11" s="1"/>
  <c r="J152" i="11"/>
  <c r="J153" i="11" s="1"/>
  <c r="S395" i="5" s="1"/>
  <c r="W395" i="5" s="1"/>
  <c r="S140" i="1" s="1"/>
  <c r="T140" i="1" s="1"/>
  <c r="L197" i="11"/>
  <c r="M197" i="11" s="1"/>
  <c r="J200" i="11"/>
  <c r="J201" i="11" s="1"/>
  <c r="S539" i="5" s="1"/>
  <c r="W539" i="5" s="1"/>
  <c r="S188" i="1" s="1"/>
  <c r="T188" i="1" s="1"/>
  <c r="J185" i="11"/>
  <c r="J188" i="11" s="1"/>
  <c r="J189" i="11" s="1"/>
  <c r="S503" i="5" s="1"/>
  <c r="W503" i="5" s="1"/>
  <c r="S176" i="1" s="1"/>
  <c r="T176" i="1" s="1"/>
  <c r="H161" i="11"/>
  <c r="L146" i="11"/>
  <c r="M146" i="11" s="1"/>
  <c r="H152" i="11"/>
  <c r="H173" i="11"/>
  <c r="H185" i="11"/>
  <c r="J161" i="11"/>
  <c r="L194" i="11"/>
  <c r="M194" i="11" s="1"/>
  <c r="H200" i="11"/>
  <c r="J173" i="11"/>
  <c r="J176" i="11" s="1"/>
  <c r="J177" i="11" s="1"/>
  <c r="L332" i="11"/>
  <c r="M332" i="11" s="1"/>
  <c r="BB124" i="3"/>
  <c r="R1280" i="5"/>
  <c r="V1280" i="5" s="1"/>
  <c r="M435" i="1" s="1"/>
  <c r="N435" i="1" s="1"/>
  <c r="L338" i="11"/>
  <c r="M338" i="11" s="1"/>
  <c r="L308" i="11"/>
  <c r="M308" i="11" s="1"/>
  <c r="H321" i="11"/>
  <c r="L309" i="11"/>
  <c r="M309" i="11" s="1"/>
  <c r="R1064" i="5"/>
  <c r="V1064" i="5" s="1"/>
  <c r="M363" i="1" s="1"/>
  <c r="N363" i="1" s="1"/>
  <c r="R1172" i="5"/>
  <c r="V1172" i="5" s="1"/>
  <c r="M399" i="1" s="1"/>
  <c r="N399" i="1" s="1"/>
  <c r="L333" i="11"/>
  <c r="M333" i="11" s="1"/>
  <c r="S343" i="1"/>
  <c r="T343" i="1" s="1"/>
  <c r="W1055" i="5"/>
  <c r="S360" i="1" s="1"/>
  <c r="T360" i="1" s="1"/>
  <c r="N364" i="1"/>
  <c r="N343" i="1"/>
  <c r="L77" i="11" l="1"/>
  <c r="M77" i="11" s="1"/>
  <c r="S1046" i="5"/>
  <c r="W1046" i="5" s="1"/>
  <c r="S357" i="1" s="1"/>
  <c r="T357" i="1" s="1"/>
  <c r="V281" i="5"/>
  <c r="M102" i="1" s="1"/>
  <c r="N102" i="1" s="1"/>
  <c r="S1289" i="5"/>
  <c r="W1289" i="5" s="1"/>
  <c r="S438" i="1" s="1"/>
  <c r="T438" i="1" s="1"/>
  <c r="S119" i="5"/>
  <c r="W119" i="5" s="1"/>
  <c r="S48" i="1" s="1"/>
  <c r="T48" i="1" s="1"/>
  <c r="S1253" i="5"/>
  <c r="W1253" i="5" s="1"/>
  <c r="S426" i="1" s="1"/>
  <c r="T426" i="1" s="1"/>
  <c r="V426" i="1" s="1"/>
  <c r="S419" i="5"/>
  <c r="W419" i="5" s="1"/>
  <c r="S148" i="1" s="1"/>
  <c r="T148" i="1" s="1"/>
  <c r="V491" i="5"/>
  <c r="M172" i="1" s="1"/>
  <c r="N172" i="1" s="1"/>
  <c r="S695" i="5"/>
  <c r="W695" i="5" s="1"/>
  <c r="S240" i="1" s="1"/>
  <c r="T240" i="1" s="1"/>
  <c r="V1040" i="5"/>
  <c r="M355" i="1" s="1"/>
  <c r="N355" i="1" s="1"/>
  <c r="S77" i="5"/>
  <c r="W77" i="5" s="1"/>
  <c r="S34" i="1" s="1"/>
  <c r="T34" i="1" s="1"/>
  <c r="S647" i="5"/>
  <c r="W647" i="5" s="1"/>
  <c r="S224" i="1" s="1"/>
  <c r="T224" i="1" s="1"/>
  <c r="V224" i="1" s="1"/>
  <c r="V833" i="5"/>
  <c r="M285" i="1" s="1"/>
  <c r="N285" i="1" s="1"/>
  <c r="V800" i="5"/>
  <c r="M274" i="1" s="1"/>
  <c r="N274" i="1" s="1"/>
  <c r="V116" i="5"/>
  <c r="M47" i="1" s="1"/>
  <c r="N47" i="1" s="1"/>
  <c r="S515" i="5"/>
  <c r="W515" i="5" s="1"/>
  <c r="S180" i="1" s="1"/>
  <c r="T180" i="1" s="1"/>
  <c r="S236" i="5"/>
  <c r="W236" i="5" s="1"/>
  <c r="S87" i="1" s="1"/>
  <c r="T87" i="1" s="1"/>
  <c r="V87" i="1" s="1"/>
  <c r="S104" i="5"/>
  <c r="W104" i="5" s="1"/>
  <c r="S43" i="1" s="1"/>
  <c r="T43" i="1" s="1"/>
  <c r="S167" i="5"/>
  <c r="W167" i="5" s="1"/>
  <c r="S64" i="1" s="1"/>
  <c r="T64" i="1" s="1"/>
  <c r="L41" i="11"/>
  <c r="M41" i="11" s="1"/>
  <c r="V770" i="5"/>
  <c r="M265" i="1" s="1"/>
  <c r="N265" i="1" s="1"/>
  <c r="S698" i="5"/>
  <c r="W698" i="5" s="1"/>
  <c r="S241" i="1" s="1"/>
  <c r="T241" i="1" s="1"/>
  <c r="S740" i="5"/>
  <c r="W740" i="5" s="1"/>
  <c r="S255" i="1" s="1"/>
  <c r="T255" i="1" s="1"/>
  <c r="BB76" i="3" s="1"/>
  <c r="S743" i="5"/>
  <c r="W743" i="5" s="1"/>
  <c r="S256" i="1" s="1"/>
  <c r="T256" i="1" s="1"/>
  <c r="BB77" i="3" s="1"/>
  <c r="BC77" i="3" s="1"/>
  <c r="BD77" i="3" s="1"/>
  <c r="L341" i="11"/>
  <c r="M341" i="11" s="1"/>
  <c r="S311" i="5"/>
  <c r="W311" i="5" s="1"/>
  <c r="S112" i="1" s="1"/>
  <c r="T112" i="1" s="1"/>
  <c r="S677" i="5"/>
  <c r="W677" i="5" s="1"/>
  <c r="S234" i="1" s="1"/>
  <c r="T234" i="1" s="1"/>
  <c r="S1199" i="5"/>
  <c r="W1199" i="5" s="1"/>
  <c r="S408" i="1" s="1"/>
  <c r="T408" i="1" s="1"/>
  <c r="V408" i="1" s="1"/>
  <c r="V1055" i="5"/>
  <c r="M360" i="1" s="1"/>
  <c r="N360" i="1" s="1"/>
  <c r="S296" i="5"/>
  <c r="W296" i="5" s="1"/>
  <c r="S107" i="1" s="1"/>
  <c r="T107" i="1" s="1"/>
  <c r="V107" i="1" s="1"/>
  <c r="L221" i="11"/>
  <c r="M221" i="11" s="1"/>
  <c r="J320" i="11"/>
  <c r="L317" i="11"/>
  <c r="M317" i="11" s="1"/>
  <c r="E45" i="8"/>
  <c r="L53" i="11"/>
  <c r="M53" i="11" s="1"/>
  <c r="S1265" i="5"/>
  <c r="W1265" i="5" s="1"/>
  <c r="S430" i="1" s="1"/>
  <c r="T430" i="1" s="1"/>
  <c r="E26" i="8"/>
  <c r="E31" i="8"/>
  <c r="S899" i="5"/>
  <c r="W899" i="5" s="1"/>
  <c r="S307" i="1" s="1"/>
  <c r="T307" i="1" s="1"/>
  <c r="S884" i="5"/>
  <c r="W884" i="5" s="1"/>
  <c r="S302" i="1" s="1"/>
  <c r="T302" i="1" s="1"/>
  <c r="U302" i="1" s="1"/>
  <c r="L137" i="11"/>
  <c r="M137" i="11" s="1"/>
  <c r="J236" i="11"/>
  <c r="J237" i="11" s="1"/>
  <c r="S773" i="5" s="1"/>
  <c r="W773" i="5" s="1"/>
  <c r="S266" i="1" s="1"/>
  <c r="T266" i="1" s="1"/>
  <c r="S1109" i="5"/>
  <c r="W1109" i="5" s="1"/>
  <c r="S378" i="1" s="1"/>
  <c r="T378" i="1" s="1"/>
  <c r="J92" i="11"/>
  <c r="J93" i="11" s="1"/>
  <c r="S245" i="5" s="1"/>
  <c r="W245" i="5" s="1"/>
  <c r="S90" i="1" s="1"/>
  <c r="T90" i="1" s="1"/>
  <c r="V89" i="1" s="1"/>
  <c r="J140" i="11"/>
  <c r="J141" i="11" s="1"/>
  <c r="S365" i="5" s="1"/>
  <c r="W365" i="5" s="1"/>
  <c r="S130" i="1" s="1"/>
  <c r="T130" i="1" s="1"/>
  <c r="J284" i="11"/>
  <c r="J285" i="11" s="1"/>
  <c r="S956" i="5" s="1"/>
  <c r="W956" i="5" s="1"/>
  <c r="S326" i="1" s="1"/>
  <c r="T326" i="1" s="1"/>
  <c r="S959" i="5"/>
  <c r="W959" i="5" s="1"/>
  <c r="S327" i="1" s="1"/>
  <c r="T327" i="1" s="1"/>
  <c r="J44" i="11"/>
  <c r="J45" i="11" s="1"/>
  <c r="S86" i="5" s="1"/>
  <c r="W86" i="5" s="1"/>
  <c r="S37" i="1" s="1"/>
  <c r="T37" i="1" s="1"/>
  <c r="V1094" i="5"/>
  <c r="M373" i="1" s="1"/>
  <c r="N373" i="1" s="1"/>
  <c r="J248" i="11"/>
  <c r="J249" i="11" s="1"/>
  <c r="S821" i="5" s="1"/>
  <c r="W821" i="5" s="1"/>
  <c r="S281" i="1" s="1"/>
  <c r="T281" i="1" s="1"/>
  <c r="S356" i="5"/>
  <c r="W356" i="5" s="1"/>
  <c r="S127" i="1" s="1"/>
  <c r="T127" i="1" s="1"/>
  <c r="V127" i="1" s="1"/>
  <c r="E39" i="8"/>
  <c r="L245" i="11"/>
  <c r="M245" i="11" s="1"/>
  <c r="E46" i="8"/>
  <c r="E33" i="8"/>
  <c r="S146" i="5"/>
  <c r="W146" i="5" s="1"/>
  <c r="S57" i="1" s="1"/>
  <c r="T57" i="1" s="1"/>
  <c r="S1124" i="5"/>
  <c r="W1124" i="5" s="1"/>
  <c r="S383" i="1" s="1"/>
  <c r="T383" i="1" s="1"/>
  <c r="S422" i="5"/>
  <c r="W422" i="5" s="1"/>
  <c r="S149" i="1" s="1"/>
  <c r="T149" i="1" s="1"/>
  <c r="V149" i="1" s="1"/>
  <c r="V1061" i="5"/>
  <c r="M362" i="1" s="1"/>
  <c r="N362" i="1" s="1"/>
  <c r="S1061" i="5"/>
  <c r="W1061" i="5" s="1"/>
  <c r="S362" i="1" s="1"/>
  <c r="T362" i="1" s="1"/>
  <c r="L101" i="11"/>
  <c r="M101" i="11" s="1"/>
  <c r="J56" i="11"/>
  <c r="J57" i="11" s="1"/>
  <c r="S128" i="5" s="1"/>
  <c r="W128" i="5" s="1"/>
  <c r="S51" i="1" s="1"/>
  <c r="T51" i="1" s="1"/>
  <c r="V977" i="5"/>
  <c r="M333" i="1" s="1"/>
  <c r="N333" i="1" s="1"/>
  <c r="AZ94" i="3" s="1"/>
  <c r="S977" i="5"/>
  <c r="W977" i="5" s="1"/>
  <c r="S333" i="1" s="1"/>
  <c r="T333" i="1" s="1"/>
  <c r="BB94" i="3" s="1"/>
  <c r="V368" i="5"/>
  <c r="M131" i="1" s="1"/>
  <c r="N131" i="1" s="1"/>
  <c r="S368" i="5"/>
  <c r="W368" i="5" s="1"/>
  <c r="S131" i="1" s="1"/>
  <c r="T131" i="1" s="1"/>
  <c r="S755" i="5"/>
  <c r="W755" i="5" s="1"/>
  <c r="S260" i="1" s="1"/>
  <c r="T260" i="1" s="1"/>
  <c r="V23" i="5"/>
  <c r="M16" i="1" s="1"/>
  <c r="N16" i="1" s="1"/>
  <c r="S23" i="5"/>
  <c r="W23" i="5" s="1"/>
  <c r="S16" i="1" s="1"/>
  <c r="T16" i="1" s="1"/>
  <c r="L113" i="11"/>
  <c r="M113" i="11" s="1"/>
  <c r="S551" i="5"/>
  <c r="W551" i="5" s="1"/>
  <c r="S192" i="1" s="1"/>
  <c r="T192" i="1" s="1"/>
  <c r="V551" i="5"/>
  <c r="M192" i="1" s="1"/>
  <c r="N192" i="1" s="1"/>
  <c r="V704" i="5"/>
  <c r="M243" i="1" s="1"/>
  <c r="N243" i="1" s="1"/>
  <c r="S704" i="5"/>
  <c r="W704" i="5" s="1"/>
  <c r="S243" i="1" s="1"/>
  <c r="T243" i="1" s="1"/>
  <c r="H344" i="11"/>
  <c r="L344" i="11" s="1"/>
  <c r="M344" i="11" s="1"/>
  <c r="J32" i="11"/>
  <c r="J33" i="11" s="1"/>
  <c r="S44" i="5" s="1"/>
  <c r="W44" i="5" s="1"/>
  <c r="S23" i="1" s="1"/>
  <c r="T23" i="1" s="1"/>
  <c r="V950" i="5"/>
  <c r="M324" i="1" s="1"/>
  <c r="N324" i="1" s="1"/>
  <c r="S950" i="5"/>
  <c r="W950" i="5" s="1"/>
  <c r="S324" i="1" s="1"/>
  <c r="T324" i="1" s="1"/>
  <c r="V386" i="5"/>
  <c r="M137" i="1" s="1"/>
  <c r="N137" i="1" s="1"/>
  <c r="P137" i="1" s="1"/>
  <c r="S386" i="5"/>
  <c r="W386" i="5" s="1"/>
  <c r="S137" i="1" s="1"/>
  <c r="T137" i="1" s="1"/>
  <c r="V137" i="1" s="1"/>
  <c r="V545" i="5"/>
  <c r="M190" i="1" s="1"/>
  <c r="N190" i="1" s="1"/>
  <c r="S545" i="5"/>
  <c r="W545" i="5" s="1"/>
  <c r="S190" i="1" s="1"/>
  <c r="T190" i="1" s="1"/>
  <c r="E21" i="8"/>
  <c r="V707" i="5"/>
  <c r="M244" i="1" s="1"/>
  <c r="N244" i="1" s="1"/>
  <c r="S707" i="5"/>
  <c r="W707" i="5" s="1"/>
  <c r="S244" i="1" s="1"/>
  <c r="T244" i="1" s="1"/>
  <c r="S953" i="5"/>
  <c r="W953" i="5" s="1"/>
  <c r="S325" i="1" s="1"/>
  <c r="T325" i="1" s="1"/>
  <c r="V953" i="5"/>
  <c r="M325" i="1" s="1"/>
  <c r="N325" i="1" s="1"/>
  <c r="V389" i="5"/>
  <c r="M138" i="1" s="1"/>
  <c r="N138" i="1" s="1"/>
  <c r="P138" i="1" s="1"/>
  <c r="S389" i="5"/>
  <c r="W389" i="5" s="1"/>
  <c r="S138" i="1" s="1"/>
  <c r="T138" i="1" s="1"/>
  <c r="V138" i="1" s="1"/>
  <c r="V377" i="5"/>
  <c r="M134" i="1" s="1"/>
  <c r="N134" i="1" s="1"/>
  <c r="S377" i="5"/>
  <c r="W377" i="5" s="1"/>
  <c r="S134" i="1" s="1"/>
  <c r="T134" i="1" s="1"/>
  <c r="V308" i="5"/>
  <c r="M111" i="1" s="1"/>
  <c r="N111" i="1" s="1"/>
  <c r="S308" i="5"/>
  <c r="W308" i="5" s="1"/>
  <c r="S111" i="1" s="1"/>
  <c r="T111" i="1" s="1"/>
  <c r="V1073" i="5"/>
  <c r="M366" i="1" s="1"/>
  <c r="N366" i="1" s="1"/>
  <c r="S1073" i="5"/>
  <c r="W1073" i="5" s="1"/>
  <c r="S366" i="1" s="1"/>
  <c r="T366" i="1" s="1"/>
  <c r="S494" i="5"/>
  <c r="W494" i="5" s="1"/>
  <c r="S173" i="1" s="1"/>
  <c r="T173" i="1" s="1"/>
  <c r="V173" i="1" s="1"/>
  <c r="V494" i="5"/>
  <c r="M173" i="1" s="1"/>
  <c r="N173" i="1" s="1"/>
  <c r="P173" i="1" s="1"/>
  <c r="V287" i="5"/>
  <c r="M104" i="1" s="1"/>
  <c r="N104" i="1" s="1"/>
  <c r="S287" i="5"/>
  <c r="W287" i="5" s="1"/>
  <c r="S104" i="1" s="1"/>
  <c r="T104" i="1" s="1"/>
  <c r="S1238" i="5"/>
  <c r="W1238" i="5" s="1"/>
  <c r="S421" i="1" s="1"/>
  <c r="T421" i="1" s="1"/>
  <c r="V1238" i="5"/>
  <c r="M421" i="1" s="1"/>
  <c r="N421" i="1" s="1"/>
  <c r="V797" i="5"/>
  <c r="M273" i="1" s="1"/>
  <c r="N273" i="1" s="1"/>
  <c r="S797" i="5"/>
  <c r="W797" i="5" s="1"/>
  <c r="S273" i="1" s="1"/>
  <c r="T273" i="1" s="1"/>
  <c r="V17" i="5"/>
  <c r="M14" i="1" s="1"/>
  <c r="N14" i="1" s="1"/>
  <c r="S17" i="5"/>
  <c r="W17" i="5" s="1"/>
  <c r="S14" i="1" s="1"/>
  <c r="T14" i="1" s="1"/>
  <c r="V554" i="5"/>
  <c r="M193" i="1" s="1"/>
  <c r="N193" i="1" s="1"/>
  <c r="S554" i="5"/>
  <c r="W554" i="5" s="1"/>
  <c r="S193" i="1" s="1"/>
  <c r="T193" i="1" s="1"/>
  <c r="V1139" i="5"/>
  <c r="M388" i="1" s="1"/>
  <c r="N388" i="1" s="1"/>
  <c r="S1139" i="5"/>
  <c r="W1139" i="5" s="1"/>
  <c r="S388" i="1" s="1"/>
  <c r="T388" i="1" s="1"/>
  <c r="V1088" i="5"/>
  <c r="M371" i="1" s="1"/>
  <c r="N371" i="1" s="1"/>
  <c r="S1088" i="5"/>
  <c r="W1088" i="5" s="1"/>
  <c r="S371" i="1" s="1"/>
  <c r="T371" i="1" s="1"/>
  <c r="V713" i="5"/>
  <c r="M246" i="1" s="1"/>
  <c r="N246" i="1" s="1"/>
  <c r="S713" i="5"/>
  <c r="W713" i="5" s="1"/>
  <c r="S246" i="1" s="1"/>
  <c r="T246" i="1" s="1"/>
  <c r="V1295" i="5"/>
  <c r="M440" i="1" s="1"/>
  <c r="N440" i="1" s="1"/>
  <c r="S1295" i="5"/>
  <c r="W1295" i="5" s="1"/>
  <c r="S440" i="1" s="1"/>
  <c r="T440" i="1" s="1"/>
  <c r="V1136" i="5"/>
  <c r="M387" i="1" s="1"/>
  <c r="N387" i="1" s="1"/>
  <c r="S1136" i="5"/>
  <c r="W1136" i="5" s="1"/>
  <c r="S387" i="1" s="1"/>
  <c r="T387" i="1" s="1"/>
  <c r="V638" i="5"/>
  <c r="M221" i="1" s="1"/>
  <c r="N221" i="1" s="1"/>
  <c r="S638" i="5"/>
  <c r="W638" i="5" s="1"/>
  <c r="S221" i="1" s="1"/>
  <c r="T221" i="1" s="1"/>
  <c r="V95" i="5"/>
  <c r="M40" i="1" s="1"/>
  <c r="N40" i="1" s="1"/>
  <c r="S95" i="5"/>
  <c r="W95" i="5" s="1"/>
  <c r="S40" i="1" s="1"/>
  <c r="T40" i="1" s="1"/>
  <c r="V572" i="5"/>
  <c r="M199" i="1" s="1"/>
  <c r="N199" i="1" s="1"/>
  <c r="S572" i="5"/>
  <c r="W572" i="5" s="1"/>
  <c r="S199" i="1" s="1"/>
  <c r="T199" i="1" s="1"/>
  <c r="V1127" i="5"/>
  <c r="M384" i="1" s="1"/>
  <c r="N384" i="1" s="1"/>
  <c r="S1127" i="5"/>
  <c r="W1127" i="5" s="1"/>
  <c r="S384" i="1" s="1"/>
  <c r="T384" i="1" s="1"/>
  <c r="V68" i="5"/>
  <c r="M31" i="1" s="1"/>
  <c r="N31" i="1" s="1"/>
  <c r="S68" i="5"/>
  <c r="W68" i="5" s="1"/>
  <c r="S31" i="1" s="1"/>
  <c r="T31" i="1" s="1"/>
  <c r="V809" i="5"/>
  <c r="M277" i="1" s="1"/>
  <c r="N277" i="1" s="1"/>
  <c r="S809" i="5"/>
  <c r="W809" i="5" s="1"/>
  <c r="S277" i="1" s="1"/>
  <c r="T277" i="1" s="1"/>
  <c r="I51" i="8"/>
  <c r="S437" i="5"/>
  <c r="W437" i="5" s="1"/>
  <c r="S154" i="1" s="1"/>
  <c r="T154" i="1" s="1"/>
  <c r="V437" i="5"/>
  <c r="M154" i="1" s="1"/>
  <c r="N154" i="1" s="1"/>
  <c r="V1214" i="5"/>
  <c r="M413" i="1" s="1"/>
  <c r="N413" i="1" s="1"/>
  <c r="S1214" i="5"/>
  <c r="W1214" i="5" s="1"/>
  <c r="S413" i="1" s="1"/>
  <c r="T413" i="1" s="1"/>
  <c r="V908" i="5"/>
  <c r="M310" i="1" s="1"/>
  <c r="N310" i="1" s="1"/>
  <c r="S908" i="5"/>
  <c r="W908" i="5" s="1"/>
  <c r="S310" i="1" s="1"/>
  <c r="T310" i="1" s="1"/>
  <c r="S470" i="5"/>
  <c r="W470" i="5" s="1"/>
  <c r="S165" i="1" s="1"/>
  <c r="T165" i="1" s="1"/>
  <c r="V470" i="5"/>
  <c r="M165" i="1" s="1"/>
  <c r="N165" i="1" s="1"/>
  <c r="S464" i="5"/>
  <c r="W464" i="5" s="1"/>
  <c r="S163" i="1" s="1"/>
  <c r="T163" i="1" s="1"/>
  <c r="V464" i="5"/>
  <c r="M163" i="1" s="1"/>
  <c r="N163" i="1" s="1"/>
  <c r="S473" i="5"/>
  <c r="W473" i="5" s="1"/>
  <c r="S166" i="1" s="1"/>
  <c r="T166" i="1" s="1"/>
  <c r="V473" i="5"/>
  <c r="M166" i="1" s="1"/>
  <c r="N166" i="1" s="1"/>
  <c r="V47" i="5"/>
  <c r="M24" i="1" s="1"/>
  <c r="N24" i="1" s="1"/>
  <c r="S47" i="5"/>
  <c r="W47" i="5" s="1"/>
  <c r="S24" i="1" s="1"/>
  <c r="T24" i="1" s="1"/>
  <c r="V22" i="1" s="1"/>
  <c r="S941" i="5"/>
  <c r="W941" i="5" s="1"/>
  <c r="S321" i="1" s="1"/>
  <c r="T321" i="1" s="1"/>
  <c r="V941" i="5"/>
  <c r="M321" i="1" s="1"/>
  <c r="N321" i="1" s="1"/>
  <c r="V1196" i="5"/>
  <c r="M407" i="1" s="1"/>
  <c r="N407" i="1" s="1"/>
  <c r="S1196" i="5"/>
  <c r="W1196" i="5" s="1"/>
  <c r="S407" i="1" s="1"/>
  <c r="T407" i="1" s="1"/>
  <c r="V302" i="5"/>
  <c r="M109" i="1" s="1"/>
  <c r="N109" i="1" s="1"/>
  <c r="S302" i="5"/>
  <c r="W302" i="5" s="1"/>
  <c r="S109" i="1" s="1"/>
  <c r="T109" i="1" s="1"/>
  <c r="V578" i="5"/>
  <c r="M201" i="1" s="1"/>
  <c r="N201" i="1" s="1"/>
  <c r="S578" i="5"/>
  <c r="W578" i="5" s="1"/>
  <c r="S201" i="1" s="1"/>
  <c r="T201" i="1" s="1"/>
  <c r="L26" i="11"/>
  <c r="M26" i="11" s="1"/>
  <c r="H32" i="11"/>
  <c r="V815" i="5"/>
  <c r="M279" i="1" s="1"/>
  <c r="N279" i="1" s="1"/>
  <c r="S815" i="5"/>
  <c r="W815" i="5" s="1"/>
  <c r="S279" i="1" s="1"/>
  <c r="T279" i="1" s="1"/>
  <c r="V581" i="5"/>
  <c r="M202" i="1" s="1"/>
  <c r="N202" i="1" s="1"/>
  <c r="S581" i="5"/>
  <c r="W581" i="5" s="1"/>
  <c r="S202" i="1" s="1"/>
  <c r="T202" i="1" s="1"/>
  <c r="V548" i="5"/>
  <c r="M191" i="1" s="1"/>
  <c r="N191" i="1" s="1"/>
  <c r="S548" i="5"/>
  <c r="W548" i="5" s="1"/>
  <c r="S191" i="1" s="1"/>
  <c r="T191" i="1" s="1"/>
  <c r="L293" i="11"/>
  <c r="M293" i="11" s="1"/>
  <c r="L254" i="11"/>
  <c r="M254" i="11" s="1"/>
  <c r="H260" i="11"/>
  <c r="H261" i="11" s="1"/>
  <c r="V593" i="5"/>
  <c r="M206" i="1" s="1"/>
  <c r="N206" i="1" s="1"/>
  <c r="S593" i="5"/>
  <c r="W593" i="5" s="1"/>
  <c r="S206" i="1" s="1"/>
  <c r="T206" i="1" s="1"/>
  <c r="V173" i="5"/>
  <c r="M66" i="1" s="1"/>
  <c r="N66" i="1" s="1"/>
  <c r="S173" i="5"/>
  <c r="W173" i="5" s="1"/>
  <c r="S66" i="1" s="1"/>
  <c r="T66" i="1" s="1"/>
  <c r="V64" i="1" s="1"/>
  <c r="S455" i="5"/>
  <c r="W455" i="5" s="1"/>
  <c r="S160" i="1" s="1"/>
  <c r="T160" i="1" s="1"/>
  <c r="V455" i="5"/>
  <c r="M160" i="1" s="1"/>
  <c r="N160" i="1" s="1"/>
  <c r="S458" i="5"/>
  <c r="W458" i="5" s="1"/>
  <c r="S161" i="1" s="1"/>
  <c r="T161" i="1" s="1"/>
  <c r="V161" i="1" s="1"/>
  <c r="V458" i="5"/>
  <c r="M161" i="1" s="1"/>
  <c r="N161" i="1" s="1"/>
  <c r="P161" i="1" s="1"/>
  <c r="V1043" i="5"/>
  <c r="M356" i="1" s="1"/>
  <c r="N356" i="1" s="1"/>
  <c r="S1043" i="5"/>
  <c r="W1043" i="5" s="1"/>
  <c r="S356" i="1" s="1"/>
  <c r="T356" i="1" s="1"/>
  <c r="V56" i="5"/>
  <c r="M27" i="1" s="1"/>
  <c r="N27" i="1" s="1"/>
  <c r="S56" i="5"/>
  <c r="W56" i="5" s="1"/>
  <c r="S27" i="1" s="1"/>
  <c r="T27" i="1" s="1"/>
  <c r="V1193" i="5"/>
  <c r="M406" i="1" s="1"/>
  <c r="N406" i="1" s="1"/>
  <c r="S1193" i="5"/>
  <c r="W1193" i="5" s="1"/>
  <c r="S406" i="1" s="1"/>
  <c r="T406" i="1" s="1"/>
  <c r="V632" i="5"/>
  <c r="M219" i="1" s="1"/>
  <c r="N219" i="1" s="1"/>
  <c r="P219" i="1" s="1"/>
  <c r="S632" i="5"/>
  <c r="W632" i="5" s="1"/>
  <c r="S219" i="1" s="1"/>
  <c r="T219" i="1" s="1"/>
  <c r="V1175" i="5"/>
  <c r="S1175" i="5"/>
  <c r="W1175" i="5" s="1"/>
  <c r="V1058" i="5"/>
  <c r="M361" i="1" s="1"/>
  <c r="N361" i="1" s="1"/>
  <c r="P361" i="1" s="1"/>
  <c r="S1058" i="5"/>
  <c r="W1058" i="5" s="1"/>
  <c r="S361" i="1" s="1"/>
  <c r="T361" i="1" s="1"/>
  <c r="V35" i="5"/>
  <c r="M20" i="1" s="1"/>
  <c r="N20" i="1" s="1"/>
  <c r="S35" i="5"/>
  <c r="W35" i="5" s="1"/>
  <c r="S20" i="1" s="1"/>
  <c r="T20" i="1" s="1"/>
  <c r="V599" i="5"/>
  <c r="M208" i="1" s="1"/>
  <c r="N208" i="1" s="1"/>
  <c r="S599" i="5"/>
  <c r="W599" i="5" s="1"/>
  <c r="S208" i="1" s="1"/>
  <c r="T208" i="1" s="1"/>
  <c r="V428" i="5"/>
  <c r="M151" i="1" s="1"/>
  <c r="N151" i="1" s="1"/>
  <c r="S428" i="5"/>
  <c r="W428" i="5" s="1"/>
  <c r="S151" i="1" s="1"/>
  <c r="T151" i="1" s="1"/>
  <c r="V563" i="5"/>
  <c r="M196" i="1" s="1"/>
  <c r="N196" i="1" s="1"/>
  <c r="S563" i="5"/>
  <c r="W563" i="5" s="1"/>
  <c r="S196" i="1" s="1"/>
  <c r="T196" i="1" s="1"/>
  <c r="V1130" i="5"/>
  <c r="M385" i="1" s="1"/>
  <c r="N385" i="1" s="1"/>
  <c r="S1130" i="5"/>
  <c r="W1130" i="5" s="1"/>
  <c r="S385" i="1" s="1"/>
  <c r="T385" i="1" s="1"/>
  <c r="V1241" i="5"/>
  <c r="M422" i="1" s="1"/>
  <c r="N422" i="1" s="1"/>
  <c r="S1241" i="5"/>
  <c r="W1241" i="5" s="1"/>
  <c r="S422" i="1" s="1"/>
  <c r="T422" i="1" s="1"/>
  <c r="V1106" i="5"/>
  <c r="M377" i="1" s="1"/>
  <c r="N377" i="1" s="1"/>
  <c r="S1106" i="5"/>
  <c r="W1106" i="5" s="1"/>
  <c r="S377" i="1" s="1"/>
  <c r="T377" i="1" s="1"/>
  <c r="V1268" i="5"/>
  <c r="M431" i="1" s="1"/>
  <c r="N431" i="1" s="1"/>
  <c r="S1268" i="5"/>
  <c r="W1268" i="5" s="1"/>
  <c r="S431" i="1" s="1"/>
  <c r="T431" i="1" s="1"/>
  <c r="V881" i="5"/>
  <c r="M301" i="1" s="1"/>
  <c r="N301" i="1" s="1"/>
  <c r="S881" i="5"/>
  <c r="W881" i="5" s="1"/>
  <c r="S301" i="1" s="1"/>
  <c r="T301" i="1" s="1"/>
  <c r="U301" i="1" s="1"/>
  <c r="V839" i="5"/>
  <c r="M287" i="1" s="1"/>
  <c r="N287" i="1" s="1"/>
  <c r="S839" i="5"/>
  <c r="W839" i="5" s="1"/>
  <c r="S287" i="1" s="1"/>
  <c r="T287" i="1" s="1"/>
  <c r="V1037" i="5"/>
  <c r="M354" i="1" s="1"/>
  <c r="N354" i="1" s="1"/>
  <c r="P354" i="1" s="1"/>
  <c r="S1037" i="5"/>
  <c r="W1037" i="5" s="1"/>
  <c r="S354" i="1" s="1"/>
  <c r="T354" i="1" s="1"/>
  <c r="V354" i="1" s="1"/>
  <c r="V752" i="5"/>
  <c r="M259" i="1" s="1"/>
  <c r="N259" i="1" s="1"/>
  <c r="S752" i="5"/>
  <c r="W752" i="5" s="1"/>
  <c r="S259" i="1" s="1"/>
  <c r="T259" i="1" s="1"/>
  <c r="V1205" i="5"/>
  <c r="M410" i="1" s="1"/>
  <c r="N410" i="1" s="1"/>
  <c r="S1205" i="5"/>
  <c r="W1205" i="5" s="1"/>
  <c r="S410" i="1" s="1"/>
  <c r="T410" i="1" s="1"/>
  <c r="V869" i="5"/>
  <c r="M297" i="1" s="1"/>
  <c r="N297" i="1" s="1"/>
  <c r="S869" i="5"/>
  <c r="W869" i="5" s="1"/>
  <c r="S297" i="1" s="1"/>
  <c r="T297" i="1" s="1"/>
  <c r="S518" i="5"/>
  <c r="W518" i="5" s="1"/>
  <c r="S181" i="1" s="1"/>
  <c r="T181" i="1" s="1"/>
  <c r="V518" i="5"/>
  <c r="M181" i="1" s="1"/>
  <c r="N181" i="1" s="1"/>
  <c r="S728" i="5"/>
  <c r="W728" i="5" s="1"/>
  <c r="S251" i="1" s="1"/>
  <c r="T251" i="1" s="1"/>
  <c r="V251" i="1" s="1"/>
  <c r="V728" i="5"/>
  <c r="M251" i="1" s="1"/>
  <c r="N251" i="1" s="1"/>
  <c r="S1103" i="5"/>
  <c r="W1103" i="5" s="1"/>
  <c r="S376" i="1" s="1"/>
  <c r="T376" i="1" s="1"/>
  <c r="V1103" i="5"/>
  <c r="M376" i="1" s="1"/>
  <c r="N376" i="1" s="1"/>
  <c r="V224" i="5"/>
  <c r="M83" i="1" s="1"/>
  <c r="N83" i="1" s="1"/>
  <c r="S224" i="5"/>
  <c r="W224" i="5" s="1"/>
  <c r="S83" i="1" s="1"/>
  <c r="T83" i="1" s="1"/>
  <c r="V26" i="5"/>
  <c r="M17" i="1" s="1"/>
  <c r="N17" i="1" s="1"/>
  <c r="S26" i="5"/>
  <c r="W26" i="5" s="1"/>
  <c r="S17" i="1" s="1"/>
  <c r="T17" i="1" s="1"/>
  <c r="S485" i="5"/>
  <c r="W485" i="5" s="1"/>
  <c r="S170" i="1" s="1"/>
  <c r="T170" i="1" s="1"/>
  <c r="V485" i="5"/>
  <c r="M170" i="1" s="1"/>
  <c r="N170" i="1" s="1"/>
  <c r="V989" i="5"/>
  <c r="M337" i="1" s="1"/>
  <c r="N337" i="1" s="1"/>
  <c r="AZ98" i="3" s="1"/>
  <c r="S989" i="5"/>
  <c r="W989" i="5" s="1"/>
  <c r="S337" i="1" s="1"/>
  <c r="T337" i="1" s="1"/>
  <c r="BB98" i="3" s="1"/>
  <c r="V896" i="5"/>
  <c r="M306" i="1" s="1"/>
  <c r="N306" i="1" s="1"/>
  <c r="S896" i="5"/>
  <c r="W896" i="5" s="1"/>
  <c r="S306" i="1" s="1"/>
  <c r="T306" i="1" s="1"/>
  <c r="V80" i="5"/>
  <c r="M35" i="1" s="1"/>
  <c r="N35" i="1" s="1"/>
  <c r="P35" i="1" s="1"/>
  <c r="S80" i="5"/>
  <c r="W80" i="5" s="1"/>
  <c r="S35" i="1" s="1"/>
  <c r="T35" i="1" s="1"/>
  <c r="V200" i="5"/>
  <c r="M75" i="1" s="1"/>
  <c r="N75" i="1" s="1"/>
  <c r="S200" i="5"/>
  <c r="W200" i="5" s="1"/>
  <c r="S75" i="1" s="1"/>
  <c r="T75" i="1" s="1"/>
  <c r="S416" i="5"/>
  <c r="W416" i="5" s="1"/>
  <c r="S147" i="1" s="1"/>
  <c r="T147" i="1" s="1"/>
  <c r="V416" i="5"/>
  <c r="M147" i="1" s="1"/>
  <c r="N147" i="1" s="1"/>
  <c r="V317" i="5"/>
  <c r="M114" i="1" s="1"/>
  <c r="N114" i="1" s="1"/>
  <c r="S317" i="5"/>
  <c r="W317" i="5" s="1"/>
  <c r="S114" i="1" s="1"/>
  <c r="T114" i="1" s="1"/>
  <c r="V332" i="5"/>
  <c r="M119" i="1" s="1"/>
  <c r="N119" i="1" s="1"/>
  <c r="S332" i="5"/>
  <c r="W332" i="5" s="1"/>
  <c r="S119" i="1" s="1"/>
  <c r="T119" i="1" s="1"/>
  <c r="S1091" i="5"/>
  <c r="W1091" i="5" s="1"/>
  <c r="S372" i="1" s="1"/>
  <c r="T372" i="1" s="1"/>
  <c r="V372" i="1" s="1"/>
  <c r="V1091" i="5"/>
  <c r="M372" i="1" s="1"/>
  <c r="N372" i="1" s="1"/>
  <c r="V842" i="5"/>
  <c r="M288" i="1" s="1"/>
  <c r="N288" i="1" s="1"/>
  <c r="S842" i="5"/>
  <c r="W842" i="5" s="1"/>
  <c r="S288" i="1" s="1"/>
  <c r="T288" i="1" s="1"/>
  <c r="V1031" i="5"/>
  <c r="M352" i="1" s="1"/>
  <c r="N352" i="1" s="1"/>
  <c r="S1031" i="5"/>
  <c r="W1031" i="5" s="1"/>
  <c r="S352" i="1" s="1"/>
  <c r="T352" i="1" s="1"/>
  <c r="L209" i="11"/>
  <c r="M209" i="11" s="1"/>
  <c r="V137" i="5"/>
  <c r="M54" i="1" s="1"/>
  <c r="N54" i="1" s="1"/>
  <c r="S137" i="5"/>
  <c r="W137" i="5" s="1"/>
  <c r="S54" i="1" s="1"/>
  <c r="T54" i="1" s="1"/>
  <c r="V152" i="5"/>
  <c r="M59" i="1" s="1"/>
  <c r="N59" i="1" s="1"/>
  <c r="S152" i="5"/>
  <c r="W152" i="5" s="1"/>
  <c r="S59" i="1" s="1"/>
  <c r="T59" i="1" s="1"/>
  <c r="V1082" i="5"/>
  <c r="M369" i="1" s="1"/>
  <c r="N369" i="1" s="1"/>
  <c r="S1082" i="5"/>
  <c r="W1082" i="5" s="1"/>
  <c r="S369" i="1" s="1"/>
  <c r="T369" i="1" s="1"/>
  <c r="V248" i="5"/>
  <c r="M91" i="1" s="1"/>
  <c r="N91" i="1" s="1"/>
  <c r="S248" i="5"/>
  <c r="W248" i="5" s="1"/>
  <c r="S91" i="1" s="1"/>
  <c r="T91" i="1" s="1"/>
  <c r="V929" i="5"/>
  <c r="M317" i="1" s="1"/>
  <c r="N317" i="1" s="1"/>
  <c r="S929" i="5"/>
  <c r="W929" i="5" s="1"/>
  <c r="S317" i="1" s="1"/>
  <c r="T317" i="1" s="1"/>
  <c r="U317" i="1" s="1"/>
  <c r="V197" i="5"/>
  <c r="M74" i="1" s="1"/>
  <c r="N74" i="1" s="1"/>
  <c r="S197" i="5"/>
  <c r="W197" i="5" s="1"/>
  <c r="S74" i="1" s="1"/>
  <c r="T74" i="1" s="1"/>
  <c r="S50" i="5"/>
  <c r="W50" i="5" s="1"/>
  <c r="S25" i="1" s="1"/>
  <c r="T25" i="1" s="1"/>
  <c r="V50" i="5"/>
  <c r="M25" i="1" s="1"/>
  <c r="N25" i="1" s="1"/>
  <c r="V89" i="5"/>
  <c r="M38" i="1" s="1"/>
  <c r="N38" i="1" s="1"/>
  <c r="S89" i="5"/>
  <c r="W89" i="5" s="1"/>
  <c r="S38" i="1" s="1"/>
  <c r="T38" i="1" s="1"/>
  <c r="S971" i="5"/>
  <c r="W971" i="5" s="1"/>
  <c r="S331" i="1" s="1"/>
  <c r="T331" i="1" s="1"/>
  <c r="U331" i="1" s="1"/>
  <c r="V971" i="5"/>
  <c r="M331" i="1" s="1"/>
  <c r="N331" i="1" s="1"/>
  <c r="S38" i="5"/>
  <c r="W38" i="5" s="1"/>
  <c r="S21" i="1" s="1"/>
  <c r="T21" i="1" s="1"/>
  <c r="V21" i="1" s="1"/>
  <c r="V38" i="5"/>
  <c r="M21" i="1" s="1"/>
  <c r="N21" i="1" s="1"/>
  <c r="P21" i="1" s="1"/>
  <c r="S29" i="5"/>
  <c r="W29" i="5" s="1"/>
  <c r="S18" i="1" s="1"/>
  <c r="T18" i="1" s="1"/>
  <c r="V29" i="5"/>
  <c r="M18" i="1" s="1"/>
  <c r="N18" i="1" s="1"/>
  <c r="S1151" i="5"/>
  <c r="W1151" i="5" s="1"/>
  <c r="S392" i="1" s="1"/>
  <c r="T392" i="1" s="1"/>
  <c r="V1151" i="5"/>
  <c r="M392" i="1" s="1"/>
  <c r="N392" i="1" s="1"/>
  <c r="S935" i="5"/>
  <c r="W935" i="5" s="1"/>
  <c r="S319" i="1" s="1"/>
  <c r="T319" i="1" s="1"/>
  <c r="V935" i="5"/>
  <c r="M319" i="1" s="1"/>
  <c r="N319" i="1" s="1"/>
  <c r="V110" i="5"/>
  <c r="M45" i="1" s="1"/>
  <c r="N45" i="1" s="1"/>
  <c r="S110" i="5"/>
  <c r="W110" i="5" s="1"/>
  <c r="S45" i="1" s="1"/>
  <c r="T45" i="1" s="1"/>
  <c r="V764" i="5"/>
  <c r="M263" i="1" s="1"/>
  <c r="N263" i="1" s="1"/>
  <c r="S764" i="5"/>
  <c r="W764" i="5" s="1"/>
  <c r="S263" i="1" s="1"/>
  <c r="T263" i="1" s="1"/>
  <c r="V587" i="5"/>
  <c r="M204" i="1" s="1"/>
  <c r="N204" i="1" s="1"/>
  <c r="S587" i="5"/>
  <c r="W587" i="5" s="1"/>
  <c r="S204" i="1" s="1"/>
  <c r="T204" i="1" s="1"/>
  <c r="V776" i="5"/>
  <c r="M267" i="1" s="1"/>
  <c r="N267" i="1" s="1"/>
  <c r="S776" i="5"/>
  <c r="W776" i="5" s="1"/>
  <c r="S267" i="1" s="1"/>
  <c r="T267" i="1" s="1"/>
  <c r="V290" i="5"/>
  <c r="M105" i="1" s="1"/>
  <c r="N105" i="1" s="1"/>
  <c r="S290" i="5"/>
  <c r="W290" i="5" s="1"/>
  <c r="S105" i="1" s="1"/>
  <c r="T105" i="1" s="1"/>
  <c r="V836" i="5"/>
  <c r="M286" i="1" s="1"/>
  <c r="N286" i="1" s="1"/>
  <c r="S836" i="5"/>
  <c r="W836" i="5" s="1"/>
  <c r="S286" i="1" s="1"/>
  <c r="T286" i="1" s="1"/>
  <c r="S1115" i="5"/>
  <c r="W1115" i="5" s="1"/>
  <c r="S380" i="1" s="1"/>
  <c r="T380" i="1" s="1"/>
  <c r="V1115" i="5"/>
  <c r="M380" i="1" s="1"/>
  <c r="N380" i="1" s="1"/>
  <c r="V362" i="5"/>
  <c r="M129" i="1" s="1"/>
  <c r="N129" i="1" s="1"/>
  <c r="S362" i="5"/>
  <c r="W362" i="5" s="1"/>
  <c r="S129" i="1" s="1"/>
  <c r="T129" i="1" s="1"/>
  <c r="V164" i="5"/>
  <c r="M63" i="1" s="1"/>
  <c r="N63" i="1" s="1"/>
  <c r="P63" i="1" s="1"/>
  <c r="S164" i="5"/>
  <c r="W164" i="5" s="1"/>
  <c r="S63" i="1" s="1"/>
  <c r="T63" i="1" s="1"/>
  <c r="V902" i="5"/>
  <c r="M308" i="1" s="1"/>
  <c r="N308" i="1" s="1"/>
  <c r="S902" i="5"/>
  <c r="W902" i="5" s="1"/>
  <c r="S308" i="1" s="1"/>
  <c r="T308" i="1" s="1"/>
  <c r="S1274" i="5"/>
  <c r="W1274" i="5" s="1"/>
  <c r="S433" i="1" s="1"/>
  <c r="T433" i="1" s="1"/>
  <c r="V433" i="1" s="1"/>
  <c r="V1274" i="5"/>
  <c r="M433" i="1" s="1"/>
  <c r="N433" i="1" s="1"/>
  <c r="P433" i="1" s="1"/>
  <c r="V734" i="5"/>
  <c r="M253" i="1" s="1"/>
  <c r="N253" i="1" s="1"/>
  <c r="AZ74" i="3" s="1"/>
  <c r="S734" i="5"/>
  <c r="W734" i="5" s="1"/>
  <c r="S253" i="1" s="1"/>
  <c r="T253" i="1" s="1"/>
  <c r="V641" i="5"/>
  <c r="M222" i="1" s="1"/>
  <c r="N222" i="1" s="1"/>
  <c r="S641" i="5"/>
  <c r="W641" i="5" s="1"/>
  <c r="S222" i="1" s="1"/>
  <c r="T222" i="1" s="1"/>
  <c r="V233" i="5"/>
  <c r="M86" i="1" s="1"/>
  <c r="N86" i="1" s="1"/>
  <c r="S233" i="5"/>
  <c r="W233" i="5" s="1"/>
  <c r="S86" i="1" s="1"/>
  <c r="T86" i="1" s="1"/>
  <c r="V1202" i="5"/>
  <c r="M409" i="1" s="1"/>
  <c r="N409" i="1" s="1"/>
  <c r="S1202" i="5"/>
  <c r="W1202" i="5" s="1"/>
  <c r="S409" i="1" s="1"/>
  <c r="T409" i="1" s="1"/>
  <c r="S1112" i="5"/>
  <c r="W1112" i="5" s="1"/>
  <c r="S379" i="1" s="1"/>
  <c r="T379" i="1" s="1"/>
  <c r="V379" i="1" s="1"/>
  <c r="V1112" i="5"/>
  <c r="M379" i="1" s="1"/>
  <c r="N379" i="1" s="1"/>
  <c r="V818" i="5"/>
  <c r="M280" i="1" s="1"/>
  <c r="N280" i="1" s="1"/>
  <c r="S818" i="5"/>
  <c r="W818" i="5" s="1"/>
  <c r="S280" i="1" s="1"/>
  <c r="T280" i="1" s="1"/>
  <c r="H140" i="11"/>
  <c r="L140" i="11" s="1"/>
  <c r="M140" i="11" s="1"/>
  <c r="L134" i="11"/>
  <c r="M134" i="11" s="1"/>
  <c r="H224" i="11"/>
  <c r="H225" i="11" s="1"/>
  <c r="L218" i="11"/>
  <c r="M218" i="11" s="1"/>
  <c r="S461" i="5"/>
  <c r="W461" i="5" s="1"/>
  <c r="S162" i="1" s="1"/>
  <c r="T162" i="1" s="1"/>
  <c r="V461" i="5"/>
  <c r="M162" i="1" s="1"/>
  <c r="N162" i="1" s="1"/>
  <c r="P162" i="1" s="1"/>
  <c r="V851" i="5"/>
  <c r="M291" i="1" s="1"/>
  <c r="N291" i="1" s="1"/>
  <c r="S851" i="5"/>
  <c r="W851" i="5" s="1"/>
  <c r="S291" i="1" s="1"/>
  <c r="T291" i="1" s="1"/>
  <c r="S413" i="5"/>
  <c r="W413" i="5" s="1"/>
  <c r="S146" i="1" s="1"/>
  <c r="T146" i="1" s="1"/>
  <c r="V413" i="5"/>
  <c r="M146" i="1" s="1"/>
  <c r="N146" i="1" s="1"/>
  <c r="V209" i="5"/>
  <c r="M78" i="1" s="1"/>
  <c r="N78" i="1" s="1"/>
  <c r="S209" i="5"/>
  <c r="W209" i="5" s="1"/>
  <c r="S78" i="1" s="1"/>
  <c r="T78" i="1" s="1"/>
  <c r="V863" i="5"/>
  <c r="M295" i="1" s="1"/>
  <c r="N295" i="1" s="1"/>
  <c r="S863" i="5"/>
  <c r="W863" i="5" s="1"/>
  <c r="S295" i="1" s="1"/>
  <c r="T295" i="1" s="1"/>
  <c r="V1004" i="5"/>
  <c r="M342" i="1" s="1"/>
  <c r="N342" i="1" s="1"/>
  <c r="AZ103" i="3" s="1"/>
  <c r="S1004" i="5"/>
  <c r="W1004" i="5" s="1"/>
  <c r="S342" i="1" s="1"/>
  <c r="T342" i="1" s="1"/>
  <c r="BB103" i="3" s="1"/>
  <c r="S1169" i="5"/>
  <c r="W1169" i="5" s="1"/>
  <c r="S398" i="1" s="1"/>
  <c r="T398" i="1" s="1"/>
  <c r="V1169" i="5"/>
  <c r="M398" i="1" s="1"/>
  <c r="N398" i="1" s="1"/>
  <c r="V65" i="5"/>
  <c r="M30" i="1" s="1"/>
  <c r="N30" i="1" s="1"/>
  <c r="S65" i="5"/>
  <c r="W65" i="5" s="1"/>
  <c r="S30" i="1" s="1"/>
  <c r="T30" i="1" s="1"/>
  <c r="S731" i="5"/>
  <c r="W731" i="5" s="1"/>
  <c r="S252" i="1" s="1"/>
  <c r="T252" i="1" s="1"/>
  <c r="AH40" i="3" s="1"/>
  <c r="V731" i="5"/>
  <c r="M252" i="1" s="1"/>
  <c r="N252" i="1" s="1"/>
  <c r="AZ73" i="3" s="1"/>
  <c r="V260" i="5"/>
  <c r="M95" i="1" s="1"/>
  <c r="N95" i="1" s="1"/>
  <c r="S260" i="5"/>
  <c r="W260" i="5" s="1"/>
  <c r="S95" i="1" s="1"/>
  <c r="T95" i="1" s="1"/>
  <c r="V992" i="5"/>
  <c r="M338" i="1" s="1"/>
  <c r="N338" i="1" s="1"/>
  <c r="S992" i="5"/>
  <c r="W992" i="5" s="1"/>
  <c r="S338" i="1" s="1"/>
  <c r="T338" i="1" s="1"/>
  <c r="V590" i="5"/>
  <c r="M205" i="1" s="1"/>
  <c r="N205" i="1" s="1"/>
  <c r="S590" i="5"/>
  <c r="W590" i="5" s="1"/>
  <c r="S205" i="1" s="1"/>
  <c r="T205" i="1" s="1"/>
  <c r="V683" i="5"/>
  <c r="M236" i="1" s="1"/>
  <c r="N236" i="1" s="1"/>
  <c r="S683" i="5"/>
  <c r="W683" i="5" s="1"/>
  <c r="S236" i="1" s="1"/>
  <c r="T236" i="1" s="1"/>
  <c r="V653" i="5"/>
  <c r="M226" i="1" s="1"/>
  <c r="N226" i="1" s="1"/>
  <c r="S653" i="5"/>
  <c r="W653" i="5" s="1"/>
  <c r="S226" i="1" s="1"/>
  <c r="T226" i="1" s="1"/>
  <c r="S371" i="5"/>
  <c r="W371" i="5" s="1"/>
  <c r="S132" i="1" s="1"/>
  <c r="T132" i="1" s="1"/>
  <c r="V371" i="5"/>
  <c r="M132" i="1" s="1"/>
  <c r="N132" i="1" s="1"/>
  <c r="V32" i="5"/>
  <c r="M19" i="1" s="1"/>
  <c r="N19" i="1" s="1"/>
  <c r="S32" i="5"/>
  <c r="W32" i="5" s="1"/>
  <c r="S19" i="1" s="1"/>
  <c r="T19" i="1" s="1"/>
  <c r="V830" i="5"/>
  <c r="M284" i="1" s="1"/>
  <c r="N284" i="1" s="1"/>
  <c r="P284" i="1" s="1"/>
  <c r="S830" i="5"/>
  <c r="W830" i="5" s="1"/>
  <c r="S284" i="1" s="1"/>
  <c r="T284" i="1" s="1"/>
  <c r="L290" i="11"/>
  <c r="M290" i="11" s="1"/>
  <c r="H296" i="11"/>
  <c r="H297" i="11" s="1"/>
  <c r="V812" i="5"/>
  <c r="M278" i="1" s="1"/>
  <c r="N278" i="1" s="1"/>
  <c r="S812" i="5"/>
  <c r="W812" i="5" s="1"/>
  <c r="S278" i="1" s="1"/>
  <c r="T278" i="1" s="1"/>
  <c r="V266" i="5"/>
  <c r="M97" i="1" s="1"/>
  <c r="N97" i="1" s="1"/>
  <c r="P97" i="1" s="1"/>
  <c r="S266" i="5"/>
  <c r="W266" i="5" s="1"/>
  <c r="S97" i="1" s="1"/>
  <c r="T97" i="1" s="1"/>
  <c r="V827" i="5"/>
  <c r="M283" i="1" s="1"/>
  <c r="N283" i="1" s="1"/>
  <c r="S827" i="5"/>
  <c r="W827" i="5" s="1"/>
  <c r="S283" i="1" s="1"/>
  <c r="T283" i="1" s="1"/>
  <c r="V965" i="5"/>
  <c r="M329" i="1" s="1"/>
  <c r="N329" i="1" s="1"/>
  <c r="P329" i="1" s="1"/>
  <c r="S965" i="5"/>
  <c r="W965" i="5" s="1"/>
  <c r="S329" i="1" s="1"/>
  <c r="T329" i="1" s="1"/>
  <c r="V329" i="1" s="1"/>
  <c r="V1211" i="5"/>
  <c r="M412" i="1" s="1"/>
  <c r="N412" i="1" s="1"/>
  <c r="S1211" i="5"/>
  <c r="W1211" i="5" s="1"/>
  <c r="S412" i="1" s="1"/>
  <c r="T412" i="1" s="1"/>
  <c r="V962" i="5"/>
  <c r="M328" i="1" s="1"/>
  <c r="N328" i="1" s="1"/>
  <c r="S962" i="5"/>
  <c r="W962" i="5" s="1"/>
  <c r="S328" i="1" s="1"/>
  <c r="T328" i="1" s="1"/>
  <c r="V440" i="5"/>
  <c r="M155" i="1" s="1"/>
  <c r="N155" i="1" s="1"/>
  <c r="S440" i="5"/>
  <c r="W440" i="5" s="1"/>
  <c r="S155" i="1" s="1"/>
  <c r="T155" i="1" s="1"/>
  <c r="V620" i="5"/>
  <c r="M215" i="1" s="1"/>
  <c r="N215" i="1" s="1"/>
  <c r="S620" i="5"/>
  <c r="W620" i="5" s="1"/>
  <c r="S215" i="1" s="1"/>
  <c r="T215" i="1" s="1"/>
  <c r="S947" i="5"/>
  <c r="W947" i="5" s="1"/>
  <c r="S323" i="1" s="1"/>
  <c r="T323" i="1" s="1"/>
  <c r="V947" i="5"/>
  <c r="M323" i="1" s="1"/>
  <c r="N323" i="1" s="1"/>
  <c r="V785" i="5"/>
  <c r="M269" i="1" s="1"/>
  <c r="N269" i="1" s="1"/>
  <c r="S785" i="5"/>
  <c r="W785" i="5" s="1"/>
  <c r="S269" i="1" s="1"/>
  <c r="T269" i="1" s="1"/>
  <c r="V341" i="5"/>
  <c r="M122" i="1" s="1"/>
  <c r="N122" i="1" s="1"/>
  <c r="S341" i="5"/>
  <c r="W341" i="5" s="1"/>
  <c r="S122" i="1" s="1"/>
  <c r="T122" i="1" s="1"/>
  <c r="J212" i="11"/>
  <c r="J213" i="11" s="1"/>
  <c r="S575" i="5" s="1"/>
  <c r="W575" i="5" s="1"/>
  <c r="S200" i="1" s="1"/>
  <c r="T200" i="1" s="1"/>
  <c r="V230" i="5"/>
  <c r="M85" i="1" s="1"/>
  <c r="N85" i="1" s="1"/>
  <c r="S230" i="5"/>
  <c r="W230" i="5" s="1"/>
  <c r="S85" i="1" s="1"/>
  <c r="T85" i="1" s="1"/>
  <c r="L89" i="11"/>
  <c r="M89" i="11" s="1"/>
  <c r="J104" i="11"/>
  <c r="J105" i="11" s="1"/>
  <c r="S275" i="5" s="1"/>
  <c r="W275" i="5" s="1"/>
  <c r="S100" i="1" s="1"/>
  <c r="T100" i="1" s="1"/>
  <c r="V74" i="5"/>
  <c r="M33" i="1" s="1"/>
  <c r="N33" i="1" s="1"/>
  <c r="S74" i="5"/>
  <c r="W74" i="5" s="1"/>
  <c r="S33" i="1" s="1"/>
  <c r="T33" i="1" s="1"/>
  <c r="V584" i="5"/>
  <c r="M203" i="1" s="1"/>
  <c r="N203" i="1" s="1"/>
  <c r="S584" i="5"/>
  <c r="W584" i="5" s="1"/>
  <c r="S203" i="1" s="1"/>
  <c r="T203" i="1" s="1"/>
  <c r="V149" i="5"/>
  <c r="M58" i="1" s="1"/>
  <c r="N58" i="1" s="1"/>
  <c r="S149" i="5"/>
  <c r="W149" i="5" s="1"/>
  <c r="S58" i="1" s="1"/>
  <c r="T58" i="1" s="1"/>
  <c r="V1052" i="5"/>
  <c r="M359" i="1" s="1"/>
  <c r="N359" i="1" s="1"/>
  <c r="S1052" i="5"/>
  <c r="W1052" i="5" s="1"/>
  <c r="S359" i="1" s="1"/>
  <c r="T359" i="1" s="1"/>
  <c r="V101" i="5"/>
  <c r="M42" i="1" s="1"/>
  <c r="N42" i="1" s="1"/>
  <c r="S101" i="5"/>
  <c r="W101" i="5" s="1"/>
  <c r="S42" i="1" s="1"/>
  <c r="T42" i="1" s="1"/>
  <c r="V878" i="5"/>
  <c r="M300" i="1" s="1"/>
  <c r="N300" i="1" s="1"/>
  <c r="S878" i="5"/>
  <c r="W878" i="5" s="1"/>
  <c r="S300" i="1" s="1"/>
  <c r="T300" i="1" s="1"/>
  <c r="S1223" i="5"/>
  <c r="W1223" i="5" s="1"/>
  <c r="S416" i="1" s="1"/>
  <c r="T416" i="1" s="1"/>
  <c r="V416" i="1" s="1"/>
  <c r="V1223" i="5"/>
  <c r="M416" i="1" s="1"/>
  <c r="N416" i="1" s="1"/>
  <c r="E16" i="8"/>
  <c r="V1145" i="5"/>
  <c r="M390" i="1" s="1"/>
  <c r="N390" i="1" s="1"/>
  <c r="P390" i="1" s="1"/>
  <c r="S1145" i="5"/>
  <c r="W1145" i="5" s="1"/>
  <c r="S390" i="1" s="1"/>
  <c r="T390" i="1" s="1"/>
  <c r="V390" i="1" s="1"/>
  <c r="V215" i="5"/>
  <c r="M80" i="1" s="1"/>
  <c r="N80" i="1" s="1"/>
  <c r="S215" i="5"/>
  <c r="W215" i="5" s="1"/>
  <c r="S80" i="1" s="1"/>
  <c r="T80" i="1" s="1"/>
  <c r="V125" i="5"/>
  <c r="M50" i="1" s="1"/>
  <c r="N50" i="1" s="1"/>
  <c r="S125" i="5"/>
  <c r="W125" i="5" s="1"/>
  <c r="S50" i="1" s="1"/>
  <c r="T50" i="1" s="1"/>
  <c r="V269" i="5"/>
  <c r="M98" i="1" s="1"/>
  <c r="N98" i="1" s="1"/>
  <c r="S269" i="5"/>
  <c r="W269" i="5" s="1"/>
  <c r="S98" i="1" s="1"/>
  <c r="T98" i="1" s="1"/>
  <c r="V188" i="5"/>
  <c r="M71" i="1" s="1"/>
  <c r="N71" i="1" s="1"/>
  <c r="S188" i="5"/>
  <c r="W188" i="5" s="1"/>
  <c r="S71" i="1" s="1"/>
  <c r="T71" i="1" s="1"/>
  <c r="V1250" i="5"/>
  <c r="M425" i="1" s="1"/>
  <c r="N425" i="1" s="1"/>
  <c r="S1250" i="5"/>
  <c r="W1250" i="5" s="1"/>
  <c r="S425" i="1" s="1"/>
  <c r="T425" i="1" s="1"/>
  <c r="V92" i="5"/>
  <c r="M39" i="1" s="1"/>
  <c r="N39" i="1" s="1"/>
  <c r="S92" i="5"/>
  <c r="W92" i="5" s="1"/>
  <c r="S39" i="1" s="1"/>
  <c r="T39" i="1" s="1"/>
  <c r="V854" i="5"/>
  <c r="M292" i="1" s="1"/>
  <c r="N292" i="1" s="1"/>
  <c r="S854" i="5"/>
  <c r="W854" i="5" s="1"/>
  <c r="S292" i="1" s="1"/>
  <c r="T292" i="1" s="1"/>
  <c r="V1163" i="5"/>
  <c r="M396" i="1" s="1"/>
  <c r="N396" i="1" s="1"/>
  <c r="S1163" i="5"/>
  <c r="W1163" i="5" s="1"/>
  <c r="S396" i="1" s="1"/>
  <c r="T396" i="1" s="1"/>
  <c r="V1184" i="5"/>
  <c r="M403" i="1" s="1"/>
  <c r="N403" i="1" s="1"/>
  <c r="S1184" i="5"/>
  <c r="W1184" i="5" s="1"/>
  <c r="S403" i="1" s="1"/>
  <c r="T403" i="1" s="1"/>
  <c r="V380" i="5"/>
  <c r="M135" i="1" s="1"/>
  <c r="N135" i="1" s="1"/>
  <c r="S380" i="5"/>
  <c r="W380" i="5" s="1"/>
  <c r="S135" i="1" s="1"/>
  <c r="T135" i="1" s="1"/>
  <c r="S1181" i="5"/>
  <c r="W1181" i="5" s="1"/>
  <c r="S402" i="1" s="1"/>
  <c r="T402" i="1" s="1"/>
  <c r="V1181" i="5"/>
  <c r="M402" i="1" s="1"/>
  <c r="N402" i="1" s="1"/>
  <c r="V671" i="5"/>
  <c r="M232" i="1" s="1"/>
  <c r="N232" i="1" s="1"/>
  <c r="S671" i="5"/>
  <c r="W671" i="5" s="1"/>
  <c r="S232" i="1" s="1"/>
  <c r="T232" i="1" s="1"/>
  <c r="V338" i="5"/>
  <c r="M121" i="1" s="1"/>
  <c r="N121" i="1" s="1"/>
  <c r="S338" i="5"/>
  <c r="W338" i="5" s="1"/>
  <c r="S121" i="1" s="1"/>
  <c r="T121" i="1" s="1"/>
  <c r="V569" i="5"/>
  <c r="M198" i="1" s="1"/>
  <c r="N198" i="1" s="1"/>
  <c r="P198" i="1" s="1"/>
  <c r="S569" i="5"/>
  <c r="W569" i="5" s="1"/>
  <c r="S198" i="1" s="1"/>
  <c r="T198" i="1" s="1"/>
  <c r="V1229" i="5"/>
  <c r="S1229" i="5"/>
  <c r="W1229" i="5" s="1"/>
  <c r="H212" i="11"/>
  <c r="L206" i="11"/>
  <c r="M206" i="11" s="1"/>
  <c r="V614" i="5"/>
  <c r="M213" i="1" s="1"/>
  <c r="N213" i="1" s="1"/>
  <c r="S614" i="5"/>
  <c r="W614" i="5" s="1"/>
  <c r="S213" i="1" s="1"/>
  <c r="T213" i="1" s="1"/>
  <c r="L68" i="11"/>
  <c r="M68" i="11" s="1"/>
  <c r="H69" i="11"/>
  <c r="J116" i="11"/>
  <c r="J117" i="11" s="1"/>
  <c r="S305" i="5" s="1"/>
  <c r="W305" i="5" s="1"/>
  <c r="S110" i="1" s="1"/>
  <c r="T110" i="1" s="1"/>
  <c r="U285" i="1"/>
  <c r="V83" i="5"/>
  <c r="M36" i="1" s="1"/>
  <c r="N36" i="1" s="1"/>
  <c r="S83" i="5"/>
  <c r="W83" i="5" s="1"/>
  <c r="S36" i="1" s="1"/>
  <c r="T36" i="1" s="1"/>
  <c r="V506" i="5"/>
  <c r="M177" i="1" s="1"/>
  <c r="N177" i="1" s="1"/>
  <c r="S506" i="5"/>
  <c r="W506" i="5" s="1"/>
  <c r="S177" i="1" s="1"/>
  <c r="T177" i="1" s="1"/>
  <c r="V161" i="5"/>
  <c r="M62" i="1" s="1"/>
  <c r="N62" i="1" s="1"/>
  <c r="S161" i="5"/>
  <c r="W161" i="5" s="1"/>
  <c r="S62" i="1" s="1"/>
  <c r="T62" i="1" s="1"/>
  <c r="V719" i="5"/>
  <c r="M248" i="1" s="1"/>
  <c r="N248" i="1" s="1"/>
  <c r="AZ69" i="3" s="1"/>
  <c r="S719" i="5"/>
  <c r="W719" i="5" s="1"/>
  <c r="S248" i="1" s="1"/>
  <c r="T248" i="1" s="1"/>
  <c r="BB69" i="3" s="1"/>
  <c r="V686" i="5"/>
  <c r="M237" i="1" s="1"/>
  <c r="N237" i="1" s="1"/>
  <c r="S686" i="5"/>
  <c r="W686" i="5" s="1"/>
  <c r="S237" i="1" s="1"/>
  <c r="T237" i="1" s="1"/>
  <c r="S1235" i="5"/>
  <c r="W1235" i="5" s="1"/>
  <c r="S420" i="1" s="1"/>
  <c r="T420" i="1" s="1"/>
  <c r="V1235" i="5"/>
  <c r="M420" i="1" s="1"/>
  <c r="N420" i="1" s="1"/>
  <c r="S1157" i="5"/>
  <c r="W1157" i="5" s="1"/>
  <c r="S394" i="1" s="1"/>
  <c r="T394" i="1" s="1"/>
  <c r="V1157" i="5"/>
  <c r="M394" i="1" s="1"/>
  <c r="N394" i="1" s="1"/>
  <c r="V1178" i="5"/>
  <c r="M401" i="1" s="1"/>
  <c r="N401" i="1" s="1"/>
  <c r="S1178" i="5"/>
  <c r="W1178" i="5" s="1"/>
  <c r="S401" i="1" s="1"/>
  <c r="T401" i="1" s="1"/>
  <c r="S482" i="5"/>
  <c r="W482" i="5" s="1"/>
  <c r="S169" i="1" s="1"/>
  <c r="T169" i="1" s="1"/>
  <c r="V482" i="5"/>
  <c r="M169" i="1" s="1"/>
  <c r="N169" i="1" s="1"/>
  <c r="V284" i="5"/>
  <c r="M103" i="1" s="1"/>
  <c r="N103" i="1" s="1"/>
  <c r="S284" i="5"/>
  <c r="W284" i="5" s="1"/>
  <c r="S103" i="1" s="1"/>
  <c r="T103" i="1" s="1"/>
  <c r="V329" i="5"/>
  <c r="M118" i="1" s="1"/>
  <c r="N118" i="1" s="1"/>
  <c r="P118" i="1" s="1"/>
  <c r="S329" i="5"/>
  <c r="W329" i="5" s="1"/>
  <c r="S118" i="1" s="1"/>
  <c r="T118" i="1" s="1"/>
  <c r="S932" i="5"/>
  <c r="W932" i="5" s="1"/>
  <c r="S318" i="1" s="1"/>
  <c r="T318" i="1" s="1"/>
  <c r="V932" i="5"/>
  <c r="M318" i="1" s="1"/>
  <c r="N318" i="1" s="1"/>
  <c r="V983" i="5"/>
  <c r="M335" i="1" s="1"/>
  <c r="N335" i="1" s="1"/>
  <c r="S983" i="5"/>
  <c r="W983" i="5" s="1"/>
  <c r="S335" i="1" s="1"/>
  <c r="T335" i="1" s="1"/>
  <c r="BB96" i="3" s="1"/>
  <c r="V143" i="5"/>
  <c r="M56" i="1" s="1"/>
  <c r="N56" i="1" s="1"/>
  <c r="S143" i="5"/>
  <c r="W143" i="5" s="1"/>
  <c r="S56" i="1" s="1"/>
  <c r="T56" i="1" s="1"/>
  <c r="V542" i="5"/>
  <c r="M189" i="1" s="1"/>
  <c r="N189" i="1" s="1"/>
  <c r="S542" i="5"/>
  <c r="W542" i="5" s="1"/>
  <c r="S189" i="1" s="1"/>
  <c r="T189" i="1" s="1"/>
  <c r="V359" i="5"/>
  <c r="M128" i="1" s="1"/>
  <c r="N128" i="1" s="1"/>
  <c r="P128" i="1" s="1"/>
  <c r="S359" i="5"/>
  <c r="W359" i="5" s="1"/>
  <c r="S128" i="1" s="1"/>
  <c r="T128" i="1" s="1"/>
  <c r="V128" i="1" s="1"/>
  <c r="V566" i="5"/>
  <c r="M197" i="1" s="1"/>
  <c r="N197" i="1" s="1"/>
  <c r="S566" i="5"/>
  <c r="W566" i="5" s="1"/>
  <c r="S197" i="1" s="1"/>
  <c r="T197" i="1" s="1"/>
  <c r="V197" i="1" s="1"/>
  <c r="V926" i="5"/>
  <c r="M316" i="1" s="1"/>
  <c r="N316" i="1" s="1"/>
  <c r="S926" i="5"/>
  <c r="W926" i="5" s="1"/>
  <c r="S316" i="1" s="1"/>
  <c r="T316" i="1" s="1"/>
  <c r="U316" i="1" s="1"/>
  <c r="V692" i="5"/>
  <c r="M239" i="1" s="1"/>
  <c r="N239" i="1" s="1"/>
  <c r="S692" i="5"/>
  <c r="W692" i="5" s="1"/>
  <c r="S239" i="1" s="1"/>
  <c r="T239" i="1" s="1"/>
  <c r="V710" i="5"/>
  <c r="M245" i="1" s="1"/>
  <c r="N245" i="1" s="1"/>
  <c r="S710" i="5"/>
  <c r="W710" i="5" s="1"/>
  <c r="S245" i="1" s="1"/>
  <c r="T245" i="1" s="1"/>
  <c r="H44" i="11"/>
  <c r="L38" i="11"/>
  <c r="M38" i="11" s="1"/>
  <c r="V293" i="5"/>
  <c r="M106" i="1" s="1"/>
  <c r="N106" i="1" s="1"/>
  <c r="S293" i="5"/>
  <c r="W293" i="5" s="1"/>
  <c r="S106" i="1" s="1"/>
  <c r="T106" i="1" s="1"/>
  <c r="H284" i="11"/>
  <c r="L284" i="11" s="1"/>
  <c r="M284" i="11" s="1"/>
  <c r="L278" i="11"/>
  <c r="M278" i="11" s="1"/>
  <c r="V191" i="5"/>
  <c r="M72" i="1" s="1"/>
  <c r="N72" i="1" s="1"/>
  <c r="S191" i="5"/>
  <c r="W191" i="5" s="1"/>
  <c r="S72" i="1" s="1"/>
  <c r="T72" i="1" s="1"/>
  <c r="V905" i="5"/>
  <c r="M309" i="1" s="1"/>
  <c r="N309" i="1" s="1"/>
  <c r="S905" i="5"/>
  <c r="W905" i="5" s="1"/>
  <c r="S309" i="1" s="1"/>
  <c r="T309" i="1" s="1"/>
  <c r="S1259" i="5"/>
  <c r="W1259" i="5" s="1"/>
  <c r="S428" i="1" s="1"/>
  <c r="T428" i="1" s="1"/>
  <c r="V1259" i="5"/>
  <c r="M428" i="1" s="1"/>
  <c r="N428" i="1" s="1"/>
  <c r="V596" i="5"/>
  <c r="M207" i="1" s="1"/>
  <c r="N207" i="1" s="1"/>
  <c r="S596" i="5"/>
  <c r="W596" i="5" s="1"/>
  <c r="S207" i="1" s="1"/>
  <c r="T207" i="1" s="1"/>
  <c r="BB52" i="3" s="1"/>
  <c r="S944" i="5"/>
  <c r="W944" i="5" s="1"/>
  <c r="S322" i="1" s="1"/>
  <c r="T322" i="1" s="1"/>
  <c r="V944" i="5"/>
  <c r="M322" i="1" s="1"/>
  <c r="N322" i="1" s="1"/>
  <c r="V350" i="5"/>
  <c r="M125" i="1" s="1"/>
  <c r="N125" i="1" s="1"/>
  <c r="S350" i="5"/>
  <c r="W350" i="5" s="1"/>
  <c r="S125" i="1" s="1"/>
  <c r="T125" i="1" s="1"/>
  <c r="V668" i="5"/>
  <c r="M231" i="1" s="1"/>
  <c r="N231" i="1" s="1"/>
  <c r="S668" i="5"/>
  <c r="W668" i="5" s="1"/>
  <c r="S231" i="1" s="1"/>
  <c r="T231" i="1" s="1"/>
  <c r="V806" i="5"/>
  <c r="M276" i="1" s="1"/>
  <c r="N276" i="1" s="1"/>
  <c r="S806" i="5"/>
  <c r="W806" i="5" s="1"/>
  <c r="S276" i="1" s="1"/>
  <c r="T276" i="1" s="1"/>
  <c r="S497" i="5"/>
  <c r="W497" i="5" s="1"/>
  <c r="S174" i="1" s="1"/>
  <c r="T174" i="1" s="1"/>
  <c r="V174" i="1" s="1"/>
  <c r="V497" i="5"/>
  <c r="M174" i="1" s="1"/>
  <c r="N174" i="1" s="1"/>
  <c r="V176" i="5"/>
  <c r="M67" i="1" s="1"/>
  <c r="N67" i="1" s="1"/>
  <c r="S176" i="5"/>
  <c r="W176" i="5" s="1"/>
  <c r="S67" i="1" s="1"/>
  <c r="T67" i="1" s="1"/>
  <c r="V1025" i="5"/>
  <c r="M350" i="1" s="1"/>
  <c r="N350" i="1" s="1"/>
  <c r="AZ110" i="3" s="1"/>
  <c r="S1025" i="5"/>
  <c r="W1025" i="5" s="1"/>
  <c r="S350" i="1" s="1"/>
  <c r="T350" i="1" s="1"/>
  <c r="BB110" i="3" s="1"/>
  <c r="V98" i="5"/>
  <c r="M41" i="1" s="1"/>
  <c r="N41" i="1" s="1"/>
  <c r="S98" i="5"/>
  <c r="W98" i="5" s="1"/>
  <c r="S41" i="1" s="1"/>
  <c r="T41" i="1" s="1"/>
  <c r="V1034" i="5"/>
  <c r="M353" i="1" s="1"/>
  <c r="N353" i="1" s="1"/>
  <c r="S1034" i="5"/>
  <c r="W1034" i="5" s="1"/>
  <c r="S353" i="1" s="1"/>
  <c r="T353" i="1" s="1"/>
  <c r="V194" i="5"/>
  <c r="M73" i="1" s="1"/>
  <c r="N73" i="1" s="1"/>
  <c r="S194" i="5"/>
  <c r="W194" i="5" s="1"/>
  <c r="S73" i="1" s="1"/>
  <c r="T73" i="1" s="1"/>
  <c r="V1085" i="5"/>
  <c r="M370" i="1" s="1"/>
  <c r="N370" i="1" s="1"/>
  <c r="S1085" i="5"/>
  <c r="W1085" i="5" s="1"/>
  <c r="S370" i="1" s="1"/>
  <c r="T370" i="1" s="1"/>
  <c r="V701" i="5"/>
  <c r="M242" i="1" s="1"/>
  <c r="N242" i="1" s="1"/>
  <c r="S701" i="5"/>
  <c r="W701" i="5" s="1"/>
  <c r="S242" i="1" s="1"/>
  <c r="T242" i="1" s="1"/>
  <c r="V242" i="1" s="1"/>
  <c r="L98" i="11"/>
  <c r="M98" i="11" s="1"/>
  <c r="H104" i="11"/>
  <c r="V848" i="5"/>
  <c r="M290" i="1" s="1"/>
  <c r="N290" i="1" s="1"/>
  <c r="S848" i="5"/>
  <c r="W848" i="5" s="1"/>
  <c r="S290" i="1" s="1"/>
  <c r="T290" i="1" s="1"/>
  <c r="L233" i="11"/>
  <c r="M233" i="11" s="1"/>
  <c r="V782" i="5"/>
  <c r="M268" i="1" s="1"/>
  <c r="N268" i="1" s="1"/>
  <c r="S782" i="5"/>
  <c r="W782" i="5" s="1"/>
  <c r="S268" i="1" s="1"/>
  <c r="T268" i="1" s="1"/>
  <c r="V887" i="5"/>
  <c r="M303" i="1" s="1"/>
  <c r="N303" i="1" s="1"/>
  <c r="S887" i="5"/>
  <c r="W887" i="5" s="1"/>
  <c r="S303" i="1" s="1"/>
  <c r="T303" i="1" s="1"/>
  <c r="S1049" i="5"/>
  <c r="W1049" i="5" s="1"/>
  <c r="S358" i="1" s="1"/>
  <c r="T358" i="1" s="1"/>
  <c r="V1049" i="5"/>
  <c r="M358" i="1" s="1"/>
  <c r="N358" i="1" s="1"/>
  <c r="V995" i="5"/>
  <c r="M339" i="1" s="1"/>
  <c r="N339" i="1" s="1"/>
  <c r="S995" i="5"/>
  <c r="W995" i="5" s="1"/>
  <c r="S339" i="1" s="1"/>
  <c r="T339" i="1" s="1"/>
  <c r="V968" i="5"/>
  <c r="M330" i="1" s="1"/>
  <c r="N330" i="1" s="1"/>
  <c r="S968" i="5"/>
  <c r="W968" i="5" s="1"/>
  <c r="S330" i="1" s="1"/>
  <c r="T330" i="1" s="1"/>
  <c r="U330" i="1" s="1"/>
  <c r="V1013" i="5"/>
  <c r="M346" i="1" s="1"/>
  <c r="N346" i="1" s="1"/>
  <c r="AN33" i="3" s="1"/>
  <c r="S1013" i="5"/>
  <c r="W1013" i="5" s="1"/>
  <c r="S346" i="1" s="1"/>
  <c r="T346" i="1" s="1"/>
  <c r="AP33" i="3" s="1"/>
  <c r="V722" i="5"/>
  <c r="M249" i="1" s="1"/>
  <c r="N249" i="1" s="1"/>
  <c r="S722" i="5"/>
  <c r="W722" i="5" s="1"/>
  <c r="S249" i="1" s="1"/>
  <c r="T249" i="1" s="1"/>
  <c r="BB70" i="3" s="1"/>
  <c r="V131" i="5"/>
  <c r="M52" i="1" s="1"/>
  <c r="N52" i="1" s="1"/>
  <c r="S131" i="5"/>
  <c r="W131" i="5" s="1"/>
  <c r="S52" i="1" s="1"/>
  <c r="T52" i="1" s="1"/>
  <c r="V1028" i="5"/>
  <c r="M351" i="1" s="1"/>
  <c r="N351" i="1" s="1"/>
  <c r="S1028" i="5"/>
  <c r="W1028" i="5" s="1"/>
  <c r="S351" i="1" s="1"/>
  <c r="T351" i="1" s="1"/>
  <c r="V608" i="5"/>
  <c r="M211" i="1" s="1"/>
  <c r="N211" i="1" s="1"/>
  <c r="S608" i="5"/>
  <c r="W608" i="5" s="1"/>
  <c r="S211" i="1" s="1"/>
  <c r="T211" i="1" s="1"/>
  <c r="S974" i="5"/>
  <c r="W974" i="5" s="1"/>
  <c r="S332" i="1" s="1"/>
  <c r="T332" i="1" s="1"/>
  <c r="U332" i="1" s="1"/>
  <c r="V974" i="5"/>
  <c r="M332" i="1" s="1"/>
  <c r="N332" i="1" s="1"/>
  <c r="V557" i="5"/>
  <c r="M194" i="1" s="1"/>
  <c r="N194" i="1" s="1"/>
  <c r="S557" i="5"/>
  <c r="W557" i="5" s="1"/>
  <c r="S194" i="1" s="1"/>
  <c r="T194" i="1" s="1"/>
  <c r="V1208" i="5"/>
  <c r="M411" i="1" s="1"/>
  <c r="N411" i="1" s="1"/>
  <c r="S1208" i="5"/>
  <c r="W1208" i="5" s="1"/>
  <c r="S411" i="1" s="1"/>
  <c r="T411" i="1" s="1"/>
  <c r="S689" i="5"/>
  <c r="W689" i="5" s="1"/>
  <c r="S238" i="1" s="1"/>
  <c r="T238" i="1" s="1"/>
  <c r="V689" i="5"/>
  <c r="M238" i="1" s="1"/>
  <c r="N238" i="1" s="1"/>
  <c r="V617" i="5"/>
  <c r="M214" i="1" s="1"/>
  <c r="N214" i="1" s="1"/>
  <c r="S617" i="5"/>
  <c r="W617" i="5" s="1"/>
  <c r="S214" i="1" s="1"/>
  <c r="T214" i="1" s="1"/>
  <c r="V158" i="5"/>
  <c r="M61" i="1" s="1"/>
  <c r="N61" i="1" s="1"/>
  <c r="S158" i="5"/>
  <c r="W158" i="5" s="1"/>
  <c r="S61" i="1" s="1"/>
  <c r="T61" i="1" s="1"/>
  <c r="V185" i="5"/>
  <c r="M70" i="1" s="1"/>
  <c r="N70" i="1" s="1"/>
  <c r="S185" i="5"/>
  <c r="W185" i="5" s="1"/>
  <c r="S70" i="1" s="1"/>
  <c r="T70" i="1" s="1"/>
  <c r="V407" i="5"/>
  <c r="M144" i="1" s="1"/>
  <c r="N144" i="1" s="1"/>
  <c r="S407" i="5"/>
  <c r="W407" i="5" s="1"/>
  <c r="S144" i="1" s="1"/>
  <c r="T144" i="1" s="1"/>
  <c r="V251" i="5"/>
  <c r="M92" i="1" s="1"/>
  <c r="N92" i="1" s="1"/>
  <c r="S251" i="5"/>
  <c r="W251" i="5" s="1"/>
  <c r="S92" i="1" s="1"/>
  <c r="T92" i="1" s="1"/>
  <c r="V182" i="5"/>
  <c r="M69" i="1" s="1"/>
  <c r="N69" i="1" s="1"/>
  <c r="S182" i="5"/>
  <c r="W182" i="5" s="1"/>
  <c r="S69" i="1" s="1"/>
  <c r="T69" i="1" s="1"/>
  <c r="V656" i="5"/>
  <c r="M227" i="1" s="1"/>
  <c r="N227" i="1" s="1"/>
  <c r="S656" i="5"/>
  <c r="W656" i="5" s="1"/>
  <c r="S227" i="1" s="1"/>
  <c r="T227" i="1" s="1"/>
  <c r="S1016" i="5"/>
  <c r="W1016" i="5" s="1"/>
  <c r="S347" i="1" s="1"/>
  <c r="T347" i="1" s="1"/>
  <c r="V1016" i="5"/>
  <c r="M347" i="1" s="1"/>
  <c r="N347" i="1" s="1"/>
  <c r="V680" i="5"/>
  <c r="M235" i="1" s="1"/>
  <c r="N235" i="1" s="1"/>
  <c r="P233" i="1" s="1"/>
  <c r="S680" i="5"/>
  <c r="W680" i="5" s="1"/>
  <c r="S235" i="1" s="1"/>
  <c r="T235" i="1" s="1"/>
  <c r="V278" i="5"/>
  <c r="M101" i="1" s="1"/>
  <c r="N101" i="1" s="1"/>
  <c r="S278" i="5"/>
  <c r="W278" i="5" s="1"/>
  <c r="S101" i="1" s="1"/>
  <c r="T101" i="1" s="1"/>
  <c r="V998" i="5"/>
  <c r="M340" i="1" s="1"/>
  <c r="N340" i="1" s="1"/>
  <c r="AZ101" i="3" s="1"/>
  <c r="S998" i="5"/>
  <c r="W998" i="5" s="1"/>
  <c r="S340" i="1" s="1"/>
  <c r="T340" i="1" s="1"/>
  <c r="BB101" i="3" s="1"/>
  <c r="V857" i="5"/>
  <c r="M293" i="1" s="1"/>
  <c r="N293" i="1" s="1"/>
  <c r="S857" i="5"/>
  <c r="W857" i="5" s="1"/>
  <c r="S293" i="1" s="1"/>
  <c r="T293" i="1" s="1"/>
  <c r="V746" i="5"/>
  <c r="M257" i="1" s="1"/>
  <c r="N257" i="1" s="1"/>
  <c r="AZ78" i="3" s="1"/>
  <c r="S746" i="5"/>
  <c r="W746" i="5" s="1"/>
  <c r="S257" i="1" s="1"/>
  <c r="T257" i="1" s="1"/>
  <c r="BB78" i="3" s="1"/>
  <c r="V986" i="5"/>
  <c r="M336" i="1" s="1"/>
  <c r="N336" i="1" s="1"/>
  <c r="AZ97" i="3" s="1"/>
  <c r="S986" i="5"/>
  <c r="W986" i="5" s="1"/>
  <c r="S336" i="1" s="1"/>
  <c r="T336" i="1" s="1"/>
  <c r="V536" i="5"/>
  <c r="M187" i="1" s="1"/>
  <c r="N187" i="1" s="1"/>
  <c r="S536" i="5"/>
  <c r="W536" i="5" s="1"/>
  <c r="S187" i="1" s="1"/>
  <c r="T187" i="1" s="1"/>
  <c r="V1166" i="5"/>
  <c r="M397" i="1" s="1"/>
  <c r="N397" i="1" s="1"/>
  <c r="P397" i="1" s="1"/>
  <c r="S1166" i="5"/>
  <c r="W1166" i="5" s="1"/>
  <c r="S397" i="1" s="1"/>
  <c r="T397" i="1" s="1"/>
  <c r="V397" i="1" s="1"/>
  <c r="L86" i="11"/>
  <c r="M86" i="11" s="1"/>
  <c r="H92" i="11"/>
  <c r="V206" i="5"/>
  <c r="M77" i="1" s="1"/>
  <c r="N77" i="1" s="1"/>
  <c r="P77" i="1" s="1"/>
  <c r="S206" i="5"/>
  <c r="W206" i="5" s="1"/>
  <c r="S77" i="1" s="1"/>
  <c r="T77" i="1" s="1"/>
  <c r="V1271" i="5"/>
  <c r="M432" i="1" s="1"/>
  <c r="N432" i="1" s="1"/>
  <c r="S1271" i="5"/>
  <c r="W1271" i="5" s="1"/>
  <c r="S432" i="1" s="1"/>
  <c r="T432" i="1" s="1"/>
  <c r="V788" i="5"/>
  <c r="M270" i="1" s="1"/>
  <c r="N270" i="1" s="1"/>
  <c r="S788" i="5"/>
  <c r="W788" i="5" s="1"/>
  <c r="S270" i="1" s="1"/>
  <c r="T270" i="1" s="1"/>
  <c r="V1022" i="5"/>
  <c r="M349" i="1" s="1"/>
  <c r="N349" i="1" s="1"/>
  <c r="AZ109" i="3" s="1"/>
  <c r="S1022" i="5"/>
  <c r="W1022" i="5" s="1"/>
  <c r="S349" i="1" s="1"/>
  <c r="T349" i="1" s="1"/>
  <c r="BB109" i="3" s="1"/>
  <c r="V1217" i="5"/>
  <c r="M414" i="1" s="1"/>
  <c r="N414" i="1" s="1"/>
  <c r="S1217" i="5"/>
  <c r="W1217" i="5" s="1"/>
  <c r="S414" i="1" s="1"/>
  <c r="T414" i="1" s="1"/>
  <c r="V737" i="5"/>
  <c r="M254" i="1" s="1"/>
  <c r="N254" i="1" s="1"/>
  <c r="AZ75" i="3" s="1"/>
  <c r="S737" i="5"/>
  <c r="W737" i="5" s="1"/>
  <c r="S254" i="1" s="1"/>
  <c r="T254" i="1" s="1"/>
  <c r="BB75" i="3" s="1"/>
  <c r="V410" i="5"/>
  <c r="M145" i="1" s="1"/>
  <c r="N145" i="1" s="1"/>
  <c r="S410" i="5"/>
  <c r="W410" i="5" s="1"/>
  <c r="S145" i="1" s="1"/>
  <c r="T145" i="1" s="1"/>
  <c r="V320" i="5"/>
  <c r="M115" i="1" s="1"/>
  <c r="N115" i="1" s="1"/>
  <c r="S320" i="5"/>
  <c r="W320" i="5" s="1"/>
  <c r="S115" i="1" s="1"/>
  <c r="T115" i="1" s="1"/>
  <c r="V1262" i="5"/>
  <c r="M429" i="1" s="1"/>
  <c r="N429" i="1" s="1"/>
  <c r="S1262" i="5"/>
  <c r="W1262" i="5" s="1"/>
  <c r="S429" i="1" s="1"/>
  <c r="T429" i="1" s="1"/>
  <c r="V824" i="5"/>
  <c r="M282" i="1" s="1"/>
  <c r="N282" i="1" s="1"/>
  <c r="S824" i="5"/>
  <c r="W824" i="5" s="1"/>
  <c r="S282" i="1" s="1"/>
  <c r="T282" i="1" s="1"/>
  <c r="V527" i="5"/>
  <c r="M184" i="1" s="1"/>
  <c r="N184" i="1" s="1"/>
  <c r="S527" i="5"/>
  <c r="W527" i="5" s="1"/>
  <c r="S184" i="1" s="1"/>
  <c r="T184" i="1" s="1"/>
  <c r="S488" i="5"/>
  <c r="W488" i="5" s="1"/>
  <c r="S171" i="1" s="1"/>
  <c r="T171" i="1" s="1"/>
  <c r="V488" i="5"/>
  <c r="M171" i="1" s="1"/>
  <c r="N171" i="1" s="1"/>
  <c r="V113" i="5"/>
  <c r="M46" i="1" s="1"/>
  <c r="N46" i="1" s="1"/>
  <c r="S113" i="5"/>
  <c r="W113" i="5" s="1"/>
  <c r="S46" i="1" s="1"/>
  <c r="T46" i="1" s="1"/>
  <c r="V20" i="5"/>
  <c r="M15" i="1" s="1"/>
  <c r="N15" i="1" s="1"/>
  <c r="S20" i="5"/>
  <c r="W20" i="5" s="1"/>
  <c r="S15" i="1" s="1"/>
  <c r="T15" i="1" s="1"/>
  <c r="V347" i="5"/>
  <c r="M124" i="1" s="1"/>
  <c r="N124" i="1" s="1"/>
  <c r="S347" i="5"/>
  <c r="W347" i="5" s="1"/>
  <c r="S124" i="1" s="1"/>
  <c r="T124" i="1" s="1"/>
  <c r="V1247" i="5"/>
  <c r="M424" i="1" s="1"/>
  <c r="N424" i="1" s="1"/>
  <c r="S1247" i="5"/>
  <c r="W1247" i="5" s="1"/>
  <c r="S424" i="1" s="1"/>
  <c r="T424" i="1" s="1"/>
  <c r="S1121" i="5"/>
  <c r="W1121" i="5" s="1"/>
  <c r="V1121" i="5"/>
  <c r="P224" i="1"/>
  <c r="L80" i="11"/>
  <c r="M80" i="11" s="1"/>
  <c r="H81" i="11"/>
  <c r="E38" i="8"/>
  <c r="V323" i="5"/>
  <c r="M116" i="1" s="1"/>
  <c r="N116" i="1" s="1"/>
  <c r="S323" i="5"/>
  <c r="W323" i="5" s="1"/>
  <c r="S116" i="1" s="1"/>
  <c r="T116" i="1" s="1"/>
  <c r="V791" i="5"/>
  <c r="M271" i="1" s="1"/>
  <c r="N271" i="1" s="1"/>
  <c r="S791" i="5"/>
  <c r="W791" i="5" s="1"/>
  <c r="S271" i="1" s="1"/>
  <c r="T271" i="1" s="1"/>
  <c r="U271" i="1" s="1"/>
  <c r="S938" i="5"/>
  <c r="W938" i="5" s="1"/>
  <c r="S320" i="1" s="1"/>
  <c r="T320" i="1" s="1"/>
  <c r="V938" i="5"/>
  <c r="M320" i="1" s="1"/>
  <c r="N320" i="1" s="1"/>
  <c r="V404" i="5"/>
  <c r="M143" i="1" s="1"/>
  <c r="N143" i="1" s="1"/>
  <c r="S404" i="5"/>
  <c r="W404" i="5" s="1"/>
  <c r="S143" i="1" s="1"/>
  <c r="T143" i="1" s="1"/>
  <c r="V875" i="5"/>
  <c r="M299" i="1" s="1"/>
  <c r="N299" i="1" s="1"/>
  <c r="P299" i="1" s="1"/>
  <c r="S875" i="5"/>
  <c r="W875" i="5" s="1"/>
  <c r="S299" i="1" s="1"/>
  <c r="T299" i="1" s="1"/>
  <c r="V917" i="5"/>
  <c r="M313" i="1" s="1"/>
  <c r="N313" i="1" s="1"/>
  <c r="S917" i="5"/>
  <c r="W917" i="5" s="1"/>
  <c r="S313" i="1" s="1"/>
  <c r="T313" i="1" s="1"/>
  <c r="V803" i="5"/>
  <c r="M275" i="1" s="1"/>
  <c r="N275" i="1" s="1"/>
  <c r="S803" i="5"/>
  <c r="W803" i="5" s="1"/>
  <c r="S275" i="1" s="1"/>
  <c r="T275" i="1" s="1"/>
  <c r="V344" i="5"/>
  <c r="M123" i="1" s="1"/>
  <c r="N123" i="1" s="1"/>
  <c r="S344" i="5"/>
  <c r="W344" i="5" s="1"/>
  <c r="S123" i="1" s="1"/>
  <c r="T123" i="1" s="1"/>
  <c r="S521" i="5"/>
  <c r="W521" i="5" s="1"/>
  <c r="S182" i="1" s="1"/>
  <c r="T182" i="1" s="1"/>
  <c r="V521" i="5"/>
  <c r="M182" i="1" s="1"/>
  <c r="N182" i="1" s="1"/>
  <c r="V767" i="5"/>
  <c r="M264" i="1" s="1"/>
  <c r="N264" i="1" s="1"/>
  <c r="S767" i="5"/>
  <c r="W767" i="5" s="1"/>
  <c r="S264" i="1" s="1"/>
  <c r="T264" i="1" s="1"/>
  <c r="V1292" i="5"/>
  <c r="M439" i="1" s="1"/>
  <c r="N439" i="1" s="1"/>
  <c r="S1292" i="5"/>
  <c r="W1292" i="5" s="1"/>
  <c r="S439" i="1" s="1"/>
  <c r="T439" i="1" s="1"/>
  <c r="S1277" i="5"/>
  <c r="W1277" i="5" s="1"/>
  <c r="S434" i="1" s="1"/>
  <c r="T434" i="1" s="1"/>
  <c r="V1277" i="5"/>
  <c r="M434" i="1" s="1"/>
  <c r="N434" i="1" s="1"/>
  <c r="S716" i="5"/>
  <c r="W716" i="5" s="1"/>
  <c r="S247" i="1" s="1"/>
  <c r="T247" i="1" s="1"/>
  <c r="V716" i="5"/>
  <c r="M247" i="1" s="1"/>
  <c r="N247" i="1" s="1"/>
  <c r="V221" i="5"/>
  <c r="M82" i="1" s="1"/>
  <c r="N82" i="1" s="1"/>
  <c r="S221" i="5"/>
  <c r="W221" i="5" s="1"/>
  <c r="S82" i="1" s="1"/>
  <c r="T82" i="1" s="1"/>
  <c r="V272" i="5"/>
  <c r="M99" i="1" s="1"/>
  <c r="N99" i="1" s="1"/>
  <c r="S272" i="5"/>
  <c r="W272" i="5" s="1"/>
  <c r="S99" i="1" s="1"/>
  <c r="T99" i="1" s="1"/>
  <c r="H272" i="11"/>
  <c r="H273" i="11" s="1"/>
  <c r="L266" i="11"/>
  <c r="M266" i="11" s="1"/>
  <c r="S533" i="5"/>
  <c r="W533" i="5" s="1"/>
  <c r="S186" i="1" s="1"/>
  <c r="T186" i="1" s="1"/>
  <c r="V186" i="1" s="1"/>
  <c r="V533" i="5"/>
  <c r="M186" i="1" s="1"/>
  <c r="N186" i="1" s="1"/>
  <c r="P186" i="1" s="1"/>
  <c r="V602" i="5"/>
  <c r="M209" i="1" s="1"/>
  <c r="N209" i="1" s="1"/>
  <c r="P209" i="1" s="1"/>
  <c r="S602" i="5"/>
  <c r="W602" i="5" s="1"/>
  <c r="S209" i="1" s="1"/>
  <c r="T209" i="1" s="1"/>
  <c r="V209" i="1" s="1"/>
  <c r="V725" i="5"/>
  <c r="M250" i="1" s="1"/>
  <c r="N250" i="1" s="1"/>
  <c r="S725" i="5"/>
  <c r="W725" i="5" s="1"/>
  <c r="S250" i="1" s="1"/>
  <c r="T250" i="1" s="1"/>
  <c r="BB71" i="3" s="1"/>
  <c r="H248" i="11"/>
  <c r="L248" i="11" s="1"/>
  <c r="M248" i="11" s="1"/>
  <c r="L242" i="11"/>
  <c r="M242" i="11" s="1"/>
  <c r="H56" i="11"/>
  <c r="L56" i="11" s="1"/>
  <c r="M56" i="11" s="1"/>
  <c r="L50" i="11"/>
  <c r="M50" i="11" s="1"/>
  <c r="V1067" i="5"/>
  <c r="S1067" i="5"/>
  <c r="W1067" i="5" s="1"/>
  <c r="J296" i="11"/>
  <c r="J297" i="11" s="1"/>
  <c r="S980" i="5" s="1"/>
  <c r="W980" i="5" s="1"/>
  <c r="S334" i="1" s="1"/>
  <c r="T334" i="1" s="1"/>
  <c r="BB95" i="3" s="1"/>
  <c r="J260" i="11"/>
  <c r="J261" i="11" s="1"/>
  <c r="S866" i="5" s="1"/>
  <c r="W866" i="5" s="1"/>
  <c r="S296" i="1" s="1"/>
  <c r="T296" i="1" s="1"/>
  <c r="L128" i="11"/>
  <c r="M128" i="11" s="1"/>
  <c r="H129" i="11"/>
  <c r="S443" i="5"/>
  <c r="W443" i="5" s="1"/>
  <c r="S156" i="1" s="1"/>
  <c r="T156" i="1" s="1"/>
  <c r="V443" i="5"/>
  <c r="M156" i="1" s="1"/>
  <c r="N156" i="1" s="1"/>
  <c r="V383" i="5"/>
  <c r="M136" i="1" s="1"/>
  <c r="N136" i="1" s="1"/>
  <c r="S383" i="5"/>
  <c r="W383" i="5" s="1"/>
  <c r="S136" i="1" s="1"/>
  <c r="T136" i="1" s="1"/>
  <c r="V626" i="5"/>
  <c r="M217" i="1" s="1"/>
  <c r="N217" i="1" s="1"/>
  <c r="S626" i="5"/>
  <c r="W626" i="5" s="1"/>
  <c r="S217" i="1" s="1"/>
  <c r="T217" i="1" s="1"/>
  <c r="V1283" i="5"/>
  <c r="M436" i="1" s="1"/>
  <c r="N436" i="1" s="1"/>
  <c r="S1283" i="5"/>
  <c r="W1283" i="5" s="1"/>
  <c r="S436" i="1" s="1"/>
  <c r="T436" i="1" s="1"/>
  <c r="V122" i="5"/>
  <c r="M49" i="1" s="1"/>
  <c r="N49" i="1" s="1"/>
  <c r="P49" i="1" s="1"/>
  <c r="S122" i="5"/>
  <c r="W122" i="5" s="1"/>
  <c r="S49" i="1" s="1"/>
  <c r="T49" i="1" s="1"/>
  <c r="V107" i="5"/>
  <c r="M44" i="1" s="1"/>
  <c r="N44" i="1" s="1"/>
  <c r="S107" i="5"/>
  <c r="W107" i="5" s="1"/>
  <c r="S44" i="1" s="1"/>
  <c r="T44" i="1" s="1"/>
  <c r="S449" i="5"/>
  <c r="W449" i="5" s="1"/>
  <c r="S158" i="1" s="1"/>
  <c r="T158" i="1" s="1"/>
  <c r="V449" i="5"/>
  <c r="M158" i="1" s="1"/>
  <c r="N158" i="1" s="1"/>
  <c r="V1187" i="5"/>
  <c r="M404" i="1" s="1"/>
  <c r="N404" i="1" s="1"/>
  <c r="S1187" i="5"/>
  <c r="W1187" i="5" s="1"/>
  <c r="S404" i="1" s="1"/>
  <c r="T404" i="1" s="1"/>
  <c r="S155" i="5"/>
  <c r="W155" i="5" s="1"/>
  <c r="S60" i="1" s="1"/>
  <c r="T60" i="1" s="1"/>
  <c r="V155" i="5"/>
  <c r="M60" i="1" s="1"/>
  <c r="N60" i="1" s="1"/>
  <c r="V1100" i="5"/>
  <c r="M375" i="1" s="1"/>
  <c r="N375" i="1" s="1"/>
  <c r="S1100" i="5"/>
  <c r="W1100" i="5" s="1"/>
  <c r="S375" i="1" s="1"/>
  <c r="T375" i="1" s="1"/>
  <c r="V134" i="5"/>
  <c r="M53" i="1" s="1"/>
  <c r="N53" i="1" s="1"/>
  <c r="S134" i="5"/>
  <c r="W134" i="5" s="1"/>
  <c r="S53" i="1" s="1"/>
  <c r="T53" i="1" s="1"/>
  <c r="V1256" i="5"/>
  <c r="M427" i="1" s="1"/>
  <c r="N427" i="1" s="1"/>
  <c r="S1256" i="5"/>
  <c r="W1256" i="5" s="1"/>
  <c r="S427" i="1" s="1"/>
  <c r="T427" i="1" s="1"/>
  <c r="V1244" i="5"/>
  <c r="M423" i="1" s="1"/>
  <c r="N423" i="1" s="1"/>
  <c r="S1244" i="5"/>
  <c r="W1244" i="5" s="1"/>
  <c r="S423" i="1" s="1"/>
  <c r="T423" i="1" s="1"/>
  <c r="V179" i="5"/>
  <c r="M68" i="1" s="1"/>
  <c r="N68" i="1" s="1"/>
  <c r="S179" i="5"/>
  <c r="W179" i="5" s="1"/>
  <c r="S68" i="1" s="1"/>
  <c r="T68" i="1" s="1"/>
  <c r="V53" i="5"/>
  <c r="M26" i="1" s="1"/>
  <c r="N26" i="1" s="1"/>
  <c r="S53" i="5"/>
  <c r="W53" i="5" s="1"/>
  <c r="S26" i="1" s="1"/>
  <c r="T26" i="1" s="1"/>
  <c r="V893" i="5"/>
  <c r="M305" i="1" s="1"/>
  <c r="N305" i="1" s="1"/>
  <c r="S893" i="5"/>
  <c r="W893" i="5" s="1"/>
  <c r="S305" i="1" s="1"/>
  <c r="T305" i="1" s="1"/>
  <c r="V923" i="5"/>
  <c r="M315" i="1" s="1"/>
  <c r="N315" i="1" s="1"/>
  <c r="S923" i="5"/>
  <c r="W923" i="5" s="1"/>
  <c r="S315" i="1" s="1"/>
  <c r="T315" i="1" s="1"/>
  <c r="V1142" i="5"/>
  <c r="M389" i="1" s="1"/>
  <c r="N389" i="1" s="1"/>
  <c r="S1142" i="5"/>
  <c r="W1142" i="5" s="1"/>
  <c r="S389" i="1" s="1"/>
  <c r="T389" i="1" s="1"/>
  <c r="S1154" i="5"/>
  <c r="W1154" i="5" s="1"/>
  <c r="S393" i="1" s="1"/>
  <c r="T393" i="1" s="1"/>
  <c r="V1154" i="5"/>
  <c r="M393" i="1" s="1"/>
  <c r="N393" i="1" s="1"/>
  <c r="L29" i="11"/>
  <c r="M29" i="11" s="1"/>
  <c r="V434" i="5"/>
  <c r="M153" i="1" s="1"/>
  <c r="N153" i="1" s="1"/>
  <c r="S434" i="5"/>
  <c r="W434" i="5" s="1"/>
  <c r="S153" i="1" s="1"/>
  <c r="T153" i="1" s="1"/>
  <c r="S1160" i="5"/>
  <c r="W1160" i="5" s="1"/>
  <c r="S395" i="1" s="1"/>
  <c r="T395" i="1" s="1"/>
  <c r="V1160" i="5"/>
  <c r="M395" i="1" s="1"/>
  <c r="N395" i="1" s="1"/>
  <c r="V650" i="5"/>
  <c r="M225" i="1" s="1"/>
  <c r="N225" i="1" s="1"/>
  <c r="S650" i="5"/>
  <c r="W650" i="5" s="1"/>
  <c r="S225" i="1" s="1"/>
  <c r="T225" i="1" s="1"/>
  <c r="L257" i="11"/>
  <c r="M257" i="11" s="1"/>
  <c r="L230" i="11"/>
  <c r="M230" i="11" s="1"/>
  <c r="H236" i="11"/>
  <c r="V1133" i="5"/>
  <c r="M386" i="1" s="1"/>
  <c r="N386" i="1" s="1"/>
  <c r="S1133" i="5"/>
  <c r="W1133" i="5" s="1"/>
  <c r="S386" i="1" s="1"/>
  <c r="T386" i="1" s="1"/>
  <c r="V1097" i="5"/>
  <c r="M374" i="1" s="1"/>
  <c r="N374" i="1" s="1"/>
  <c r="S1097" i="5"/>
  <c r="W1097" i="5" s="1"/>
  <c r="S374" i="1" s="1"/>
  <c r="T374" i="1" s="1"/>
  <c r="V373" i="1" s="1"/>
  <c r="V605" i="5"/>
  <c r="M210" i="1" s="1"/>
  <c r="N210" i="1" s="1"/>
  <c r="P210" i="1" s="1"/>
  <c r="S605" i="5"/>
  <c r="W605" i="5" s="1"/>
  <c r="S210" i="1" s="1"/>
  <c r="T210" i="1" s="1"/>
  <c r="V210" i="1" s="1"/>
  <c r="V794" i="5"/>
  <c r="M272" i="1" s="1"/>
  <c r="N272" i="1" s="1"/>
  <c r="S794" i="5"/>
  <c r="W794" i="5" s="1"/>
  <c r="S272" i="1" s="1"/>
  <c r="T272" i="1" s="1"/>
  <c r="U272" i="1" s="1"/>
  <c r="V1148" i="5"/>
  <c r="M391" i="1" s="1"/>
  <c r="N391" i="1" s="1"/>
  <c r="S1148" i="5"/>
  <c r="W1148" i="5" s="1"/>
  <c r="S391" i="1" s="1"/>
  <c r="T391" i="1" s="1"/>
  <c r="S392" i="5"/>
  <c r="W392" i="5" s="1"/>
  <c r="S139" i="1" s="1"/>
  <c r="T139" i="1" s="1"/>
  <c r="V392" i="5"/>
  <c r="M139" i="1" s="1"/>
  <c r="N139" i="1" s="1"/>
  <c r="S524" i="5"/>
  <c r="W524" i="5" s="1"/>
  <c r="S183" i="1" s="1"/>
  <c r="T183" i="1" s="1"/>
  <c r="V524" i="5"/>
  <c r="M183" i="1" s="1"/>
  <c r="N183" i="1" s="1"/>
  <c r="V1019" i="5"/>
  <c r="M348" i="1" s="1"/>
  <c r="N348" i="1" s="1"/>
  <c r="AZ108" i="3" s="1"/>
  <c r="S1019" i="5"/>
  <c r="W1019" i="5" s="1"/>
  <c r="S348" i="1" s="1"/>
  <c r="T348" i="1" s="1"/>
  <c r="BB108" i="3" s="1"/>
  <c r="V1007" i="5"/>
  <c r="M344" i="1" s="1"/>
  <c r="N344" i="1" s="1"/>
  <c r="AZ104" i="3" s="1"/>
  <c r="S1007" i="5"/>
  <c r="W1007" i="5" s="1"/>
  <c r="S344" i="1" s="1"/>
  <c r="T344" i="1" s="1"/>
  <c r="S452" i="5"/>
  <c r="W452" i="5" s="1"/>
  <c r="S159" i="1" s="1"/>
  <c r="T159" i="1" s="1"/>
  <c r="V452" i="5"/>
  <c r="M159" i="1" s="1"/>
  <c r="N159" i="1" s="1"/>
  <c r="V758" i="5"/>
  <c r="M261" i="1" s="1"/>
  <c r="N261" i="1" s="1"/>
  <c r="S758" i="5"/>
  <c r="W758" i="5" s="1"/>
  <c r="S261" i="1" s="1"/>
  <c r="T261" i="1" s="1"/>
  <c r="V1190" i="5"/>
  <c r="M405" i="1" s="1"/>
  <c r="N405" i="1" s="1"/>
  <c r="S1190" i="5"/>
  <c r="W1190" i="5" s="1"/>
  <c r="S405" i="1" s="1"/>
  <c r="T405" i="1" s="1"/>
  <c r="V1070" i="5"/>
  <c r="M365" i="1" s="1"/>
  <c r="N365" i="1" s="1"/>
  <c r="S1070" i="5"/>
  <c r="W1070" i="5" s="1"/>
  <c r="S365" i="1" s="1"/>
  <c r="T365" i="1" s="1"/>
  <c r="V1220" i="5"/>
  <c r="M415" i="1" s="1"/>
  <c r="N415" i="1" s="1"/>
  <c r="P415" i="1" s="1"/>
  <c r="S1220" i="5"/>
  <c r="W1220" i="5" s="1"/>
  <c r="S415" i="1" s="1"/>
  <c r="T415" i="1" s="1"/>
  <c r="V415" i="1" s="1"/>
  <c r="H116" i="11"/>
  <c r="L110" i="11"/>
  <c r="M110" i="11" s="1"/>
  <c r="V872" i="5"/>
  <c r="M298" i="1" s="1"/>
  <c r="N298" i="1" s="1"/>
  <c r="S872" i="5"/>
  <c r="W872" i="5" s="1"/>
  <c r="S298" i="1" s="1"/>
  <c r="T298" i="1" s="1"/>
  <c r="V299" i="5"/>
  <c r="M108" i="1" s="1"/>
  <c r="N108" i="1" s="1"/>
  <c r="P108" i="1" s="1"/>
  <c r="S299" i="5"/>
  <c r="W299" i="5" s="1"/>
  <c r="S108" i="1" s="1"/>
  <c r="T108" i="1" s="1"/>
  <c r="V71" i="5"/>
  <c r="M32" i="1" s="1"/>
  <c r="N32" i="1" s="1"/>
  <c r="S71" i="5"/>
  <c r="W71" i="5" s="1"/>
  <c r="S32" i="1" s="1"/>
  <c r="T32" i="1" s="1"/>
  <c r="V1010" i="5"/>
  <c r="M345" i="1" s="1"/>
  <c r="N345" i="1" s="1"/>
  <c r="S1010" i="5"/>
  <c r="W1010" i="5" s="1"/>
  <c r="S345" i="1" s="1"/>
  <c r="T345" i="1" s="1"/>
  <c r="BB105" i="3" s="1"/>
  <c r="V761" i="5"/>
  <c r="M262" i="1" s="1"/>
  <c r="N262" i="1" s="1"/>
  <c r="S761" i="5"/>
  <c r="W761" i="5" s="1"/>
  <c r="S262" i="1" s="1"/>
  <c r="T262" i="1" s="1"/>
  <c r="V314" i="5"/>
  <c r="M113" i="1" s="1"/>
  <c r="N113" i="1" s="1"/>
  <c r="S314" i="5"/>
  <c r="W314" i="5" s="1"/>
  <c r="S113" i="1" s="1"/>
  <c r="T113" i="1" s="1"/>
  <c r="S500" i="5"/>
  <c r="W500" i="5" s="1"/>
  <c r="S175" i="1" s="1"/>
  <c r="T175" i="1" s="1"/>
  <c r="V500" i="5"/>
  <c r="M175" i="1" s="1"/>
  <c r="N175" i="1" s="1"/>
  <c r="V629" i="5"/>
  <c r="M218" i="1" s="1"/>
  <c r="N218" i="1" s="1"/>
  <c r="P218" i="1" s="1"/>
  <c r="S629" i="5"/>
  <c r="W629" i="5" s="1"/>
  <c r="S218" i="1" s="1"/>
  <c r="T218" i="1" s="1"/>
  <c r="V62" i="5"/>
  <c r="M29" i="1" s="1"/>
  <c r="N29" i="1" s="1"/>
  <c r="S62" i="5"/>
  <c r="W62" i="5" s="1"/>
  <c r="S29" i="1" s="1"/>
  <c r="T29" i="1" s="1"/>
  <c r="V353" i="5"/>
  <c r="M126" i="1" s="1"/>
  <c r="N126" i="1" s="1"/>
  <c r="S353" i="5"/>
  <c r="W353" i="5" s="1"/>
  <c r="S126" i="1" s="1"/>
  <c r="T126" i="1" s="1"/>
  <c r="V665" i="5"/>
  <c r="M230" i="1" s="1"/>
  <c r="N230" i="1" s="1"/>
  <c r="S665" i="5"/>
  <c r="W665" i="5" s="1"/>
  <c r="S230" i="1" s="1"/>
  <c r="T230" i="1" s="1"/>
  <c r="S446" i="5"/>
  <c r="W446" i="5" s="1"/>
  <c r="S157" i="1" s="1"/>
  <c r="T157" i="1" s="1"/>
  <c r="V446" i="5"/>
  <c r="M157" i="1" s="1"/>
  <c r="N157" i="1" s="1"/>
  <c r="V326" i="5"/>
  <c r="M117" i="1" s="1"/>
  <c r="N117" i="1" s="1"/>
  <c r="P117" i="1" s="1"/>
  <c r="S326" i="5"/>
  <c r="W326" i="5" s="1"/>
  <c r="S117" i="1" s="1"/>
  <c r="T117" i="1" s="1"/>
  <c r="S479" i="5"/>
  <c r="W479" i="5" s="1"/>
  <c r="S168" i="1" s="1"/>
  <c r="T168" i="1" s="1"/>
  <c r="V479" i="5"/>
  <c r="M168" i="1" s="1"/>
  <c r="N168" i="1" s="1"/>
  <c r="V218" i="5"/>
  <c r="M81" i="1" s="1"/>
  <c r="N81" i="1" s="1"/>
  <c r="S218" i="5"/>
  <c r="W218" i="5" s="1"/>
  <c r="S81" i="1" s="1"/>
  <c r="T81" i="1" s="1"/>
  <c r="V374" i="5"/>
  <c r="M133" i="1" s="1"/>
  <c r="N133" i="1" s="1"/>
  <c r="S374" i="5"/>
  <c r="W374" i="5" s="1"/>
  <c r="S133" i="1" s="1"/>
  <c r="T133" i="1" s="1"/>
  <c r="V1079" i="5"/>
  <c r="M368" i="1" s="1"/>
  <c r="N368" i="1" s="1"/>
  <c r="S1079" i="5"/>
  <c r="W1079" i="5" s="1"/>
  <c r="S368" i="1" s="1"/>
  <c r="T368" i="1" s="1"/>
  <c r="V263" i="5"/>
  <c r="M96" i="1" s="1"/>
  <c r="N96" i="1" s="1"/>
  <c r="S263" i="5"/>
  <c r="W263" i="5" s="1"/>
  <c r="S96" i="1" s="1"/>
  <c r="T96" i="1" s="1"/>
  <c r="V398" i="5"/>
  <c r="M141" i="1" s="1"/>
  <c r="N141" i="1" s="1"/>
  <c r="S398" i="5"/>
  <c r="W398" i="5" s="1"/>
  <c r="S141" i="1" s="1"/>
  <c r="T141" i="1" s="1"/>
  <c r="V401" i="5"/>
  <c r="M142" i="1" s="1"/>
  <c r="N142" i="1" s="1"/>
  <c r="S401" i="5"/>
  <c r="W401" i="5" s="1"/>
  <c r="S142" i="1" s="1"/>
  <c r="T142" i="1" s="1"/>
  <c r="V644" i="5"/>
  <c r="M223" i="1" s="1"/>
  <c r="N223" i="1" s="1"/>
  <c r="S644" i="5"/>
  <c r="W644" i="5" s="1"/>
  <c r="S223" i="1" s="1"/>
  <c r="T223" i="1" s="1"/>
  <c r="S1001" i="5"/>
  <c r="W1001" i="5" s="1"/>
  <c r="S341" i="1" s="1"/>
  <c r="T341" i="1" s="1"/>
  <c r="V1001" i="5"/>
  <c r="M341" i="1" s="1"/>
  <c r="N341" i="1" s="1"/>
  <c r="V914" i="5"/>
  <c r="M312" i="1" s="1"/>
  <c r="N312" i="1" s="1"/>
  <c r="S914" i="5"/>
  <c r="W914" i="5" s="1"/>
  <c r="S312" i="1" s="1"/>
  <c r="T312" i="1" s="1"/>
  <c r="J272" i="11"/>
  <c r="J273" i="11" s="1"/>
  <c r="S911" i="5" s="1"/>
  <c r="W911" i="5" s="1"/>
  <c r="S311" i="1" s="1"/>
  <c r="T311" i="1" s="1"/>
  <c r="V623" i="5"/>
  <c r="M216" i="1" s="1"/>
  <c r="N216" i="1" s="1"/>
  <c r="S623" i="5"/>
  <c r="W623" i="5" s="1"/>
  <c r="S216" i="1" s="1"/>
  <c r="T216" i="1" s="1"/>
  <c r="V659" i="5"/>
  <c r="M228" i="1" s="1"/>
  <c r="N228" i="1" s="1"/>
  <c r="S659" i="5"/>
  <c r="W659" i="5" s="1"/>
  <c r="S228" i="1" s="1"/>
  <c r="T228" i="1" s="1"/>
  <c r="J224" i="11"/>
  <c r="J225" i="11" s="1"/>
  <c r="S611" i="5" s="1"/>
  <c r="W611" i="5" s="1"/>
  <c r="S212" i="1" s="1"/>
  <c r="T212" i="1" s="1"/>
  <c r="V920" i="5"/>
  <c r="M314" i="1" s="1"/>
  <c r="N314" i="1" s="1"/>
  <c r="P314" i="1" s="1"/>
  <c r="S920" i="5"/>
  <c r="W920" i="5" s="1"/>
  <c r="S314" i="1" s="1"/>
  <c r="T314" i="1" s="1"/>
  <c r="L357" i="11"/>
  <c r="M357" i="11" s="1"/>
  <c r="L356" i="11"/>
  <c r="M356" i="11" s="1"/>
  <c r="L185" i="11"/>
  <c r="M185" i="11" s="1"/>
  <c r="S467" i="5"/>
  <c r="W467" i="5" s="1"/>
  <c r="S164" i="1" s="1"/>
  <c r="T164" i="1" s="1"/>
  <c r="H188" i="11"/>
  <c r="L182" i="11"/>
  <c r="M182" i="11" s="1"/>
  <c r="J164" i="11"/>
  <c r="J165" i="11" s="1"/>
  <c r="S431" i="5" s="1"/>
  <c r="W431" i="5" s="1"/>
  <c r="S152" i="1" s="1"/>
  <c r="T152" i="1" s="1"/>
  <c r="H176" i="11"/>
  <c r="L170" i="11"/>
  <c r="M170" i="11" s="1"/>
  <c r="L173" i="11"/>
  <c r="M173" i="11" s="1"/>
  <c r="L158" i="11"/>
  <c r="M158" i="11" s="1"/>
  <c r="H164" i="11"/>
  <c r="L200" i="11"/>
  <c r="M200" i="11" s="1"/>
  <c r="H201" i="11"/>
  <c r="H153" i="11"/>
  <c r="L152" i="11"/>
  <c r="M152" i="11" s="1"/>
  <c r="L161" i="11"/>
  <c r="M161" i="11" s="1"/>
  <c r="P149" i="1"/>
  <c r="P150" i="1"/>
  <c r="V185" i="1"/>
  <c r="V150" i="1"/>
  <c r="H345" i="11"/>
  <c r="R1226" i="5" s="1"/>
  <c r="V1226" i="5" s="1"/>
  <c r="M417" i="1" s="1"/>
  <c r="N417" i="1" s="1"/>
  <c r="R1118" i="5"/>
  <c r="V1118" i="5" s="1"/>
  <c r="M381" i="1" s="1"/>
  <c r="N381" i="1" s="1"/>
  <c r="AZ76" i="3"/>
  <c r="P185" i="1"/>
  <c r="P127" i="1"/>
  <c r="AZ124" i="3"/>
  <c r="BC124" i="3" s="1"/>
  <c r="BD124" i="3" s="1"/>
  <c r="L92" i="11" l="1"/>
  <c r="M92" i="11" s="1"/>
  <c r="L44" i="11"/>
  <c r="M44" i="11" s="1"/>
  <c r="L32" i="11"/>
  <c r="M32" i="11" s="1"/>
  <c r="V355" i="1"/>
  <c r="AZ53" i="3"/>
  <c r="BE77" i="3"/>
  <c r="AF40" i="3"/>
  <c r="P252" i="1"/>
  <c r="P194" i="1"/>
  <c r="AZ56" i="3"/>
  <c r="P101" i="1"/>
  <c r="AZ21" i="3"/>
  <c r="P14" i="1"/>
  <c r="P398" i="1"/>
  <c r="V179" i="1"/>
  <c r="AZ65" i="3"/>
  <c r="BB58" i="3"/>
  <c r="BB61" i="3"/>
  <c r="BB86" i="3"/>
  <c r="BB60" i="3"/>
  <c r="V362" i="1"/>
  <c r="BB62" i="3"/>
  <c r="AH26" i="3"/>
  <c r="BE78" i="3"/>
  <c r="P358" i="1"/>
  <c r="P124" i="1"/>
  <c r="P351" i="1"/>
  <c r="AZ29" i="3"/>
  <c r="P434" i="1"/>
  <c r="BB48" i="3"/>
  <c r="AN36" i="3"/>
  <c r="BE110" i="3"/>
  <c r="P321" i="1"/>
  <c r="P134" i="1"/>
  <c r="P17" i="1"/>
  <c r="P191" i="1"/>
  <c r="BB59" i="3"/>
  <c r="V239" i="1"/>
  <c r="V243" i="1"/>
  <c r="AZ106" i="3"/>
  <c r="BB72" i="3"/>
  <c r="AH39" i="3"/>
  <c r="BB42" i="3"/>
  <c r="P438" i="1"/>
  <c r="P430" i="1"/>
  <c r="V18" i="3"/>
  <c r="P348" i="1"/>
  <c r="BB23" i="3"/>
  <c r="AN35" i="3"/>
  <c r="AP24" i="3"/>
  <c r="AZ112" i="3"/>
  <c r="AZ15" i="3"/>
  <c r="BB24" i="3"/>
  <c r="P158" i="1"/>
  <c r="V14" i="1"/>
  <c r="AF21" i="3"/>
  <c r="AZ43" i="3"/>
  <c r="AF56" i="3"/>
  <c r="AP30" i="3"/>
  <c r="V253" i="1"/>
  <c r="P28" i="1"/>
  <c r="BB89" i="3"/>
  <c r="X84" i="1"/>
  <c r="U86" i="1" s="1"/>
  <c r="V206" i="1"/>
  <c r="AZ20" i="3"/>
  <c r="AZ47" i="3"/>
  <c r="AZ82" i="3"/>
  <c r="AF32" i="3"/>
  <c r="AH31" i="3"/>
  <c r="BC108" i="3"/>
  <c r="BD108" i="3" s="1"/>
  <c r="P167" i="1"/>
  <c r="P182" i="1"/>
  <c r="BB65" i="3"/>
  <c r="AP27" i="3"/>
  <c r="AH21" i="3"/>
  <c r="V348" i="1"/>
  <c r="P253" i="1"/>
  <c r="V20" i="3"/>
  <c r="AZ23" i="3"/>
  <c r="AN20" i="3"/>
  <c r="AZ17" i="3"/>
  <c r="V351" i="1"/>
  <c r="P170" i="1"/>
  <c r="BB64" i="3"/>
  <c r="AN21" i="3"/>
  <c r="AZ58" i="3"/>
  <c r="V325" i="1"/>
  <c r="N36" i="3"/>
  <c r="P37" i="8" s="1"/>
  <c r="AZ61" i="3"/>
  <c r="BB91" i="3"/>
  <c r="V21" i="3"/>
  <c r="AH42" i="3"/>
  <c r="AH29" i="3"/>
  <c r="BC110" i="3"/>
  <c r="BD110" i="3" s="1"/>
  <c r="BB47" i="3"/>
  <c r="AH22" i="3"/>
  <c r="AP35" i="3"/>
  <c r="AS35" i="3" s="1"/>
  <c r="AZ39" i="3"/>
  <c r="AZ79" i="3"/>
  <c r="AF42" i="3"/>
  <c r="AI42" i="3" s="1"/>
  <c r="AJ42" i="3" s="1"/>
  <c r="BB92" i="3"/>
  <c r="BB106" i="3"/>
  <c r="BB32" i="3"/>
  <c r="V167" i="1"/>
  <c r="AN32" i="3"/>
  <c r="L116" i="11"/>
  <c r="M116" i="11" s="1"/>
  <c r="AZ125" i="3"/>
  <c r="AN18" i="3"/>
  <c r="AZ55" i="3"/>
  <c r="AZ62" i="3"/>
  <c r="BE62" i="3" s="1"/>
  <c r="P245" i="1"/>
  <c r="AZ86" i="3"/>
  <c r="P285" i="1"/>
  <c r="P27" i="3"/>
  <c r="AH54" i="3"/>
  <c r="AZ30" i="3"/>
  <c r="V358" i="1"/>
  <c r="L212" i="11"/>
  <c r="M212" i="11" s="1"/>
  <c r="AH45" i="3"/>
  <c r="J321" i="11"/>
  <c r="L320" i="11"/>
  <c r="M320" i="11" s="1"/>
  <c r="V158" i="1"/>
  <c r="V155" i="1"/>
  <c r="AZ113" i="3"/>
  <c r="AZ122" i="3"/>
  <c r="AZ63" i="3"/>
  <c r="N44" i="3"/>
  <c r="P45" i="8" s="1"/>
  <c r="AN17" i="3"/>
  <c r="AF41" i="3"/>
  <c r="P146" i="1"/>
  <c r="BE98" i="3"/>
  <c r="V17" i="1"/>
  <c r="AZ118" i="3"/>
  <c r="BB119" i="3"/>
  <c r="BB44" i="3"/>
  <c r="BB21" i="3"/>
  <c r="X206" i="1"/>
  <c r="U212" i="1" s="1"/>
  <c r="AZ59" i="3"/>
  <c r="V321" i="1"/>
  <c r="AZ119" i="3"/>
  <c r="BB126" i="3"/>
  <c r="BB112" i="3"/>
  <c r="AH15" i="3"/>
  <c r="P243" i="1"/>
  <c r="BB17" i="3"/>
  <c r="P131" i="1"/>
  <c r="BB35" i="3"/>
  <c r="AZ44" i="3"/>
  <c r="X170" i="1"/>
  <c r="W173" i="1" s="1"/>
  <c r="R351" i="1"/>
  <c r="O352" i="1" s="1"/>
  <c r="P248" i="1"/>
  <c r="AZ54" i="3"/>
  <c r="V124" i="1"/>
  <c r="BB120" i="3"/>
  <c r="AH38" i="3"/>
  <c r="V175" i="1"/>
  <c r="AF29" i="3"/>
  <c r="AP36" i="3"/>
  <c r="AZ64" i="3"/>
  <c r="AF38" i="3"/>
  <c r="P255" i="1"/>
  <c r="V139" i="1"/>
  <c r="AZ115" i="3"/>
  <c r="BB36" i="3"/>
  <c r="P84" i="1"/>
  <c r="BB114" i="3"/>
  <c r="AP37" i="3"/>
  <c r="AF20" i="3"/>
  <c r="P53" i="1"/>
  <c r="AF55" i="3"/>
  <c r="P362" i="1"/>
  <c r="AF34" i="3"/>
  <c r="V170" i="1"/>
  <c r="BB63" i="3"/>
  <c r="AF36" i="3"/>
  <c r="P420" i="1"/>
  <c r="AF25" i="3"/>
  <c r="AN15" i="3"/>
  <c r="AZ70" i="3"/>
  <c r="BE70" i="3" s="1"/>
  <c r="BB118" i="3"/>
  <c r="AP32" i="3"/>
  <c r="X17" i="3"/>
  <c r="AZ38" i="3"/>
  <c r="P315" i="1"/>
  <c r="BB127" i="3"/>
  <c r="V17" i="3"/>
  <c r="Y17" i="3" s="1"/>
  <c r="Z17" i="3" s="1"/>
  <c r="AN28" i="3"/>
  <c r="AH56" i="3"/>
  <c r="BB18" i="3"/>
  <c r="BC98" i="3"/>
  <c r="BD98" i="3" s="1"/>
  <c r="F20" i="3"/>
  <c r="V248" i="1"/>
  <c r="AF37" i="3"/>
  <c r="AP28" i="3"/>
  <c r="AZ34" i="3"/>
  <c r="X242" i="1"/>
  <c r="U247" i="1" s="1"/>
  <c r="AZ120" i="3"/>
  <c r="AN30" i="3"/>
  <c r="AZ42" i="3"/>
  <c r="AF59" i="3"/>
  <c r="P215" i="1"/>
  <c r="AF54" i="3"/>
  <c r="AZ68" i="3"/>
  <c r="P81" i="1"/>
  <c r="P373" i="1"/>
  <c r="V187" i="1"/>
  <c r="P231" i="1"/>
  <c r="P56" i="1"/>
  <c r="P300" i="1"/>
  <c r="BC78" i="3"/>
  <c r="BD78" i="3" s="1"/>
  <c r="AP21" i="3"/>
  <c r="V330" i="1"/>
  <c r="P318" i="1"/>
  <c r="P330" i="1"/>
  <c r="F21" i="3"/>
  <c r="V342" i="1"/>
  <c r="X21" i="3"/>
  <c r="V434" i="1"/>
  <c r="AF15" i="3"/>
  <c r="AH32" i="3"/>
  <c r="N49" i="3"/>
  <c r="P50" i="8" s="1"/>
  <c r="AN34" i="3"/>
  <c r="BB122" i="3"/>
  <c r="P376" i="1"/>
  <c r="V211" i="1"/>
  <c r="AZ46" i="3"/>
  <c r="AF43" i="3"/>
  <c r="AF16" i="3"/>
  <c r="AZ41" i="3"/>
  <c r="AF27" i="3"/>
  <c r="BB29" i="3"/>
  <c r="AP23" i="3"/>
  <c r="AH36" i="3"/>
  <c r="V191" i="1"/>
  <c r="N45" i="3"/>
  <c r="P46" i="8" s="1"/>
  <c r="P44" i="3"/>
  <c r="D20" i="3"/>
  <c r="AZ71" i="3"/>
  <c r="BC71" i="3" s="1"/>
  <c r="BD71" i="3" s="1"/>
  <c r="X318" i="1"/>
  <c r="W329" i="1" s="1"/>
  <c r="P42" i="3"/>
  <c r="X20" i="3"/>
  <c r="V245" i="1"/>
  <c r="P372" i="1"/>
  <c r="AZ114" i="3"/>
  <c r="AZ72" i="3"/>
  <c r="P251" i="1"/>
  <c r="AF39" i="3"/>
  <c r="AP22" i="3"/>
  <c r="X18" i="3"/>
  <c r="V258" i="1"/>
  <c r="BB80" i="3"/>
  <c r="AH43" i="3"/>
  <c r="U287" i="1"/>
  <c r="BB93" i="3"/>
  <c r="P48" i="3"/>
  <c r="X405" i="1"/>
  <c r="U418" i="1" s="1"/>
  <c r="P31" i="3"/>
  <c r="V361" i="1"/>
  <c r="BB121" i="3"/>
  <c r="AH59" i="3"/>
  <c r="AI59" i="3" s="1"/>
  <c r="AJ59" i="3" s="1"/>
  <c r="AZ25" i="3"/>
  <c r="AN29" i="3"/>
  <c r="AH16" i="3"/>
  <c r="AP18" i="3"/>
  <c r="AS18" i="3" s="1"/>
  <c r="X16" i="3"/>
  <c r="BB56" i="3"/>
  <c r="BB66" i="3"/>
  <c r="AH37" i="3"/>
  <c r="BB79" i="3"/>
  <c r="AH61" i="3"/>
  <c r="BB39" i="3"/>
  <c r="AF26" i="3"/>
  <c r="F16" i="3"/>
  <c r="BB33" i="3"/>
  <c r="AZ40" i="3"/>
  <c r="X182" i="1"/>
  <c r="U184" i="1" s="1"/>
  <c r="P29" i="3"/>
  <c r="V182" i="1"/>
  <c r="AZ91" i="3"/>
  <c r="AF47" i="3"/>
  <c r="AH55" i="3"/>
  <c r="R248" i="1"/>
  <c r="AZ105" i="3"/>
  <c r="BE105" i="3" s="1"/>
  <c r="AF17" i="3"/>
  <c r="N37" i="3"/>
  <c r="P38" i="8" s="1"/>
  <c r="AH27" i="3"/>
  <c r="AH34" i="3"/>
  <c r="AH33" i="3"/>
  <c r="F19" i="3"/>
  <c r="AH24" i="3"/>
  <c r="F15" i="3"/>
  <c r="X351" i="1"/>
  <c r="U352" i="1" s="1"/>
  <c r="AF58" i="3"/>
  <c r="V318" i="1"/>
  <c r="P379" i="1"/>
  <c r="AZ121" i="3"/>
  <c r="BB74" i="3"/>
  <c r="BE74" i="3" s="1"/>
  <c r="AH41" i="3"/>
  <c r="V129" i="1"/>
  <c r="AH23" i="3"/>
  <c r="BB34" i="3"/>
  <c r="AP25" i="3"/>
  <c r="U286" i="1"/>
  <c r="V285" i="1"/>
  <c r="BB88" i="3"/>
  <c r="V16" i="3"/>
  <c r="V23" i="3"/>
  <c r="AN37" i="3"/>
  <c r="BB111" i="3"/>
  <c r="BB82" i="3"/>
  <c r="AH44" i="3"/>
  <c r="AP31" i="3"/>
  <c r="BB104" i="3"/>
  <c r="BE104" i="3" s="1"/>
  <c r="AH52" i="3"/>
  <c r="AH19" i="3"/>
  <c r="P15" i="3"/>
  <c r="X14" i="1"/>
  <c r="U24" i="1" s="1"/>
  <c r="V25" i="1"/>
  <c r="X23" i="3"/>
  <c r="V423" i="1"/>
  <c r="P49" i="3"/>
  <c r="S49" i="3" s="1"/>
  <c r="V53" i="1"/>
  <c r="BB26" i="3"/>
  <c r="AH17" i="3"/>
  <c r="BB22" i="3"/>
  <c r="BB55" i="3"/>
  <c r="P98" i="1"/>
  <c r="AZ33" i="3"/>
  <c r="AF22" i="3"/>
  <c r="AP15" i="3"/>
  <c r="X15" i="3"/>
  <c r="AP17" i="3"/>
  <c r="AQ17" i="3" s="1"/>
  <c r="AR17" i="3" s="1"/>
  <c r="AP20" i="3"/>
  <c r="BB20" i="3"/>
  <c r="AH20" i="3"/>
  <c r="P20" i="3"/>
  <c r="V84" i="1"/>
  <c r="AP16" i="3"/>
  <c r="AZ48" i="3"/>
  <c r="P155" i="1"/>
  <c r="V131" i="1"/>
  <c r="BB37" i="3"/>
  <c r="D23" i="3"/>
  <c r="R338" i="1"/>
  <c r="O345" i="1" s="1"/>
  <c r="V252" i="1"/>
  <c r="BB73" i="3"/>
  <c r="BC73" i="3" s="1"/>
  <c r="BD73" i="3" s="1"/>
  <c r="P37" i="3"/>
  <c r="V146" i="1"/>
  <c r="AH25" i="3"/>
  <c r="V162" i="1"/>
  <c r="BB43" i="3"/>
  <c r="BB125" i="3"/>
  <c r="V15" i="3"/>
  <c r="AZ31" i="3"/>
  <c r="N32" i="3"/>
  <c r="P33" i="8" s="1"/>
  <c r="AF35" i="3"/>
  <c r="R218" i="1"/>
  <c r="O220" i="1" s="1"/>
  <c r="D19" i="3"/>
  <c r="AF24" i="3"/>
  <c r="P342" i="1"/>
  <c r="Q342" i="1" s="1"/>
  <c r="AF61" i="3"/>
  <c r="BB97" i="3"/>
  <c r="BE97" i="3" s="1"/>
  <c r="V335" i="1"/>
  <c r="AH49" i="3"/>
  <c r="X333" i="1"/>
  <c r="U336" i="1" s="1"/>
  <c r="P43" i="3"/>
  <c r="BB51" i="3"/>
  <c r="AH30" i="3"/>
  <c r="F18" i="3"/>
  <c r="AH18" i="3"/>
  <c r="AP29" i="3"/>
  <c r="BB100" i="3"/>
  <c r="X338" i="1"/>
  <c r="U340" i="1" s="1"/>
  <c r="F23" i="3"/>
  <c r="P242" i="1"/>
  <c r="R242" i="1"/>
  <c r="O245" i="1" s="1"/>
  <c r="P73" i="1"/>
  <c r="AZ18" i="3"/>
  <c r="P276" i="1"/>
  <c r="AF44" i="3"/>
  <c r="AN16" i="3"/>
  <c r="P206" i="1"/>
  <c r="AZ52" i="3"/>
  <c r="BC52" i="3" s="1"/>
  <c r="BD52" i="3" s="1"/>
  <c r="AF30" i="3"/>
  <c r="AK30" i="3" s="1"/>
  <c r="P197" i="1"/>
  <c r="AF31" i="3"/>
  <c r="AF49" i="3"/>
  <c r="AZ96" i="3"/>
  <c r="BE96" i="3" s="1"/>
  <c r="P335" i="1"/>
  <c r="AH58" i="3"/>
  <c r="AP34" i="3"/>
  <c r="AN25" i="3"/>
  <c r="X146" i="1"/>
  <c r="U151" i="1" s="1"/>
  <c r="BB128" i="3"/>
  <c r="P423" i="1"/>
  <c r="F22" i="3"/>
  <c r="R387" i="1"/>
  <c r="O398" i="1" s="1"/>
  <c r="AZ128" i="3"/>
  <c r="AZ83" i="3"/>
  <c r="V402" i="1"/>
  <c r="AZ85" i="3"/>
  <c r="P143" i="1"/>
  <c r="AZ111" i="3"/>
  <c r="AN27" i="3"/>
  <c r="P24" i="3"/>
  <c r="BB54" i="3"/>
  <c r="AH35" i="3"/>
  <c r="BB46" i="3"/>
  <c r="V366" i="1"/>
  <c r="V265" i="1"/>
  <c r="AZ32" i="3"/>
  <c r="AZ16" i="3"/>
  <c r="AZ51" i="3"/>
  <c r="AN31" i="3"/>
  <c r="AF52" i="3"/>
  <c r="AZ22" i="3"/>
  <c r="P366" i="1"/>
  <c r="AH48" i="3"/>
  <c r="X124" i="1"/>
  <c r="U126" i="1" s="1"/>
  <c r="P45" i="3"/>
  <c r="P36" i="3"/>
  <c r="AH47" i="3"/>
  <c r="X248" i="1"/>
  <c r="U250" i="1" s="1"/>
  <c r="V215" i="1"/>
  <c r="V255" i="1"/>
  <c r="R423" i="1"/>
  <c r="N47" i="3"/>
  <c r="P48" i="8" s="1"/>
  <c r="BB38" i="3"/>
  <c r="P405" i="1"/>
  <c r="AZ93" i="3"/>
  <c r="P427" i="1"/>
  <c r="P174" i="1"/>
  <c r="AZ92" i="3"/>
  <c r="P70" i="1"/>
  <c r="P203" i="1"/>
  <c r="H141" i="11"/>
  <c r="V376" i="1"/>
  <c r="X134" i="1"/>
  <c r="W138" i="1" s="1"/>
  <c r="BB40" i="3"/>
  <c r="AZ27" i="3"/>
  <c r="H45" i="11"/>
  <c r="L45" i="11" s="1"/>
  <c r="M45" i="11" s="1"/>
  <c r="H249" i="11"/>
  <c r="N33" i="3"/>
  <c r="P34" i="8" s="1"/>
  <c r="V94" i="1"/>
  <c r="P25" i="3"/>
  <c r="V143" i="1"/>
  <c r="BB49" i="3"/>
  <c r="P94" i="1"/>
  <c r="P28" i="3"/>
  <c r="H33" i="11"/>
  <c r="R44" i="5" s="1"/>
  <c r="V44" i="5" s="1"/>
  <c r="M23" i="1" s="1"/>
  <c r="N23" i="1" s="1"/>
  <c r="X258" i="1"/>
  <c r="U258" i="1" s="1"/>
  <c r="H93" i="11"/>
  <c r="R245" i="5" s="1"/>
  <c r="V245" i="5" s="1"/>
  <c r="M90" i="1" s="1"/>
  <c r="N90" i="1" s="1"/>
  <c r="H213" i="11"/>
  <c r="L213" i="11" s="1"/>
  <c r="M213" i="11" s="1"/>
  <c r="V45" i="1"/>
  <c r="L297" i="11"/>
  <c r="M297" i="11" s="1"/>
  <c r="R980" i="5"/>
  <c r="V980" i="5" s="1"/>
  <c r="M334" i="1" s="1"/>
  <c r="N334" i="1" s="1"/>
  <c r="L261" i="11"/>
  <c r="M261" i="11" s="1"/>
  <c r="R866" i="5"/>
  <c r="V866" i="5" s="1"/>
  <c r="M296" i="1" s="1"/>
  <c r="N296" i="1" s="1"/>
  <c r="V314" i="1"/>
  <c r="V310" i="1"/>
  <c r="V81" i="1"/>
  <c r="V117" i="1"/>
  <c r="V230" i="1"/>
  <c r="X230" i="1"/>
  <c r="U230" i="1" s="1"/>
  <c r="P34" i="3"/>
  <c r="BB83" i="3"/>
  <c r="BB115" i="3"/>
  <c r="V391" i="1"/>
  <c r="P391" i="1"/>
  <c r="Q391" i="1" s="1"/>
  <c r="U315" i="1"/>
  <c r="V315" i="1"/>
  <c r="BB27" i="3"/>
  <c r="V49" i="1"/>
  <c r="V295" i="1"/>
  <c r="H57" i="11"/>
  <c r="V291" i="1"/>
  <c r="AF53" i="3"/>
  <c r="P347" i="1"/>
  <c r="AZ107" i="3"/>
  <c r="R236" i="1"/>
  <c r="O238" i="1" s="1"/>
  <c r="P30" i="3"/>
  <c r="V194" i="1"/>
  <c r="X194" i="1"/>
  <c r="U194" i="1" s="1"/>
  <c r="V303" i="1"/>
  <c r="P41" i="3"/>
  <c r="X303" i="1"/>
  <c r="U312" i="1" s="1"/>
  <c r="V39" i="1"/>
  <c r="V67" i="1"/>
  <c r="BB30" i="3"/>
  <c r="BB87" i="3"/>
  <c r="P16" i="3"/>
  <c r="P18" i="3"/>
  <c r="V56" i="1"/>
  <c r="X56" i="1"/>
  <c r="U69" i="1" s="1"/>
  <c r="V101" i="1"/>
  <c r="X423" i="1"/>
  <c r="V198" i="1"/>
  <c r="P39" i="1"/>
  <c r="U300" i="1"/>
  <c r="V300" i="1"/>
  <c r="BB57" i="3"/>
  <c r="V269" i="1"/>
  <c r="BB90" i="3"/>
  <c r="AH46" i="3"/>
  <c r="V97" i="1"/>
  <c r="V284" i="1"/>
  <c r="AZ37" i="3"/>
  <c r="V236" i="1"/>
  <c r="X236" i="1"/>
  <c r="U236" i="1" s="1"/>
  <c r="P35" i="3"/>
  <c r="V338" i="1"/>
  <c r="BB99" i="3"/>
  <c r="AH50" i="3"/>
  <c r="L224" i="11"/>
  <c r="M224" i="11" s="1"/>
  <c r="AZ88" i="3"/>
  <c r="AN23" i="3"/>
  <c r="AZ84" i="3"/>
  <c r="AP19" i="3"/>
  <c r="P91" i="1"/>
  <c r="V59" i="1"/>
  <c r="P38" i="3"/>
  <c r="P23" i="3"/>
  <c r="V114" i="1"/>
  <c r="X114" i="1"/>
  <c r="U116" i="1" s="1"/>
  <c r="V306" i="1"/>
  <c r="AZ127" i="3"/>
  <c r="V19" i="3"/>
  <c r="P355" i="1"/>
  <c r="AF57" i="3"/>
  <c r="AZ116" i="3"/>
  <c r="V31" i="1"/>
  <c r="P387" i="1"/>
  <c r="P111" i="1"/>
  <c r="N34" i="3"/>
  <c r="P230" i="1"/>
  <c r="R230" i="1"/>
  <c r="P261" i="1"/>
  <c r="V225" i="1"/>
  <c r="L272" i="11"/>
  <c r="M272" i="11" s="1"/>
  <c r="BB41" i="3"/>
  <c r="V427" i="1"/>
  <c r="U270" i="1"/>
  <c r="V270" i="1"/>
  <c r="V77" i="1"/>
  <c r="V438" i="1"/>
  <c r="BB107" i="3"/>
  <c r="V347" i="1"/>
  <c r="AH53" i="3"/>
  <c r="AZ49" i="3"/>
  <c r="P338" i="1"/>
  <c r="AZ100" i="3"/>
  <c r="P303" i="1"/>
  <c r="P67" i="1"/>
  <c r="H285" i="11"/>
  <c r="V28" i="1"/>
  <c r="AZ66" i="3"/>
  <c r="V109" i="1"/>
  <c r="V121" i="1"/>
  <c r="P402" i="1"/>
  <c r="V98" i="1"/>
  <c r="E51" i="8"/>
  <c r="P269" i="1"/>
  <c r="AF46" i="3"/>
  <c r="AZ90" i="3"/>
  <c r="AZ60" i="3"/>
  <c r="L296" i="11"/>
  <c r="M296" i="11" s="1"/>
  <c r="P236" i="1"/>
  <c r="N35" i="3"/>
  <c r="AZ99" i="3"/>
  <c r="AF50" i="3"/>
  <c r="V398" i="1"/>
  <c r="V280" i="1"/>
  <c r="V409" i="1"/>
  <c r="V221" i="1"/>
  <c r="V63" i="1"/>
  <c r="AZ26" i="3"/>
  <c r="P25" i="1"/>
  <c r="AF19" i="3"/>
  <c r="AZ36" i="3"/>
  <c r="P59" i="1"/>
  <c r="P114" i="1"/>
  <c r="P306" i="1"/>
  <c r="V430" i="1"/>
  <c r="V420" i="1"/>
  <c r="BB53" i="3"/>
  <c r="BC53" i="3" s="1"/>
  <c r="BD53" i="3" s="1"/>
  <c r="V219" i="1"/>
  <c r="BB28" i="3"/>
  <c r="P31" i="1"/>
  <c r="V199" i="1"/>
  <c r="BB50" i="3"/>
  <c r="P39" i="3"/>
  <c r="X273" i="1"/>
  <c r="U276" i="1" s="1"/>
  <c r="P22" i="3"/>
  <c r="X104" i="1"/>
  <c r="U109" i="1" s="1"/>
  <c r="V104" i="1"/>
  <c r="BB85" i="3"/>
  <c r="AF51" i="3"/>
  <c r="P341" i="1"/>
  <c r="AZ102" i="3"/>
  <c r="BB31" i="3"/>
  <c r="V218" i="1"/>
  <c r="X218" i="1"/>
  <c r="U223" i="1" s="1"/>
  <c r="P32" i="3"/>
  <c r="H237" i="11"/>
  <c r="L236" i="11"/>
  <c r="M236" i="11" s="1"/>
  <c r="P225" i="1"/>
  <c r="BB117" i="3"/>
  <c r="L129" i="11"/>
  <c r="M129" i="11" s="1"/>
  <c r="R335" i="5"/>
  <c r="V335" i="5" s="1"/>
  <c r="M120" i="1" s="1"/>
  <c r="N120" i="1" s="1"/>
  <c r="V99" i="1"/>
  <c r="V273" i="1"/>
  <c r="V299" i="1"/>
  <c r="AZ50" i="3"/>
  <c r="P270" i="1"/>
  <c r="V70" i="1"/>
  <c r="P19" i="3"/>
  <c r="X70" i="1"/>
  <c r="U70" i="1" s="1"/>
  <c r="BB113" i="3"/>
  <c r="V231" i="1"/>
  <c r="X28" i="1"/>
  <c r="V118" i="1"/>
  <c r="P394" i="1"/>
  <c r="V237" i="1"/>
  <c r="V36" i="1"/>
  <c r="L69" i="11"/>
  <c r="M69" i="11" s="1"/>
  <c r="R170" i="5"/>
  <c r="V170" i="5" s="1"/>
  <c r="M65" i="1" s="1"/>
  <c r="N65" i="1" s="1"/>
  <c r="X224" i="1"/>
  <c r="U225" i="1" s="1"/>
  <c r="P121" i="1"/>
  <c r="V42" i="1"/>
  <c r="X42" i="1"/>
  <c r="U46" i="1" s="1"/>
  <c r="P17" i="3"/>
  <c r="V412" i="1"/>
  <c r="V276" i="1"/>
  <c r="V203" i="1"/>
  <c r="V78" i="1"/>
  <c r="L225" i="11"/>
  <c r="M225" i="11" s="1"/>
  <c r="R611" i="5"/>
  <c r="V611" i="5" s="1"/>
  <c r="M212" i="1" s="1"/>
  <c r="N212" i="1" s="1"/>
  <c r="L141" i="11"/>
  <c r="M141" i="11" s="1"/>
  <c r="R365" i="5"/>
  <c r="V365" i="5" s="1"/>
  <c r="M130" i="1" s="1"/>
  <c r="N130" i="1" s="1"/>
  <c r="P409" i="1"/>
  <c r="AZ67" i="3"/>
  <c r="P45" i="1"/>
  <c r="V369" i="1"/>
  <c r="V288" i="1"/>
  <c r="P40" i="3"/>
  <c r="X288" i="1"/>
  <c r="U288" i="1" s="1"/>
  <c r="V119" i="1"/>
  <c r="V35" i="1"/>
  <c r="P258" i="1"/>
  <c r="AZ80" i="3"/>
  <c r="AN22" i="3"/>
  <c r="AZ28" i="3"/>
  <c r="L260" i="11"/>
  <c r="M260" i="11" s="1"/>
  <c r="P179" i="1"/>
  <c r="X94" i="1"/>
  <c r="U96" i="1" s="1"/>
  <c r="V384" i="1"/>
  <c r="P221" i="1"/>
  <c r="P273" i="1"/>
  <c r="P104" i="1"/>
  <c r="AZ126" i="3"/>
  <c r="V227" i="1"/>
  <c r="V341" i="1"/>
  <c r="AH51" i="3"/>
  <c r="BB102" i="3"/>
  <c r="V108" i="1"/>
  <c r="H117" i="11"/>
  <c r="AZ117" i="3"/>
  <c r="L249" i="11"/>
  <c r="M249" i="11" s="1"/>
  <c r="R821" i="5"/>
  <c r="V821" i="5" s="1"/>
  <c r="M281" i="1" s="1"/>
  <c r="N281" i="1" s="1"/>
  <c r="L273" i="11"/>
  <c r="M273" i="11" s="1"/>
  <c r="R911" i="5"/>
  <c r="V911" i="5" s="1"/>
  <c r="M311" i="1" s="1"/>
  <c r="N311" i="1" s="1"/>
  <c r="P310" i="1" s="1"/>
  <c r="BB68" i="3"/>
  <c r="AZ81" i="3"/>
  <c r="BB81" i="3"/>
  <c r="L81" i="11"/>
  <c r="M81" i="11" s="1"/>
  <c r="R212" i="5"/>
  <c r="V212" i="5" s="1"/>
  <c r="M79" i="1" s="1"/>
  <c r="N79" i="1" s="1"/>
  <c r="R224" i="1"/>
  <c r="Q224" i="1" s="1"/>
  <c r="BB16" i="3"/>
  <c r="BC101" i="3"/>
  <c r="BD101" i="3" s="1"/>
  <c r="BE101" i="3"/>
  <c r="P227" i="1"/>
  <c r="AN24" i="3"/>
  <c r="AZ89" i="3"/>
  <c r="H105" i="11"/>
  <c r="L104" i="11"/>
  <c r="M104" i="11" s="1"/>
  <c r="V73" i="1"/>
  <c r="P239" i="1"/>
  <c r="V394" i="1"/>
  <c r="P237" i="1"/>
  <c r="P33" i="3"/>
  <c r="V50" i="1"/>
  <c r="P42" i="1"/>
  <c r="BB84" i="3"/>
  <c r="P412" i="1"/>
  <c r="V233" i="1"/>
  <c r="P291" i="1"/>
  <c r="V261" i="1"/>
  <c r="AN19" i="3"/>
  <c r="AZ19" i="3"/>
  <c r="V333" i="1"/>
  <c r="BB19" i="3"/>
  <c r="V91" i="1"/>
  <c r="P369" i="1"/>
  <c r="P288" i="1"/>
  <c r="V405" i="1"/>
  <c r="X19" i="3"/>
  <c r="BB116" i="3"/>
  <c r="AH57" i="3"/>
  <c r="L33" i="11"/>
  <c r="M33" i="11" s="1"/>
  <c r="BB25" i="3"/>
  <c r="P21" i="3"/>
  <c r="P384" i="1"/>
  <c r="V387" i="1"/>
  <c r="X387" i="1"/>
  <c r="P47" i="3"/>
  <c r="BB67" i="3"/>
  <c r="BB15" i="3"/>
  <c r="V111" i="1"/>
  <c r="V134" i="1"/>
  <c r="L164" i="11"/>
  <c r="M164" i="11" s="1"/>
  <c r="P26" i="3"/>
  <c r="AH28" i="3"/>
  <c r="F17" i="3"/>
  <c r="BB45" i="3"/>
  <c r="V151" i="1"/>
  <c r="H165" i="11"/>
  <c r="R431" i="5" s="1"/>
  <c r="V431" i="5" s="1"/>
  <c r="M152" i="1" s="1"/>
  <c r="N152" i="1" s="1"/>
  <c r="X158" i="1"/>
  <c r="V163" i="1"/>
  <c r="L153" i="11"/>
  <c r="M153" i="11" s="1"/>
  <c r="R395" i="5"/>
  <c r="V395" i="5" s="1"/>
  <c r="M140" i="1" s="1"/>
  <c r="N140" i="1" s="1"/>
  <c r="H189" i="11"/>
  <c r="L188" i="11"/>
  <c r="M188" i="11" s="1"/>
  <c r="L201" i="11"/>
  <c r="M201" i="11" s="1"/>
  <c r="R539" i="5"/>
  <c r="V539" i="5" s="1"/>
  <c r="M188" i="1" s="1"/>
  <c r="N188" i="1" s="1"/>
  <c r="H177" i="11"/>
  <c r="L176" i="11"/>
  <c r="M176" i="11" s="1"/>
  <c r="L345" i="11"/>
  <c r="M345" i="11" s="1"/>
  <c r="AF60" i="3"/>
  <c r="AZ123" i="3"/>
  <c r="D24" i="3"/>
  <c r="P416" i="1"/>
  <c r="N48" i="3"/>
  <c r="R405" i="1"/>
  <c r="O417" i="1" s="1"/>
  <c r="R369" i="1"/>
  <c r="P380" i="1"/>
  <c r="N46" i="3"/>
  <c r="BE108" i="3"/>
  <c r="BE103" i="3"/>
  <c r="BC109" i="3"/>
  <c r="BD109" i="3" s="1"/>
  <c r="BE109" i="3"/>
  <c r="BC76" i="3"/>
  <c r="BD76" i="3" s="1"/>
  <c r="BE76" i="3"/>
  <c r="BC103" i="3"/>
  <c r="BD103" i="3" s="1"/>
  <c r="BE124" i="3"/>
  <c r="AK40" i="3"/>
  <c r="BE69" i="3"/>
  <c r="BE94" i="3"/>
  <c r="AS33" i="3"/>
  <c r="BE75" i="3"/>
  <c r="BC75" i="3"/>
  <c r="BD75" i="3" s="1"/>
  <c r="AQ33" i="3"/>
  <c r="AR33" i="3" s="1"/>
  <c r="BC94" i="3"/>
  <c r="BD94" i="3" s="1"/>
  <c r="AI40" i="3"/>
  <c r="AJ40" i="3" s="1"/>
  <c r="BC69" i="3"/>
  <c r="BD69" i="3" s="1"/>
  <c r="BE21" i="3" l="1"/>
  <c r="W84" i="1"/>
  <c r="AQ36" i="3"/>
  <c r="AR36" i="3" s="1"/>
  <c r="AI55" i="3"/>
  <c r="AJ55" i="3" s="1"/>
  <c r="BE65" i="3"/>
  <c r="BE61" i="3"/>
  <c r="BC29" i="3"/>
  <c r="BD29" i="3" s="1"/>
  <c r="AQ21" i="3"/>
  <c r="AR21" i="3" s="1"/>
  <c r="BE64" i="3"/>
  <c r="BE89" i="3"/>
  <c r="AQ22" i="3"/>
  <c r="AR22" i="3" s="1"/>
  <c r="BC61" i="3"/>
  <c r="BD61" i="3" s="1"/>
  <c r="U416" i="1"/>
  <c r="BC60" i="3"/>
  <c r="BD60" i="3" s="1"/>
  <c r="Q36" i="3"/>
  <c r="R36" i="3" s="1"/>
  <c r="W251" i="1"/>
  <c r="Q33" i="3"/>
  <c r="R33" i="3" s="1"/>
  <c r="W203" i="1"/>
  <c r="Q434" i="1"/>
  <c r="U202" i="1"/>
  <c r="BC86" i="3"/>
  <c r="BD86" i="3" s="1"/>
  <c r="BE58" i="3"/>
  <c r="U91" i="1"/>
  <c r="BC22" i="3"/>
  <c r="BD22" i="3" s="1"/>
  <c r="AI26" i="3"/>
  <c r="AJ26" i="3" s="1"/>
  <c r="BC47" i="3"/>
  <c r="BD47" i="3" s="1"/>
  <c r="BC42" i="3"/>
  <c r="BD42" i="3" s="1"/>
  <c r="W348" i="1"/>
  <c r="O388" i="1"/>
  <c r="U87" i="1"/>
  <c r="AK19" i="3"/>
  <c r="BE86" i="3"/>
  <c r="U183" i="1"/>
  <c r="AK17" i="3"/>
  <c r="AK26" i="3"/>
  <c r="U354" i="1"/>
  <c r="U186" i="1"/>
  <c r="U124" i="1"/>
  <c r="O361" i="1"/>
  <c r="U406" i="1"/>
  <c r="O343" i="1"/>
  <c r="U192" i="1"/>
  <c r="W415" i="1"/>
  <c r="U362" i="1"/>
  <c r="O350" i="1"/>
  <c r="U243" i="1"/>
  <c r="U353" i="1"/>
  <c r="U357" i="1"/>
  <c r="W405" i="1"/>
  <c r="U412" i="1"/>
  <c r="W408" i="1"/>
  <c r="AQ24" i="3"/>
  <c r="AR24" i="3" s="1"/>
  <c r="AK59" i="3"/>
  <c r="O368" i="1"/>
  <c r="O338" i="1"/>
  <c r="U189" i="1"/>
  <c r="U246" i="1"/>
  <c r="U191" i="1"/>
  <c r="U359" i="1"/>
  <c r="U419" i="1"/>
  <c r="U407" i="1"/>
  <c r="O346" i="1"/>
  <c r="U254" i="1"/>
  <c r="U242" i="1"/>
  <c r="U360" i="1"/>
  <c r="U365" i="1"/>
  <c r="O347" i="1"/>
  <c r="U408" i="1"/>
  <c r="U413" i="1"/>
  <c r="AQ16" i="3"/>
  <c r="AR16" i="3" s="1"/>
  <c r="BC58" i="3"/>
  <c r="BD58" i="3" s="1"/>
  <c r="O344" i="1"/>
  <c r="O351" i="1"/>
  <c r="O349" i="1"/>
  <c r="O340" i="1"/>
  <c r="U182" i="1"/>
  <c r="U245" i="1"/>
  <c r="U244" i="1"/>
  <c r="U193" i="1"/>
  <c r="U187" i="1"/>
  <c r="U367" i="1"/>
  <c r="U355" i="1"/>
  <c r="U351" i="1"/>
  <c r="U125" i="1"/>
  <c r="W416" i="1"/>
  <c r="U415" i="1"/>
  <c r="BE18" i="3"/>
  <c r="BE48" i="3"/>
  <c r="AK39" i="3"/>
  <c r="AI43" i="3"/>
  <c r="AJ43" i="3" s="1"/>
  <c r="AK56" i="3"/>
  <c r="AK29" i="3"/>
  <c r="U411" i="1"/>
  <c r="U414" i="1"/>
  <c r="O364" i="1"/>
  <c r="O342" i="1"/>
  <c r="O339" i="1"/>
  <c r="O354" i="1"/>
  <c r="W127" i="1"/>
  <c r="W186" i="1"/>
  <c r="U190" i="1"/>
  <c r="U188" i="1"/>
  <c r="W242" i="1"/>
  <c r="U253" i="1"/>
  <c r="U368" i="1"/>
  <c r="U361" i="1"/>
  <c r="U358" i="1"/>
  <c r="U363" i="1"/>
  <c r="W355" i="1"/>
  <c r="U409" i="1"/>
  <c r="U417" i="1"/>
  <c r="U421" i="1"/>
  <c r="W412" i="1"/>
  <c r="Q366" i="1"/>
  <c r="BC62" i="3"/>
  <c r="BD62" i="3" s="1"/>
  <c r="AS23" i="3"/>
  <c r="AQ27" i="3"/>
  <c r="AR27" i="3" s="1"/>
  <c r="AI25" i="3"/>
  <c r="AJ25" i="3" s="1"/>
  <c r="Y18" i="3"/>
  <c r="Z18" i="3" s="1"/>
  <c r="BE47" i="3"/>
  <c r="U179" i="1"/>
  <c r="Y21" i="3"/>
  <c r="Z21" i="3" s="1"/>
  <c r="W243" i="1"/>
  <c r="Q351" i="1"/>
  <c r="U282" i="1"/>
  <c r="U85" i="1"/>
  <c r="W361" i="1"/>
  <c r="AS34" i="3"/>
  <c r="W187" i="1"/>
  <c r="G20" i="3"/>
  <c r="H20" i="3" s="1"/>
  <c r="AS28" i="3"/>
  <c r="AQ18" i="3"/>
  <c r="AR18" i="3" s="1"/>
  <c r="AI32" i="3"/>
  <c r="AJ32" i="3" s="1"/>
  <c r="BE72" i="3"/>
  <c r="BC18" i="3"/>
  <c r="BD18" i="3" s="1"/>
  <c r="U323" i="1"/>
  <c r="O426" i="1"/>
  <c r="W162" i="1"/>
  <c r="BC38" i="3"/>
  <c r="BD38" i="3" s="1"/>
  <c r="AS25" i="3"/>
  <c r="W131" i="1"/>
  <c r="AQ20" i="3"/>
  <c r="AR20" i="3" s="1"/>
  <c r="AK22" i="3"/>
  <c r="I20" i="3"/>
  <c r="AK37" i="3"/>
  <c r="BC114" i="3"/>
  <c r="BD114" i="3" s="1"/>
  <c r="BC23" i="3"/>
  <c r="BD23" i="3" s="1"/>
  <c r="AI21" i="3"/>
  <c r="AJ21" i="3" s="1"/>
  <c r="BC21" i="3"/>
  <c r="BD21" i="3" s="1"/>
  <c r="BC64" i="3"/>
  <c r="BD64" i="3" s="1"/>
  <c r="BC70" i="3"/>
  <c r="BD70" i="3" s="1"/>
  <c r="U344" i="1"/>
  <c r="W333" i="1"/>
  <c r="BC106" i="3"/>
  <c r="BD106" i="3" s="1"/>
  <c r="AS16" i="3"/>
  <c r="AK32" i="3"/>
  <c r="AK42" i="3"/>
  <c r="BE15" i="3"/>
  <c r="Q341" i="1"/>
  <c r="Q338" i="1"/>
  <c r="AI47" i="3"/>
  <c r="AJ47" i="3" s="1"/>
  <c r="AS31" i="3"/>
  <c r="BE54" i="3"/>
  <c r="Y23" i="3"/>
  <c r="Z23" i="3" s="1"/>
  <c r="AI16" i="3"/>
  <c r="AJ16" i="3" s="1"/>
  <c r="BE121" i="3"/>
  <c r="AK34" i="3"/>
  <c r="BE55" i="3"/>
  <c r="AQ35" i="3"/>
  <c r="AR35" i="3" s="1"/>
  <c r="O429" i="1"/>
  <c r="O436" i="1"/>
  <c r="BC66" i="3"/>
  <c r="BD66" i="3" s="1"/>
  <c r="BE44" i="3"/>
  <c r="AK54" i="3"/>
  <c r="BC125" i="3"/>
  <c r="BD125" i="3" s="1"/>
  <c r="AA21" i="3"/>
  <c r="AQ30" i="3"/>
  <c r="AR30" i="3" s="1"/>
  <c r="S32" i="3"/>
  <c r="U321" i="1"/>
  <c r="W179" i="1"/>
  <c r="U138" i="1"/>
  <c r="BC105" i="3"/>
  <c r="BD105" i="3" s="1"/>
  <c r="Q32" i="3"/>
  <c r="R32" i="3" s="1"/>
  <c r="AK47" i="3"/>
  <c r="U324" i="1"/>
  <c r="U209" i="1"/>
  <c r="U134" i="1"/>
  <c r="BE29" i="3"/>
  <c r="U210" i="1"/>
  <c r="O431" i="1"/>
  <c r="U136" i="1"/>
  <c r="W63" i="1"/>
  <c r="BE112" i="3"/>
  <c r="W87" i="1"/>
  <c r="Q44" i="3"/>
  <c r="R44" i="3" s="1"/>
  <c r="O239" i="1"/>
  <c r="I23" i="3"/>
  <c r="AA23" i="3"/>
  <c r="BC121" i="3"/>
  <c r="BD121" i="3" s="1"/>
  <c r="AI34" i="3"/>
  <c r="AJ34" i="3" s="1"/>
  <c r="AK41" i="3"/>
  <c r="BC55" i="3"/>
  <c r="BD55" i="3" s="1"/>
  <c r="BC92" i="3"/>
  <c r="BD92" i="3" s="1"/>
  <c r="AI29" i="3"/>
  <c r="AJ29" i="3" s="1"/>
  <c r="BE17" i="3"/>
  <c r="BE43" i="3"/>
  <c r="BE23" i="3"/>
  <c r="O218" i="1"/>
  <c r="AK21" i="3"/>
  <c r="BE114" i="3"/>
  <c r="O222" i="1"/>
  <c r="BC96" i="3"/>
  <c r="BD96" i="3" s="1"/>
  <c r="U17" i="1"/>
  <c r="W88" i="1"/>
  <c r="AQ25" i="3"/>
  <c r="AR25" i="3" s="1"/>
  <c r="S44" i="3"/>
  <c r="AA17" i="3"/>
  <c r="AI37" i="3"/>
  <c r="AJ37" i="3" s="1"/>
  <c r="AQ23" i="3"/>
  <c r="AR23" i="3" s="1"/>
  <c r="Q438" i="1"/>
  <c r="U201" i="1"/>
  <c r="U267" i="1"/>
  <c r="W285" i="1"/>
  <c r="W89" i="1"/>
  <c r="U92" i="1"/>
  <c r="U84" i="1"/>
  <c r="U63" i="1"/>
  <c r="U59" i="1"/>
  <c r="BE51" i="3"/>
  <c r="W366" i="1"/>
  <c r="W245" i="1"/>
  <c r="U309" i="1"/>
  <c r="U170" i="1"/>
  <c r="W174" i="1"/>
  <c r="U139" i="1"/>
  <c r="U145" i="1"/>
  <c r="U144" i="1"/>
  <c r="BE92" i="3"/>
  <c r="BE20" i="3"/>
  <c r="W318" i="1"/>
  <c r="W134" i="1"/>
  <c r="BC43" i="3"/>
  <c r="BD43" i="3" s="1"/>
  <c r="U320" i="1"/>
  <c r="U322" i="1"/>
  <c r="W321" i="1"/>
  <c r="W325" i="1"/>
  <c r="U329" i="1"/>
  <c r="U214" i="1"/>
  <c r="U213" i="1"/>
  <c r="W210" i="1"/>
  <c r="U142" i="1"/>
  <c r="U141" i="1"/>
  <c r="U135" i="1"/>
  <c r="BC26" i="3"/>
  <c r="BD26" i="3" s="1"/>
  <c r="S45" i="3"/>
  <c r="Y15" i="3"/>
  <c r="Z15" i="3" s="1"/>
  <c r="BC41" i="3"/>
  <c r="BD41" i="3" s="1"/>
  <c r="W211" i="1"/>
  <c r="AS15" i="3"/>
  <c r="AK15" i="3"/>
  <c r="BC79" i="3"/>
  <c r="BD79" i="3" s="1"/>
  <c r="W143" i="1"/>
  <c r="BC54" i="3"/>
  <c r="BD54" i="3" s="1"/>
  <c r="G23" i="3"/>
  <c r="H23" i="3" s="1"/>
  <c r="AI39" i="3"/>
  <c r="AJ39" i="3" s="1"/>
  <c r="U328" i="1"/>
  <c r="U327" i="1"/>
  <c r="W330" i="1"/>
  <c r="U318" i="1"/>
  <c r="BC65" i="3"/>
  <c r="BD65" i="3" s="1"/>
  <c r="W209" i="1"/>
  <c r="U206" i="1"/>
  <c r="O425" i="1"/>
  <c r="O428" i="1"/>
  <c r="O437" i="1"/>
  <c r="O430" i="1"/>
  <c r="Q426" i="1"/>
  <c r="O432" i="1"/>
  <c r="U308" i="1"/>
  <c r="AK16" i="3"/>
  <c r="BC48" i="3"/>
  <c r="BD48" i="3" s="1"/>
  <c r="O427" i="1"/>
  <c r="Q433" i="1"/>
  <c r="O440" i="1"/>
  <c r="O438" i="1"/>
  <c r="O433" i="1"/>
  <c r="O423" i="1"/>
  <c r="U178" i="1"/>
  <c r="U180" i="1"/>
  <c r="U310" i="1"/>
  <c r="W215" i="1"/>
  <c r="AI44" i="3"/>
  <c r="AJ44" i="3" s="1"/>
  <c r="Q218" i="1"/>
  <c r="U325" i="1"/>
  <c r="U319" i="1"/>
  <c r="U326" i="1"/>
  <c r="W206" i="1"/>
  <c r="BE66" i="3"/>
  <c r="O435" i="1"/>
  <c r="Q430" i="1"/>
  <c r="O424" i="1"/>
  <c r="O439" i="1"/>
  <c r="O434" i="1"/>
  <c r="O404" i="1"/>
  <c r="U173" i="1"/>
  <c r="U176" i="1"/>
  <c r="U143" i="1"/>
  <c r="U137" i="1"/>
  <c r="U140" i="1"/>
  <c r="W175" i="1"/>
  <c r="W137" i="1"/>
  <c r="W50" i="1"/>
  <c r="BE80" i="3"/>
  <c r="U231" i="1"/>
  <c r="U235" i="1"/>
  <c r="O236" i="1"/>
  <c r="BE40" i="3"/>
  <c r="AK43" i="3"/>
  <c r="BE88" i="3"/>
  <c r="G19" i="3"/>
  <c r="H19" i="3" s="1"/>
  <c r="AQ15" i="3"/>
  <c r="AR15" i="3" s="1"/>
  <c r="BE82" i="3"/>
  <c r="AA16" i="3"/>
  <c r="BC46" i="3"/>
  <c r="BD46" i="3" s="1"/>
  <c r="AI54" i="3"/>
  <c r="AJ54" i="3" s="1"/>
  <c r="AS30" i="3"/>
  <c r="AQ28" i="3"/>
  <c r="AR28" i="3" s="1"/>
  <c r="AK36" i="3"/>
  <c r="AQ37" i="3"/>
  <c r="AR37" i="3" s="1"/>
  <c r="W91" i="1"/>
  <c r="U88" i="1"/>
  <c r="U90" i="1"/>
  <c r="BC32" i="3"/>
  <c r="BD32" i="3" s="1"/>
  <c r="BE125" i="3"/>
  <c r="BE120" i="3"/>
  <c r="BE119" i="3"/>
  <c r="BE63" i="3"/>
  <c r="W351" i="1"/>
  <c r="AA20" i="3"/>
  <c r="BC16" i="3"/>
  <c r="BD16" i="3" s="1"/>
  <c r="Q45" i="3"/>
  <c r="R45" i="3" s="1"/>
  <c r="AS36" i="3"/>
  <c r="AA15" i="3"/>
  <c r="BE79" i="3"/>
  <c r="O247" i="1"/>
  <c r="AK25" i="3"/>
  <c r="AK44" i="3"/>
  <c r="U15" i="1"/>
  <c r="AI15" i="3"/>
  <c r="AJ15" i="3" s="1"/>
  <c r="BC44" i="3"/>
  <c r="BD44" i="3" s="1"/>
  <c r="AA18" i="3"/>
  <c r="O243" i="1"/>
  <c r="O244" i="1"/>
  <c r="W17" i="1"/>
  <c r="U263" i="1"/>
  <c r="W64" i="1"/>
  <c r="W118" i="1"/>
  <c r="U89" i="1"/>
  <c r="U93" i="1"/>
  <c r="U68" i="1"/>
  <c r="U66" i="1"/>
  <c r="U196" i="1"/>
  <c r="U269" i="1"/>
  <c r="Q347" i="1"/>
  <c r="AI20" i="3"/>
  <c r="AJ20" i="3" s="1"/>
  <c r="BE122" i="3"/>
  <c r="W358" i="1"/>
  <c r="AS32" i="3"/>
  <c r="BC17" i="3"/>
  <c r="BD17" i="3" s="1"/>
  <c r="AK31" i="3"/>
  <c r="W155" i="1"/>
  <c r="U157" i="1"/>
  <c r="U155" i="1"/>
  <c r="U148" i="1"/>
  <c r="W149" i="1"/>
  <c r="U152" i="1"/>
  <c r="U146" i="1"/>
  <c r="U154" i="1"/>
  <c r="W150" i="1"/>
  <c r="U150" i="1"/>
  <c r="U153" i="1"/>
  <c r="U147" i="1"/>
  <c r="U343" i="1"/>
  <c r="U348" i="1"/>
  <c r="U349" i="1"/>
  <c r="U342" i="1"/>
  <c r="W342" i="1"/>
  <c r="U338" i="1"/>
  <c r="U339" i="1"/>
  <c r="U334" i="1"/>
  <c r="U337" i="1"/>
  <c r="AI24" i="3"/>
  <c r="AJ24" i="3" s="1"/>
  <c r="AK24" i="3"/>
  <c r="O252" i="1"/>
  <c r="O257" i="1"/>
  <c r="BE56" i="3"/>
  <c r="BC56" i="3"/>
  <c r="BD56" i="3" s="1"/>
  <c r="AK27" i="3"/>
  <c r="Q362" i="1"/>
  <c r="BC120" i="3"/>
  <c r="BD120" i="3" s="1"/>
  <c r="Y20" i="3"/>
  <c r="Z20" i="3" s="1"/>
  <c r="BE73" i="3"/>
  <c r="O367" i="1"/>
  <c r="AK20" i="3"/>
  <c r="O365" i="1"/>
  <c r="BC112" i="3"/>
  <c r="BD112" i="3" s="1"/>
  <c r="BE26" i="3"/>
  <c r="U346" i="1"/>
  <c r="BC82" i="3"/>
  <c r="BD82" i="3" s="1"/>
  <c r="U345" i="1"/>
  <c r="U341" i="1"/>
  <c r="U347" i="1"/>
  <c r="W341" i="1"/>
  <c r="AS27" i="3"/>
  <c r="O390" i="1"/>
  <c r="Q397" i="1"/>
  <c r="O399" i="1"/>
  <c r="O387" i="1"/>
  <c r="O401" i="1"/>
  <c r="Q387" i="1"/>
  <c r="O403" i="1"/>
  <c r="O392" i="1"/>
  <c r="Q398" i="1"/>
  <c r="Q402" i="1"/>
  <c r="Q394" i="1"/>
  <c r="O389" i="1"/>
  <c r="O391" i="1"/>
  <c r="O394" i="1"/>
  <c r="Q390" i="1"/>
  <c r="O393" i="1"/>
  <c r="O396" i="1"/>
  <c r="O402" i="1"/>
  <c r="S36" i="3"/>
  <c r="O397" i="1"/>
  <c r="U149" i="1"/>
  <c r="O360" i="1"/>
  <c r="O366" i="1"/>
  <c r="Q361" i="1"/>
  <c r="O362" i="1"/>
  <c r="Q354" i="1"/>
  <c r="O356" i="1"/>
  <c r="O353" i="1"/>
  <c r="O359" i="1"/>
  <c r="Q358" i="1"/>
  <c r="O358" i="1"/>
  <c r="O363" i="1"/>
  <c r="O355" i="1"/>
  <c r="Q355" i="1"/>
  <c r="BC59" i="3"/>
  <c r="BD59" i="3" s="1"/>
  <c r="BE59" i="3"/>
  <c r="BC39" i="3"/>
  <c r="BD39" i="3" s="1"/>
  <c r="BE39" i="3"/>
  <c r="BC91" i="3"/>
  <c r="BD91" i="3" s="1"/>
  <c r="BE91" i="3"/>
  <c r="Y16" i="3"/>
  <c r="Z16" i="3" s="1"/>
  <c r="BC20" i="3"/>
  <c r="BD20" i="3" s="1"/>
  <c r="BE106" i="3"/>
  <c r="O357" i="1"/>
  <c r="Q255" i="1"/>
  <c r="U335" i="1"/>
  <c r="U350" i="1"/>
  <c r="U333" i="1"/>
  <c r="O400" i="1"/>
  <c r="O395" i="1"/>
  <c r="U156" i="1"/>
  <c r="AK38" i="3"/>
  <c r="AI38" i="3"/>
  <c r="AJ38" i="3" s="1"/>
  <c r="AI41" i="3"/>
  <c r="AJ41" i="3" s="1"/>
  <c r="AS21" i="3"/>
  <c r="U36" i="1"/>
  <c r="U40" i="1"/>
  <c r="U38" i="1"/>
  <c r="BE36" i="3"/>
  <c r="BC122" i="3"/>
  <c r="BD122" i="3" s="1"/>
  <c r="AI36" i="3"/>
  <c r="AJ36" i="3" s="1"/>
  <c r="BC104" i="3"/>
  <c r="BD104" i="3" s="1"/>
  <c r="AI31" i="3"/>
  <c r="AJ31" i="3" s="1"/>
  <c r="AQ32" i="3"/>
  <c r="AR32" i="3" s="1"/>
  <c r="S37" i="3"/>
  <c r="AS20" i="3"/>
  <c r="O223" i="1"/>
  <c r="O242" i="1"/>
  <c r="Q219" i="1"/>
  <c r="BC80" i="3"/>
  <c r="BD80" i="3" s="1"/>
  <c r="W14" i="1"/>
  <c r="U207" i="1"/>
  <c r="U215" i="1"/>
  <c r="U211" i="1"/>
  <c r="U25" i="1"/>
  <c r="U216" i="1"/>
  <c r="U217" i="1"/>
  <c r="U172" i="1"/>
  <c r="U181" i="1"/>
  <c r="U175" i="1"/>
  <c r="BC126" i="3"/>
  <c r="BD126" i="3" s="1"/>
  <c r="W347" i="1"/>
  <c r="Q37" i="3"/>
  <c r="R37" i="3" s="1"/>
  <c r="AI30" i="3"/>
  <c r="AJ30" i="3" s="1"/>
  <c r="BC72" i="3"/>
  <c r="BD72" i="3" s="1"/>
  <c r="O221" i="1"/>
  <c r="Q245" i="1"/>
  <c r="O246" i="1"/>
  <c r="O219" i="1"/>
  <c r="U16" i="1"/>
  <c r="U208" i="1"/>
  <c r="U171" i="1"/>
  <c r="U177" i="1"/>
  <c r="U174" i="1"/>
  <c r="W151" i="1"/>
  <c r="BC25" i="3"/>
  <c r="BD25" i="3" s="1"/>
  <c r="AQ19" i="3"/>
  <c r="AR19" i="3" s="1"/>
  <c r="W227" i="1"/>
  <c r="Q221" i="1"/>
  <c r="W231" i="1"/>
  <c r="BE31" i="3"/>
  <c r="BE41" i="3"/>
  <c r="AI52" i="3"/>
  <c r="AJ52" i="3" s="1"/>
  <c r="BE111" i="3"/>
  <c r="AK49" i="3"/>
  <c r="AS37" i="3"/>
  <c r="BC63" i="3"/>
  <c r="BD63" i="3" s="1"/>
  <c r="BC119" i="3"/>
  <c r="BD119" i="3" s="1"/>
  <c r="Q427" i="1"/>
  <c r="BE83" i="3"/>
  <c r="AI35" i="3"/>
  <c r="AJ35" i="3" s="1"/>
  <c r="W146" i="1"/>
  <c r="AQ31" i="3"/>
  <c r="AR31" i="3" s="1"/>
  <c r="AI17" i="3"/>
  <c r="AJ17" i="3" s="1"/>
  <c r="AK55" i="3"/>
  <c r="W139" i="1"/>
  <c r="Q243" i="1"/>
  <c r="AS17" i="3"/>
  <c r="BC113" i="3"/>
  <c r="BD113" i="3" s="1"/>
  <c r="Q348" i="1"/>
  <c r="BE32" i="3"/>
  <c r="O348" i="1"/>
  <c r="O341" i="1"/>
  <c r="W185" i="1"/>
  <c r="U185" i="1"/>
  <c r="U255" i="1"/>
  <c r="U366" i="1"/>
  <c r="U356" i="1"/>
  <c r="W354" i="1"/>
  <c r="W362" i="1"/>
  <c r="U132" i="1"/>
  <c r="U364" i="1"/>
  <c r="U405" i="1"/>
  <c r="U422" i="1"/>
  <c r="U410" i="1"/>
  <c r="U420" i="1"/>
  <c r="W420" i="1"/>
  <c r="W111" i="1"/>
  <c r="W261" i="1"/>
  <c r="W233" i="1"/>
  <c r="O237" i="1"/>
  <c r="Q239" i="1"/>
  <c r="BE16" i="3"/>
  <c r="U277" i="1"/>
  <c r="AS22" i="3"/>
  <c r="U119" i="1"/>
  <c r="R575" i="5"/>
  <c r="V575" i="5" s="1"/>
  <c r="M200" i="1" s="1"/>
  <c r="N200" i="1" s="1"/>
  <c r="AZ57" i="3" s="1"/>
  <c r="U62" i="1"/>
  <c r="W197" i="1"/>
  <c r="BE113" i="3"/>
  <c r="U199" i="1"/>
  <c r="R86" i="5"/>
  <c r="V86" i="5" s="1"/>
  <c r="M37" i="1" s="1"/>
  <c r="N37" i="1" s="1"/>
  <c r="P36" i="1" s="1"/>
  <c r="U306" i="1"/>
  <c r="W338" i="1"/>
  <c r="BE37" i="3"/>
  <c r="BC30" i="3"/>
  <c r="BD30" i="3" s="1"/>
  <c r="U71" i="1"/>
  <c r="U73" i="1"/>
  <c r="U311" i="1"/>
  <c r="U78" i="1"/>
  <c r="W409" i="1"/>
  <c r="W121" i="1"/>
  <c r="W270" i="1"/>
  <c r="W73" i="1"/>
  <c r="U228" i="1"/>
  <c r="U268" i="1"/>
  <c r="U305" i="1"/>
  <c r="U259" i="1"/>
  <c r="W269" i="1"/>
  <c r="U264" i="1"/>
  <c r="AI22" i="3"/>
  <c r="AJ22" i="3" s="1"/>
  <c r="W78" i="1"/>
  <c r="U33" i="1"/>
  <c r="U72" i="1"/>
  <c r="W70" i="1"/>
  <c r="U50" i="1"/>
  <c r="U35" i="1"/>
  <c r="W276" i="1"/>
  <c r="L93" i="11"/>
  <c r="M93" i="11" s="1"/>
  <c r="S1118" i="5"/>
  <c r="W1118" i="5" s="1"/>
  <c r="S381" i="1" s="1"/>
  <c r="T381" i="1" s="1"/>
  <c r="L321" i="11"/>
  <c r="M321" i="11" s="1"/>
  <c r="U39" i="1"/>
  <c r="W36" i="1"/>
  <c r="U113" i="1"/>
  <c r="BC83" i="3"/>
  <c r="BD83" i="3" s="1"/>
  <c r="Q423" i="1"/>
  <c r="Q242" i="1"/>
  <c r="BC51" i="3"/>
  <c r="BD51" i="3" s="1"/>
  <c r="W335" i="1"/>
  <c r="AK35" i="3"/>
  <c r="W252" i="1"/>
  <c r="BE22" i="3"/>
  <c r="AK58" i="3"/>
  <c r="I19" i="3"/>
  <c r="W182" i="1"/>
  <c r="BE33" i="3"/>
  <c r="AI61" i="3"/>
  <c r="AJ61" i="3" s="1"/>
  <c r="AS29" i="3"/>
  <c r="BC93" i="3"/>
  <c r="BD93" i="3" s="1"/>
  <c r="W258" i="1"/>
  <c r="Q251" i="1"/>
  <c r="W191" i="1"/>
  <c r="AI27" i="3"/>
  <c r="AJ27" i="3" s="1"/>
  <c r="BE46" i="3"/>
  <c r="AQ34" i="3"/>
  <c r="AR34" i="3" s="1"/>
  <c r="BC34" i="3"/>
  <c r="BD34" i="3" s="1"/>
  <c r="BE118" i="3"/>
  <c r="W170" i="1"/>
  <c r="O227" i="1"/>
  <c r="U30" i="1"/>
  <c r="W42" i="1"/>
  <c r="W237" i="1"/>
  <c r="U239" i="1"/>
  <c r="U204" i="1"/>
  <c r="U121" i="1"/>
  <c r="U238" i="1"/>
  <c r="U60" i="1"/>
  <c r="W265" i="1"/>
  <c r="N20" i="3"/>
  <c r="P21" i="8" s="1"/>
  <c r="R84" i="1"/>
  <c r="Q84" i="1" s="1"/>
  <c r="AI58" i="3"/>
  <c r="AJ58" i="3" s="1"/>
  <c r="O255" i="1"/>
  <c r="BE52" i="3"/>
  <c r="BE42" i="3"/>
  <c r="BE34" i="3"/>
  <c r="W438" i="1"/>
  <c r="W427" i="1"/>
  <c r="BC40" i="3"/>
  <c r="BD40" i="3" s="1"/>
  <c r="U251" i="1"/>
  <c r="W124" i="1"/>
  <c r="U22" i="1"/>
  <c r="U133" i="1"/>
  <c r="U130" i="1"/>
  <c r="AK61" i="3"/>
  <c r="U128" i="1"/>
  <c r="U27" i="1"/>
  <c r="BC36" i="3"/>
  <c r="BD36" i="3" s="1"/>
  <c r="Q49" i="3"/>
  <c r="R49" i="3" s="1"/>
  <c r="BE30" i="3"/>
  <c r="BC33" i="3"/>
  <c r="BD33" i="3" s="1"/>
  <c r="BC15" i="3"/>
  <c r="BD15" i="3" s="1"/>
  <c r="AK52" i="3"/>
  <c r="Q253" i="1"/>
  <c r="Q248" i="1"/>
  <c r="BC37" i="3"/>
  <c r="BD37" i="3" s="1"/>
  <c r="U257" i="1"/>
  <c r="BC88" i="3"/>
  <c r="BD88" i="3" s="1"/>
  <c r="BE53" i="3"/>
  <c r="AI56" i="3"/>
  <c r="AJ56" i="3" s="1"/>
  <c r="AQ29" i="3"/>
  <c r="AR29" i="3" s="1"/>
  <c r="O248" i="1"/>
  <c r="O256" i="1"/>
  <c r="O250" i="1"/>
  <c r="BE71" i="3"/>
  <c r="W25" i="1"/>
  <c r="BC111" i="3"/>
  <c r="BD111" i="3" s="1"/>
  <c r="BC74" i="3"/>
  <c r="BD74" i="3" s="1"/>
  <c r="Q252" i="1"/>
  <c r="BC31" i="3"/>
  <c r="BD31" i="3" s="1"/>
  <c r="O251" i="1"/>
  <c r="W253" i="1"/>
  <c r="U127" i="1"/>
  <c r="U252" i="1"/>
  <c r="U14" i="1"/>
  <c r="U23" i="1"/>
  <c r="U19" i="1"/>
  <c r="U131" i="1"/>
  <c r="AI49" i="3"/>
  <c r="AJ49" i="3" s="1"/>
  <c r="BC89" i="3"/>
  <c r="BD89" i="3" s="1"/>
  <c r="W128" i="1"/>
  <c r="U21" i="1"/>
  <c r="U108" i="1"/>
  <c r="AI19" i="3"/>
  <c r="AJ19" i="3" s="1"/>
  <c r="BC118" i="3"/>
  <c r="BD118" i="3" s="1"/>
  <c r="O249" i="1"/>
  <c r="O253" i="1"/>
  <c r="O254" i="1"/>
  <c r="U129" i="1"/>
  <c r="U249" i="1"/>
  <c r="W248" i="1"/>
  <c r="U256" i="1"/>
  <c r="W255" i="1"/>
  <c r="U248" i="1"/>
  <c r="BE126" i="3"/>
  <c r="U18" i="1"/>
  <c r="W129" i="1"/>
  <c r="U26" i="1"/>
  <c r="U20" i="1"/>
  <c r="BE60" i="3"/>
  <c r="W22" i="1"/>
  <c r="AS24" i="3"/>
  <c r="W21" i="1"/>
  <c r="S47" i="3"/>
  <c r="Q47" i="3"/>
  <c r="R47" i="3" s="1"/>
  <c r="U111" i="1"/>
  <c r="U74" i="1"/>
  <c r="Q237" i="1"/>
  <c r="U106" i="1"/>
  <c r="U115" i="1"/>
  <c r="W108" i="1"/>
  <c r="U205" i="1"/>
  <c r="U122" i="1"/>
  <c r="U118" i="1"/>
  <c r="W199" i="1"/>
  <c r="W430" i="1"/>
  <c r="Q236" i="1"/>
  <c r="W236" i="1"/>
  <c r="U278" i="1"/>
  <c r="W273" i="1"/>
  <c r="BE25" i="3"/>
  <c r="U283" i="1"/>
  <c r="U275" i="1"/>
  <c r="W306" i="1"/>
  <c r="U203" i="1"/>
  <c r="U262" i="1"/>
  <c r="U273" i="1"/>
  <c r="BC128" i="3"/>
  <c r="BD128" i="3" s="1"/>
  <c r="BE128" i="3"/>
  <c r="BC97" i="3"/>
  <c r="BD97" i="3" s="1"/>
  <c r="BE38" i="3"/>
  <c r="BE93" i="3"/>
  <c r="Q227" i="1"/>
  <c r="U42" i="1"/>
  <c r="W35" i="1"/>
  <c r="U54" i="1"/>
  <c r="U265" i="1"/>
  <c r="W56" i="1"/>
  <c r="W230" i="1"/>
  <c r="U266" i="1"/>
  <c r="U260" i="1"/>
  <c r="U261" i="1"/>
  <c r="L165" i="11"/>
  <c r="M165" i="11" s="1"/>
  <c r="O226" i="1"/>
  <c r="W67" i="1"/>
  <c r="BE19" i="3"/>
  <c r="BC19" i="3"/>
  <c r="BD19" i="3" s="1"/>
  <c r="W394" i="1"/>
  <c r="W299" i="1"/>
  <c r="U289" i="1"/>
  <c r="U294" i="1"/>
  <c r="U34" i="1"/>
  <c r="U37" i="1"/>
  <c r="U28" i="1"/>
  <c r="W77" i="1"/>
  <c r="U76" i="1"/>
  <c r="U79" i="1"/>
  <c r="U227" i="1"/>
  <c r="P119" i="1"/>
  <c r="N23" i="3"/>
  <c r="R114" i="1"/>
  <c r="BE85" i="3"/>
  <c r="BC85" i="3"/>
  <c r="BD85" i="3" s="1"/>
  <c r="U297" i="1"/>
  <c r="U45" i="1"/>
  <c r="U222" i="1"/>
  <c r="W280" i="1"/>
  <c r="U292" i="1"/>
  <c r="U110" i="1"/>
  <c r="U290" i="1"/>
  <c r="BC100" i="3"/>
  <c r="BD100" i="3" s="1"/>
  <c r="BE100" i="3"/>
  <c r="U77" i="1"/>
  <c r="U298" i="1"/>
  <c r="Q230" i="1"/>
  <c r="AA19" i="3"/>
  <c r="Y19" i="3"/>
  <c r="Z19" i="3" s="1"/>
  <c r="W114" i="1"/>
  <c r="W59" i="1"/>
  <c r="U284" i="1"/>
  <c r="U200" i="1"/>
  <c r="W300" i="1"/>
  <c r="U198" i="1"/>
  <c r="W101" i="1"/>
  <c r="U41" i="1"/>
  <c r="W303" i="1"/>
  <c r="W194" i="1"/>
  <c r="U61" i="1"/>
  <c r="AK53" i="3"/>
  <c r="AI53" i="3"/>
  <c r="AJ53" i="3" s="1"/>
  <c r="U123" i="1"/>
  <c r="R128" i="5"/>
  <c r="V128" i="5" s="1"/>
  <c r="M51" i="1" s="1"/>
  <c r="N51" i="1" s="1"/>
  <c r="L57" i="11"/>
  <c r="M57" i="11" s="1"/>
  <c r="W49" i="1"/>
  <c r="U32" i="1"/>
  <c r="U117" i="1"/>
  <c r="U314" i="1"/>
  <c r="BC117" i="3"/>
  <c r="BD117" i="3" s="1"/>
  <c r="BE117" i="3"/>
  <c r="U102" i="1"/>
  <c r="U94" i="1"/>
  <c r="BE28" i="3"/>
  <c r="BC28" i="3"/>
  <c r="BD28" i="3" s="1"/>
  <c r="BE67" i="3"/>
  <c r="BC67" i="3"/>
  <c r="BD67" i="3" s="1"/>
  <c r="P211" i="1"/>
  <c r="N31" i="3"/>
  <c r="R206" i="1"/>
  <c r="N18" i="3"/>
  <c r="P64" i="1"/>
  <c r="R56" i="1"/>
  <c r="U299" i="1"/>
  <c r="U99" i="1"/>
  <c r="L237" i="11"/>
  <c r="M237" i="11" s="1"/>
  <c r="R773" i="5"/>
  <c r="V773" i="5" s="1"/>
  <c r="M266" i="1" s="1"/>
  <c r="N266" i="1" s="1"/>
  <c r="U218" i="1"/>
  <c r="U220" i="1"/>
  <c r="BC102" i="3"/>
  <c r="BD102" i="3" s="1"/>
  <c r="BE102" i="3"/>
  <c r="U104" i="1"/>
  <c r="U221" i="1"/>
  <c r="U219" i="1"/>
  <c r="W221" i="1"/>
  <c r="W398" i="1"/>
  <c r="P36" i="8"/>
  <c r="S35" i="3"/>
  <c r="Q35" i="3"/>
  <c r="R35" i="3" s="1"/>
  <c r="BE90" i="3"/>
  <c r="BC90" i="3"/>
  <c r="BD90" i="3" s="1"/>
  <c r="U80" i="1"/>
  <c r="W109" i="1"/>
  <c r="W28" i="1"/>
  <c r="N41" i="3"/>
  <c r="P35" i="8"/>
  <c r="Q34" i="3"/>
  <c r="R34" i="3" s="1"/>
  <c r="S34" i="3"/>
  <c r="BC116" i="3"/>
  <c r="BD116" i="3" s="1"/>
  <c r="BE116" i="3"/>
  <c r="BE127" i="3"/>
  <c r="BC127" i="3"/>
  <c r="BD127" i="3" s="1"/>
  <c r="U75" i="1"/>
  <c r="U237" i="1"/>
  <c r="U240" i="1"/>
  <c r="U241" i="1"/>
  <c r="W284" i="1"/>
  <c r="W198" i="1"/>
  <c r="U56" i="1"/>
  <c r="W39" i="1"/>
  <c r="U52" i="1"/>
  <c r="U101" i="1"/>
  <c r="P89" i="1"/>
  <c r="U296" i="1"/>
  <c r="U53" i="1"/>
  <c r="W117" i="1"/>
  <c r="W314" i="1"/>
  <c r="W94" i="1"/>
  <c r="W45" i="1"/>
  <c r="U389" i="1"/>
  <c r="U395" i="1"/>
  <c r="W402" i="1"/>
  <c r="U391" i="1"/>
  <c r="U392" i="1"/>
  <c r="U401" i="1"/>
  <c r="U390" i="1"/>
  <c r="U403" i="1"/>
  <c r="U398" i="1"/>
  <c r="U400" i="1"/>
  <c r="U393" i="1"/>
  <c r="U388" i="1"/>
  <c r="W397" i="1"/>
  <c r="U397" i="1"/>
  <c r="U394" i="1"/>
  <c r="U387" i="1"/>
  <c r="U404" i="1"/>
  <c r="U399" i="1"/>
  <c r="W390" i="1"/>
  <c r="U402" i="1"/>
  <c r="U396" i="1"/>
  <c r="W387" i="1"/>
  <c r="N15" i="3"/>
  <c r="P22" i="1"/>
  <c r="R14" i="1"/>
  <c r="O229" i="1"/>
  <c r="O224" i="1"/>
  <c r="BC81" i="3"/>
  <c r="BD81" i="3" s="1"/>
  <c r="BE81" i="3"/>
  <c r="R305" i="5"/>
  <c r="V305" i="5" s="1"/>
  <c r="M110" i="1" s="1"/>
  <c r="N110" i="1" s="1"/>
  <c r="L117" i="11"/>
  <c r="M117" i="11" s="1"/>
  <c r="W288" i="1"/>
  <c r="U226" i="1"/>
  <c r="U229" i="1"/>
  <c r="U224" i="1"/>
  <c r="W99" i="1"/>
  <c r="U44" i="1"/>
  <c r="O225" i="1"/>
  <c r="W53" i="1"/>
  <c r="W218" i="1"/>
  <c r="W104" i="1"/>
  <c r="U274" i="1"/>
  <c r="U281" i="1"/>
  <c r="U279" i="1"/>
  <c r="W219" i="1"/>
  <c r="AI50" i="3"/>
  <c r="AJ50" i="3" s="1"/>
  <c r="AK50" i="3"/>
  <c r="AK46" i="3"/>
  <c r="AI46" i="3"/>
  <c r="AJ46" i="3" s="1"/>
  <c r="U98" i="1"/>
  <c r="R956" i="5"/>
  <c r="V956" i="5" s="1"/>
  <c r="M326" i="1" s="1"/>
  <c r="N326" i="1" s="1"/>
  <c r="L285" i="11"/>
  <c r="M285" i="11" s="1"/>
  <c r="R303" i="1"/>
  <c r="O311" i="1" s="1"/>
  <c r="W225" i="1"/>
  <c r="U31" i="1"/>
  <c r="AI57" i="3"/>
  <c r="AJ57" i="3" s="1"/>
  <c r="AK57" i="3"/>
  <c r="U83" i="1"/>
  <c r="U114" i="1"/>
  <c r="AS19" i="3"/>
  <c r="U97" i="1"/>
  <c r="U100" i="1"/>
  <c r="U423" i="1"/>
  <c r="U436" i="1"/>
  <c r="U427" i="1"/>
  <c r="W433" i="1"/>
  <c r="U434" i="1"/>
  <c r="U425" i="1"/>
  <c r="W423" i="1"/>
  <c r="U437" i="1"/>
  <c r="U431" i="1"/>
  <c r="U424" i="1"/>
  <c r="W434" i="1"/>
  <c r="U433" i="1"/>
  <c r="U430" i="1"/>
  <c r="U428" i="1"/>
  <c r="U438" i="1"/>
  <c r="U432" i="1"/>
  <c r="U440" i="1"/>
  <c r="U435" i="1"/>
  <c r="U439" i="1"/>
  <c r="U426" i="1"/>
  <c r="U429" i="1"/>
  <c r="W426" i="1"/>
  <c r="U58" i="1"/>
  <c r="U57" i="1"/>
  <c r="U65" i="1"/>
  <c r="U64" i="1"/>
  <c r="U67" i="1"/>
  <c r="U303" i="1"/>
  <c r="U307" i="1"/>
  <c r="U304" i="1"/>
  <c r="BE107" i="3"/>
  <c r="BC107" i="3"/>
  <c r="BD107" i="3" s="1"/>
  <c r="U293" i="1"/>
  <c r="U82" i="1"/>
  <c r="W295" i="1"/>
  <c r="BE27" i="3"/>
  <c r="BC27" i="3"/>
  <c r="BD27" i="3" s="1"/>
  <c r="W391" i="1"/>
  <c r="U232" i="1"/>
  <c r="U233" i="1"/>
  <c r="U234" i="1"/>
  <c r="U81" i="1"/>
  <c r="W310" i="1"/>
  <c r="AZ95" i="3"/>
  <c r="N43" i="3"/>
  <c r="P333" i="1"/>
  <c r="D22" i="3"/>
  <c r="AF48" i="3"/>
  <c r="R333" i="1"/>
  <c r="W239" i="1"/>
  <c r="L105" i="11"/>
  <c r="M105" i="11" s="1"/>
  <c r="R275" i="5"/>
  <c r="V275" i="5" s="1"/>
  <c r="M100" i="1" s="1"/>
  <c r="N100" i="1" s="1"/>
  <c r="N19" i="3"/>
  <c r="P78" i="1"/>
  <c r="R70" i="1"/>
  <c r="BC68" i="3"/>
  <c r="BD68" i="3" s="1"/>
  <c r="BE68" i="3"/>
  <c r="P280" i="1"/>
  <c r="R273" i="1"/>
  <c r="N39" i="3"/>
  <c r="R124" i="1"/>
  <c r="P129" i="1"/>
  <c r="N24" i="3"/>
  <c r="U291" i="1"/>
  <c r="U95" i="1"/>
  <c r="U43" i="1"/>
  <c r="U55" i="1"/>
  <c r="U47" i="1"/>
  <c r="U51" i="1"/>
  <c r="U48" i="1"/>
  <c r="BC50" i="3"/>
  <c r="BD50" i="3" s="1"/>
  <c r="BE50" i="3"/>
  <c r="Q225" i="1"/>
  <c r="AK51" i="3"/>
  <c r="AI51" i="3"/>
  <c r="AJ51" i="3" s="1"/>
  <c r="U105" i="1"/>
  <c r="U112" i="1"/>
  <c r="W107" i="1"/>
  <c r="U107" i="1"/>
  <c r="U280" i="1"/>
  <c r="BC99" i="3"/>
  <c r="BD99" i="3" s="1"/>
  <c r="BE99" i="3"/>
  <c r="W98" i="1"/>
  <c r="BE49" i="3"/>
  <c r="BC49" i="3"/>
  <c r="BD49" i="3" s="1"/>
  <c r="O230" i="1"/>
  <c r="O233" i="1"/>
  <c r="Q233" i="1"/>
  <c r="O231" i="1"/>
  <c r="O232" i="1"/>
  <c r="O235" i="1"/>
  <c r="Q231" i="1"/>
  <c r="O234" i="1"/>
  <c r="W31" i="1"/>
  <c r="W119" i="1"/>
  <c r="U120" i="1"/>
  <c r="BC84" i="3"/>
  <c r="BD84" i="3" s="1"/>
  <c r="BE84" i="3"/>
  <c r="U295" i="1"/>
  <c r="W97" i="1"/>
  <c r="W224" i="1"/>
  <c r="U103" i="1"/>
  <c r="U197" i="1"/>
  <c r="U195" i="1"/>
  <c r="O241" i="1"/>
  <c r="O240" i="1"/>
  <c r="W291" i="1"/>
  <c r="U313" i="1"/>
  <c r="U49" i="1"/>
  <c r="W315" i="1"/>
  <c r="BC115" i="3"/>
  <c r="BD115" i="3" s="1"/>
  <c r="BE115" i="3"/>
  <c r="U29" i="1"/>
  <c r="W81" i="1"/>
  <c r="O228" i="1"/>
  <c r="N40" i="3"/>
  <c r="P295" i="1"/>
  <c r="R288" i="1"/>
  <c r="S33" i="3"/>
  <c r="U165" i="1"/>
  <c r="W161" i="1"/>
  <c r="U160" i="1"/>
  <c r="U169" i="1"/>
  <c r="U164" i="1"/>
  <c r="U159" i="1"/>
  <c r="U167" i="1"/>
  <c r="U162" i="1"/>
  <c r="W167" i="1"/>
  <c r="U161" i="1"/>
  <c r="U158" i="1"/>
  <c r="W163" i="1"/>
  <c r="U166" i="1"/>
  <c r="U168" i="1"/>
  <c r="U163" i="1"/>
  <c r="W158" i="1"/>
  <c r="R467" i="5"/>
  <c r="V467" i="5" s="1"/>
  <c r="M164" i="1" s="1"/>
  <c r="N164" i="1" s="1"/>
  <c r="L177" i="11"/>
  <c r="M177" i="11" s="1"/>
  <c r="L189" i="11"/>
  <c r="M189" i="11" s="1"/>
  <c r="R503" i="5"/>
  <c r="V503" i="5" s="1"/>
  <c r="M176" i="1" s="1"/>
  <c r="N176" i="1" s="1"/>
  <c r="P151" i="1"/>
  <c r="R146" i="1"/>
  <c r="N26" i="3"/>
  <c r="N29" i="3"/>
  <c r="R182" i="1"/>
  <c r="P187" i="1"/>
  <c r="N25" i="3"/>
  <c r="P139" i="1"/>
  <c r="R134" i="1"/>
  <c r="Q416" i="1"/>
  <c r="Q380" i="1"/>
  <c r="O407" i="1"/>
  <c r="O419" i="1"/>
  <c r="O410" i="1"/>
  <c r="O408" i="1"/>
  <c r="Q420" i="1"/>
  <c r="Q409" i="1"/>
  <c r="O405" i="1"/>
  <c r="Q412" i="1"/>
  <c r="O413" i="1"/>
  <c r="O409" i="1"/>
  <c r="Q408" i="1"/>
  <c r="O412" i="1"/>
  <c r="O416" i="1"/>
  <c r="O415" i="1"/>
  <c r="Q405" i="1"/>
  <c r="O418" i="1"/>
  <c r="O406" i="1"/>
  <c r="O411" i="1"/>
  <c r="O414" i="1"/>
  <c r="O421" i="1"/>
  <c r="O420" i="1"/>
  <c r="Q415" i="1"/>
  <c r="O422" i="1"/>
  <c r="P49" i="8"/>
  <c r="Q48" i="3"/>
  <c r="R48" i="3" s="1"/>
  <c r="S48" i="3"/>
  <c r="O383" i="1"/>
  <c r="O384" i="1"/>
  <c r="O376" i="1"/>
  <c r="O372" i="1"/>
  <c r="O374" i="1"/>
  <c r="Q372" i="1"/>
  <c r="O375" i="1"/>
  <c r="O373" i="1"/>
  <c r="O369" i="1"/>
  <c r="O379" i="1"/>
  <c r="Q376" i="1"/>
  <c r="Q379" i="1"/>
  <c r="O371" i="1"/>
  <c r="O381" i="1"/>
  <c r="O385" i="1"/>
  <c r="Q384" i="1"/>
  <c r="Q373" i="1"/>
  <c r="O386" i="1"/>
  <c r="O382" i="1"/>
  <c r="O380" i="1"/>
  <c r="Q369" i="1"/>
  <c r="O370" i="1"/>
  <c r="O377" i="1"/>
  <c r="O378" i="1"/>
  <c r="P47" i="8"/>
  <c r="R28" i="1" l="1"/>
  <c r="O39" i="1" s="1"/>
  <c r="O90" i="1"/>
  <c r="O87" i="1"/>
  <c r="R194" i="1"/>
  <c r="O194" i="1" s="1"/>
  <c r="S20" i="3"/>
  <c r="AF18" i="3"/>
  <c r="AI18" i="3" s="1"/>
  <c r="AJ18" i="3" s="1"/>
  <c r="N16" i="3"/>
  <c r="P17" i="8" s="1"/>
  <c r="AF33" i="3"/>
  <c r="AI33" i="3" s="1"/>
  <c r="AJ33" i="3" s="1"/>
  <c r="D18" i="3"/>
  <c r="G18" i="3" s="1"/>
  <c r="H18" i="3" s="1"/>
  <c r="Q20" i="3"/>
  <c r="R20" i="3" s="1"/>
  <c r="Q91" i="1"/>
  <c r="P199" i="1"/>
  <c r="Q199" i="1" s="1"/>
  <c r="N30" i="3"/>
  <c r="S30" i="3" s="1"/>
  <c r="O86" i="1"/>
  <c r="Q64" i="1"/>
  <c r="O91" i="1"/>
  <c r="Q36" i="1"/>
  <c r="Q89" i="1"/>
  <c r="O84" i="1"/>
  <c r="O92" i="1"/>
  <c r="O88" i="1"/>
  <c r="O85" i="1"/>
  <c r="Q88" i="1"/>
  <c r="BB123" i="3"/>
  <c r="V380" i="1"/>
  <c r="AH60" i="3"/>
  <c r="AP26" i="3"/>
  <c r="AP38" i="3" s="1"/>
  <c r="P46" i="3"/>
  <c r="X22" i="3"/>
  <c r="X24" i="3" s="1"/>
  <c r="F24" i="3"/>
  <c r="X369" i="1"/>
  <c r="Q87" i="1"/>
  <c r="O89" i="1"/>
  <c r="O93" i="1"/>
  <c r="Q119" i="1"/>
  <c r="Q129" i="1"/>
  <c r="AZ24" i="3"/>
  <c r="BE24" i="3" s="1"/>
  <c r="Q295" i="1"/>
  <c r="Q22" i="1"/>
  <c r="Q303" i="1"/>
  <c r="P41" i="8"/>
  <c r="S40" i="3"/>
  <c r="Q40" i="3"/>
  <c r="R40" i="3" s="1"/>
  <c r="P25" i="8"/>
  <c r="S24" i="3"/>
  <c r="Q24" i="3"/>
  <c r="R24" i="3" s="1"/>
  <c r="P40" i="8"/>
  <c r="S39" i="3"/>
  <c r="Q39" i="3"/>
  <c r="R39" i="3" s="1"/>
  <c r="R94" i="1"/>
  <c r="P99" i="1"/>
  <c r="N21" i="3"/>
  <c r="AI48" i="3"/>
  <c r="AJ48" i="3" s="1"/>
  <c r="AK48" i="3"/>
  <c r="BC95" i="3"/>
  <c r="BD95" i="3" s="1"/>
  <c r="BE95" i="3"/>
  <c r="Q41" i="3"/>
  <c r="R41" i="3" s="1"/>
  <c r="P42" i="8"/>
  <c r="S41" i="3"/>
  <c r="Q211" i="1"/>
  <c r="O31" i="1"/>
  <c r="Q23" i="3"/>
  <c r="R23" i="3" s="1"/>
  <c r="P24" i="8"/>
  <c r="S23" i="3"/>
  <c r="O286" i="1"/>
  <c r="O280" i="1"/>
  <c r="O274" i="1"/>
  <c r="O283" i="1"/>
  <c r="O279" i="1"/>
  <c r="O275" i="1"/>
  <c r="O282" i="1"/>
  <c r="O281" i="1"/>
  <c r="O277" i="1"/>
  <c r="O284" i="1"/>
  <c r="O285" i="1"/>
  <c r="Q285" i="1"/>
  <c r="O276" i="1"/>
  <c r="O278" i="1"/>
  <c r="O273" i="1"/>
  <c r="Q276" i="1"/>
  <c r="O287" i="1"/>
  <c r="Q284" i="1"/>
  <c r="Q273" i="1"/>
  <c r="O78" i="1"/>
  <c r="O73" i="1"/>
  <c r="O75" i="1"/>
  <c r="O77" i="1"/>
  <c r="O72" i="1"/>
  <c r="O79" i="1"/>
  <c r="O74" i="1"/>
  <c r="Q70" i="1"/>
  <c r="O82" i="1"/>
  <c r="O81" i="1"/>
  <c r="O71" i="1"/>
  <c r="O70" i="1"/>
  <c r="Q81" i="1"/>
  <c r="O80" i="1"/>
  <c r="Q73" i="1"/>
  <c r="Q77" i="1"/>
  <c r="O76" i="1"/>
  <c r="O83" i="1"/>
  <c r="I22" i="3"/>
  <c r="G22" i="3"/>
  <c r="H22" i="3" s="1"/>
  <c r="O307" i="1"/>
  <c r="O313" i="1"/>
  <c r="O317" i="1"/>
  <c r="O304" i="1"/>
  <c r="O308" i="1"/>
  <c r="O309" i="1"/>
  <c r="O316" i="1"/>
  <c r="O312" i="1"/>
  <c r="O306" i="1"/>
  <c r="O305" i="1"/>
  <c r="Q315" i="1"/>
  <c r="O315" i="1"/>
  <c r="O303" i="1"/>
  <c r="O310" i="1"/>
  <c r="Q314" i="1"/>
  <c r="O314" i="1"/>
  <c r="AZ35" i="3"/>
  <c r="P19" i="8"/>
  <c r="Q18" i="3"/>
  <c r="R18" i="3" s="1"/>
  <c r="S18" i="3"/>
  <c r="R42" i="1"/>
  <c r="N17" i="3"/>
  <c r="P50" i="1"/>
  <c r="O295" i="1"/>
  <c r="O293" i="1"/>
  <c r="Q299" i="1"/>
  <c r="O297" i="1"/>
  <c r="O291" i="1"/>
  <c r="O298" i="1"/>
  <c r="O302" i="1"/>
  <c r="O296" i="1"/>
  <c r="O289" i="1"/>
  <c r="O290" i="1"/>
  <c r="Q300" i="1"/>
  <c r="O294" i="1"/>
  <c r="Q288" i="1"/>
  <c r="O288" i="1"/>
  <c r="O292" i="1"/>
  <c r="O301" i="1"/>
  <c r="O299" i="1"/>
  <c r="Q291" i="1"/>
  <c r="O300" i="1"/>
  <c r="O125" i="1"/>
  <c r="O127" i="1"/>
  <c r="O128" i="1"/>
  <c r="Q127" i="1"/>
  <c r="O124" i="1"/>
  <c r="O129" i="1"/>
  <c r="O131" i="1"/>
  <c r="Q128" i="1"/>
  <c r="Q131" i="1"/>
  <c r="O126" i="1"/>
  <c r="O130" i="1"/>
  <c r="O133" i="1"/>
  <c r="Q124" i="1"/>
  <c r="O132" i="1"/>
  <c r="Q280" i="1"/>
  <c r="Q78" i="1"/>
  <c r="Q333" i="1"/>
  <c r="P109" i="1"/>
  <c r="R104" i="1"/>
  <c r="N22" i="3"/>
  <c r="Q21" i="1"/>
  <c r="O16" i="1"/>
  <c r="O18" i="1"/>
  <c r="Q25" i="1"/>
  <c r="O27" i="1"/>
  <c r="O15" i="1"/>
  <c r="O22" i="1"/>
  <c r="O17" i="1"/>
  <c r="O20" i="1"/>
  <c r="O19" i="1"/>
  <c r="O14" i="1"/>
  <c r="O21" i="1"/>
  <c r="O24" i="1"/>
  <c r="O26" i="1"/>
  <c r="Q17" i="1"/>
  <c r="Q14" i="1"/>
  <c r="O23" i="1"/>
  <c r="O25" i="1"/>
  <c r="D15" i="3"/>
  <c r="AF23" i="3"/>
  <c r="Q206" i="1"/>
  <c r="O207" i="1"/>
  <c r="Q209" i="1"/>
  <c r="O210" i="1"/>
  <c r="O213" i="1"/>
  <c r="O216" i="1"/>
  <c r="O209" i="1"/>
  <c r="O206" i="1"/>
  <c r="O212" i="1"/>
  <c r="Q215" i="1"/>
  <c r="O211" i="1"/>
  <c r="Q210" i="1"/>
  <c r="O217" i="1"/>
  <c r="O214" i="1"/>
  <c r="O215" i="1"/>
  <c r="O208" i="1"/>
  <c r="Q19" i="3"/>
  <c r="R19" i="3" s="1"/>
  <c r="S19" i="3"/>
  <c r="P20" i="8"/>
  <c r="O333" i="1"/>
  <c r="O336" i="1"/>
  <c r="O335" i="1"/>
  <c r="O337" i="1"/>
  <c r="O334" i="1"/>
  <c r="Q335" i="1"/>
  <c r="P44" i="8"/>
  <c r="L44" i="8" s="1"/>
  <c r="S43" i="3"/>
  <c r="Q43" i="3"/>
  <c r="R43" i="3" s="1"/>
  <c r="N42" i="3"/>
  <c r="R318" i="1"/>
  <c r="O326" i="1" s="1"/>
  <c r="P325" i="1"/>
  <c r="P16" i="8"/>
  <c r="X16" i="8" s="1"/>
  <c r="Y16" i="8" s="1"/>
  <c r="Q15" i="3"/>
  <c r="R15" i="3" s="1"/>
  <c r="S15" i="3"/>
  <c r="D16" i="3"/>
  <c r="Q306" i="1"/>
  <c r="P265" i="1"/>
  <c r="AZ87" i="3"/>
  <c r="D21" i="3"/>
  <c r="AF45" i="3"/>
  <c r="N38" i="3"/>
  <c r="R258" i="1"/>
  <c r="O266" i="1" s="1"/>
  <c r="O60" i="1"/>
  <c r="O58" i="1"/>
  <c r="O66" i="1"/>
  <c r="Q59" i="1"/>
  <c r="O64" i="1"/>
  <c r="O61" i="1"/>
  <c r="Q56" i="1"/>
  <c r="O68" i="1"/>
  <c r="O69" i="1"/>
  <c r="O59" i="1"/>
  <c r="Q63" i="1"/>
  <c r="O62" i="1"/>
  <c r="O67" i="1"/>
  <c r="Q67" i="1"/>
  <c r="O56" i="1"/>
  <c r="O57" i="1"/>
  <c r="O65" i="1"/>
  <c r="O63" i="1"/>
  <c r="P32" i="8"/>
  <c r="S31" i="3"/>
  <c r="Q31" i="3"/>
  <c r="R31" i="3" s="1"/>
  <c r="O121" i="1"/>
  <c r="O122" i="1"/>
  <c r="O116" i="1"/>
  <c r="O120" i="1"/>
  <c r="O115" i="1"/>
  <c r="O119" i="1"/>
  <c r="O117" i="1"/>
  <c r="O123" i="1"/>
  <c r="Q118" i="1"/>
  <c r="O118" i="1"/>
  <c r="O114" i="1"/>
  <c r="Q117" i="1"/>
  <c r="Q121" i="1"/>
  <c r="Q114" i="1"/>
  <c r="BC57" i="3"/>
  <c r="BD57" i="3" s="1"/>
  <c r="BE57" i="3"/>
  <c r="Q310" i="1"/>
  <c r="Q151" i="1"/>
  <c r="AF28" i="3"/>
  <c r="AK28" i="3" s="1"/>
  <c r="O183" i="1"/>
  <c r="O182" i="1"/>
  <c r="O187" i="1"/>
  <c r="O192" i="1"/>
  <c r="O190" i="1"/>
  <c r="O186" i="1"/>
  <c r="O191" i="1"/>
  <c r="Q185" i="1"/>
  <c r="Q191" i="1"/>
  <c r="O193" i="1"/>
  <c r="Q186" i="1"/>
  <c r="O189" i="1"/>
  <c r="O184" i="1"/>
  <c r="O185" i="1"/>
  <c r="Q182" i="1"/>
  <c r="O135" i="1"/>
  <c r="Q143" i="1"/>
  <c r="O142" i="1"/>
  <c r="Q137" i="1"/>
  <c r="O139" i="1"/>
  <c r="O145" i="1"/>
  <c r="Q134" i="1"/>
  <c r="O140" i="1"/>
  <c r="O143" i="1"/>
  <c r="O138" i="1"/>
  <c r="O137" i="1"/>
  <c r="O134" i="1"/>
  <c r="O144" i="1"/>
  <c r="O141" i="1"/>
  <c r="O136" i="1"/>
  <c r="Q138" i="1"/>
  <c r="Q139" i="1"/>
  <c r="Q187" i="1"/>
  <c r="O151" i="1"/>
  <c r="O154" i="1"/>
  <c r="O153" i="1"/>
  <c r="Q150" i="1"/>
  <c r="Q146" i="1"/>
  <c r="O150" i="1"/>
  <c r="O149" i="1"/>
  <c r="O146" i="1"/>
  <c r="O157" i="1"/>
  <c r="O155" i="1"/>
  <c r="O148" i="1"/>
  <c r="Q149" i="1"/>
  <c r="O156" i="1"/>
  <c r="O147" i="1"/>
  <c r="Q155" i="1"/>
  <c r="N27" i="3"/>
  <c r="R158" i="1"/>
  <c r="O164" i="1" s="1"/>
  <c r="P163" i="1"/>
  <c r="V22" i="3"/>
  <c r="AN26" i="3"/>
  <c r="N28" i="3"/>
  <c r="R170" i="1"/>
  <c r="O176" i="1" s="1"/>
  <c r="P175" i="1"/>
  <c r="O188" i="1"/>
  <c r="P26" i="8"/>
  <c r="X26" i="8" s="1"/>
  <c r="Y26" i="8" s="1"/>
  <c r="Q25" i="3"/>
  <c r="R25" i="3" s="1"/>
  <c r="S25" i="3"/>
  <c r="P30" i="8"/>
  <c r="X30" i="8" s="1"/>
  <c r="Y30" i="8" s="1"/>
  <c r="S29" i="3"/>
  <c r="Q29" i="3"/>
  <c r="R29" i="3" s="1"/>
  <c r="D17" i="3"/>
  <c r="AZ45" i="3"/>
  <c r="P27" i="8"/>
  <c r="Q26" i="3"/>
  <c r="R26" i="3" s="1"/>
  <c r="S26" i="3"/>
  <c r="O152" i="1"/>
  <c r="L38" i="8"/>
  <c r="T38" i="8" s="1"/>
  <c r="U38" i="8" s="1"/>
  <c r="X45" i="8"/>
  <c r="Y45" i="8" s="1"/>
  <c r="X21" i="8"/>
  <c r="Y21" i="8" s="1"/>
  <c r="X46" i="8"/>
  <c r="Y46" i="8" s="1"/>
  <c r="L46" i="8"/>
  <c r="L33" i="8"/>
  <c r="O32" i="1" l="1"/>
  <c r="Q31" i="1"/>
  <c r="Q30" i="3"/>
  <c r="R30" i="3" s="1"/>
  <c r="I18" i="3"/>
  <c r="O35" i="1"/>
  <c r="O40" i="1"/>
  <c r="Q28" i="1"/>
  <c r="O38" i="1"/>
  <c r="O37" i="1"/>
  <c r="O28" i="1"/>
  <c r="O36" i="1"/>
  <c r="BC24" i="3"/>
  <c r="BD24" i="3" s="1"/>
  <c r="P31" i="8"/>
  <c r="X31" i="8" s="1"/>
  <c r="Y31" i="8" s="1"/>
  <c r="Q39" i="1"/>
  <c r="O33" i="1"/>
  <c r="O34" i="1"/>
  <c r="O29" i="1"/>
  <c r="O41" i="1"/>
  <c r="Q35" i="1"/>
  <c r="O30" i="1"/>
  <c r="AK18" i="3"/>
  <c r="S16" i="3"/>
  <c r="X44" i="8"/>
  <c r="Y44" i="8" s="1"/>
  <c r="O205" i="1"/>
  <c r="Q16" i="3"/>
  <c r="R16" i="3" s="1"/>
  <c r="Q194" i="1"/>
  <c r="Q197" i="1"/>
  <c r="O201" i="1"/>
  <c r="O202" i="1"/>
  <c r="O195" i="1"/>
  <c r="O196" i="1"/>
  <c r="O199" i="1"/>
  <c r="Q198" i="1"/>
  <c r="Q203" i="1"/>
  <c r="O197" i="1"/>
  <c r="O204" i="1"/>
  <c r="O203" i="1"/>
  <c r="O200" i="1"/>
  <c r="O198" i="1"/>
  <c r="AK33" i="3"/>
  <c r="P50" i="3"/>
  <c r="S46" i="3"/>
  <c r="Q46" i="3"/>
  <c r="R46" i="3" s="1"/>
  <c r="BC123" i="3"/>
  <c r="BD123" i="3" s="1"/>
  <c r="BB129" i="3"/>
  <c r="BE123" i="3"/>
  <c r="W384" i="1"/>
  <c r="U369" i="1"/>
  <c r="U380" i="1"/>
  <c r="U383" i="1"/>
  <c r="W373" i="1"/>
  <c r="U372" i="1"/>
  <c r="U382" i="1"/>
  <c r="U378" i="1"/>
  <c r="U375" i="1"/>
  <c r="W376" i="1"/>
  <c r="U371" i="1"/>
  <c r="U384" i="1"/>
  <c r="U373" i="1"/>
  <c r="U377" i="1"/>
  <c r="U370" i="1"/>
  <c r="W379" i="1"/>
  <c r="U386" i="1"/>
  <c r="U379" i="1"/>
  <c r="W372" i="1"/>
  <c r="U385" i="1"/>
  <c r="U374" i="1"/>
  <c r="U376" i="1"/>
  <c r="W369" i="1"/>
  <c r="F25" i="3"/>
  <c r="I24" i="3"/>
  <c r="G24" i="3"/>
  <c r="H24" i="3" s="1"/>
  <c r="AK60" i="3"/>
  <c r="AH62" i="3"/>
  <c r="AI60" i="3"/>
  <c r="AJ60" i="3" s="1"/>
  <c r="W380" i="1"/>
  <c r="U381" i="1"/>
  <c r="Q325" i="1"/>
  <c r="Q99" i="1"/>
  <c r="Q108" i="1"/>
  <c r="Q107" i="1"/>
  <c r="O105" i="1"/>
  <c r="Q104" i="1"/>
  <c r="Q111" i="1"/>
  <c r="O104" i="1"/>
  <c r="O111" i="1"/>
  <c r="O109" i="1"/>
  <c r="O108" i="1"/>
  <c r="O112" i="1"/>
  <c r="O106" i="1"/>
  <c r="O113" i="1"/>
  <c r="O107" i="1"/>
  <c r="Q49" i="1"/>
  <c r="O44" i="1"/>
  <c r="O54" i="1"/>
  <c r="O43" i="1"/>
  <c r="O47" i="1"/>
  <c r="O50" i="1"/>
  <c r="O55" i="1"/>
  <c r="O42" i="1"/>
  <c r="Q53" i="1"/>
  <c r="O48" i="1"/>
  <c r="Q45" i="1"/>
  <c r="Q42" i="1"/>
  <c r="O45" i="1"/>
  <c r="O46" i="1"/>
  <c r="O49" i="1"/>
  <c r="O53" i="1"/>
  <c r="O52" i="1"/>
  <c r="BC35" i="3"/>
  <c r="BD35" i="3" s="1"/>
  <c r="BE35" i="3"/>
  <c r="O259" i="1"/>
  <c r="O267" i="1"/>
  <c r="O262" i="1"/>
  <c r="O272" i="1"/>
  <c r="O260" i="1"/>
  <c r="O261" i="1"/>
  <c r="O269" i="1"/>
  <c r="O263" i="1"/>
  <c r="O264" i="1"/>
  <c r="O258" i="1"/>
  <c r="O271" i="1"/>
  <c r="O265" i="1"/>
  <c r="O268" i="1"/>
  <c r="O270" i="1"/>
  <c r="Q270" i="1"/>
  <c r="Q261" i="1"/>
  <c r="Q258" i="1"/>
  <c r="Q269" i="1"/>
  <c r="I21" i="3"/>
  <c r="G21" i="3"/>
  <c r="H21" i="3" s="1"/>
  <c r="G16" i="3"/>
  <c r="H16" i="3" s="1"/>
  <c r="I16" i="3"/>
  <c r="O332" i="1"/>
  <c r="O322" i="1"/>
  <c r="O324" i="1"/>
  <c r="O319" i="1"/>
  <c r="O318" i="1"/>
  <c r="O331" i="1"/>
  <c r="O329" i="1"/>
  <c r="O328" i="1"/>
  <c r="O323" i="1"/>
  <c r="Q330" i="1"/>
  <c r="Q321" i="1"/>
  <c r="O330" i="1"/>
  <c r="Q329" i="1"/>
  <c r="O327" i="1"/>
  <c r="O321" i="1"/>
  <c r="Q318" i="1"/>
  <c r="O325" i="1"/>
  <c r="O320" i="1"/>
  <c r="Q109" i="1"/>
  <c r="O51" i="1"/>
  <c r="O95" i="1"/>
  <c r="O103" i="1"/>
  <c r="O98" i="1"/>
  <c r="O99" i="1"/>
  <c r="O94" i="1"/>
  <c r="O102" i="1"/>
  <c r="Q98" i="1"/>
  <c r="O97" i="1"/>
  <c r="O96" i="1"/>
  <c r="O101" i="1"/>
  <c r="Q101" i="1"/>
  <c r="Q97" i="1"/>
  <c r="Q94" i="1"/>
  <c r="P39" i="8"/>
  <c r="Q38" i="3"/>
  <c r="R38" i="3" s="1"/>
  <c r="S38" i="3"/>
  <c r="BE87" i="3"/>
  <c r="BC87" i="3"/>
  <c r="BD87" i="3" s="1"/>
  <c r="P43" i="8"/>
  <c r="S42" i="3"/>
  <c r="Q42" i="3"/>
  <c r="R42" i="3" s="1"/>
  <c r="AK23" i="3"/>
  <c r="AI23" i="3"/>
  <c r="AJ23" i="3" s="1"/>
  <c r="O110" i="1"/>
  <c r="Q50" i="1"/>
  <c r="O100" i="1"/>
  <c r="AK45" i="3"/>
  <c r="AI45" i="3"/>
  <c r="AJ45" i="3" s="1"/>
  <c r="Q265" i="1"/>
  <c r="G15" i="3"/>
  <c r="H15" i="3" s="1"/>
  <c r="I15" i="3"/>
  <c r="P23" i="8"/>
  <c r="Q22" i="3"/>
  <c r="R22" i="3" s="1"/>
  <c r="S22" i="3"/>
  <c r="S17" i="3"/>
  <c r="P18" i="8"/>
  <c r="L16" i="8" s="1"/>
  <c r="T16" i="8" s="1"/>
  <c r="U16" i="8" s="1"/>
  <c r="Q17" i="3"/>
  <c r="R17" i="3" s="1"/>
  <c r="P22" i="8"/>
  <c r="Q21" i="3"/>
  <c r="R21" i="3" s="1"/>
  <c r="S21" i="3"/>
  <c r="Q163" i="1"/>
  <c r="AI28" i="3"/>
  <c r="AF62" i="3"/>
  <c r="AG52" i="3" s="1"/>
  <c r="Q175" i="1"/>
  <c r="BC45" i="3"/>
  <c r="BE45" i="3"/>
  <c r="AZ129" i="3"/>
  <c r="Q173" i="1"/>
  <c r="O175" i="1"/>
  <c r="O171" i="1"/>
  <c r="O173" i="1"/>
  <c r="Q174" i="1"/>
  <c r="Q179" i="1"/>
  <c r="O174" i="1"/>
  <c r="O172" i="1"/>
  <c r="O177" i="1"/>
  <c r="Q170" i="1"/>
  <c r="O170" i="1"/>
  <c r="O179" i="1"/>
  <c r="O181" i="1"/>
  <c r="O178" i="1"/>
  <c r="O180" i="1"/>
  <c r="D25" i="3"/>
  <c r="G17" i="3"/>
  <c r="I17" i="3"/>
  <c r="P29" i="8"/>
  <c r="X29" i="8" s="1"/>
  <c r="Y29" i="8" s="1"/>
  <c r="S28" i="3"/>
  <c r="Q28" i="3"/>
  <c r="R28" i="3" s="1"/>
  <c r="AS26" i="3"/>
  <c r="AN38" i="3"/>
  <c r="AQ26" i="3"/>
  <c r="O169" i="1"/>
  <c r="O165" i="1"/>
  <c r="O167" i="1"/>
  <c r="Q167" i="1"/>
  <c r="O161" i="1"/>
  <c r="O158" i="1"/>
  <c r="Q162" i="1"/>
  <c r="Q161" i="1"/>
  <c r="O162" i="1"/>
  <c r="O159" i="1"/>
  <c r="O160" i="1"/>
  <c r="O163" i="1"/>
  <c r="O168" i="1"/>
  <c r="O166" i="1"/>
  <c r="Q158" i="1"/>
  <c r="AG38" i="3"/>
  <c r="AA22" i="3"/>
  <c r="V24" i="3"/>
  <c r="Y22" i="3"/>
  <c r="P28" i="8"/>
  <c r="Q27" i="3"/>
  <c r="S27" i="3"/>
  <c r="N50" i="3"/>
  <c r="T44" i="8"/>
  <c r="U44" i="8" s="1"/>
  <c r="T46" i="8"/>
  <c r="U46" i="8" s="1"/>
  <c r="T33" i="8"/>
  <c r="U33" i="8" s="1"/>
  <c r="L31" i="8" l="1"/>
  <c r="T31" i="8" s="1"/>
  <c r="U31" i="8" s="1"/>
  <c r="L21" i="8"/>
  <c r="T21" i="8" s="1"/>
  <c r="U21" i="8" s="1"/>
  <c r="X39" i="8"/>
  <c r="Y39" i="8" s="1"/>
  <c r="L39" i="8"/>
  <c r="T39" i="8" s="1"/>
  <c r="U39" i="8" s="1"/>
  <c r="AG51" i="3"/>
  <c r="AG58" i="3"/>
  <c r="AG15" i="3"/>
  <c r="AG60" i="3"/>
  <c r="AG17" i="3"/>
  <c r="AG33" i="3"/>
  <c r="AK62" i="3"/>
  <c r="AG30" i="3"/>
  <c r="AG46" i="3"/>
  <c r="AG20" i="3"/>
  <c r="AG29" i="3"/>
  <c r="AG22" i="3"/>
  <c r="AG27" i="3"/>
  <c r="AG19" i="3"/>
  <c r="AG40" i="3"/>
  <c r="AG16" i="3"/>
  <c r="AG37" i="3"/>
  <c r="AG48" i="3"/>
  <c r="AG31" i="3"/>
  <c r="AG42" i="3"/>
  <c r="AG24" i="3"/>
  <c r="AG28" i="3"/>
  <c r="AG26" i="3"/>
  <c r="AG35" i="3"/>
  <c r="AG50" i="3"/>
  <c r="AG56" i="3"/>
  <c r="AG39" i="3"/>
  <c r="AG47" i="3"/>
  <c r="AG41" i="3"/>
  <c r="AG43" i="3"/>
  <c r="AG44" i="3"/>
  <c r="AG32" i="3"/>
  <c r="AG25" i="3"/>
  <c r="AG18" i="3"/>
  <c r="AG21" i="3"/>
  <c r="AG36" i="3"/>
  <c r="AG57" i="3"/>
  <c r="AG61" i="3"/>
  <c r="AG53" i="3"/>
  <c r="AG54" i="3"/>
  <c r="AG59" i="3"/>
  <c r="AG55" i="3"/>
  <c r="AG49" i="3"/>
  <c r="AG45" i="3"/>
  <c r="AG34" i="3"/>
  <c r="AG23" i="3"/>
  <c r="AJ28" i="3"/>
  <c r="AI62" i="3"/>
  <c r="AJ62" i="3" s="1"/>
  <c r="O17" i="3"/>
  <c r="X18" i="8" s="1"/>
  <c r="Y18" i="8" s="1"/>
  <c r="O39" i="3"/>
  <c r="X40" i="8" s="1"/>
  <c r="Y40" i="8" s="1"/>
  <c r="O22" i="3"/>
  <c r="X23" i="8" s="1"/>
  <c r="Y23" i="8" s="1"/>
  <c r="O24" i="3"/>
  <c r="X25" i="8" s="1"/>
  <c r="Y25" i="8" s="1"/>
  <c r="O16" i="3"/>
  <c r="X17" i="8" s="1"/>
  <c r="Y17" i="8" s="1"/>
  <c r="O20" i="3"/>
  <c r="O42" i="3"/>
  <c r="X43" i="8" s="1"/>
  <c r="Y43" i="8" s="1"/>
  <c r="O25" i="3"/>
  <c r="O49" i="3"/>
  <c r="X50" i="8" s="1"/>
  <c r="Y50" i="8" s="1"/>
  <c r="O27" i="3"/>
  <c r="O26" i="3"/>
  <c r="X27" i="8" s="1"/>
  <c r="Y27" i="8" s="1"/>
  <c r="O35" i="3"/>
  <c r="X36" i="8" s="1"/>
  <c r="Y36" i="8" s="1"/>
  <c r="O29" i="3"/>
  <c r="O37" i="3"/>
  <c r="X38" i="8" s="1"/>
  <c r="Y38" i="8" s="1"/>
  <c r="O45" i="3"/>
  <c r="O34" i="3"/>
  <c r="X35" i="8" s="1"/>
  <c r="Y35" i="8" s="1"/>
  <c r="O47" i="3"/>
  <c r="X48" i="8" s="1"/>
  <c r="Y48" i="8" s="1"/>
  <c r="O21" i="3"/>
  <c r="X22" i="8" s="1"/>
  <c r="Y22" i="8" s="1"/>
  <c r="O40" i="3"/>
  <c r="X41" i="8" s="1"/>
  <c r="Y41" i="8" s="1"/>
  <c r="O32" i="3"/>
  <c r="X33" i="8" s="1"/>
  <c r="Y33" i="8" s="1"/>
  <c r="O19" i="3"/>
  <c r="X20" i="8" s="1"/>
  <c r="Y20" i="8" s="1"/>
  <c r="O23" i="3"/>
  <c r="X24" i="8" s="1"/>
  <c r="Y24" i="8" s="1"/>
  <c r="O44" i="3"/>
  <c r="L45" i="8" s="1"/>
  <c r="T45" i="8" s="1"/>
  <c r="U45" i="8" s="1"/>
  <c r="O33" i="3"/>
  <c r="X34" i="8" s="1"/>
  <c r="Y34" i="8" s="1"/>
  <c r="O48" i="3"/>
  <c r="X49" i="8" s="1"/>
  <c r="Y49" i="8" s="1"/>
  <c r="O31" i="3"/>
  <c r="X32" i="8" s="1"/>
  <c r="Y32" i="8" s="1"/>
  <c r="O43" i="3"/>
  <c r="O30" i="3"/>
  <c r="O15" i="3"/>
  <c r="S50" i="3"/>
  <c r="O18" i="3"/>
  <c r="X19" i="8" s="1"/>
  <c r="Y19" i="8" s="1"/>
  <c r="O46" i="3"/>
  <c r="X47" i="8" s="1"/>
  <c r="Y47" i="8" s="1"/>
  <c r="O50" i="3"/>
  <c r="O38" i="3"/>
  <c r="O36" i="3"/>
  <c r="X37" i="8" s="1"/>
  <c r="Y37" i="8" s="1"/>
  <c r="O41" i="3"/>
  <c r="X42" i="8" s="1"/>
  <c r="Y42" i="8" s="1"/>
  <c r="Z22" i="3"/>
  <c r="Y24" i="3"/>
  <c r="Z24" i="3" s="1"/>
  <c r="O28" i="3"/>
  <c r="E21" i="3"/>
  <c r="E20" i="3"/>
  <c r="E18" i="3"/>
  <c r="E23" i="3"/>
  <c r="D27" i="3"/>
  <c r="E24" i="3"/>
  <c r="E16" i="3"/>
  <c r="I25" i="3"/>
  <c r="E15" i="3"/>
  <c r="E22" i="3"/>
  <c r="E19" i="3"/>
  <c r="BA107" i="3"/>
  <c r="BA70" i="3"/>
  <c r="BA20" i="3"/>
  <c r="BA80" i="3"/>
  <c r="BA36" i="3"/>
  <c r="BA16" i="3"/>
  <c r="BA110" i="3"/>
  <c r="BA21" i="3"/>
  <c r="BA51" i="3"/>
  <c r="BA22" i="3"/>
  <c r="BA76" i="3"/>
  <c r="BA74" i="3"/>
  <c r="BA95" i="3"/>
  <c r="BA27" i="3"/>
  <c r="BA79" i="3"/>
  <c r="BA106" i="3"/>
  <c r="BA81" i="3"/>
  <c r="BA46" i="3"/>
  <c r="BA123" i="3"/>
  <c r="BA111" i="3"/>
  <c r="BA68" i="3"/>
  <c r="BA92" i="3"/>
  <c r="BA63" i="3"/>
  <c r="BA72" i="3"/>
  <c r="BA82" i="3"/>
  <c r="BA56" i="3"/>
  <c r="BA47" i="3"/>
  <c r="BA65" i="3"/>
  <c r="BA66" i="3"/>
  <c r="BA44" i="3"/>
  <c r="BA75" i="3"/>
  <c r="BA60" i="3"/>
  <c r="BA39" i="3"/>
  <c r="BA83" i="3"/>
  <c r="BA97" i="3"/>
  <c r="BA88" i="3"/>
  <c r="BA118" i="3"/>
  <c r="BA105" i="3"/>
  <c r="BA23" i="3"/>
  <c r="BA25" i="3"/>
  <c r="BA108" i="3"/>
  <c r="BA32" i="3"/>
  <c r="BA42" i="3"/>
  <c r="BA61" i="3"/>
  <c r="BA58" i="3"/>
  <c r="BA18" i="3"/>
  <c r="BA89" i="3"/>
  <c r="BA94" i="3"/>
  <c r="BA28" i="3"/>
  <c r="BA77" i="3"/>
  <c r="BA41" i="3"/>
  <c r="BA113" i="3"/>
  <c r="BA85" i="3"/>
  <c r="BA103" i="3"/>
  <c r="BA119" i="3"/>
  <c r="BA57" i="3"/>
  <c r="BA99" i="3"/>
  <c r="BA67" i="3"/>
  <c r="BA112" i="3"/>
  <c r="BA125" i="3"/>
  <c r="BA122" i="3"/>
  <c r="BA86" i="3"/>
  <c r="BA90" i="3"/>
  <c r="BA29" i="3"/>
  <c r="BA26" i="3"/>
  <c r="BA124" i="3"/>
  <c r="BA84" i="3"/>
  <c r="BA121" i="3"/>
  <c r="BA78" i="3"/>
  <c r="BA24" i="3"/>
  <c r="BA73" i="3"/>
  <c r="BA59" i="3"/>
  <c r="BA53" i="3"/>
  <c r="BA19" i="3"/>
  <c r="BA35" i="3"/>
  <c r="BA128" i="3"/>
  <c r="BA30" i="3"/>
  <c r="BE129" i="3"/>
  <c r="BA120" i="3"/>
  <c r="BA62" i="3"/>
  <c r="BA93" i="3"/>
  <c r="BA52" i="3"/>
  <c r="BA115" i="3"/>
  <c r="BA102" i="3"/>
  <c r="BA17" i="3"/>
  <c r="BA64" i="3"/>
  <c r="BA37" i="3"/>
  <c r="BA40" i="3"/>
  <c r="BA54" i="3"/>
  <c r="BA31" i="3"/>
  <c r="BA96" i="3"/>
  <c r="BA100" i="3"/>
  <c r="BA34" i="3"/>
  <c r="BA43" i="3"/>
  <c r="BA33" i="3"/>
  <c r="BA87" i="3"/>
  <c r="BA15" i="3"/>
  <c r="BA49" i="3"/>
  <c r="BA55" i="3"/>
  <c r="BA116" i="3"/>
  <c r="BA104" i="3"/>
  <c r="BA114" i="3"/>
  <c r="BA109" i="3"/>
  <c r="BA91" i="3"/>
  <c r="BA71" i="3"/>
  <c r="BA38" i="3"/>
  <c r="BA48" i="3"/>
  <c r="BA126" i="3"/>
  <c r="BA101" i="3"/>
  <c r="BA69" i="3"/>
  <c r="BA98" i="3"/>
  <c r="BA117" i="3"/>
  <c r="BA50" i="3"/>
  <c r="BA127" i="3"/>
  <c r="W17" i="3"/>
  <c r="W22" i="3"/>
  <c r="AA24" i="3"/>
  <c r="W18" i="3"/>
  <c r="W16" i="3"/>
  <c r="W23" i="3"/>
  <c r="W21" i="3"/>
  <c r="W15" i="3"/>
  <c r="W19" i="3"/>
  <c r="W20" i="3"/>
  <c r="AR26" i="3"/>
  <c r="AQ38" i="3"/>
  <c r="AR38" i="3" s="1"/>
  <c r="BA45" i="3"/>
  <c r="E17" i="3"/>
  <c r="R27" i="3"/>
  <c r="Q50" i="3"/>
  <c r="R50" i="3" s="1"/>
  <c r="AO15" i="3"/>
  <c r="AO16" i="3"/>
  <c r="AO25" i="3"/>
  <c r="AO24" i="3"/>
  <c r="AO32" i="3"/>
  <c r="AO21" i="3"/>
  <c r="AO23" i="3"/>
  <c r="AO36" i="3"/>
  <c r="AO17" i="3"/>
  <c r="AO30" i="3"/>
  <c r="AO31" i="3"/>
  <c r="AO34" i="3"/>
  <c r="AO19" i="3"/>
  <c r="AO27" i="3"/>
  <c r="AO35" i="3"/>
  <c r="AO33" i="3"/>
  <c r="AO20" i="3"/>
  <c r="AO22" i="3"/>
  <c r="AO28" i="3"/>
  <c r="AO29" i="3"/>
  <c r="AS38" i="3"/>
  <c r="AO26" i="3"/>
  <c r="AO37" i="3"/>
  <c r="AO18" i="3"/>
  <c r="BD45" i="3"/>
  <c r="BC129" i="3"/>
  <c r="BD129" i="3" s="1"/>
  <c r="X28" i="8"/>
  <c r="Y28" i="8" s="1"/>
  <c r="P51" i="8"/>
  <c r="H17" i="3"/>
  <c r="G25" i="3"/>
  <c r="H25" i="3" s="1"/>
  <c r="L26" i="8"/>
  <c r="AG62" i="3" l="1"/>
  <c r="Q19" i="8"/>
  <c r="Q43" i="8"/>
  <c r="X51" i="8"/>
  <c r="Y51" i="8" s="1"/>
  <c r="Q47" i="8"/>
  <c r="Q37" i="8"/>
  <c r="Q46" i="8"/>
  <c r="Q26" i="8"/>
  <c r="Q27" i="8"/>
  <c r="Q21" i="8"/>
  <c r="Q18" i="8"/>
  <c r="Q20" i="8"/>
  <c r="Q50" i="8"/>
  <c r="Q42" i="8"/>
  <c r="Q28" i="8"/>
  <c r="Q34" i="8"/>
  <c r="Q45" i="8"/>
  <c r="Q31" i="8"/>
  <c r="Q23" i="8"/>
  <c r="Q32" i="8"/>
  <c r="Q25" i="8"/>
  <c r="Q35" i="8"/>
  <c r="Q44" i="8"/>
  <c r="Q33" i="8"/>
  <c r="Q49" i="8"/>
  <c r="Q24" i="8"/>
  <c r="Q29" i="8"/>
  <c r="Q39" i="8"/>
  <c r="Q17" i="8"/>
  <c r="Q36" i="8"/>
  <c r="Q38" i="8"/>
  <c r="Q41" i="8"/>
  <c r="Q22" i="8"/>
  <c r="Q30" i="8"/>
  <c r="Q48" i="8"/>
  <c r="Q40" i="8"/>
  <c r="Q16" i="8"/>
  <c r="L51" i="8"/>
  <c r="T26" i="8"/>
  <c r="U26" i="8" s="1"/>
  <c r="W24" i="3"/>
  <c r="E25" i="3"/>
  <c r="BA129" i="3"/>
  <c r="AO38" i="3"/>
  <c r="Q51" i="8" l="1"/>
  <c r="M21" i="8"/>
  <c r="M33" i="8"/>
  <c r="M16" i="8"/>
  <c r="M45" i="8"/>
  <c r="M31" i="8"/>
  <c r="M26" i="8"/>
  <c r="M38" i="8"/>
  <c r="M39" i="8"/>
  <c r="M44" i="8"/>
  <c r="T51" i="8"/>
  <c r="U51" i="8" s="1"/>
  <c r="M46" i="8"/>
  <c r="M51" i="8" l="1"/>
</calcChain>
</file>

<file path=xl/sharedStrings.xml><?xml version="1.0" encoding="utf-8"?>
<sst xmlns="http://schemas.openxmlformats.org/spreadsheetml/2006/main" count="28181" uniqueCount="1056">
  <si>
    <t>Use</t>
  </si>
  <si>
    <t>Terminals</t>
  </si>
  <si>
    <t>Toilets</t>
  </si>
  <si>
    <t>Passengers</t>
  </si>
  <si>
    <t>Urinals</t>
  </si>
  <si>
    <t>Break rooms</t>
  </si>
  <si>
    <t>Employees</t>
  </si>
  <si>
    <t>Cooling</t>
  </si>
  <si>
    <t>Other</t>
  </si>
  <si>
    <t>Vehicle washing</t>
  </si>
  <si>
    <t>Flights</t>
  </si>
  <si>
    <t>Rental Car Center</t>
  </si>
  <si>
    <t>Rentals</t>
  </si>
  <si>
    <t>Parking</t>
  </si>
  <si>
    <t>Training</t>
  </si>
  <si>
    <t>Training events</t>
  </si>
  <si>
    <t>Hotels</t>
  </si>
  <si>
    <t>Occupied Guest Room</t>
  </si>
  <si>
    <t>Showers</t>
  </si>
  <si>
    <t>Meal Served</t>
  </si>
  <si>
    <t>Ice machines</t>
  </si>
  <si>
    <t>Laundry</t>
  </si>
  <si>
    <t>Central Heating Plant</t>
  </si>
  <si>
    <t>Window cleaning</t>
  </si>
  <si>
    <t>Snow removal</t>
  </si>
  <si>
    <t>Fleet vehicle washing</t>
  </si>
  <si>
    <t xml:space="preserve">Runway rubber removal </t>
  </si>
  <si>
    <t xml:space="preserve">Aircraft cleaning </t>
  </si>
  <si>
    <t>Onboard aircraft water</t>
  </si>
  <si>
    <t>Deicing</t>
  </si>
  <si>
    <t xml:space="preserve">Associated unit </t>
  </si>
  <si>
    <t>Units</t>
  </si>
  <si>
    <t>Sq feet of landscape</t>
  </si>
  <si>
    <t>Faucets</t>
  </si>
  <si>
    <t>Swimming Pool</t>
  </si>
  <si>
    <t>Spas</t>
  </si>
  <si>
    <t>square feet</t>
  </si>
  <si>
    <t>Restrooms</t>
  </si>
  <si>
    <t>Food Service</t>
  </si>
  <si>
    <t>Landscaping</t>
  </si>
  <si>
    <t>Areas</t>
  </si>
  <si>
    <t>Dishwashers</t>
  </si>
  <si>
    <t>Outdoor irrigation</t>
  </si>
  <si>
    <t>Maintenance</t>
  </si>
  <si>
    <t>Aircraft</t>
  </si>
  <si>
    <t>Guestrooms</t>
  </si>
  <si>
    <t>TOTAL</t>
  </si>
  <si>
    <t>%Total Use</t>
  </si>
  <si>
    <t>% Facility Water Use</t>
  </si>
  <si>
    <t xml:space="preserve">End Use </t>
  </si>
  <si>
    <t>Airport Statistics</t>
  </si>
  <si>
    <t>Water Use Calcs</t>
  </si>
  <si>
    <t>Other 1</t>
  </si>
  <si>
    <t>Other 2</t>
  </si>
  <si>
    <t>Other 3</t>
  </si>
  <si>
    <t>Facility GPD</t>
  </si>
  <si>
    <t>Matrix to right calculates difference between model estimate and verification data.</t>
  </si>
  <si>
    <t>Area subtotal GPD</t>
  </si>
  <si>
    <t>Facility total GPD</t>
  </si>
  <si>
    <t>Levels of Efficiency</t>
  </si>
  <si>
    <t>Efficiency Descriptions</t>
  </si>
  <si>
    <t>Intensity of Use</t>
  </si>
  <si>
    <t>Intensity of Use Description</t>
  </si>
  <si>
    <t>Values derived from Water Use Calcs</t>
  </si>
  <si>
    <t>E3</t>
  </si>
  <si>
    <t>E2</t>
  </si>
  <si>
    <t>E1</t>
  </si>
  <si>
    <t>uses per unit per day</t>
  </si>
  <si>
    <t>gallons per flush</t>
  </si>
  <si>
    <t>males use toilets 1/4 and urinals 3/4 per visit</t>
  </si>
  <si>
    <t>females use toilets 1 per visit</t>
  </si>
  <si>
    <t>Passengers visit restroom 1 per day</t>
  </si>
  <si>
    <t>Employees visit restroom 4 per day</t>
  </si>
  <si>
    <t>Rentals per day</t>
  </si>
  <si>
    <t>I per female passenger</t>
  </si>
  <si>
    <t>0.25 per male passenger</t>
  </si>
  <si>
    <t>0.75 per male passenger</t>
  </si>
  <si>
    <t>one use per visit</t>
  </si>
  <si>
    <t>gallon per minute</t>
  </si>
  <si>
    <t>10 seconds per use</t>
  </si>
  <si>
    <t>one load per 20 meals</t>
  </si>
  <si>
    <t>Summary computations are derived from the End Use tab.</t>
  </si>
  <si>
    <t>Calibrate &amp; Verify</t>
  </si>
  <si>
    <t>Summary Graphics</t>
  </si>
  <si>
    <t>Terminal A</t>
  </si>
  <si>
    <t>Terminal B</t>
  </si>
  <si>
    <t>Terminal C</t>
  </si>
  <si>
    <t>Terminal D</t>
  </si>
  <si>
    <t>Terminal E</t>
  </si>
  <si>
    <t>Rental Car Center A</t>
  </si>
  <si>
    <t>Rental Car Center B</t>
  </si>
  <si>
    <t>Parking A</t>
  </si>
  <si>
    <t>Parking B</t>
  </si>
  <si>
    <t>Parking C</t>
  </si>
  <si>
    <t>Parking D</t>
  </si>
  <si>
    <t>Parking E</t>
  </si>
  <si>
    <t>Hotel A</t>
  </si>
  <si>
    <t>Hotel B</t>
  </si>
  <si>
    <t>Hotel C</t>
  </si>
  <si>
    <t>Hotel D</t>
  </si>
  <si>
    <t>Hotel E</t>
  </si>
  <si>
    <t>Facility Group</t>
  </si>
  <si>
    <t>Individual Facilities</t>
  </si>
  <si>
    <t>Water Use Areas</t>
  </si>
  <si>
    <t>Individual Facility</t>
  </si>
  <si>
    <t xml:space="preserve"> Facility Group</t>
  </si>
  <si>
    <t>Tenant A</t>
  </si>
  <si>
    <t>Tenant B</t>
  </si>
  <si>
    <t>Tenant C</t>
  </si>
  <si>
    <t>Tenant D</t>
  </si>
  <si>
    <t>Tenant E</t>
  </si>
  <si>
    <t>Boiler</t>
  </si>
  <si>
    <t>Swimming pool</t>
  </si>
  <si>
    <t>GPD</t>
  </si>
  <si>
    <t>Kitchen faucets</t>
  </si>
  <si>
    <t>Passengers/employees</t>
  </si>
  <si>
    <t>Rentals/vehicles</t>
  </si>
  <si>
    <t>Passengers per day</t>
  </si>
  <si>
    <t>Meals Served</t>
  </si>
  <si>
    <t>Building sq. ft.</t>
  </si>
  <si>
    <t>Landscape sq. ft.</t>
  </si>
  <si>
    <t>Flights per day</t>
  </si>
  <si>
    <t>Occupied Rooms per day</t>
  </si>
  <si>
    <t>Vehicles per day</t>
  </si>
  <si>
    <t>Number of Units</t>
  </si>
  <si>
    <t>could be 1.0 or 1.5 gpf</t>
  </si>
  <si>
    <t>could be 2.0 or 3.5 or more gpf</t>
  </si>
  <si>
    <t>Pre-rinse spray valves</t>
  </si>
  <si>
    <t>air cooled</t>
  </si>
  <si>
    <t>inefficient</t>
  </si>
  <si>
    <t>25% more efficient</t>
  </si>
  <si>
    <t>50% more efficient</t>
  </si>
  <si>
    <t>flushes per unit per day</t>
  </si>
  <si>
    <t>minutes per unit per day</t>
  </si>
  <si>
    <t>Comments</t>
  </si>
  <si>
    <t>Pool sq. ft.</t>
  </si>
  <si>
    <t>Area % of Facility</t>
  </si>
  <si>
    <t>Estimated Volume</t>
  </si>
  <si>
    <t>Optimal Volume</t>
  </si>
  <si>
    <t>Intensity of Use Assumptions</t>
  </si>
  <si>
    <t>Level of Efficiency Assumptions</t>
  </si>
  <si>
    <t>Estimated GPD</t>
  </si>
  <si>
    <t>Optimal GPD</t>
  </si>
  <si>
    <t>%Savings</t>
  </si>
  <si>
    <t>mile of street cleaned per day</t>
  </si>
  <si>
    <t>assume 1 mile of pavement per 1000 passengers served</t>
  </si>
  <si>
    <t>1 minute of rinse per 50 meals served</t>
  </si>
  <si>
    <t>Summary Tables</t>
  </si>
  <si>
    <t>Summary tables are in report format.</t>
  </si>
  <si>
    <t>Output</t>
  </si>
  <si>
    <t>Calculations</t>
  </si>
  <si>
    <t>Worksheets and columns within worksheets are color-coded as follows:</t>
  </si>
  <si>
    <t>Assume 1 wash per rental</t>
  </si>
  <si>
    <t>assume 1 vehicle wash per 5000 passengers</t>
  </si>
  <si>
    <t>assume 1 vehicle wash per 50 employees</t>
  </si>
  <si>
    <t>Qty</t>
  </si>
  <si>
    <t>Racks/day</t>
  </si>
  <si>
    <t>Pre-Rinse Spray Valves</t>
  </si>
  <si>
    <t>Toilet Type</t>
  </si>
  <si>
    <t>Flushometer 3.5</t>
  </si>
  <si>
    <t>Gravity 3.5</t>
  </si>
  <si>
    <t>Flushometer 1.6</t>
  </si>
  <si>
    <t>Gravity 1.6</t>
  </si>
  <si>
    <t>Flushometer 1.28</t>
  </si>
  <si>
    <t>Gravity 1.28</t>
  </si>
  <si>
    <t>Flushometer dual</t>
  </si>
  <si>
    <t>Pressure Assist 1.6</t>
  </si>
  <si>
    <t>Pressure Assist 1.28</t>
  </si>
  <si>
    <t>S</t>
  </si>
  <si>
    <t>M</t>
  </si>
  <si>
    <t>I</t>
  </si>
  <si>
    <t>H</t>
  </si>
  <si>
    <t>0.5 GPM</t>
  </si>
  <si>
    <t>1.0 GPM</t>
  </si>
  <si>
    <t>Ice Makers</t>
  </si>
  <si>
    <t>Urinal Type</t>
  </si>
  <si>
    <t>1.5 GPM</t>
  </si>
  <si>
    <t>Urinal 3.5</t>
  </si>
  <si>
    <t>2.0 GPM</t>
  </si>
  <si>
    <t>Urinal 2.0</t>
  </si>
  <si>
    <t>2.5 + GPM</t>
  </si>
  <si>
    <t>Urinal 1</t>
  </si>
  <si>
    <t>S=Sensor</t>
  </si>
  <si>
    <t>Urinal 0.5</t>
  </si>
  <si>
    <t>M=Metered</t>
  </si>
  <si>
    <t>I= Instant-off (spring)</t>
  </si>
  <si>
    <t>H=hand (manual)</t>
  </si>
  <si>
    <t>Gravity Dual-flush</t>
  </si>
  <si>
    <t>%</t>
  </si>
  <si>
    <t>Urinal 1.5</t>
  </si>
  <si>
    <t>Non-water</t>
  </si>
  <si>
    <t>3 + GPM</t>
  </si>
  <si>
    <t>2 - 3 GPM</t>
  </si>
  <si>
    <t>1.5 - 1.9 GPM</t>
  </si>
  <si>
    <t>1.0 - 1.4 GPM</t>
  </si>
  <si>
    <t>less than 1.0 GPM</t>
  </si>
  <si>
    <t>Dishwasher</t>
  </si>
  <si>
    <t>0 -9</t>
  </si>
  <si>
    <t>10 - 19</t>
  </si>
  <si>
    <t>20 - 29</t>
  </si>
  <si>
    <t>50 +</t>
  </si>
  <si>
    <t>40 - 49</t>
  </si>
  <si>
    <t>30 -39</t>
  </si>
  <si>
    <t>gallons per rack</t>
  </si>
  <si>
    <t>5 +</t>
  </si>
  <si>
    <t>4 - 5</t>
  </si>
  <si>
    <t>3 - 3.9</t>
  </si>
  <si>
    <t>2 - 2.9</t>
  </si>
  <si>
    <t>1.5 - 1.9</t>
  </si>
  <si>
    <t>1.0 - 1.4</t>
  </si>
  <si>
    <t>less than 1.0</t>
  </si>
  <si>
    <t>Read from Fixture Data</t>
  </si>
  <si>
    <t>gallons per minute</t>
  </si>
  <si>
    <t>Efficiency Description</t>
  </si>
  <si>
    <t>Fixture Count</t>
  </si>
  <si>
    <t>Each end use has different technical levels of efficiency with the lowest level representing the best available (i.e., most water efficient) technology.</t>
  </si>
  <si>
    <t>Total</t>
  </si>
  <si>
    <t>can be divided into total meals served to revise Intensity Factor</t>
  </si>
  <si>
    <t>Intensity Factor assumes one wash rack per 20 meals</t>
  </si>
  <si>
    <t>lbs ice per meal</t>
  </si>
  <si>
    <t>gallons per lb ice</t>
  </si>
  <si>
    <t>lb ice per meal</t>
  </si>
  <si>
    <t>gallon per lb ice</t>
  </si>
  <si>
    <t>gallon per rack</t>
  </si>
  <si>
    <t>rack per meal</t>
  </si>
  <si>
    <t>less than 0.1</t>
  </si>
  <si>
    <t>0.1 - 0.15</t>
  </si>
  <si>
    <t>0.16 - 0.20</t>
  </si>
  <si>
    <t>0.2 - 0.29</t>
  </si>
  <si>
    <t>0.1 - 0.25</t>
  </si>
  <si>
    <t>0.26 - 0.50</t>
  </si>
  <si>
    <t>0.51 - 0.75</t>
  </si>
  <si>
    <t>0.76 - 1.0</t>
  </si>
  <si>
    <t>more efficient</t>
  </si>
  <si>
    <t>most efficient</t>
  </si>
  <si>
    <t>gallons per lb laundry</t>
  </si>
  <si>
    <t>lbs per day per room</t>
  </si>
  <si>
    <t>1.0 +</t>
  </si>
  <si>
    <t xml:space="preserve">Read from Efficiency </t>
  </si>
  <si>
    <t>Read from Intensity</t>
  </si>
  <si>
    <t>Current</t>
  </si>
  <si>
    <t>Optimal</t>
  </si>
  <si>
    <t>Tower Recirculation</t>
  </si>
  <si>
    <t>Evaporation</t>
  </si>
  <si>
    <t>Delta T</t>
  </si>
  <si>
    <t>F</t>
  </si>
  <si>
    <t>Cycles of Concentration</t>
  </si>
  <si>
    <t>Blowdown</t>
  </si>
  <si>
    <t>Cooling Tower Makeup</t>
  </si>
  <si>
    <t>Windage (Drift)</t>
  </si>
  <si>
    <t>Drift Rate</t>
  </si>
  <si>
    <t>cycles</t>
  </si>
  <si>
    <t>% Reduction</t>
  </si>
  <si>
    <t>Rule of Thumb:</t>
  </si>
  <si>
    <t>    W = 0.3 to 1.0 percent of flow for a natural draft cooling tower</t>
  </si>
  <si>
    <t>    W = 0.1 to 0.3 percent of flow for an induced draft cooling tower</t>
  </si>
  <si>
    <t>    W = about 0.01 percent of flow if the cooling tower has windage drift eliminators</t>
  </si>
  <si>
    <t>calculated from Cooling Data</t>
  </si>
  <si>
    <t>5 + GPM</t>
  </si>
  <si>
    <t>Less than 1.0 GPM</t>
  </si>
  <si>
    <t>1.1 - 2.0 GPM</t>
  </si>
  <si>
    <t>2.1 - 2.5 GPM</t>
  </si>
  <si>
    <t>3.1 - 5 GPM</t>
  </si>
  <si>
    <t>2.5 - 3.0 GPM</t>
  </si>
  <si>
    <t>see Cooling Data</t>
  </si>
  <si>
    <t>Drift rate</t>
  </si>
  <si>
    <t>Number of cycles</t>
  </si>
  <si>
    <t>Drift rate (W), in the absence of manufacturer's data, may be assumed to be:</t>
  </si>
  <si>
    <t>Values should correspond with the range of fixture volumes as indicated in Detailed Fixture data.</t>
  </si>
  <si>
    <t>Value should correspond with definition of efficiency and units.</t>
  </si>
  <si>
    <t>Summary graphics are in report format.</t>
  </si>
  <si>
    <t>Values are entered for each efficiency level.</t>
  </si>
  <si>
    <t>Water use metrics for cooling towers are computed separately on Cooling Data and read in from there.</t>
  </si>
  <si>
    <t>Detailed Fixture Data</t>
  </si>
  <si>
    <t>Cooling Data</t>
  </si>
  <si>
    <t>If differences are significant, then user should reassess model inputs to better reflect facility conditions.</t>
  </si>
  <si>
    <t>(Ratio of Estimated to Optimal)</t>
  </si>
  <si>
    <t>Local Name</t>
  </si>
  <si>
    <t>Airport Mapping</t>
  </si>
  <si>
    <t>Savings GPD</t>
  </si>
  <si>
    <t>assume 1 mile of pavement per 500 flights</t>
  </si>
  <si>
    <t>lbs ice per room</t>
  </si>
  <si>
    <t>Vehicles</t>
  </si>
  <si>
    <t>assume 1 mile of pavement per 1000 vehicles</t>
  </si>
  <si>
    <t>Passengers/Rentals/vehicles</t>
  </si>
  <si>
    <t>%Diff</t>
  </si>
  <si>
    <t>No reclaim</t>
  </si>
  <si>
    <t>Maximum reclaim</t>
  </si>
  <si>
    <t>Reclaim</t>
  </si>
  <si>
    <t>Enter Annual Average GPD for Airport, if known</t>
  </si>
  <si>
    <t>FACILITY</t>
  </si>
  <si>
    <t>HIDE THIS COLUMN</t>
  </si>
  <si>
    <t>Percent Least Efficient</t>
  </si>
  <si>
    <t>Percent Standard Efficiency</t>
  </si>
  <si>
    <t>Percent Best Available Efficiency</t>
  </si>
  <si>
    <t>Percentages will always total to 1.</t>
  </si>
  <si>
    <t>Facility_type list = header row</t>
  </si>
  <si>
    <t>IndivFacil</t>
  </si>
  <si>
    <t>Water_Uses list</t>
  </si>
  <si>
    <t>Facility</t>
  </si>
  <si>
    <t>Area</t>
  </si>
  <si>
    <t>End Use</t>
  </si>
  <si>
    <t>Associated Unit</t>
  </si>
  <si>
    <t>Table1</t>
  </si>
  <si>
    <t>Restrooms-Toilets</t>
  </si>
  <si>
    <t>enduse1</t>
  </si>
  <si>
    <t>enduse2</t>
  </si>
  <si>
    <t>enduse3</t>
  </si>
  <si>
    <t>enduse4</t>
  </si>
  <si>
    <t>enduse5</t>
  </si>
  <si>
    <t>enduse6</t>
  </si>
  <si>
    <t>enduse7</t>
  </si>
  <si>
    <t>enduse8</t>
  </si>
  <si>
    <t>enduse9</t>
  </si>
  <si>
    <t>enduse10</t>
  </si>
  <si>
    <t>enduse11</t>
  </si>
  <si>
    <t>enduse12</t>
  </si>
  <si>
    <t>enduse13</t>
  </si>
  <si>
    <t>enduse14</t>
  </si>
  <si>
    <t>enduse15</t>
  </si>
  <si>
    <t>enduse16</t>
  </si>
  <si>
    <t>enduse17</t>
  </si>
  <si>
    <t>enduse18</t>
  </si>
  <si>
    <t>Restrooms-Urinals</t>
  </si>
  <si>
    <t>Landscaping-Outdoor irrigation</t>
  </si>
  <si>
    <t>Guestrooms-Toilets</t>
  </si>
  <si>
    <t>Maintenance-Boiler</t>
  </si>
  <si>
    <t>Restrooms-Faucets</t>
  </si>
  <si>
    <t>Food Service-Kitchen faucets</t>
  </si>
  <si>
    <t>Food Service-Pre-rinse spray valves</t>
  </si>
  <si>
    <t>Food Service-Dishwashers</t>
  </si>
  <si>
    <t>Food Service-Ice machines</t>
  </si>
  <si>
    <t>Maintenance-Cooling</t>
  </si>
  <si>
    <t>Other-Other 1</t>
  </si>
  <si>
    <t>Other-Other 2</t>
  </si>
  <si>
    <t>Other-Other 3</t>
  </si>
  <si>
    <t>Maintenance-Vehicle washing</t>
  </si>
  <si>
    <t>Guestrooms-Showers</t>
  </si>
  <si>
    <t>Break rooms-Faucets</t>
  </si>
  <si>
    <t>Guestrooms-Faucets</t>
  </si>
  <si>
    <t>Maintenance-Training</t>
  </si>
  <si>
    <t>Maintenance-Snow removal</t>
  </si>
  <si>
    <t>Maintenance-Swimming pool</t>
  </si>
  <si>
    <t>Maintenance-Laundry</t>
  </si>
  <si>
    <t>Maintenance-Fleet vehicle washing</t>
  </si>
  <si>
    <t xml:space="preserve">Aircraft-Aircraft cleaning </t>
  </si>
  <si>
    <t xml:space="preserve">Maintenance-Runway rubber removal </t>
  </si>
  <si>
    <t>Aircraft-Onboard aircraft water</t>
  </si>
  <si>
    <t>Aircraft-Deicing</t>
  </si>
  <si>
    <t>Table2</t>
  </si>
  <si>
    <t xml:space="preserve"> </t>
  </si>
  <si>
    <t>Area&amp;Use</t>
  </si>
  <si>
    <t>Least Efficient</t>
  </si>
  <si>
    <t>Standard  Efficiency</t>
  </si>
  <si>
    <t>Best Available Efficiency</t>
  </si>
  <si>
    <t>Enter Annual Average GPD for Facility, if known</t>
  </si>
  <si>
    <t>LIST OF ENTERED FACILITIES</t>
  </si>
  <si>
    <t>READ FROM DATA ENTRY TAB</t>
  </si>
  <si>
    <t>Data Entry</t>
  </si>
  <si>
    <t>Description</t>
  </si>
  <si>
    <t>Table of Efficiency Descriptions</t>
  </si>
  <si>
    <t xml:space="preserve">   </t>
  </si>
  <si>
    <t>Other 1 Undefined Unit</t>
  </si>
  <si>
    <t>Other 2 Undefined Unit</t>
  </si>
  <si>
    <t>Other 3 Undefined Unit</t>
  </si>
  <si>
    <t>Cooling Area sq. ft.</t>
  </si>
  <si>
    <t>% of Year</t>
  </si>
  <si>
    <t>Seasonal Use</t>
  </si>
  <si>
    <t xml:space="preserve">  </t>
  </si>
  <si>
    <t>Percent-ages should always total to 1.0</t>
  </si>
  <si>
    <t>Seasonal Uses</t>
  </si>
  <si>
    <t>365 DAYS</t>
  </si>
  <si>
    <t>ANNUALIZED</t>
  </si>
  <si>
    <t>Conversion Factors and Assumptions:</t>
  </si>
  <si>
    <t>Sq. Feet per Ton</t>
  </si>
  <si>
    <t>Flow rate</t>
  </si>
  <si>
    <t>TOTAL AIRPORT from Data Entry</t>
  </si>
  <si>
    <t>Note: If you want to use the percentages in column M as derived from column P, then enter those percentages in the Data Entry tab.</t>
  </si>
  <si>
    <t xml:space="preserve"> Facility Type</t>
  </si>
  <si>
    <t xml:space="preserve"> Individual Facility</t>
  </si>
  <si>
    <t>blank</t>
  </si>
  <si>
    <t xml:space="preserve"> for this airport</t>
  </si>
  <si>
    <t>one use per employee per day</t>
  </si>
  <si>
    <t>Office Building A</t>
  </si>
  <si>
    <t>Office Building B</t>
  </si>
  <si>
    <t>Office Building C</t>
  </si>
  <si>
    <t>Office Building D</t>
  </si>
  <si>
    <t>Office Building E</t>
  </si>
  <si>
    <t>Flight kitchens-Kitchen faucets</t>
  </si>
  <si>
    <t>Flight kitchens-Dishwashers</t>
  </si>
  <si>
    <t>Flight kitchens-Ice machines</t>
  </si>
  <si>
    <t>Flight kitchens</t>
  </si>
  <si>
    <t>Water Use Ratio is:</t>
  </si>
  <si>
    <t>Water Use Ratio</t>
  </si>
  <si>
    <t>Associated Units</t>
  </si>
  <si>
    <t>SCROLL DOWN FOR MORE DATA ENTRY</t>
  </si>
  <si>
    <t>User input facility verification (meter) data is copied from the Data Entry tab.</t>
  </si>
  <si>
    <t>Local names for each facility are read from Data Entry and used throughout the model.</t>
  </si>
  <si>
    <t>Summary computations are copied from the Summary Tables.</t>
  </si>
  <si>
    <t>TAB</t>
  </si>
  <si>
    <t>Water use per unit metrics are read from Water Use Calcs tab.</t>
  </si>
  <si>
    <t>Three efficiency levels are defined for each end use.</t>
  </si>
  <si>
    <t>Efficiency level values for each end use are read in from Level of Efficiency Assumptions.</t>
  </si>
  <si>
    <t>Intensity of use value is read in from Intensity of Use Assumptions.</t>
  </si>
  <si>
    <t>Computes water use per day per unit by end use for Area and Facility from corresponding parameters.</t>
  </si>
  <si>
    <t>Percent of units by efficiency level is read from Data Entry.</t>
  </si>
  <si>
    <t>Data entry of fixture survey information from individual facilities by end use can be calculated here as replacement for Data Entry values.</t>
  </si>
  <si>
    <t>Calculates makeup water for cooling towers based on cooling area from Data Entry.</t>
  </si>
  <si>
    <t>Unit values are read from Airport Statistics.</t>
  </si>
  <si>
    <t>Graphs are generated from data in Summary Tables.</t>
  </si>
  <si>
    <t>no</t>
  </si>
  <si>
    <t>yes</t>
  </si>
  <si>
    <t>Office Buildings</t>
  </si>
  <si>
    <t>Parking Buildings</t>
  </si>
  <si>
    <t>facility #</t>
  </si>
  <si>
    <t>Select "yes" if you have this type of building and want to include them in the analysis.</t>
  </si>
  <si>
    <t>If Yes, Select # of Buildings from Dropdown List</t>
  </si>
  <si>
    <t>Central Heating/Cooling Plant</t>
  </si>
  <si>
    <t>Fire and Police Stations</t>
  </si>
  <si>
    <t>Maintenance &amp; Services</t>
  </si>
  <si>
    <t>Ground Transportation</t>
  </si>
  <si>
    <t>Ground Transportation A</t>
  </si>
  <si>
    <t>Ground Transportation B</t>
  </si>
  <si>
    <t>Airlines/Cargo Hangers</t>
  </si>
  <si>
    <t>Number of Boilers</t>
  </si>
  <si>
    <t>Maintenance-Pavement cleaning</t>
  </si>
  <si>
    <t>Pavement cleaning</t>
  </si>
  <si>
    <t>Airport Activities</t>
  </si>
  <si>
    <t>Associated with</t>
  </si>
  <si>
    <t>Terminal</t>
  </si>
  <si>
    <t>FBO lobby</t>
  </si>
  <si>
    <t>Number of boilers</t>
  </si>
  <si>
    <t>Office</t>
  </si>
  <si>
    <t>Operations center</t>
  </si>
  <si>
    <t>FAA center</t>
  </si>
  <si>
    <t>FAA tower</t>
  </si>
  <si>
    <t>Classroom</t>
  </si>
  <si>
    <t>Conference center</t>
  </si>
  <si>
    <t>Car rental facility</t>
  </si>
  <si>
    <t>Quick-turn-around facility</t>
  </si>
  <si>
    <t>Passenger transfer area</t>
  </si>
  <si>
    <t>Taxi driver facility</t>
  </si>
  <si>
    <t>Cell lot - waiting area</t>
  </si>
  <si>
    <t>Parking facility</t>
  </si>
  <si>
    <t>Aircraft rescue &amp; firefighting</t>
  </si>
  <si>
    <t>Police station</t>
  </si>
  <si>
    <t>K-9 facility</t>
  </si>
  <si>
    <t>Central heating/cooling facility</t>
  </si>
  <si>
    <t>Maintenance facility</t>
  </si>
  <si>
    <t>Fleet shop</t>
  </si>
  <si>
    <t>Deicing pad</t>
  </si>
  <si>
    <t>Fueling facility</t>
  </si>
  <si>
    <t>Line services</t>
  </si>
  <si>
    <t>Aircraft maintenance</t>
  </si>
  <si>
    <t>Cargo facility</t>
  </si>
  <si>
    <t>Flight kitchen</t>
  </si>
  <si>
    <t>Air National Guard</t>
  </si>
  <si>
    <t>Maintenance, Repair &amp; Overhaul</t>
  </si>
  <si>
    <t>Customs quarantine facility</t>
  </si>
  <si>
    <t>Hotel</t>
  </si>
  <si>
    <t>Please consult the Guidebook and Toolbox for information on using the End Use Water Audit Tool.</t>
  </si>
  <si>
    <t>This is the initial data entry interface for the user for identifying which types of facilities are included in the analysis, and how many buildings in each facility group.</t>
  </si>
  <si>
    <t>Flight school dormitory</t>
  </si>
  <si>
    <t>Vehicle maintenance facility</t>
  </si>
  <si>
    <t>Terminal restaurants</t>
  </si>
  <si>
    <t>Terminal concessions</t>
  </si>
  <si>
    <t>Terminal offices and breakrooms</t>
  </si>
  <si>
    <t>Airline hangar</t>
  </si>
  <si>
    <t>Airlines/Cargo hangars</t>
  </si>
  <si>
    <t>FBO hangar</t>
  </si>
  <si>
    <t>Corporate hangar</t>
  </si>
  <si>
    <t>Airlines/Cargo Hangars</t>
  </si>
  <si>
    <t>could be non-water or 0.125 gpf</t>
  </si>
  <si>
    <t>Facility Name</t>
  </si>
  <si>
    <t>Annual Average Volume in Gallons per Day</t>
  </si>
  <si>
    <t>General</t>
  </si>
  <si>
    <t>Irrigation</t>
  </si>
  <si>
    <t>Vehicle Wash</t>
  </si>
  <si>
    <t>Fire Suppression</t>
  </si>
  <si>
    <t>Bus &amp; Shuttle Facilities</t>
  </si>
  <si>
    <t>Parking Facilities</t>
  </si>
  <si>
    <t>Heating/Cooling Plant</t>
  </si>
  <si>
    <t>Airport Maintenance</t>
  </si>
  <si>
    <t>Airline/Cargo Facilities</t>
  </si>
  <si>
    <t>Add more rows or columns as needed.</t>
  </si>
  <si>
    <t># Meters serving facility</t>
  </si>
  <si>
    <t>Misc.</t>
  </si>
  <si>
    <t>This spreadsheet template can be used to collect and organize water meter billing records by facility and purpose, which will facilitate data entry.</t>
  </si>
  <si>
    <t>Use this list to identify which facility groups to use for categorizing airport activities.</t>
  </si>
  <si>
    <t>The average water use (GPD) for each end use is derived from the average number of associated units (users) and the average volume per use.</t>
  </si>
  <si>
    <t>Water use estimates generated with this Tool are a "snapshot" in time representing the profile or "water footprint" of the airport.</t>
  </si>
  <si>
    <t>Initial results can be viewed in the Calibrate &amp; Verify, Summary Tables and Summary Graphics tabs.</t>
  </si>
  <si>
    <t>Initial estimates can be ajdusted with changes to the number of units, intensity values, distribution of units, and efficiency levels.</t>
  </si>
  <si>
    <t>DESCRIPTION</t>
  </si>
  <si>
    <t>Intensity of use per unit is defined by end use.</t>
  </si>
  <si>
    <t>Select "Yes" or "No" to identify the types of facilities at the airport.</t>
  </si>
  <si>
    <t>For each facility type marked "Yes", select the number of facilities from the dropdown list.</t>
  </si>
  <si>
    <t>Some of the facility types are limited to one entry and the number of facilities is shaded out.</t>
  </si>
  <si>
    <t>Then proceed to the Begin Here tab to select facility types.</t>
  </si>
  <si>
    <t>Enter the total water use for the airport, if known.</t>
  </si>
  <si>
    <t>Add a facility name for each facility, and enter water use if known.</t>
  </si>
  <si>
    <t>Enter the corresponding number of units for each end use in column M.</t>
  </si>
  <si>
    <t>Enter the seasonal percent of year in use factor for seasonal end uses in column Y (default is 6 months).</t>
  </si>
  <si>
    <t>Efficiency Values for End Use</t>
  </si>
  <si>
    <t>Enter the representative percentages of fixtures by efficiency levels in columns T &amp; U. Default is 100% standard efficiency.</t>
  </si>
  <si>
    <t>Then scroll down and enter detailed end use data for each facility.</t>
  </si>
  <si>
    <t>Scroll down to enter detailed end use data for each facility identified above.</t>
  </si>
  <si>
    <t>Values derived from Data Entry</t>
  </si>
  <si>
    <t>Note that changing a value will affect all facilities with the same Area, End Use &amp; Associated Unit.</t>
  </si>
  <si>
    <t>Note that changing a value will affect all facilities with the same Area &amp; End Use.</t>
  </si>
  <si>
    <t>List A</t>
  </si>
  <si>
    <t>List</t>
  </si>
  <si>
    <t>User entered data organized into tables used throughout the model.</t>
  </si>
  <si>
    <t>Number of units for each facility are read from Data Entry and used throughout the model.</t>
  </si>
  <si>
    <t>Hidden tabs:</t>
  </si>
  <si>
    <t>% of Fixtures at Efficiency Level</t>
  </si>
  <si>
    <t>Review the input values for reasonableness.</t>
  </si>
  <si>
    <t>Irrigation Type</t>
  </si>
  <si>
    <t>Spray</t>
  </si>
  <si>
    <t>Rotor</t>
  </si>
  <si>
    <t>Drip</t>
  </si>
  <si>
    <t>Turf</t>
  </si>
  <si>
    <t>N/A </t>
  </si>
  <si>
    <t>Flowers</t>
  </si>
  <si>
    <t>Shrubs</t>
  </si>
  <si>
    <t>Groundcover</t>
  </si>
  <si>
    <t>Drought-tolerant</t>
  </si>
  <si>
    <t xml:space="preserve"> Gallons per Day per Sq Ft.*</t>
  </si>
  <si>
    <t>Turf requires about 1 inch per week.</t>
  </si>
  <si>
    <t>1 inch x 1 sq. ft. = 0.6233 gallons</t>
  </si>
  <si>
    <t>*Assumes weekly requirement plus efficiency loss.</t>
  </si>
  <si>
    <t>Consult the Toolbox #1 for more details and example of adjusting the Tool.</t>
  </si>
  <si>
    <t>Passengers per Day</t>
  </si>
  <si>
    <t>Sq Ft Irrigated</t>
  </si>
  <si>
    <t>Sq Ft Cooled</t>
  </si>
  <si>
    <t>Flights per Day</t>
  </si>
  <si>
    <t>Misc</t>
  </si>
  <si>
    <t>P</t>
  </si>
  <si>
    <t>Rentals per Day</t>
  </si>
  <si>
    <t>Flight Kitchens</t>
  </si>
  <si>
    <t>Occupied rooms per day</t>
  </si>
  <si>
    <t>Meals Served per Day</t>
  </si>
  <si>
    <t>To compare the original profile to water use in a different point in time:</t>
  </si>
  <si>
    <t xml:space="preserve">   C) Enter new updated data in the new file</t>
  </si>
  <si>
    <t>A theoretical optimal water use level is also calculated by assuming that all fixtures are at the most efficient level for a given end use.</t>
  </si>
  <si>
    <t xml:space="preserve">   D) Save the new file and compare results with those of the original file</t>
  </si>
  <si>
    <t xml:space="preserve">   B) Copy and rename the new file (e.g., MyAirport Dec 2015.xls)</t>
  </si>
  <si>
    <t xml:space="preserve">   A) Save the original file (e.g., MyAirport Sept 2015.xls)</t>
  </si>
  <si>
    <t>Remember to save a copy of the original file prior to making adjustments for comparison! (e.g., MyAirport Sept 2015 Initial.xls &amp; MyAirport Sept 2015 Adjusted.xls)</t>
  </si>
  <si>
    <t>Below is a description of each of the worksheets (Tabs) within this spreadsheet model.</t>
  </si>
  <si>
    <t>Note that all tabs have hidden columns that are used to relate data among tabs.</t>
  </si>
  <si>
    <t>Water Use Data Template</t>
  </si>
  <si>
    <t>Fixture Data Template</t>
  </si>
  <si>
    <t>This spreadsheet template can be used to collect and organize fixture use information by facility and purpose, which will facilitate data entry.</t>
  </si>
  <si>
    <t>Water Use Fixture Data Collection Template</t>
  </si>
  <si>
    <t>·</t>
  </si>
  <si>
    <t>Use a separate copy of the template for each facility (building) to be evaluated.</t>
  </si>
  <si>
    <t>Note that this template is set to print format. Print pages 2 - 4 for each facility to be evaluated.</t>
  </si>
  <si>
    <t>Estimate facility statistics as applicable to the facility.</t>
  </si>
  <si>
    <t>Estimate the frequency of use per day relative to the associated unit. This may be the number of fixture uses per day per passenger/employee/meal served/etc. For maintenance equipment it may be uses per day. Note that uses per week, per month or per year should be converted to decimal values (e.g., divide by 7, 30.4, or 365) to get annual average daily use.</t>
  </si>
  <si>
    <t>Facility: ________________________</t>
  </si>
  <si>
    <t>Facility Statistics:</t>
  </si>
  <si>
    <t>Number of passengers/employees per day: ________</t>
  </si>
  <si>
    <t>Flights per day: ________</t>
  </si>
  <si>
    <t>Number of meals served per day: ________</t>
  </si>
  <si>
    <t>Number of vehicles/car rentals per day: _______</t>
  </si>
  <si>
    <t>Square footage of area cooled: ___________</t>
  </si>
  <si>
    <t>Other events: ________</t>
  </si>
  <si>
    <t>Square footage of landscape area irrigated:  ___________</t>
  </si>
  <si>
    <t>Efficiency Distribution by End Use:</t>
  </si>
  <si>
    <t>Frequency of Use</t>
  </si>
  <si>
    <t>Low</t>
  </si>
  <si>
    <t>Medium</t>
  </si>
  <si>
    <t>High</t>
  </si>
  <si>
    <t xml:space="preserve">  -  per passenger/guest</t>
  </si>
  <si>
    <t>Number</t>
  </si>
  <si>
    <t xml:space="preserve">  -  per employee</t>
  </si>
  <si>
    <t xml:space="preserve">  -  per meal served</t>
  </si>
  <si>
    <t xml:space="preserve">  -  per hotel guest</t>
  </si>
  <si>
    <t xml:space="preserve">  -  per training event</t>
  </si>
  <si>
    <t xml:space="preserve">  -  per passenger</t>
  </si>
  <si>
    <t xml:space="preserve">  -  per vehicle</t>
  </si>
  <si>
    <t xml:space="preserve">  -  per flight</t>
  </si>
  <si>
    <t>gallons per flight</t>
  </si>
  <si>
    <t xml:space="preserve">  -  sq. ft. irrigated</t>
  </si>
  <si>
    <t>gallons per day</t>
  </si>
  <si>
    <t>Note that information for cooling has different parameters.</t>
  </si>
  <si>
    <t>least efficient</t>
  </si>
  <si>
    <t>gallons per day per unit</t>
  </si>
  <si>
    <t>Note that where the water use metric is unknown the levels of efficiency are relative. For example: low efficiency (10), 25% more efficient (7.5) and 50% more efficient (5).</t>
  </si>
  <si>
    <t xml:space="preserve">  -  per boiler</t>
  </si>
  <si>
    <t>Sq. ft per ton</t>
  </si>
  <si>
    <t>Aggregate the water billing data into an annual average (in gallons per day) for each facility, and by purpose if possible.</t>
  </si>
  <si>
    <t>This template is designed to sum the water use by purpose for each facility (at the right). And sum water use by purpose across facilities (at the bottom).</t>
  </si>
  <si>
    <t>Remember to scroll down and complete the data entry for each facility listed above!</t>
  </si>
  <si>
    <t>Use the 3 tables in this tab to compare the estimated water use with the actual (metered) water use.</t>
  </si>
  <si>
    <t>The first table is the User entered water use. The second table is the estimated water use. And the third table is the difference.</t>
  </si>
  <si>
    <t>Table 1. Assignment of Airport Activities to Facility Groups based upon End Uses and Associated Metrics</t>
  </si>
  <si>
    <t xml:space="preserve"> Table 2. Associated Units by Facility Type</t>
  </si>
  <si>
    <t>Use Table 1 below to identify which facility group to use for airport activities.</t>
  </si>
  <si>
    <t>Use Table 2 to the right to identify Units associated with each facility group.</t>
  </si>
  <si>
    <t>See Table 2 of the Airport Activities tab for the associated units for activities by facility type.</t>
  </si>
  <si>
    <t>Come back to these tables throughout the adjustment process to gauge progress in calibrating the model.</t>
  </si>
  <si>
    <t>If the difference is positive, then the Estimated value is higher than Actual.</t>
  </si>
  <si>
    <t>Summary Tables of Estimated and Optimal Water Use</t>
  </si>
  <si>
    <t>Note that the Water Use Ratio shown in each table is the ratio of Estimated Current Use to Estimated Optimal Use.</t>
  </si>
  <si>
    <t>A water use ratio of 1.0 indicates optimal water use efficiency. Higher values indicate potential for improving efficiency.</t>
  </si>
  <si>
    <t>These tables are derived from the End Use tab and show the estimated current use, the estimated optimal use, and a water use ratio.</t>
  </si>
  <si>
    <t>Water Use by Facility Group (pie chart and bar chart)</t>
  </si>
  <si>
    <t>The pie charts indicate relative proportions of estimated current water use.</t>
  </si>
  <si>
    <t>These graphics are derived from the Summary Tables.</t>
  </si>
  <si>
    <t>The bar charte indicate the gallons per day of both estimated current and optimal water use.</t>
  </si>
  <si>
    <t>Water Use by Water Use Area (pie chart and bar chart)</t>
  </si>
  <si>
    <t>Water Use by End Use (pie chart and bar chart)</t>
  </si>
  <si>
    <t>Additional graphs may be added, or the graph features of these charts may be modified.</t>
  </si>
  <si>
    <t>End Uses</t>
  </si>
  <si>
    <t xml:space="preserve">    Note that if the difference is positive, then the Estimated value is higher than Actual value.</t>
  </si>
  <si>
    <t>You may also need to view the End Use tab to identify appropriate adjustments to the model inputs as described in Toolbox Tool #1.</t>
  </si>
  <si>
    <t>Review the estimated volumes and resulting percentages for reasonableness.</t>
  </si>
  <si>
    <t>No modifications should be made on this tab!</t>
  </si>
  <si>
    <t>For example, is the percent of facility water use estimated for restrooms seem reasonable, or out of proportion with other uses in the facility?</t>
  </si>
  <si>
    <t>Read from Data Entry</t>
  </si>
  <si>
    <t>The Intensity value reflects the frequency of fixture use per day and should correspond with definition of efficiency and units for each end use.</t>
  </si>
  <si>
    <t>For example, restroom fixtures in terminals correspond with frequency of use per passenger: one use per passenger.</t>
  </si>
  <si>
    <t xml:space="preserve">    However, restroom fixtures for other facilities correspond with frequency of use per employee: four uses per employee per day.</t>
  </si>
  <si>
    <t xml:space="preserve">    There are separate landscape intensity parameters for different facilities to reflect independent watering schedules at different locations.</t>
  </si>
  <si>
    <t>Note that where the water use metric is unknown the levels of efficiency are relative.</t>
  </si>
  <si>
    <t xml:space="preserve">    For example: low efficiency (10), 25% more efficient (7.5) and 50% more efficient (5).</t>
  </si>
  <si>
    <t>The definition of a "use event" should correspond with the associated Intensity value definition for each end use.</t>
  </si>
  <si>
    <t>This worksheet can be used to derive the percent distribution of fixtures by efficiency level by end use.</t>
  </si>
  <si>
    <t>For some fixtures there is a range of possible efficiency levels which are color-coded to correspond with the three efficiency levels.</t>
  </si>
  <si>
    <t>The 3 efficiency levels, from the Level of Efficiency tab, are shown in Column I for reference.</t>
  </si>
  <si>
    <t xml:space="preserve"> Appendix A of the Guidebook &amp; Toolbox provides an example of modifying the cooling tower parameters.</t>
  </si>
  <si>
    <t>Meter Data Organization Template</t>
  </si>
  <si>
    <t>Meter ID</t>
  </si>
  <si>
    <t>The annual average gallons per day (GPD) should be derived from at least 12 months of data.</t>
  </si>
  <si>
    <t xml:space="preserve"> If records for multiple years are available, calculate the average over all years.</t>
  </si>
  <si>
    <t>Facility(s) Served</t>
  </si>
  <si>
    <t>These estimates may need to be revised later.</t>
  </si>
  <si>
    <t>Approx. % of Meter Use for multiple facilities</t>
  </si>
  <si>
    <t>Indicate if water is for specific isolated uses, such as irrigation, fire protection, cooling, car wash, etc.</t>
  </si>
  <si>
    <t>Specific Water Use</t>
  </si>
  <si>
    <t>If a meter serves multiple facilities, list all facilities.</t>
  </si>
  <si>
    <t xml:space="preserve"> Approximate the percent of water to each facility before sorting by facility.</t>
  </si>
  <si>
    <t>Start Data Entry</t>
  </si>
  <si>
    <t>There are hidden tabs that are necessary for data management.</t>
  </si>
  <si>
    <t>Meter Data Template</t>
  </si>
  <si>
    <t>This spreadsheet template can be used to collect and organize water meter billing records, which will facilitate data entry.</t>
  </si>
  <si>
    <t>Essential Data Entry:</t>
  </si>
  <si>
    <t>Output Review tabs:</t>
  </si>
  <si>
    <t>Summary tabs:</t>
  </si>
  <si>
    <t>Instructions</t>
  </si>
  <si>
    <t>This tab is set up according to the Start tab and all other user data is entered through this tab and transposed to respective worksheets.</t>
  </si>
  <si>
    <t>Transfers data entries from Start to Data Entry.</t>
  </si>
  <si>
    <t>employees are 50/50 male/female</t>
  </si>
  <si>
    <t>passengers are 50/50 male/female</t>
  </si>
  <si>
    <t>I per female employee</t>
  </si>
  <si>
    <t>0.25 per male employee</t>
  </si>
  <si>
    <t>0.75 per male employee</t>
  </si>
  <si>
    <t>gallon per day</t>
  </si>
  <si>
    <t>gallon per day per unit</t>
  </si>
  <si>
    <t>gallons per day per sq. ft.</t>
  </si>
  <si>
    <t>Guidance/Labels</t>
  </si>
  <si>
    <t>Detailed Data Entry</t>
  </si>
  <si>
    <t>Linked Data</t>
  </si>
  <si>
    <t>Summary</t>
  </si>
  <si>
    <t>Hidden Tab or Blank Cell</t>
  </si>
  <si>
    <t>Computes GPD by end use for each Area and Facility from corresponding unit values and water use metrics.</t>
  </si>
  <si>
    <t>Two GPDs are calculated for each end use: Estimated Volume based upon three efficiency levels, and Optimal Volume assuming 100% at most efficient level.</t>
  </si>
  <si>
    <t>Water Reduction (GPD)</t>
  </si>
  <si>
    <t>This worksheet calculates the gallon per day (GPD) per unit value of current water use, and optimal GPD per unit value for each end use.</t>
  </si>
  <si>
    <t>The GPD per unit is calculated as the three levels of efficiency (E1, E2 &amp; E3) times their respective percentages, resulting in a weighted average use rate, which is multiplied by the Intensity of use (i.e., uses per unit per day).</t>
  </si>
  <si>
    <t>The GPD per unit for Optimal water use assumes 100% of fixtures are the best-available (E1) efficiency.</t>
  </si>
  <si>
    <t>Water Use GPD per unit</t>
  </si>
  <si>
    <t>Optimal GPD per unit</t>
  </si>
  <si>
    <t>Volume (est. GPD)</t>
  </si>
  <si>
    <t>Recirculation flow is about 3 GPM per ton capacity</t>
  </si>
  <si>
    <t>GPM per Ton</t>
  </si>
  <si>
    <t>GPM</t>
  </si>
  <si>
    <t>could be 2.0 or 2.5 or more GPM</t>
  </si>
  <si>
    <t>could be 1.0 or 1.5 GPM</t>
  </si>
  <si>
    <t>could be 2.5 or 3.0 or more GPM</t>
  </si>
  <si>
    <t>could be 1.5 or 2.0 GPM</t>
  </si>
  <si>
    <t>could be 0.5 or 1.0 GPM</t>
  </si>
  <si>
    <t>could be 2.5 or more GPM</t>
  </si>
  <si>
    <t>could be 1.6 or 2.0 GPM</t>
  </si>
  <si>
    <t>GPM per ton</t>
  </si>
  <si>
    <t>Detailed Data Entry:</t>
  </si>
  <si>
    <t>There are blank scratch sheets included that may help with organizing water use data. These sheets are not linked to the End Use Tool.</t>
  </si>
  <si>
    <t xml:space="preserve">Data Scratch Sheets: </t>
  </si>
  <si>
    <t>For example, if the terminal concessions are included in the terminal metered use, the concessions are part of the terminal facility. However, if the terminal concessions are separately metered, it can be counted as a separate facility.</t>
  </si>
  <si>
    <t>You may have collected this data using the Fixture Data template for each facility.  Or if you have specific fixture data go to the Detailed Fixture Data tab to calculate the efficency levels.</t>
  </si>
  <si>
    <t>You may have collected this data using the Fixture Data template for each facility.</t>
  </si>
  <si>
    <t>Copied from Data Entry</t>
  </si>
  <si>
    <r>
      <t xml:space="preserve">Seasonality of use is applied on the </t>
    </r>
    <r>
      <rPr>
        <b/>
        <sz val="11"/>
        <color theme="1"/>
        <rFont val="Calibri"/>
        <family val="2"/>
        <scheme val="minor"/>
      </rPr>
      <t>Water Use Calcs tab.</t>
    </r>
  </si>
  <si>
    <t xml:space="preserve">If the cooling towers use the same parameters enter the information in Rows 8 and 9.  Adjustments can be made to individual cooling towers by overriding the formula in the green cells for each tower. </t>
  </si>
  <si>
    <t>Hide This Column</t>
  </si>
  <si>
    <t>Table 6. (to the right) calculates difference between the model Estimated Current Use and Actual data.</t>
  </si>
  <si>
    <t>Table 6. Differences between Estimated and Actual</t>
  </si>
  <si>
    <t>Table 5. Estimated Use (Column O) is read from Summary Tables tab.</t>
  </si>
  <si>
    <t>Table 5. Estimated Water Use by Individual Facility</t>
  </si>
  <si>
    <t>Table 4. Actual Usage (Column G) is read from the Data Entry tab.</t>
  </si>
  <si>
    <t>Table 4. Actual Water Usage ( from Data Entry)</t>
  </si>
  <si>
    <r>
      <t xml:space="preserve">See </t>
    </r>
    <r>
      <rPr>
        <b/>
        <sz val="11"/>
        <rFont val="Calibri"/>
        <family val="2"/>
        <scheme val="minor"/>
      </rPr>
      <t>Toolbox Tool #1</t>
    </r>
    <r>
      <rPr>
        <sz val="11"/>
        <rFont val="Calibri"/>
        <family val="2"/>
        <scheme val="minor"/>
      </rPr>
      <t xml:space="preserve"> for a discussion of the recommended 4 step calibration process.</t>
    </r>
  </si>
  <si>
    <r>
      <t xml:space="preserve">Note that the estimate current and optimal GPD values for select end uses are adjusted by the seasonality of use parameter from the </t>
    </r>
    <r>
      <rPr>
        <b/>
        <sz val="11"/>
        <color theme="1"/>
        <rFont val="Calibri"/>
        <family val="2"/>
        <scheme val="minor"/>
      </rPr>
      <t>Data Entry tab.</t>
    </r>
  </si>
  <si>
    <r>
      <t xml:space="preserve">Adjustments to the Distribution (%) of efficiency levels should be made in the </t>
    </r>
    <r>
      <rPr>
        <b/>
        <sz val="11"/>
        <color theme="1"/>
        <rFont val="Calibri"/>
        <family val="2"/>
        <scheme val="minor"/>
      </rPr>
      <t>Data Entry tab.</t>
    </r>
  </si>
  <si>
    <r>
      <t xml:space="preserve">Adjustments to the levels of Efficiency should be made in the </t>
    </r>
    <r>
      <rPr>
        <b/>
        <sz val="11"/>
        <color theme="1"/>
        <rFont val="Calibri"/>
        <family val="2"/>
        <scheme val="minor"/>
      </rPr>
      <t>Level of Efficiency tab.</t>
    </r>
  </si>
  <si>
    <r>
      <t>Adjustments to the Intensity should be made in the</t>
    </r>
    <r>
      <rPr>
        <b/>
        <sz val="11"/>
        <color theme="1"/>
        <rFont val="Calibri"/>
        <family val="2"/>
        <scheme val="minor"/>
      </rPr>
      <t xml:space="preserve"> Intensity of Use tab.</t>
    </r>
  </si>
  <si>
    <r>
      <t xml:space="preserve">Adjustments to the Seasonality should be made in the </t>
    </r>
    <r>
      <rPr>
        <b/>
        <sz val="11"/>
        <color theme="1"/>
        <rFont val="Calibri"/>
        <family val="2"/>
        <scheme val="minor"/>
      </rPr>
      <t>Data Entry tab.</t>
    </r>
  </si>
  <si>
    <r>
      <t xml:space="preserve">This worksheet is the final calculation of the model. Calculations from this tab are read to the </t>
    </r>
    <r>
      <rPr>
        <b/>
        <sz val="11"/>
        <color theme="1"/>
        <rFont val="Calibri"/>
        <family val="2"/>
        <scheme val="minor"/>
      </rPr>
      <t>Summary Table tab.</t>
    </r>
  </si>
  <si>
    <r>
      <t xml:space="preserve">The number of units are read from the </t>
    </r>
    <r>
      <rPr>
        <b/>
        <sz val="11"/>
        <color theme="1"/>
        <rFont val="Calibri"/>
        <family val="2"/>
        <scheme val="minor"/>
      </rPr>
      <t>Data Entry tab.</t>
    </r>
  </si>
  <si>
    <r>
      <t xml:space="preserve">The estimated current use (GPD) and optimal use (GPD) are read from the </t>
    </r>
    <r>
      <rPr>
        <b/>
        <sz val="11"/>
        <color theme="1"/>
        <rFont val="Calibri"/>
        <family val="2"/>
        <scheme val="minor"/>
      </rPr>
      <t>Water Use Calcs tab.</t>
    </r>
  </si>
  <si>
    <r>
      <t xml:space="preserve">Adjustments to the number of units should be made in the </t>
    </r>
    <r>
      <rPr>
        <b/>
        <sz val="11"/>
        <rFont val="Calibri"/>
        <family val="2"/>
        <scheme val="minor"/>
      </rPr>
      <t>Data Entry tab.</t>
    </r>
  </si>
  <si>
    <r>
      <t xml:space="preserve">Adjustments to the volume of use (GPD per unit) requires a review of the </t>
    </r>
    <r>
      <rPr>
        <b/>
        <sz val="11"/>
        <rFont val="Calibri"/>
        <family val="2"/>
        <scheme val="minor"/>
      </rPr>
      <t>Water Use Calcs tab</t>
    </r>
    <r>
      <rPr>
        <sz val="11"/>
        <rFont val="Calibri"/>
        <family val="2"/>
        <scheme val="minor"/>
      </rPr>
      <t xml:space="preserve"> to determine which parameter should be modified.</t>
    </r>
  </si>
  <si>
    <t>Summary Table 1. Water Use by Facility Group</t>
  </si>
  <si>
    <t>Summary Table 2. Water Use by Individual Facility</t>
  </si>
  <si>
    <t>Summary Table 3. Water Use by Water Use Area</t>
  </si>
  <si>
    <t>Summary Table 4. Water Use by Facility Group and Water Use Area</t>
  </si>
  <si>
    <t>Summary Table 5. Water Use by End Use</t>
  </si>
  <si>
    <t>Summary Table 6. Water Use by Facility Group, Water Use Area and End Use</t>
  </si>
  <si>
    <t xml:space="preserve">The following Scratch Sheets have been added to aid in data collection. </t>
  </si>
  <si>
    <t xml:space="preserve">The purpose of the tool is to aid in understanding the water usage at airports. </t>
  </si>
  <si>
    <t xml:space="preserve">It is not necessary to collect end use fixture data in order for this tool to work. </t>
  </si>
  <si>
    <t xml:space="preserve">However, the following sheets are provided to guide in the collection of additional data if desired. </t>
  </si>
  <si>
    <t xml:space="preserve">The following Scratch Sheets are not linked to the tool. </t>
  </si>
  <si>
    <t xml:space="preserve">Upon completion of the data collection the user can enter the information collected as applicable on the following tabs. </t>
  </si>
  <si>
    <t>Detailed Fixture Data tab</t>
  </si>
  <si>
    <t>Cooling Data tab</t>
  </si>
  <si>
    <t>Intensity of Use Assumptions tab</t>
  </si>
  <si>
    <t>Level of Efficiency Assumptions tab</t>
  </si>
  <si>
    <t>Location in Airport</t>
  </si>
  <si>
    <t xml:space="preserve">Annual Average GPD from Water Bill </t>
  </si>
  <si>
    <t>Toilets: Room 1</t>
  </si>
  <si>
    <t>Toilets: Room 2</t>
  </si>
  <si>
    <t>Toilets: Room 3</t>
  </si>
  <si>
    <t>Toilets: Room 4</t>
  </si>
  <si>
    <t>Urinals: Room 1</t>
  </si>
  <si>
    <t>Faucets: Room 2</t>
  </si>
  <si>
    <t>Faucets: Room 1</t>
  </si>
  <si>
    <t>Faucets: Room 3</t>
  </si>
  <si>
    <t>Faucets: Room 4</t>
  </si>
  <si>
    <t>Number (gallons per lb ice)</t>
  </si>
  <si>
    <t>Number (gallons per rack)</t>
  </si>
  <si>
    <t xml:space="preserve">Number (gallon per minute) </t>
  </si>
  <si>
    <t>Food service or Flight Kitchen 1</t>
  </si>
  <si>
    <t>Food service or Flight Kitchen 2</t>
  </si>
  <si>
    <t>Food service or Flight Kitchen 3</t>
  </si>
  <si>
    <t>Number (gallons per day per unit)</t>
  </si>
  <si>
    <t xml:space="preserve">Number (gallons per lb laundry) </t>
  </si>
  <si>
    <t>Fire-fighting Training</t>
  </si>
  <si>
    <t>Number (annualized GPD per event)</t>
  </si>
  <si>
    <t>Number (gallons per vehicle)</t>
  </si>
  <si>
    <t>Number (gallons per flight)</t>
  </si>
  <si>
    <t>Boiler 1</t>
  </si>
  <si>
    <t>Boiler 2</t>
  </si>
  <si>
    <t>Cooling 1</t>
  </si>
  <si>
    <t>Cooling 2</t>
  </si>
  <si>
    <t>Number (gallons per day per sq ft)</t>
  </si>
  <si>
    <t xml:space="preserve">Use </t>
  </si>
  <si>
    <t>Average gallons per day (GPD) is estimated for each facility as the sum of end use GPD estimates.</t>
  </si>
  <si>
    <t>They are designed to be printed and for the user to manually collect the data during a walk-around at the airport</t>
  </si>
  <si>
    <t>Individual End Uses for facility type</t>
  </si>
  <si>
    <t>Water use in each facility is sub-divided by areas (e.g., restrooms, food service, maintenance) and then end uses.</t>
  </si>
  <si>
    <t>assume 1 vehicle wash per 5000 vehicles</t>
  </si>
  <si>
    <t>An initial water use estimate can be generated by completing the Start Data Entry and Data Entry tabs.</t>
  </si>
  <si>
    <t>Rental Car Center E</t>
  </si>
  <si>
    <t>Rental Car Center C</t>
  </si>
  <si>
    <t>Rental Car Center D</t>
  </si>
  <si>
    <t>1. Any misclassified uses?</t>
  </si>
  <si>
    <t>2. Over-estimated # of users?</t>
  </si>
  <si>
    <t>3. Any leaks or unauthorized uses?</t>
  </si>
  <si>
    <t>4. May be more efficient than thought?</t>
  </si>
  <si>
    <t>1. Any missing water use activity?</t>
  </si>
  <si>
    <t>2. Not as efficient as thought?</t>
  </si>
  <si>
    <t>3. Underestimated # of users?</t>
  </si>
  <si>
    <t>If Estimate is Higher than Actual:</t>
  </si>
  <si>
    <t>If Estimate is Lower than Actual:</t>
  </si>
  <si>
    <t>5. Is meter data correct?</t>
  </si>
  <si>
    <t>4. Is meter data correct?</t>
  </si>
  <si>
    <r>
      <t>There are three Efficiency values representing the least efficient (</t>
    </r>
    <r>
      <rPr>
        <b/>
        <sz val="11"/>
        <color theme="1"/>
        <rFont val="Calibri"/>
        <family val="2"/>
        <scheme val="minor"/>
      </rPr>
      <t>E3</t>
    </r>
    <r>
      <rPr>
        <sz val="11"/>
        <color theme="1"/>
        <rFont val="Calibri"/>
        <family val="2"/>
        <scheme val="minor"/>
      </rPr>
      <t>), standard efficiency (</t>
    </r>
    <r>
      <rPr>
        <b/>
        <sz val="11"/>
        <color theme="1"/>
        <rFont val="Calibri"/>
        <family val="2"/>
        <scheme val="minor"/>
      </rPr>
      <t>E2</t>
    </r>
    <r>
      <rPr>
        <sz val="11"/>
        <color theme="1"/>
        <rFont val="Calibri"/>
        <family val="2"/>
        <scheme val="minor"/>
      </rPr>
      <t>) and most efficient (</t>
    </r>
    <r>
      <rPr>
        <b/>
        <sz val="11"/>
        <color theme="1"/>
        <rFont val="Calibri"/>
        <family val="2"/>
        <scheme val="minor"/>
      </rPr>
      <t>E1</t>
    </r>
    <r>
      <rPr>
        <sz val="11"/>
        <color theme="1"/>
        <rFont val="Calibri"/>
        <family val="2"/>
        <scheme val="minor"/>
      </rPr>
      <t>) volume of water per use event for each end use.</t>
    </r>
  </si>
  <si>
    <r>
      <t xml:space="preserve">Consult the tab </t>
    </r>
    <r>
      <rPr>
        <b/>
        <sz val="11"/>
        <color theme="1"/>
        <rFont val="Calibri"/>
        <family val="2"/>
        <scheme val="minor"/>
      </rPr>
      <t>Airport Activities</t>
    </r>
    <r>
      <rPr>
        <sz val="11"/>
        <color theme="1"/>
        <rFont val="Calibri"/>
        <family val="2"/>
        <scheme val="minor"/>
      </rPr>
      <t xml:space="preserve"> to identify which facility group to use for airport activities.</t>
    </r>
  </si>
  <si>
    <r>
      <t xml:space="preserve">Data Entry </t>
    </r>
    <r>
      <rPr>
        <sz val="11"/>
        <color theme="1"/>
        <rFont val="Calibri"/>
        <family val="2"/>
        <scheme val="minor"/>
      </rPr>
      <t xml:space="preserve"> </t>
    </r>
  </si>
  <si>
    <r>
      <t xml:space="preserve">This tab starts with information entered on the </t>
    </r>
    <r>
      <rPr>
        <b/>
        <sz val="11"/>
        <color theme="1"/>
        <rFont val="Calibri"/>
        <family val="2"/>
        <scheme val="minor"/>
      </rPr>
      <t xml:space="preserve">Start Data Entry </t>
    </r>
    <r>
      <rPr>
        <sz val="11"/>
        <color theme="1"/>
        <rFont val="Calibri"/>
        <family val="2"/>
        <scheme val="minor"/>
      </rPr>
      <t>tab.</t>
    </r>
  </si>
  <si>
    <r>
      <rPr>
        <b/>
        <sz val="11"/>
        <color theme="1"/>
        <rFont val="Calibri"/>
        <family val="2"/>
        <scheme val="minor"/>
      </rPr>
      <t>Facility Type</t>
    </r>
    <r>
      <rPr>
        <sz val="11"/>
        <color theme="1"/>
        <rFont val="Calibri"/>
        <family val="2"/>
        <scheme val="minor"/>
      </rPr>
      <t xml:space="preserve"> (Copied from entry on Start Data Entry tab)</t>
    </r>
  </si>
  <si>
    <r>
      <rPr>
        <b/>
        <sz val="11"/>
        <color theme="1"/>
        <rFont val="Calibri"/>
        <family val="2"/>
        <scheme val="minor"/>
      </rPr>
      <t>Individual Facility</t>
    </r>
    <r>
      <rPr>
        <sz val="11"/>
        <color theme="1"/>
        <rFont val="Calibri"/>
        <family val="2"/>
        <scheme val="minor"/>
      </rPr>
      <t xml:space="preserve"> (Copied from entry on Start Data Entry tab)</t>
    </r>
  </si>
  <si>
    <r>
      <rPr>
        <b/>
        <sz val="11"/>
        <color theme="1"/>
        <rFont val="Calibri"/>
        <family val="2"/>
        <scheme val="minor"/>
      </rPr>
      <t>Enter Local Name</t>
    </r>
    <r>
      <rPr>
        <sz val="11"/>
        <color theme="1"/>
        <rFont val="Calibri"/>
        <family val="2"/>
        <scheme val="minor"/>
      </rPr>
      <t xml:space="preserve"> of Facility</t>
    </r>
  </si>
  <si>
    <r>
      <t>Enter Number of Units</t>
    </r>
    <r>
      <rPr>
        <sz val="11"/>
        <color theme="1"/>
        <rFont val="Calibri"/>
        <family val="2"/>
        <scheme val="minor"/>
      </rPr>
      <t xml:space="preserve"> (only enter a value once if it is used multiple times)</t>
    </r>
  </si>
  <si>
    <r>
      <rPr>
        <b/>
        <sz val="11"/>
        <color theme="1"/>
        <rFont val="Calibri"/>
        <family val="2"/>
        <scheme val="minor"/>
      </rPr>
      <t>Enter representative percentages</t>
    </r>
    <r>
      <rPr>
        <sz val="11"/>
        <color theme="1"/>
        <rFont val="Calibri"/>
        <family val="2"/>
        <scheme val="minor"/>
      </rPr>
      <t xml:space="preserve"> for facility and end use</t>
    </r>
  </si>
  <si>
    <r>
      <t>If applicable,</t>
    </r>
    <r>
      <rPr>
        <b/>
        <sz val="11"/>
        <color theme="1"/>
        <rFont val="Calibri"/>
        <family val="2"/>
        <scheme val="minor"/>
      </rPr>
      <t xml:space="preserve"> enter % of year</t>
    </r>
    <r>
      <rPr>
        <sz val="11"/>
        <color theme="1"/>
        <rFont val="Calibri"/>
        <family val="2"/>
        <scheme val="minor"/>
      </rPr>
      <t xml:space="preserve"> in use for seasonal uses      (e.g., 0.5 = 6 months, 0.25 = 3 months, 0.083 = 1 month)</t>
    </r>
  </si>
  <si>
    <r>
      <rPr>
        <b/>
        <sz val="11"/>
        <color theme="1"/>
        <rFont val="Calibri"/>
        <family val="2"/>
        <scheme val="minor"/>
      </rPr>
      <t>Local Name</t>
    </r>
    <r>
      <rPr>
        <sz val="11"/>
        <color theme="1"/>
        <rFont val="Calibri"/>
        <family val="2"/>
        <scheme val="minor"/>
      </rPr>
      <t xml:space="preserve"> of Facility</t>
    </r>
  </si>
  <si>
    <r>
      <t>Annual Average GPD</t>
    </r>
    <r>
      <rPr>
        <sz val="11"/>
        <color theme="1"/>
        <rFont val="Calibri"/>
        <family val="2"/>
        <scheme val="minor"/>
      </rPr>
      <t>, copied from above</t>
    </r>
  </si>
  <si>
    <r>
      <t>This sheet calculates the volume of make-up water for cooling systems given parameter values from the</t>
    </r>
    <r>
      <rPr>
        <b/>
        <sz val="11"/>
        <color theme="1"/>
        <rFont val="Calibri"/>
        <family val="2"/>
        <scheme val="minor"/>
      </rPr>
      <t xml:space="preserve"> Data Entry tab</t>
    </r>
    <r>
      <rPr>
        <sz val="11"/>
        <color theme="1"/>
        <rFont val="Calibri"/>
        <family val="2"/>
        <scheme val="minor"/>
      </rPr>
      <t>, and assumptions set below.</t>
    </r>
  </si>
  <si>
    <r>
      <t xml:space="preserve">Cooling Area sq. ft. is read from </t>
    </r>
    <r>
      <rPr>
        <b/>
        <sz val="11"/>
        <color theme="1"/>
        <rFont val="Calibri"/>
        <family val="2"/>
        <scheme val="minor"/>
      </rPr>
      <t xml:space="preserve">Data Entry Tab </t>
    </r>
    <r>
      <rPr>
        <sz val="11"/>
        <color theme="1"/>
        <rFont val="Calibri"/>
        <family val="2"/>
        <scheme val="minor"/>
      </rPr>
      <t>and converted to flow rate (GPM) for each individual facility.</t>
    </r>
  </si>
  <si>
    <r>
      <t>Efficiency values represent the least efficient (</t>
    </r>
    <r>
      <rPr>
        <b/>
        <sz val="11"/>
        <color theme="1"/>
        <rFont val="Calibri"/>
        <family val="2"/>
        <scheme val="minor"/>
      </rPr>
      <t>E3</t>
    </r>
    <r>
      <rPr>
        <sz val="11"/>
        <color theme="1"/>
        <rFont val="Calibri"/>
        <family val="2"/>
        <scheme val="minor"/>
      </rPr>
      <t>), standard efficiency (</t>
    </r>
    <r>
      <rPr>
        <b/>
        <sz val="11"/>
        <color theme="1"/>
        <rFont val="Calibri"/>
        <family val="2"/>
        <scheme val="minor"/>
      </rPr>
      <t>E2</t>
    </r>
    <r>
      <rPr>
        <sz val="11"/>
        <color theme="1"/>
        <rFont val="Calibri"/>
        <family val="2"/>
        <scheme val="minor"/>
      </rPr>
      <t>) and most efficient (</t>
    </r>
    <r>
      <rPr>
        <b/>
        <sz val="11"/>
        <color theme="1"/>
        <rFont val="Calibri"/>
        <family val="2"/>
        <scheme val="minor"/>
      </rPr>
      <t>E1</t>
    </r>
    <r>
      <rPr>
        <sz val="11"/>
        <color theme="1"/>
        <rFont val="Calibri"/>
        <family val="2"/>
        <scheme val="minor"/>
      </rPr>
      <t>)volume of water per use event for each end use.</t>
    </r>
  </si>
  <si>
    <r>
      <t xml:space="preserve">This template in </t>
    </r>
    <r>
      <rPr>
        <b/>
        <sz val="11"/>
        <color theme="1"/>
        <rFont val="Calibri"/>
        <family val="2"/>
        <scheme val="minor"/>
      </rPr>
      <t>not</t>
    </r>
    <r>
      <rPr>
        <sz val="11"/>
        <color theme="1"/>
        <rFont val="Calibri"/>
        <family val="2"/>
        <scheme val="minor"/>
      </rPr>
      <t xml:space="preserve"> linked to the End Use Model.</t>
    </r>
  </si>
  <si>
    <r>
      <t xml:space="preserve">Review the information on </t>
    </r>
    <r>
      <rPr>
        <b/>
        <sz val="11"/>
        <color theme="1"/>
        <rFont val="Calibri"/>
        <family val="2"/>
        <scheme val="minor"/>
      </rPr>
      <t>Airport Activities tab</t>
    </r>
    <r>
      <rPr>
        <sz val="11"/>
        <color theme="1"/>
        <rFont val="Calibri"/>
        <family val="2"/>
        <scheme val="minor"/>
      </rPr>
      <t xml:space="preserve"> to ensure all water uses are captured. </t>
    </r>
  </si>
  <si>
    <t>LANDSCAPE IRRIGATION WATER USE</t>
  </si>
  <si>
    <t>Water requirements for landscaping vary by climatic and soil zones, and by the type of landscape material.</t>
  </si>
  <si>
    <t>The efficiency of delivering the recommended volume of water varies by irrigation delivery system.</t>
  </si>
  <si>
    <t>The three End Use Tool parameters for landscape irrigation are defined as follows:</t>
  </si>
  <si>
    <t>Irrigation application rates:</t>
  </si>
  <si>
    <t>Note that 1 inch of water over 1 square foot is 0.6233 gallons. One cubic foot (12 inches over 1 square foot) is 7.48 gallons.</t>
  </si>
  <si>
    <t>On average the USDA suggests that turf will usually require 1 to 1.5 inches of water per week under normal conditions.</t>
  </si>
  <si>
    <t>IR</t>
  </si>
  <si>
    <t>Irrigation System Efficiency</t>
  </si>
  <si>
    <t>Med</t>
  </si>
  <si>
    <t>Enter</t>
  </si>
  <si>
    <t>The number of units (landscape sq. ft.) is entered by facility on the Data Entry tab.</t>
  </si>
  <si>
    <t>Turf grass</t>
  </si>
  <si>
    <t>Irrigation Requirement (IR) Comparisons</t>
  </si>
  <si>
    <t>Cool</t>
  </si>
  <si>
    <t>Warm</t>
  </si>
  <si>
    <t>High IR Landscape</t>
  </si>
  <si>
    <t>Moderate IR landscape</t>
  </si>
  <si>
    <t>Low IR landscape</t>
  </si>
  <si>
    <t>irrigation applications per day</t>
  </si>
  <si>
    <t>gallons per sq. ft.</t>
  </si>
  <si>
    <t>gallons per sq ft</t>
  </si>
  <si>
    <t>inches per sq ft landscape</t>
  </si>
  <si>
    <t>The intensity factor for irrigation is discussed below, and entered in the Intensity of Use tab.</t>
  </si>
  <si>
    <t>INTENSITY OF USE</t>
  </si>
  <si>
    <t>The run time is set in the irrigation controller based on the flow rate of the irrigation nozzles and the required application rate.</t>
  </si>
  <si>
    <t>For the End Use Tool, we are not concerned with the run time, only the application rate and the frequency of application.</t>
  </si>
  <si>
    <t>The intensity of use for irrigation is set in the Intensity of Use Assumptions tab and can be set independently for different facility groups.</t>
  </si>
  <si>
    <r>
      <t>·</t>
    </r>
    <r>
      <rPr>
        <sz val="7"/>
        <color theme="1"/>
        <rFont val="Calibri"/>
        <family val="2"/>
        <scheme val="minor"/>
      </rPr>
      <t xml:space="preserve">        </t>
    </r>
    <r>
      <rPr>
        <sz val="11"/>
        <color theme="1"/>
        <rFont val="Calibri"/>
        <family val="2"/>
        <scheme val="minor"/>
      </rPr>
      <t>50% Efficiency: sprinkler type systems that are aging with poor maintenance and lack proper scheduling</t>
    </r>
  </si>
  <si>
    <r>
      <t>·</t>
    </r>
    <r>
      <rPr>
        <sz val="7"/>
        <color theme="1"/>
        <rFont val="Calibri"/>
        <family val="2"/>
        <scheme val="minor"/>
      </rPr>
      <t xml:space="preserve">        </t>
    </r>
    <r>
      <rPr>
        <sz val="11"/>
        <color theme="1"/>
        <rFont val="Calibri"/>
        <family val="2"/>
        <scheme val="minor"/>
      </rPr>
      <t>65% Efficiency: sprinkler type systems that have regular maintenance and proper scheduling</t>
    </r>
  </si>
  <si>
    <r>
      <t>·</t>
    </r>
    <r>
      <rPr>
        <sz val="7"/>
        <color theme="1"/>
        <rFont val="Calibri"/>
        <family val="2"/>
        <scheme val="minor"/>
      </rPr>
      <t xml:space="preserve">        </t>
    </r>
    <r>
      <rPr>
        <sz val="11"/>
        <color theme="1"/>
        <rFont val="Calibri"/>
        <family val="2"/>
        <scheme val="minor"/>
      </rPr>
      <t>85% Efficiency: micro irrigation systems that have regular maintenance and proper scheduling</t>
    </r>
  </si>
  <si>
    <t>Different irrigation systems have different efficiencies in the delivery of water to the plant material.</t>
  </si>
  <si>
    <t>The three levels of efficiency used in the Efficiency Calculator below are defined as follows:</t>
  </si>
  <si>
    <t xml:space="preserve">For example, one inch of water applied by a 0.5 gpm nozzle requires half the run time of an application by a 0.25 gpm nozzle. </t>
  </si>
  <si>
    <t>These factors should be determined by a certified landscape specialist to assure the proper coverage and soil penetration for specific landscape.</t>
  </si>
  <si>
    <t xml:space="preserve">The run time refers to the number of minutes that the irrigation system runs each time it is activated. </t>
  </si>
  <si>
    <t xml:space="preserve">The intensity of use parameter for the End Use Tool reflects the frequency of irrigation activity on a daily basis. </t>
  </si>
  <si>
    <t>However, irrigation frequency is typically expressed in terms of run time and watering schedules.</t>
  </si>
  <si>
    <t>The watering schedule is typically expressed as the number of run times per week, or the number of days per week that watering occurs.</t>
  </si>
  <si>
    <t>In addition, the Percent Seasonal Use parameter for landscaping on the Data Entry tab must also correspond with the efficiency metric and intensity metric.</t>
  </si>
  <si>
    <t>minimum</t>
  </si>
  <si>
    <t>average</t>
  </si>
  <si>
    <t>maximum</t>
  </si>
  <si>
    <t>Representative range of landscape/system options</t>
  </si>
  <si>
    <t>Maximum range from Irrigation tab</t>
  </si>
  <si>
    <t>Minimum range from Irrigation tab</t>
  </si>
  <si>
    <t>Average range from Irrigation tab</t>
  </si>
  <si>
    <t>Provides tables to estimate a range of landscape irrigation requirements. Maximum, average and minimum irrigation values are transferred to Level of Efficiency for landscape irrigation efficiency levels.</t>
  </si>
  <si>
    <t>These Instructions will help determine three representative efficiency values for your airport's region and landscape type.</t>
  </si>
  <si>
    <t>Recommended irrigation application rates are often expressed in inches per week per square foot of irrigated land.</t>
  </si>
  <si>
    <t>This tab provides assistance in estimating the right water irrigation parameters for use in the End Use Tool.</t>
  </si>
  <si>
    <t>landscape material options, and irrigation system efficiency options. These procedures are from the DOE- FEMP publication</t>
  </si>
  <si>
    <r>
      <rPr>
        <i/>
        <sz val="11"/>
        <color theme="1"/>
        <rFont val="Calibri"/>
        <family val="2"/>
      </rPr>
      <t xml:space="preserve">Guidelines for Estimating Unmetered Landscaping Water Use </t>
    </r>
    <r>
      <rPr>
        <sz val="11"/>
        <color theme="1"/>
        <rFont val="Calibri"/>
        <family val="2"/>
        <scheme val="minor"/>
      </rPr>
      <t>(July 2010).</t>
    </r>
  </si>
  <si>
    <t>annual irrigation needs without the need to conduct site-specific irrigation research.</t>
  </si>
  <si>
    <t>The maximum, average and minimum values from the results (yellow box) of the Efficiency Calculator represent the range of</t>
  </si>
  <si>
    <r>
      <rPr>
        <b/>
        <sz val="11"/>
        <color theme="1"/>
        <rFont val="Calibri"/>
        <family val="2"/>
        <scheme val="minor"/>
      </rPr>
      <t>Efficiency</t>
    </r>
    <r>
      <rPr>
        <sz val="11"/>
        <color theme="1"/>
        <rFont val="Calibri"/>
        <family val="2"/>
        <scheme val="minor"/>
      </rPr>
      <t xml:space="preserve"> = </t>
    </r>
  </si>
  <si>
    <r>
      <rPr>
        <b/>
        <sz val="11"/>
        <color theme="1"/>
        <rFont val="Calibri"/>
        <family val="2"/>
        <scheme val="minor"/>
      </rPr>
      <t>Intensity</t>
    </r>
    <r>
      <rPr>
        <sz val="11"/>
        <color theme="1"/>
        <rFont val="Calibri"/>
        <family val="2"/>
        <scheme val="minor"/>
      </rPr>
      <t xml:space="preserve"> = </t>
    </r>
  </si>
  <si>
    <t>Table 1 - City Locations by Climate Zone [ZenTech 2010]</t>
  </si>
  <si>
    <t>Table 3 - Annual Irrigation Factor -- Turfgrass (gal/sqft/year)</t>
  </si>
  <si>
    <t>Climate Zone</t>
  </si>
  <si>
    <t>City</t>
  </si>
  <si>
    <t>State</t>
  </si>
  <si>
    <t>Zip Code</t>
  </si>
  <si>
    <r>
      <t>Peak ET</t>
    </r>
    <r>
      <rPr>
        <sz val="7"/>
        <color indexed="8"/>
        <rFont val="Calibri"/>
        <family val="2"/>
      </rPr>
      <t xml:space="preserve">o </t>
    </r>
    <r>
      <rPr>
        <sz val="11"/>
        <color indexed="8"/>
        <rFont val="Calibri"/>
        <family val="2"/>
      </rPr>
      <t>(in/mo)</t>
    </r>
  </si>
  <si>
    <t>Peak Rainfall (in/mo)</t>
  </si>
  <si>
    <t>cool season turf</t>
  </si>
  <si>
    <t>warm season turf</t>
  </si>
  <si>
    <t>Low density-protected microclimate</t>
  </si>
  <si>
    <t>average density-open microclimate</t>
  </si>
  <si>
    <t>high density-intense exposure</t>
  </si>
  <si>
    <t>Alpine</t>
  </si>
  <si>
    <t>Average</t>
  </si>
  <si>
    <t>Desert</t>
  </si>
  <si>
    <t>Humid Continental - Cool Summer</t>
  </si>
  <si>
    <t>Humid Continental - Warm Summer</t>
  </si>
  <si>
    <t>Humid Southern</t>
  </si>
  <si>
    <t>Marine - West Coast</t>
  </si>
  <si>
    <t>Mediterranean</t>
  </si>
  <si>
    <t>Semi-arid</t>
  </si>
  <si>
    <t>Subarctic</t>
  </si>
  <si>
    <t>Tropical</t>
  </si>
  <si>
    <t>Bozeman</t>
  </si>
  <si>
    <t>MT</t>
  </si>
  <si>
    <t>Laramie</t>
  </si>
  <si>
    <t>WY</t>
  </si>
  <si>
    <t>Santa Fe</t>
  </si>
  <si>
    <t>NM</t>
  </si>
  <si>
    <t>Bakersfield</t>
  </si>
  <si>
    <t>CA</t>
  </si>
  <si>
    <t>Las Vegas</t>
  </si>
  <si>
    <t>NV</t>
  </si>
  <si>
    <t>Phoenix</t>
  </si>
  <si>
    <t>AZ</t>
  </si>
  <si>
    <t>Reno</t>
  </si>
  <si>
    <t>Bangor</t>
  </si>
  <si>
    <t>ME</t>
  </si>
  <si>
    <t>Milwaukee</t>
  </si>
  <si>
    <t>WI</t>
  </si>
  <si>
    <t>Minneapolis</t>
  </si>
  <si>
    <t>MN</t>
  </si>
  <si>
    <t>Boston</t>
  </si>
  <si>
    <t>MA</t>
  </si>
  <si>
    <t>Cincinnati</t>
  </si>
  <si>
    <t>OH</t>
  </si>
  <si>
    <t>Kansas City</t>
  </si>
  <si>
    <t>MO</t>
  </si>
  <si>
    <t>Omaha</t>
  </si>
  <si>
    <t>NE</t>
  </si>
  <si>
    <t>Philadelphia</t>
  </si>
  <si>
    <t>PA</t>
  </si>
  <si>
    <t>Atlanta</t>
  </si>
  <si>
    <t>GA</t>
  </si>
  <si>
    <t>Houston</t>
  </si>
  <si>
    <t>TX</t>
  </si>
  <si>
    <t>Memphis</t>
  </si>
  <si>
    <t>TN</t>
  </si>
  <si>
    <t>New Orleans</t>
  </si>
  <si>
    <t>LA</t>
  </si>
  <si>
    <t>San Antonio</t>
  </si>
  <si>
    <t>Raleigh</t>
  </si>
  <si>
    <t>NC</t>
  </si>
  <si>
    <t>Washington</t>
  </si>
  <si>
    <t>DC</t>
  </si>
  <si>
    <t>Olympia</t>
  </si>
  <si>
    <t>WA</t>
  </si>
  <si>
    <t>Portland</t>
  </si>
  <si>
    <t>OR</t>
  </si>
  <si>
    <t>Seattle</t>
  </si>
  <si>
    <t>Los Angeles</t>
  </si>
  <si>
    <t>Sacramento</t>
  </si>
  <si>
    <t>San Francisco</t>
  </si>
  <si>
    <t>Amarillo</t>
  </si>
  <si>
    <t>Boise</t>
  </si>
  <si>
    <t>ID</t>
  </si>
  <si>
    <t>Denver</t>
  </si>
  <si>
    <t>CO</t>
  </si>
  <si>
    <t>Rapid City</t>
  </si>
  <si>
    <t>SD</t>
  </si>
  <si>
    <t>Salt Lake City</t>
  </si>
  <si>
    <t>UT</t>
  </si>
  <si>
    <t>Anchorage</t>
  </si>
  <si>
    <t>AK</t>
  </si>
  <si>
    <t>Honolulu</t>
  </si>
  <si>
    <t>HI</t>
  </si>
  <si>
    <t>Miami</t>
  </si>
  <si>
    <t>FL</t>
  </si>
  <si>
    <t>Low/</t>
  </si>
  <si>
    <t>Average/</t>
  </si>
  <si>
    <t>High/</t>
  </si>
  <si>
    <t>Protected</t>
  </si>
  <si>
    <t>Open</t>
  </si>
  <si>
    <t>Intense</t>
  </si>
  <si>
    <t>Percent in each column</t>
  </si>
  <si>
    <t>Percent Cool/Warm</t>
  </si>
  <si>
    <t>Turfgrass type</t>
  </si>
  <si>
    <t>Season Type</t>
  </si>
  <si>
    <t>annual bluegrass</t>
  </si>
  <si>
    <t>cool</t>
  </si>
  <si>
    <t>annual ryegrass</t>
  </si>
  <si>
    <t>Bermuda grass</t>
  </si>
  <si>
    <t>warm</t>
  </si>
  <si>
    <t>buffalo grass</t>
  </si>
  <si>
    <t>colonial bentgrass</t>
  </si>
  <si>
    <t>creeping bentgrass</t>
  </si>
  <si>
    <t>hard fescue</t>
  </si>
  <si>
    <t>highland bentgrass</t>
  </si>
  <si>
    <t>Kentucky bluegrass</t>
  </si>
  <si>
    <t>kikuyugrass</t>
  </si>
  <si>
    <t>meadow fescue</t>
  </si>
  <si>
    <t>perennial ryegrass</t>
  </si>
  <si>
    <t>red fescue</t>
  </si>
  <si>
    <t>rough-stalked</t>
  </si>
  <si>
    <t>seashore paspalum</t>
  </si>
  <si>
    <t>St. Augustinegrass</t>
  </si>
  <si>
    <t>tall fescue</t>
  </si>
  <si>
    <t>zoysiagrass</t>
  </si>
  <si>
    <t>Table 2 - Turfgrass Seasons [California Department</t>
  </si>
  <si>
    <t>of Water Resources 2000] [University of Florida</t>
  </si>
  <si>
    <t>2009]</t>
  </si>
  <si>
    <t>Source: DOE-FEMP, 2010, pages 7.</t>
  </si>
  <si>
    <t>Source: DOE-FEMP, 2010, pages 6, 11-13.</t>
  </si>
  <si>
    <t>For example, sprinkler systems tend to have lower efficiency ranging from 50% to 70%, while micro (drip) irrigation</t>
  </si>
  <si>
    <t xml:space="preserve">tends to have efficiency rating between 70% and 90%. </t>
  </si>
  <si>
    <t>That is, some delivery systems lose more water than others to evaporation, runoff and leaks.</t>
  </si>
  <si>
    <t>http://www1.eere.energy.gov/femp/pdfs/est_unmetered_landscape_wtr.pdf</t>
  </si>
  <si>
    <t>Default</t>
  </si>
  <si>
    <t>Default for Tool</t>
  </si>
  <si>
    <t>Climate Zones</t>
  </si>
  <si>
    <t>Figure 1 - Climate Zones of the United States and Puerto Rico from DOE- FEMP publication</t>
  </si>
  <si>
    <t>Find your climate zone by using the map on the right. Then select the climate zone from the drop down menu below. The first item on the</t>
  </si>
  <si>
    <r>
      <rPr>
        <b/>
        <sz val="12.1"/>
        <color theme="1"/>
        <rFont val="Calibri"/>
        <family val="2"/>
      </rPr>
      <t xml:space="preserve">Units </t>
    </r>
    <r>
      <rPr>
        <sz val="11"/>
        <color theme="1"/>
        <rFont val="Calibri"/>
        <family val="2"/>
        <scheme val="minor"/>
      </rPr>
      <t xml:space="preserve"> =</t>
    </r>
  </si>
  <si>
    <t xml:space="preserve">drop-down menu is a default value, which provides the irrigation requirement (IR) for a typical climate zone. The next 10 items in the drop-down list </t>
  </si>
  <si>
    <t xml:space="preserve">provide the IR averagesfor each climate zone. The remaining items on the drop-down list are for the 36 cities on the map. </t>
  </si>
  <si>
    <t xml:space="preserve">See the Irrigation Section of the User's Guide to learn how to select the appropriate city for your airport's location. </t>
  </si>
  <si>
    <t>Enter the percent of turf that is cool-season turf in the box below, as well as the percent of landscape area that that matches the three exposure types.</t>
  </si>
  <si>
    <t>Select climate zone and/or city</t>
  </si>
  <si>
    <t>representative levels of IR from the box above to reflect landscape options that are possible for your airport.</t>
  </si>
  <si>
    <t xml:space="preserve">By default, the tool will use averages from the box above to fill out the table below. Or you can manually enter three </t>
  </si>
  <si>
    <t xml:space="preserve">The information above is used below to calculate the average water use for 3 efficiency levels. </t>
  </si>
  <si>
    <r>
      <t xml:space="preserve">If you chose the manual option, </t>
    </r>
    <r>
      <rPr>
        <b/>
        <sz val="11"/>
        <color theme="1"/>
        <rFont val="Calibri"/>
        <family val="2"/>
        <scheme val="minor"/>
      </rPr>
      <t>Enter</t>
    </r>
    <r>
      <rPr>
        <sz val="11"/>
        <color theme="1"/>
        <rFont val="Calibri"/>
        <family val="2"/>
        <scheme val="minor"/>
      </rPr>
      <t xml:space="preserve"> your three selected IR values in the Efficiency Calculator below.</t>
    </r>
  </si>
  <si>
    <t xml:space="preserve">Green cell (Column E) values can be overwritten if different values are known. </t>
  </si>
  <si>
    <r>
      <t xml:space="preserve">These three levels of efficiency are used for all facilities with irrigation landscape </t>
    </r>
    <r>
      <rPr>
        <sz val="11"/>
        <color theme="1"/>
        <rFont val="Calibri"/>
        <family val="2"/>
        <scheme val="minor"/>
      </rPr>
      <t>as designated in the Data Entry tab.</t>
    </r>
  </si>
  <si>
    <t xml:space="preserve">By following this method, an airport can choose a location that closely matches its own conditions by location and landscape type to estimate </t>
  </si>
  <si>
    <t xml:space="preserve">If you would like more precise estimates than provided by the average for your climate zone, you can use the individual city. </t>
  </si>
  <si>
    <t xml:space="preserve">The Intensity of use metric must be correspond to the application rate as represented by the efficiency levels. </t>
  </si>
  <si>
    <t xml:space="preserve">are used in the assessment of landscape irrigation throughout the Tool. </t>
  </si>
  <si>
    <r>
      <t xml:space="preserve">irrigation efficiency that you can use in the analysis for your airport. These values are </t>
    </r>
    <r>
      <rPr>
        <b/>
        <sz val="11"/>
        <color theme="1"/>
        <rFont val="Calibri"/>
        <family val="2"/>
        <scheme val="minor"/>
      </rPr>
      <t>linked to the Levels of Efficiency tab</t>
    </r>
    <r>
      <rPr>
        <sz val="11"/>
        <color theme="1"/>
        <rFont val="Calibri"/>
        <family val="2"/>
        <scheme val="minor"/>
      </rPr>
      <t xml:space="preserve"> and</t>
    </r>
  </si>
  <si>
    <t>The values for gallons per sq. ft. are derived from inches per sq. ft. application rates as explained below.</t>
  </si>
  <si>
    <t>Square feet of irrigated landscape area.</t>
  </si>
  <si>
    <t>Gallons per square foot at three levels of efficiency.</t>
  </si>
  <si>
    <t>The frequency of irrigation converted to a daily basis (see below).</t>
  </si>
  <si>
    <t>gal/sf/year</t>
  </si>
  <si>
    <t>Irrigation Requirements (IR) can be determined on an annual basis by incorporating the frequency of application by month throughout an average year.</t>
  </si>
  <si>
    <t>The following steps will help identify representative landscape watering irrigation requirements for a given location,</t>
  </si>
  <si>
    <t>This evapotranspiration method for estimating landscape watering requirements was developed to estimate irrigation factors</t>
  </si>
  <si>
    <r>
      <t xml:space="preserve">in </t>
    </r>
    <r>
      <rPr>
        <b/>
        <sz val="11"/>
        <color theme="1"/>
        <rFont val="Calibri"/>
        <family val="2"/>
        <scheme val="minor"/>
      </rPr>
      <t>gallons of water per irrigated square foot per year</t>
    </r>
    <r>
      <rPr>
        <sz val="11"/>
        <color theme="1"/>
        <rFont val="Calibri"/>
        <family val="2"/>
        <scheme val="minor"/>
      </rPr>
      <t xml:space="preserve"> for distinct landscape types in 36 cities across the US. </t>
    </r>
  </si>
  <si>
    <t>(gal/sf/yr)</t>
  </si>
  <si>
    <t xml:space="preserve"> This is the default setting.</t>
  </si>
  <si>
    <t>See the discussion on the Irrigation tab.</t>
  </si>
  <si>
    <r>
      <t xml:space="preserve">If the efficiency metric is inches per </t>
    </r>
    <r>
      <rPr>
        <u/>
        <sz val="11"/>
        <color theme="1"/>
        <rFont val="Calibri"/>
        <family val="2"/>
        <scheme val="minor"/>
      </rPr>
      <t>day</t>
    </r>
    <r>
      <rPr>
        <sz val="11"/>
        <color theme="1"/>
        <rFont val="Calibri"/>
        <family val="2"/>
        <scheme val="minor"/>
      </rPr>
      <t xml:space="preserve"> per square foot (converted to gallons, 1 inch = 0.6233 gallons), then the intensity is 1, </t>
    </r>
  </si>
  <si>
    <r>
      <t xml:space="preserve">The End Uses calculations assume the metric is gallons per square foot per </t>
    </r>
    <r>
      <rPr>
        <u/>
        <sz val="11"/>
        <color theme="1"/>
        <rFont val="Calibri"/>
        <family val="2"/>
        <scheme val="minor"/>
      </rPr>
      <t>day.</t>
    </r>
    <r>
      <rPr>
        <sz val="11"/>
        <color theme="1"/>
        <rFont val="Calibri"/>
        <family val="2"/>
        <scheme val="minor"/>
      </rPr>
      <t xml:space="preserve"> Therefore, Efficiency times Intensity should result in gallons per sq. ft. per day.</t>
    </r>
  </si>
  <si>
    <t>and the seasonal percent should reflect the number of days per year that irrigation occurs (e.g., 120/365 = 0.329).</t>
  </si>
  <si>
    <r>
      <t xml:space="preserve">If the efficiency metric is </t>
    </r>
    <r>
      <rPr>
        <u/>
        <sz val="11"/>
        <color theme="1"/>
        <rFont val="Calibri"/>
        <family val="2"/>
        <scheme val="minor"/>
      </rPr>
      <t>annual</t>
    </r>
    <r>
      <rPr>
        <sz val="11"/>
        <color theme="1"/>
        <rFont val="Calibri"/>
        <family val="2"/>
        <scheme val="minor"/>
      </rPr>
      <t xml:space="preserve"> average gallons per square foot, then the intensity is the number of days per year (1/365 = 0.0027),</t>
    </r>
  </si>
  <si>
    <t>and the seasonal percent is 1 because the efficiency metric is an annual average across the entire year.</t>
  </si>
  <si>
    <r>
      <t xml:space="preserve">If the efficiency metric is inches per </t>
    </r>
    <r>
      <rPr>
        <u/>
        <sz val="11"/>
        <color theme="1"/>
        <rFont val="Calibri"/>
        <family val="2"/>
        <scheme val="minor"/>
      </rPr>
      <t>week</t>
    </r>
    <r>
      <rPr>
        <sz val="11"/>
        <color theme="1"/>
        <rFont val="Calibri"/>
        <family val="2"/>
        <scheme val="minor"/>
      </rPr>
      <t xml:space="preserve"> per square foot (converted to gallons, 1 inch = 0.6233 gallons), then the intensity is the </t>
    </r>
  </si>
  <si>
    <t xml:space="preserve">number of days per week (1/7 = 0.143, 3/7 = 0.429), and the seasonal percent should reflect the number of days per year that </t>
  </si>
  <si>
    <t>irrigation occurs (e.g., 120/365 = 0.329).</t>
  </si>
  <si>
    <r>
      <t xml:space="preserve">Table 6 - Annual Irrigation Factor -- Landscaped Areas with </t>
    </r>
    <r>
      <rPr>
        <b/>
        <i/>
        <u/>
        <sz val="11"/>
        <color theme="1"/>
        <rFont val="Calibri"/>
        <family val="2"/>
      </rPr>
      <t>Low</t>
    </r>
    <r>
      <rPr>
        <b/>
        <sz val="11"/>
        <color theme="1"/>
        <rFont val="Calibri"/>
        <family val="2"/>
      </rPr>
      <t xml:space="preserve"> Water Requirements (gals/sqft/yr)</t>
    </r>
  </si>
  <si>
    <r>
      <t xml:space="preserve">Table 5 - Annual Irrigation Factor -- Landscaped Areas with </t>
    </r>
    <r>
      <rPr>
        <b/>
        <i/>
        <u/>
        <sz val="11"/>
        <color theme="1"/>
        <rFont val="Calibri"/>
        <family val="2"/>
      </rPr>
      <t>Moderate</t>
    </r>
    <r>
      <rPr>
        <b/>
        <sz val="11"/>
        <color theme="1"/>
        <rFont val="Calibri"/>
        <family val="2"/>
      </rPr>
      <t xml:space="preserve"> Water Requirements (gals/sqft/yr)</t>
    </r>
  </si>
  <si>
    <r>
      <t xml:space="preserve">Table 4 - Annual Irrigation Factor -- Landscaped Areas with </t>
    </r>
    <r>
      <rPr>
        <b/>
        <i/>
        <u/>
        <sz val="11"/>
        <color theme="1"/>
        <rFont val="Calibri"/>
        <family val="2"/>
      </rPr>
      <t>High</t>
    </r>
    <r>
      <rPr>
        <b/>
        <sz val="11"/>
        <color theme="1"/>
        <rFont val="Calibri"/>
        <family val="2"/>
      </rPr>
      <t xml:space="preserve"> Water Requirements (gals/sqft/yr)</t>
    </r>
  </si>
  <si>
    <t xml:space="preserve">Yellow cell (Column K) values can be overwritten if different values are preferred. </t>
  </si>
  <si>
    <t>Reference tables of irrigation requirements for Irrigation tab.</t>
  </si>
  <si>
    <t>Version 1.0</t>
  </si>
  <si>
    <t>Values for landscape irrigation are read from Irrigation tab.</t>
  </si>
  <si>
    <t>The value for landscaping irrigation  must be in coordination with the irrigation requierment (efficiency level).</t>
  </si>
  <si>
    <t>Green cells can be overwritten if cooling tower parameters different across Facilities.</t>
  </si>
  <si>
    <t>Remember to save a copy of the original file prior to making adjustments for comparison!</t>
  </si>
  <si>
    <t xml:space="preserve"> (e.g., MyAirport Sept 2015 Initial.xls &amp; MyAirport Sept 2015 Adjusted.xls)</t>
  </si>
  <si>
    <t>This spreadsheet template can be used to collect and organize fixture data  which will facilitate data entry as totals in the detailed fixture data tab.</t>
  </si>
  <si>
    <t>Collect a representative sample or complete inventory for each applicable end use.</t>
  </si>
  <si>
    <t>Calculate the percentage distribution of efficiency levels based on the data from the representative sample or complete inventory for each applicable end use.</t>
  </si>
  <si>
    <t>Template for organization of water use data</t>
  </si>
  <si>
    <t>The organization of this template allows the user to total the water use by end use for each facility.</t>
  </si>
  <si>
    <t>Green shaded cells (Column J) can be overwritten to change the Intensity of Use Assumptions</t>
  </si>
  <si>
    <t xml:space="preserve">The percent distribution of fixtures, from the Data Entry tab, is shown in Column O for reference. </t>
  </si>
  <si>
    <t>Numeric quantities entered in Column Q are automatically aggregated by efficiency level in Column M with the corresponding percent distribution shown in Column N</t>
  </si>
  <si>
    <t>The numeric quantities entered in Column Q should be a good representative sample reflecting the actual conditions of fixtures in the facility.</t>
  </si>
  <si>
    <t>Calculated from Col Q</t>
  </si>
  <si>
    <r>
      <t xml:space="preserve">To use the percentages in column N as derived from column Q, enter those percentages in the </t>
    </r>
    <r>
      <rPr>
        <b/>
        <sz val="11"/>
        <color theme="1"/>
        <rFont val="Calibri"/>
        <family val="2"/>
        <scheme val="minor"/>
      </rPr>
      <t>Data Entry tab</t>
    </r>
    <r>
      <rPr>
        <sz val="11"/>
        <color theme="1"/>
        <rFont val="Calibri"/>
        <family val="2"/>
        <scheme val="minor"/>
      </rPr>
      <t xml:space="preserve"> by end use and facility. This sheet is not linked to </t>
    </r>
    <r>
      <rPr>
        <b/>
        <sz val="11"/>
        <color theme="1"/>
        <rFont val="Calibri"/>
        <family val="2"/>
        <scheme val="minor"/>
      </rPr>
      <t>Data Entry.</t>
    </r>
  </si>
  <si>
    <t>Note: If you want to use the percentages in column N as derived from column Q, then enter those percentages in the Data Entry tab.</t>
  </si>
  <si>
    <t>This spreadsheet template can be used to organize water meter data by meter. (The next tab does it by facility.) For each water meter, data can be recorded by facility and purpose. This will facilitate data entry.</t>
  </si>
  <si>
    <t xml:space="preserve">number of meters serving each facility and the water volume. </t>
  </si>
  <si>
    <t>This template can be used to organize water meter data by facility and purpose. (The previous tab organizes the data by meter.) Record the</t>
  </si>
  <si>
    <r>
      <rPr>
        <b/>
        <sz val="11"/>
        <color theme="1"/>
        <rFont val="Calibri"/>
        <family val="2"/>
        <scheme val="minor"/>
      </rPr>
      <t>NOTE:</t>
    </r>
    <r>
      <rPr>
        <sz val="11"/>
        <color theme="1"/>
        <rFont val="Calibri"/>
        <family val="2"/>
        <scheme val="minor"/>
      </rPr>
      <t xml:space="preserve"> some of the tabs as well as some columns and rows within tabs are password protected to avoid accidental changes.</t>
    </r>
  </si>
  <si>
    <t>The password is: ACRP.</t>
  </si>
  <si>
    <t>Total cannot exceed 32:</t>
  </si>
  <si>
    <r>
      <t xml:space="preserve">See </t>
    </r>
    <r>
      <rPr>
        <b/>
        <sz val="11"/>
        <color theme="1"/>
        <rFont val="Calibri"/>
        <family val="2"/>
        <scheme val="minor"/>
      </rPr>
      <t>Toolbox Tool 1, Exhibit 16</t>
    </r>
    <r>
      <rPr>
        <sz val="11"/>
        <color theme="1"/>
        <rFont val="Calibri"/>
        <family val="2"/>
        <scheme val="minor"/>
      </rPr>
      <t xml:space="preserve"> for an example.</t>
    </r>
  </si>
  <si>
    <r>
      <t xml:space="preserve">See </t>
    </r>
    <r>
      <rPr>
        <b/>
        <sz val="11"/>
        <color theme="1"/>
        <rFont val="Calibri"/>
        <family val="2"/>
        <scheme val="minor"/>
      </rPr>
      <t>Toolbox Tool 1, Exhibits 17 - 21</t>
    </r>
    <r>
      <rPr>
        <sz val="11"/>
        <color theme="1"/>
        <rFont val="Calibri"/>
        <family val="2"/>
        <scheme val="minor"/>
      </rPr>
      <t xml:space="preserve"> for examples.</t>
    </r>
  </si>
  <si>
    <t>An example of using the Tool is included in Toolbox 1.</t>
  </si>
  <si>
    <t>End Use Water Audit Tool</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</si>
</sst>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_(* #,##0_);_(* \(#,##0\);_(* &quot;-&quot;??_);_(@_)"/>
    <numFmt numFmtId="165" formatCode="0.0%"/>
    <numFmt numFmtId="166" formatCode="0.0"/>
    <numFmt numFmtId="167" formatCode="0.000"/>
    <numFmt numFmtId="168" formatCode="_(* #,##0.0_);_(* \(#,##0.0\);_(* &quot;-&quot;??_);_(@_)"/>
    <numFmt numFmtId="169" formatCode="_(* #,##0.0_);_(* \(#,##0.0\);_(* &quot;-&quot;???_);_(@_)"/>
    <numFmt numFmtId="170" formatCode=";;;"/>
    <numFmt numFmtId="171" formatCode="#,##0.000"/>
    <numFmt numFmtId="172" formatCode="0.0000"/>
    <numFmt numFmtId="173" formatCode="0.000%"/>
    <numFmt numFmtId="174" formatCode="_(* #,##0.000_);_(* \(#,##0.000\);_(* &quot;-&quot;??_);_(@_)"/>
    <numFmt numFmtId="175" formatCode="00000"/>
  </numFmts>
  <fonts count="32" x14ac:knownFonts="1">
    <font>
      <sz val="11"/>
      <color theme="1"/>
      <name val="Calibri"/>
      <family val="2"/>
      <scheme val="minor"/>
    </font>
    <font>
      <sz val="11"/>
      <color theme="1"/>
      <name val="Calibri"/>
      <family val="2"/>
      <scheme val="minor"/>
    </font>
    <font>
      <b/>
      <sz val="11"/>
      <color theme="1"/>
      <name val="Calibri"/>
      <family val="2"/>
      <scheme val="minor"/>
    </font>
    <font>
      <sz val="8"/>
      <name val="Arial"/>
      <family val="2"/>
    </font>
    <font>
      <sz val="10"/>
      <color theme="1"/>
      <name val="Calibri"/>
      <family val="2"/>
      <scheme val="minor"/>
    </font>
    <font>
      <b/>
      <sz val="16"/>
      <color theme="1"/>
      <name val="Calibri"/>
      <family val="2"/>
      <scheme val="minor"/>
    </font>
    <font>
      <b/>
      <sz val="11"/>
      <color theme="0"/>
      <name val="Calibri"/>
      <family val="2"/>
      <scheme val="minor"/>
    </font>
    <font>
      <b/>
      <sz val="11"/>
      <name val="Calibri"/>
      <family val="2"/>
      <scheme val="minor"/>
    </font>
    <font>
      <b/>
      <sz val="11"/>
      <color rgb="FFFF0000"/>
      <name val="Calibri"/>
      <family val="2"/>
      <scheme val="minor"/>
    </font>
    <font>
      <sz val="11"/>
      <color rgb="FF000000"/>
      <name val="Calibri"/>
      <family val="2"/>
      <scheme val="minor"/>
    </font>
    <font>
      <sz val="11"/>
      <color theme="0"/>
      <name val="Calibri"/>
      <family val="2"/>
      <scheme val="minor"/>
    </font>
    <font>
      <sz val="11"/>
      <name val="Calibri"/>
      <family val="2"/>
      <scheme val="minor"/>
    </font>
    <font>
      <b/>
      <sz val="9"/>
      <color theme="1"/>
      <name val="Calibri"/>
      <family val="2"/>
      <scheme val="minor"/>
    </font>
    <font>
      <b/>
      <sz val="11"/>
      <color rgb="FF000000"/>
      <name val="Calibri"/>
      <family val="2"/>
      <scheme val="minor"/>
    </font>
    <font>
      <b/>
      <sz val="11"/>
      <color indexed="8"/>
      <name val="Calibri"/>
      <family val="2"/>
      <scheme val="minor"/>
    </font>
    <font>
      <sz val="14"/>
      <color theme="1"/>
      <name val="Calibri"/>
      <family val="2"/>
      <scheme val="minor"/>
    </font>
    <font>
      <b/>
      <sz val="10"/>
      <color indexed="8"/>
      <name val="Calibri"/>
      <family val="2"/>
      <scheme val="minor"/>
    </font>
    <font>
      <b/>
      <sz val="10"/>
      <name val="Calibri"/>
      <family val="2"/>
      <scheme val="minor"/>
    </font>
    <font>
      <u/>
      <sz val="11"/>
      <color theme="10"/>
      <name val="Calibri"/>
      <family val="2"/>
      <scheme val="minor"/>
    </font>
    <font>
      <sz val="9"/>
      <color theme="1"/>
      <name val="Calibri"/>
      <family val="2"/>
      <scheme val="minor"/>
    </font>
    <font>
      <sz val="7"/>
      <color theme="1"/>
      <name val="Calibri"/>
      <family val="2"/>
      <scheme val="minor"/>
    </font>
    <font>
      <i/>
      <sz val="11"/>
      <color theme="1"/>
      <name val="Calibri"/>
      <family val="2"/>
    </font>
    <font>
      <b/>
      <sz val="12.1"/>
      <color theme="1"/>
      <name val="Calibri"/>
      <family val="2"/>
    </font>
    <font>
      <b/>
      <i/>
      <u/>
      <sz val="11"/>
      <color theme="1"/>
      <name val="Calibri"/>
      <family val="2"/>
    </font>
    <font>
      <b/>
      <sz val="11"/>
      <color theme="1"/>
      <name val="Calibri"/>
      <family val="2"/>
    </font>
    <font>
      <sz val="7"/>
      <color indexed="8"/>
      <name val="Calibri"/>
      <family val="2"/>
    </font>
    <font>
      <sz val="11"/>
      <color indexed="8"/>
      <name val="Calibri"/>
      <family val="2"/>
    </font>
    <font>
      <sz val="10"/>
      <name val="Times New Roman"/>
      <family val="1"/>
      <charset val="204"/>
    </font>
    <font>
      <b/>
      <sz val="11"/>
      <color indexed="8"/>
      <name val="Calibri"/>
      <family val="1"/>
      <charset val="204"/>
    </font>
    <font>
      <sz val="11"/>
      <color indexed="8"/>
      <name val="Calibri"/>
      <family val="1"/>
      <charset val="204"/>
    </font>
    <font>
      <sz val="11"/>
      <color rgb="FFFF0000"/>
      <name val="Calibri"/>
      <family val="2"/>
      <scheme val="minor"/>
    </font>
    <font>
      <u/>
      <sz val="11"/>
      <color theme="1"/>
      <name val="Calibri"/>
      <family val="2"/>
      <scheme val="minor"/>
    </font>
  </fonts>
  <fills count="23">
    <fill>
      <patternFill patternType="none"/>
    </fill>
    <fill>
      <patternFill patternType="gray125"/>
    </fill>
    <fill>
      <patternFill patternType="solid">
        <fgColor theme="2" tint="-0.249977111117893"/>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theme="1"/>
        <bgColor theme="1"/>
      </patternFill>
    </fill>
    <fill>
      <patternFill patternType="solid">
        <fgColor theme="0"/>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4" tint="0.59999389629810485"/>
        <bgColor indexed="64"/>
      </patternFill>
    </fill>
    <fill>
      <patternFill patternType="solid">
        <fgColor rgb="FFFFFF99"/>
        <bgColor indexed="64"/>
      </patternFill>
    </fill>
    <fill>
      <patternFill patternType="solid">
        <fgColor rgb="FF7030A0"/>
        <bgColor indexed="64"/>
      </patternFill>
    </fill>
    <fill>
      <patternFill patternType="solid">
        <fgColor theme="7" tint="-0.249977111117893"/>
        <bgColor indexed="64"/>
      </patternFill>
    </fill>
    <fill>
      <patternFill patternType="solid">
        <fgColor theme="6" tint="-0.499984740745262"/>
        <bgColor indexed="64"/>
      </patternFill>
    </fill>
    <fill>
      <patternFill patternType="solid">
        <fgColor rgb="FF00FFFF"/>
        <bgColor indexed="64"/>
      </patternFill>
    </fill>
    <fill>
      <patternFill patternType="solid">
        <fgColor rgb="FFFF99FF"/>
        <bgColor indexed="64"/>
      </patternFill>
    </fill>
    <fill>
      <patternFill patternType="solid">
        <fgColor rgb="FFFF6699"/>
        <bgColor indexed="64"/>
      </patternFill>
    </fill>
    <fill>
      <patternFill patternType="solid">
        <fgColor theme="6" tint="0.59996337778862885"/>
        <bgColor indexed="64"/>
      </patternFill>
    </fill>
    <fill>
      <patternFill patternType="solid">
        <fgColor rgb="FFFFC000"/>
        <bgColor indexed="64"/>
      </patternFill>
    </fill>
  </fills>
  <borders count="89">
    <border>
      <left/>
      <right/>
      <top/>
      <bottom/>
      <diagonal/>
    </border>
    <border>
      <left/>
      <right style="medium">
        <color indexed="64"/>
      </right>
      <top style="medium">
        <color indexed="64"/>
      </top>
      <bottom style="medium">
        <color indexed="64"/>
      </bottom>
      <diagonal/>
    </border>
    <border>
      <left style="medium">
        <color indexed="64"/>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theme="1"/>
      </top>
      <bottom/>
      <diagonal/>
    </border>
    <border>
      <left style="medium">
        <color indexed="64"/>
      </left>
      <right/>
      <top style="thin">
        <color theme="1"/>
      </top>
      <bottom/>
      <diagonal/>
    </border>
    <border>
      <left style="medium">
        <color indexed="64"/>
      </left>
      <right style="thin">
        <color theme="1"/>
      </right>
      <top style="thin">
        <color theme="1"/>
      </top>
      <bottom/>
      <diagonal/>
    </border>
    <border>
      <left/>
      <right/>
      <top style="thin">
        <color theme="1"/>
      </top>
      <bottom/>
      <diagonal/>
    </border>
    <border>
      <left/>
      <right/>
      <top style="thin">
        <color theme="1"/>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18" fillId="0" borderId="0" applyNumberFormat="0" applyFill="0" applyBorder="0" applyAlignment="0" applyProtection="0"/>
  </cellStyleXfs>
  <cellXfs count="1479">
    <xf numFmtId="0" fontId="0" fillId="0" borderId="0" xfId="0"/>
    <xf numFmtId="165" fontId="0" fillId="0" borderId="0" xfId="2" applyNumberFormat="1" applyFont="1" applyBorder="1"/>
    <xf numFmtId="0" fontId="2" fillId="0" borderId="0" xfId="0" applyFont="1"/>
    <xf numFmtId="164" fontId="0" fillId="0" borderId="0" xfId="1" applyNumberFormat="1" applyFont="1" applyBorder="1"/>
    <xf numFmtId="0" fontId="2" fillId="0" borderId="8" xfId="0" applyFont="1" applyBorder="1" applyAlignment="1">
      <alignment vertical="center"/>
    </xf>
    <xf numFmtId="0" fontId="2" fillId="0" borderId="0" xfId="0" applyFont="1" applyFill="1"/>
    <xf numFmtId="0" fontId="2" fillId="0" borderId="0" xfId="0" applyFont="1" applyBorder="1"/>
    <xf numFmtId="0" fontId="2" fillId="0" borderId="16" xfId="0" applyFont="1" applyBorder="1"/>
    <xf numFmtId="0" fontId="2" fillId="0" borderId="17" xfId="0" applyFont="1" applyBorder="1"/>
    <xf numFmtId="9" fontId="0" fillId="0" borderId="0" xfId="2" applyFont="1" applyBorder="1"/>
    <xf numFmtId="0" fontId="0" fillId="3" borderId="15" xfId="0" applyFont="1" applyFill="1" applyBorder="1" applyAlignment="1">
      <alignment horizontal="center"/>
    </xf>
    <xf numFmtId="0" fontId="2" fillId="0" borderId="56" xfId="0" applyFont="1" applyBorder="1" applyAlignment="1">
      <alignment vertical="center"/>
    </xf>
    <xf numFmtId="0" fontId="2" fillId="0" borderId="57" xfId="0" applyFont="1" applyBorder="1" applyAlignment="1">
      <alignment vertical="center"/>
    </xf>
    <xf numFmtId="0" fontId="0" fillId="0" borderId="0" xfId="0" applyFont="1"/>
    <xf numFmtId="0" fontId="0" fillId="0" borderId="36" xfId="0" applyNumberFormat="1" applyFont="1" applyBorder="1"/>
    <xf numFmtId="0" fontId="0" fillId="0" borderId="16" xfId="0" applyNumberFormat="1" applyFont="1" applyBorder="1"/>
    <xf numFmtId="0" fontId="0" fillId="0" borderId="50" xfId="0" applyNumberFormat="1" applyFont="1" applyBorder="1"/>
    <xf numFmtId="2" fontId="0" fillId="0" borderId="36" xfId="0" applyNumberFormat="1" applyFont="1" applyBorder="1"/>
    <xf numFmtId="2" fontId="0" fillId="0" borderId="16" xfId="0" applyNumberFormat="1" applyFont="1" applyBorder="1"/>
    <xf numFmtId="0" fontId="0" fillId="0" borderId="36" xfId="1" applyNumberFormat="1" applyFont="1" applyBorder="1"/>
    <xf numFmtId="0" fontId="0" fillId="0" borderId="52" xfId="0" applyNumberFormat="1" applyFont="1" applyBorder="1"/>
    <xf numFmtId="0" fontId="2" fillId="0" borderId="54" xfId="0" applyFont="1" applyBorder="1"/>
    <xf numFmtId="0" fontId="2" fillId="0" borderId="0" xfId="0" applyFont="1" applyBorder="1" applyAlignment="1">
      <alignment horizontal="center"/>
    </xf>
    <xf numFmtId="2" fontId="0" fillId="0" borderId="0" xfId="2" applyNumberFormat="1" applyFont="1" applyBorder="1"/>
    <xf numFmtId="2" fontId="0" fillId="0" borderId="0" xfId="2" applyNumberFormat="1" applyFont="1" applyFill="1" applyBorder="1"/>
    <xf numFmtId="0" fontId="2" fillId="0" borderId="11" xfId="0" applyFont="1" applyBorder="1" applyAlignment="1">
      <alignment horizontal="centerContinuous"/>
    </xf>
    <xf numFmtId="0" fontId="2" fillId="0" borderId="12" xfId="0" applyFont="1" applyBorder="1" applyAlignment="1">
      <alignment horizontal="centerContinuous"/>
    </xf>
    <xf numFmtId="0" fontId="2" fillId="0" borderId="1" xfId="0" applyFont="1" applyBorder="1" applyAlignment="1">
      <alignment horizontal="centerContinuous"/>
    </xf>
    <xf numFmtId="3" fontId="2" fillId="0" borderId="11" xfId="0" applyNumberFormat="1" applyFont="1" applyBorder="1" applyAlignment="1">
      <alignment horizontal="centerContinuous"/>
    </xf>
    <xf numFmtId="3" fontId="2" fillId="0" borderId="12" xfId="0" applyNumberFormat="1" applyFont="1" applyBorder="1" applyAlignment="1">
      <alignment horizontal="centerContinuous"/>
    </xf>
    <xf numFmtId="3" fontId="2" fillId="0" borderId="1" xfId="0" applyNumberFormat="1" applyFont="1" applyBorder="1" applyAlignment="1">
      <alignment horizontal="centerContinuous"/>
    </xf>
    <xf numFmtId="0" fontId="2" fillId="4" borderId="4" xfId="0" applyFont="1" applyFill="1" applyBorder="1" applyAlignment="1">
      <alignment vertical="center"/>
    </xf>
    <xf numFmtId="0" fontId="2" fillId="0" borderId="0" xfId="0" applyFont="1" applyBorder="1" applyAlignment="1">
      <alignment vertical="center"/>
    </xf>
    <xf numFmtId="0" fontId="2" fillId="0" borderId="12" xfId="0" applyFont="1" applyFill="1" applyBorder="1"/>
    <xf numFmtId="165" fontId="0" fillId="0" borderId="0" xfId="2" applyNumberFormat="1" applyFont="1" applyBorder="1" applyAlignment="1">
      <alignment horizontal="center"/>
    </xf>
    <xf numFmtId="0" fontId="2" fillId="0" borderId="0" xfId="0" applyFont="1" applyAlignment="1">
      <alignment horizontal="center"/>
    </xf>
    <xf numFmtId="49" fontId="0" fillId="0" borderId="8" xfId="0" applyNumberFormat="1" applyFont="1" applyBorder="1"/>
    <xf numFmtId="0" fontId="2" fillId="0" borderId="16" xfId="0" applyFont="1" applyFill="1" applyBorder="1"/>
    <xf numFmtId="0" fontId="2" fillId="0" borderId="19" xfId="0" applyFont="1" applyBorder="1"/>
    <xf numFmtId="0" fontId="2" fillId="0" borderId="20" xfId="0" applyFont="1" applyBorder="1"/>
    <xf numFmtId="0" fontId="7" fillId="0" borderId="19" xfId="0" applyFont="1" applyFill="1" applyBorder="1"/>
    <xf numFmtId="0" fontId="0" fillId="0" borderId="19" xfId="0" applyFont="1" applyBorder="1"/>
    <xf numFmtId="0" fontId="0" fillId="0" borderId="20" xfId="0" applyFont="1" applyBorder="1"/>
    <xf numFmtId="0" fontId="7" fillId="0" borderId="22" xfId="0" applyFont="1" applyFill="1" applyBorder="1"/>
    <xf numFmtId="0" fontId="0" fillId="0" borderId="22" xfId="0" applyFont="1" applyBorder="1"/>
    <xf numFmtId="0" fontId="0" fillId="0" borderId="0" xfId="0" applyFont="1" applyBorder="1"/>
    <xf numFmtId="0" fontId="0" fillId="0" borderId="24" xfId="0" applyFont="1" applyBorder="1"/>
    <xf numFmtId="0" fontId="0" fillId="0" borderId="13" xfId="0" applyFont="1" applyBorder="1"/>
    <xf numFmtId="0" fontId="0" fillId="0" borderId="25" xfId="0" applyFont="1" applyBorder="1"/>
    <xf numFmtId="2" fontId="0" fillId="0" borderId="50" xfId="0" applyNumberFormat="1" applyFont="1" applyBorder="1"/>
    <xf numFmtId="0" fontId="6" fillId="7" borderId="77" xfId="0" applyFont="1" applyFill="1" applyBorder="1"/>
    <xf numFmtId="0" fontId="0" fillId="0" borderId="80" xfId="0" applyFont="1" applyBorder="1"/>
    <xf numFmtId="0" fontId="0" fillId="0" borderId="8" xfId="0" applyNumberFormat="1" applyFont="1" applyBorder="1"/>
    <xf numFmtId="164" fontId="0" fillId="0" borderId="62" xfId="1" applyNumberFormat="1" applyFont="1" applyFill="1" applyBorder="1"/>
    <xf numFmtId="164" fontId="0" fillId="0" borderId="52" xfId="1" applyNumberFormat="1" applyFont="1" applyFill="1" applyBorder="1"/>
    <xf numFmtId="164" fontId="0" fillId="0" borderId="58" xfId="1" applyNumberFormat="1" applyFont="1" applyFill="1" applyBorder="1"/>
    <xf numFmtId="0" fontId="2" fillId="4" borderId="9" xfId="0" applyFont="1" applyFill="1" applyBorder="1" applyAlignment="1">
      <alignment vertical="center"/>
    </xf>
    <xf numFmtId="0" fontId="2" fillId="0" borderId="5" xfId="0" applyFont="1" applyBorder="1"/>
    <xf numFmtId="2" fontId="0" fillId="0" borderId="5" xfId="0" applyNumberFormat="1" applyFont="1" applyBorder="1"/>
    <xf numFmtId="2" fontId="0" fillId="0" borderId="0" xfId="0" applyNumberFormat="1" applyFont="1" applyBorder="1"/>
    <xf numFmtId="2" fontId="0" fillId="0" borderId="0" xfId="1" applyNumberFormat="1" applyFont="1" applyBorder="1"/>
    <xf numFmtId="164" fontId="0" fillId="0" borderId="36" xfId="1" applyNumberFormat="1" applyFont="1" applyFill="1" applyBorder="1"/>
    <xf numFmtId="164" fontId="0" fillId="0" borderId="50" xfId="1" applyNumberFormat="1" applyFont="1" applyFill="1" applyBorder="1"/>
    <xf numFmtId="2" fontId="0" fillId="0" borderId="0" xfId="2" applyNumberFormat="1" applyFont="1" applyBorder="1" applyAlignment="1">
      <alignment horizontal="center"/>
    </xf>
    <xf numFmtId="43" fontId="0" fillId="5" borderId="39" xfId="1" applyFont="1" applyFill="1" applyBorder="1" applyAlignment="1">
      <alignment horizontal="center"/>
    </xf>
    <xf numFmtId="43" fontId="0" fillId="5" borderId="74" xfId="1" applyFont="1" applyFill="1" applyBorder="1" applyAlignment="1">
      <alignment horizontal="center"/>
    </xf>
    <xf numFmtId="164" fontId="0" fillId="5" borderId="52" xfId="1" applyNumberFormat="1" applyFont="1" applyFill="1" applyBorder="1"/>
    <xf numFmtId="164" fontId="0" fillId="5" borderId="58" xfId="1" applyNumberFormat="1" applyFont="1" applyFill="1" applyBorder="1"/>
    <xf numFmtId="43" fontId="0" fillId="5" borderId="40" xfId="1" applyFont="1" applyFill="1" applyBorder="1" applyAlignment="1">
      <alignment horizontal="center"/>
    </xf>
    <xf numFmtId="43" fontId="0" fillId="5" borderId="41" xfId="1" applyFont="1" applyFill="1" applyBorder="1" applyAlignment="1">
      <alignment horizontal="center"/>
    </xf>
    <xf numFmtId="164" fontId="0" fillId="5" borderId="62" xfId="1" applyNumberFormat="1" applyFont="1" applyFill="1" applyBorder="1"/>
    <xf numFmtId="164" fontId="0" fillId="5" borderId="14" xfId="1" applyNumberFormat="1" applyFont="1" applyFill="1" applyBorder="1"/>
    <xf numFmtId="2" fontId="0" fillId="0" borderId="19" xfId="0" applyNumberFormat="1" applyFont="1" applyBorder="1"/>
    <xf numFmtId="2" fontId="0" fillId="0" borderId="22" xfId="0" applyNumberFormat="1" applyFont="1" applyBorder="1"/>
    <xf numFmtId="0" fontId="6" fillId="7" borderId="44" xfId="0" applyFont="1" applyFill="1" applyBorder="1"/>
    <xf numFmtId="0" fontId="6" fillId="7" borderId="36" xfId="0" applyFont="1" applyFill="1" applyBorder="1"/>
    <xf numFmtId="0" fontId="0" fillId="0" borderId="81" xfId="0" applyFont="1" applyBorder="1"/>
    <xf numFmtId="2" fontId="0" fillId="0" borderId="20" xfId="0" applyNumberFormat="1" applyFont="1" applyBorder="1"/>
    <xf numFmtId="2" fontId="0" fillId="0" borderId="23" xfId="0" applyNumberFormat="1" applyFont="1" applyBorder="1"/>
    <xf numFmtId="2" fontId="0" fillId="0" borderId="25" xfId="0" applyNumberFormat="1" applyFont="1" applyBorder="1"/>
    <xf numFmtId="0" fontId="2" fillId="0" borderId="0" xfId="0" applyFont="1" applyFill="1" applyBorder="1"/>
    <xf numFmtId="2" fontId="0" fillId="0" borderId="29" xfId="0" applyNumberFormat="1" applyFont="1" applyBorder="1"/>
    <xf numFmtId="0" fontId="0" fillId="4" borderId="0" xfId="0" applyFont="1" applyFill="1"/>
    <xf numFmtId="43" fontId="0" fillId="5" borderId="82" xfId="1" applyFont="1" applyFill="1" applyBorder="1" applyAlignment="1">
      <alignment horizontal="center"/>
    </xf>
    <xf numFmtId="43" fontId="0" fillId="5" borderId="42" xfId="1" applyFont="1" applyFill="1" applyBorder="1" applyAlignment="1">
      <alignment horizontal="center"/>
    </xf>
    <xf numFmtId="0" fontId="0" fillId="0" borderId="0" xfId="0" applyFont="1" applyFill="1" applyBorder="1"/>
    <xf numFmtId="0" fontId="2" fillId="0" borderId="0" xfId="0" applyFont="1" applyFill="1" applyAlignment="1">
      <alignment horizontal="center"/>
    </xf>
    <xf numFmtId="164" fontId="0" fillId="0" borderId="0" xfId="1" applyNumberFormat="1" applyFont="1" applyFill="1" applyBorder="1"/>
    <xf numFmtId="164" fontId="2" fillId="0" borderId="14" xfId="1" applyNumberFormat="1" applyFont="1" applyFill="1" applyBorder="1"/>
    <xf numFmtId="0" fontId="2" fillId="0" borderId="68" xfId="0" applyFont="1" applyBorder="1" applyAlignment="1">
      <alignment vertical="center"/>
    </xf>
    <xf numFmtId="0" fontId="2" fillId="0" borderId="70" xfId="0" applyFont="1" applyBorder="1" applyAlignment="1">
      <alignment horizontal="center" vertical="center"/>
    </xf>
    <xf numFmtId="0" fontId="2" fillId="0" borderId="21" xfId="0" applyFont="1" applyBorder="1"/>
    <xf numFmtId="0" fontId="2" fillId="0" borderId="18" xfId="0" applyFont="1" applyBorder="1"/>
    <xf numFmtId="0" fontId="8" fillId="0" borderId="0" xfId="0" applyFont="1"/>
    <xf numFmtId="0" fontId="2" fillId="5" borderId="8" xfId="0" applyFont="1" applyFill="1" applyBorder="1"/>
    <xf numFmtId="0" fontId="0" fillId="5" borderId="15" xfId="0" applyFont="1" applyFill="1" applyBorder="1" applyAlignment="1">
      <alignment horizontal="center"/>
    </xf>
    <xf numFmtId="0" fontId="2" fillId="0" borderId="48" xfId="0" applyFont="1" applyBorder="1"/>
    <xf numFmtId="0" fontId="2" fillId="0" borderId="1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8"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2" fillId="0" borderId="8" xfId="0" applyFont="1" applyBorder="1" applyAlignment="1">
      <alignment horizontal="center" textRotation="90"/>
    </xf>
    <xf numFmtId="0" fontId="2" fillId="0" borderId="8" xfId="0" applyFont="1" applyBorder="1" applyAlignment="1">
      <alignment horizontal="center" vertical="center" wrapText="1"/>
    </xf>
    <xf numFmtId="164" fontId="2" fillId="0" borderId="0" xfId="1" applyNumberFormat="1" applyFont="1" applyBorder="1"/>
    <xf numFmtId="0" fontId="2" fillId="0" borderId="11" xfId="0" applyFont="1" applyBorder="1"/>
    <xf numFmtId="0" fontId="2" fillId="0" borderId="12" xfId="0" applyFont="1" applyBorder="1"/>
    <xf numFmtId="0" fontId="2" fillId="0" borderId="1" xfId="0" applyFont="1" applyBorder="1"/>
    <xf numFmtId="0" fontId="5" fillId="0" borderId="0" xfId="0" applyFont="1"/>
    <xf numFmtId="0" fontId="2" fillId="0" borderId="8" xfId="0" applyFont="1" applyBorder="1" applyAlignment="1">
      <alignment horizontal="center" vertical="center"/>
    </xf>
    <xf numFmtId="0" fontId="2" fillId="0" borderId="0" xfId="0" applyFont="1" applyAlignment="1">
      <alignment vertical="center"/>
    </xf>
    <xf numFmtId="0" fontId="2" fillId="0" borderId="0" xfId="0" applyFont="1" applyFill="1" applyBorder="1" applyAlignment="1">
      <alignment horizontal="left" vertical="top"/>
    </xf>
    <xf numFmtId="0" fontId="0" fillId="0" borderId="0" xfId="0" applyFont="1" applyFill="1" applyBorder="1" applyAlignment="1">
      <alignment horizontal="center" vertical="center" wrapText="1"/>
    </xf>
    <xf numFmtId="0" fontId="9" fillId="0" borderId="16" xfId="0" applyFont="1" applyBorder="1" applyAlignment="1">
      <alignment horizontal="center" vertical="center"/>
    </xf>
    <xf numFmtId="0" fontId="0" fillId="0" borderId="0" xfId="0" applyFont="1" applyFill="1" applyBorder="1" applyAlignment="1">
      <alignment vertical="center"/>
    </xf>
    <xf numFmtId="0" fontId="9" fillId="0" borderId="10" xfId="0" applyFont="1" applyBorder="1" applyAlignment="1">
      <alignment vertical="center"/>
    </xf>
    <xf numFmtId="0" fontId="9" fillId="0" borderId="17" xfId="0" applyFont="1" applyBorder="1" applyAlignment="1">
      <alignment vertical="center"/>
    </xf>
    <xf numFmtId="0" fontId="0" fillId="0" borderId="19" xfId="0" applyFont="1" applyBorder="1" applyAlignment="1"/>
    <xf numFmtId="0" fontId="0" fillId="0" borderId="22" xfId="0" applyFont="1" applyBorder="1" applyAlignment="1"/>
    <xf numFmtId="0" fontId="2" fillId="0" borderId="24" xfId="0" applyFont="1" applyBorder="1" applyAlignment="1"/>
    <xf numFmtId="0" fontId="0" fillId="0" borderId="10" xfId="0" applyFont="1" applyBorder="1" applyAlignment="1">
      <alignment horizontal="center" vertical="center"/>
    </xf>
    <xf numFmtId="0" fontId="0" fillId="0" borderId="17" xfId="0" applyFont="1" applyBorder="1" applyAlignment="1">
      <alignment vertical="center"/>
    </xf>
    <xf numFmtId="0" fontId="2" fillId="0" borderId="0" xfId="0" applyFont="1" applyFill="1" applyBorder="1" applyAlignment="1"/>
    <xf numFmtId="0" fontId="0" fillId="0" borderId="0" xfId="0" applyFont="1" applyAlignment="1"/>
    <xf numFmtId="0" fontId="0" fillId="0" borderId="0" xfId="0" applyFont="1" applyAlignment="1">
      <alignment horizontal="center"/>
    </xf>
    <xf numFmtId="0" fontId="0" fillId="0" borderId="0" xfId="0" applyFont="1" applyFill="1"/>
    <xf numFmtId="0" fontId="0" fillId="0" borderId="0" xfId="0" applyFont="1" applyAlignment="1">
      <alignment horizontal="left" vertical="top" wrapText="1"/>
    </xf>
    <xf numFmtId="0" fontId="11" fillId="0" borderId="0" xfId="0" applyFont="1"/>
    <xf numFmtId="0" fontId="0" fillId="8" borderId="15" xfId="0" applyFont="1" applyFill="1" applyBorder="1" applyAlignment="1">
      <alignment horizontal="center"/>
    </xf>
    <xf numFmtId="0" fontId="0" fillId="11" borderId="15" xfId="0" applyFont="1" applyFill="1" applyBorder="1" applyAlignment="1">
      <alignment horizontal="center"/>
    </xf>
    <xf numFmtId="0" fontId="10" fillId="12" borderId="15" xfId="0" applyFont="1" applyFill="1" applyBorder="1" applyAlignment="1">
      <alignment horizontal="center"/>
    </xf>
    <xf numFmtId="0" fontId="0" fillId="13" borderId="15" xfId="0" applyFont="1" applyFill="1" applyBorder="1" applyAlignment="1">
      <alignment horizontal="center"/>
    </xf>
    <xf numFmtId="0" fontId="10" fillId="15" borderId="15" xfId="0" applyFont="1" applyFill="1" applyBorder="1" applyAlignment="1">
      <alignment horizontal="center"/>
    </xf>
    <xf numFmtId="0" fontId="10" fillId="10" borderId="0" xfId="0" applyFont="1" applyFill="1" applyBorder="1" applyAlignment="1">
      <alignment horizontal="center"/>
    </xf>
    <xf numFmtId="0" fontId="5" fillId="0" borderId="0" xfId="0" applyFont="1" applyAlignment="1"/>
    <xf numFmtId="0" fontId="0" fillId="0" borderId="0" xfId="0" applyFont="1" applyAlignment="1">
      <alignment vertical="top"/>
    </xf>
    <xf numFmtId="0" fontId="2" fillId="0" borderId="39" xfId="0" applyFont="1" applyBorder="1" applyAlignment="1">
      <alignment horizontal="center" vertical="top"/>
    </xf>
    <xf numFmtId="0" fontId="0" fillId="0" borderId="0" xfId="0" applyFont="1" applyBorder="1" applyAlignment="1">
      <alignment vertical="top"/>
    </xf>
    <xf numFmtId="0" fontId="2" fillId="0" borderId="0" xfId="0" applyFont="1" applyBorder="1" applyAlignment="1">
      <alignment horizontal="center" vertical="top"/>
    </xf>
    <xf numFmtId="0" fontId="2" fillId="0" borderId="0" xfId="0" applyFont="1" applyAlignment="1">
      <alignment vertical="top"/>
    </xf>
    <xf numFmtId="0" fontId="2" fillId="0" borderId="0" xfId="0" applyFont="1" applyBorder="1" applyAlignment="1">
      <alignment vertical="top"/>
    </xf>
    <xf numFmtId="0" fontId="0" fillId="0" borderId="0" xfId="0" applyFont="1" applyFill="1" applyAlignment="1">
      <alignment vertical="top"/>
    </xf>
    <xf numFmtId="0" fontId="0" fillId="0" borderId="0" xfId="0" applyFont="1" applyFill="1" applyBorder="1" applyAlignment="1">
      <alignment vertical="top"/>
    </xf>
    <xf numFmtId="0" fontId="0" fillId="0" borderId="0" xfId="0" applyFont="1" applyFill="1" applyBorder="1" applyAlignment="1">
      <alignment horizontal="left" vertical="top" wrapText="1"/>
    </xf>
    <xf numFmtId="0" fontId="2" fillId="0" borderId="0" xfId="0" applyFont="1" applyFill="1" applyAlignment="1">
      <alignment vertical="top"/>
    </xf>
    <xf numFmtId="0" fontId="0" fillId="0" borderId="0" xfId="0" applyFont="1" applyFill="1" applyBorder="1" applyAlignment="1">
      <alignment horizontal="center" vertical="top" wrapText="1"/>
    </xf>
    <xf numFmtId="0" fontId="2" fillId="0" borderId="0" xfId="0" applyFont="1" applyAlignment="1">
      <alignment horizontal="center" vertical="top"/>
    </xf>
    <xf numFmtId="0" fontId="2" fillId="5" borderId="26" xfId="0" applyFont="1" applyFill="1" applyBorder="1" applyAlignment="1">
      <alignment vertical="top"/>
    </xf>
    <xf numFmtId="0" fontId="0" fillId="5" borderId="39" xfId="0" applyFont="1" applyFill="1" applyBorder="1" applyAlignment="1">
      <alignment vertical="top" wrapText="1"/>
    </xf>
    <xf numFmtId="0" fontId="2" fillId="11" borderId="26" xfId="0" applyFont="1" applyFill="1" applyBorder="1" applyAlignment="1">
      <alignment horizontal="left" vertical="top"/>
    </xf>
    <xf numFmtId="0" fontId="0" fillId="11" borderId="39" xfId="0" applyFont="1" applyFill="1" applyBorder="1" applyAlignment="1">
      <alignment vertical="top" wrapText="1"/>
    </xf>
    <xf numFmtId="0" fontId="2" fillId="14" borderId="19" xfId="0" applyFont="1" applyFill="1" applyBorder="1" applyAlignment="1">
      <alignment vertical="top"/>
    </xf>
    <xf numFmtId="0" fontId="0" fillId="14" borderId="21" xfId="0" applyFont="1" applyFill="1" applyBorder="1" applyAlignment="1">
      <alignment vertical="top" wrapText="1"/>
    </xf>
    <xf numFmtId="0" fontId="0" fillId="14" borderId="22" xfId="0" applyFont="1" applyFill="1" applyBorder="1" applyAlignment="1">
      <alignment vertical="top"/>
    </xf>
    <xf numFmtId="0" fontId="0" fillId="14" borderId="23" xfId="0" applyFont="1" applyFill="1" applyBorder="1" applyAlignment="1">
      <alignment horizontal="left" vertical="top" wrapText="1"/>
    </xf>
    <xf numFmtId="0" fontId="0" fillId="14" borderId="23" xfId="0" applyFont="1" applyFill="1" applyBorder="1" applyAlignment="1">
      <alignment vertical="top"/>
    </xf>
    <xf numFmtId="0" fontId="0" fillId="14" borderId="23" xfId="0" applyFont="1" applyFill="1" applyBorder="1" applyAlignment="1">
      <alignment vertical="top" wrapText="1"/>
    </xf>
    <xf numFmtId="0" fontId="0" fillId="14" borderId="24" xfId="0" applyFont="1" applyFill="1" applyBorder="1" applyAlignment="1">
      <alignment vertical="top"/>
    </xf>
    <xf numFmtId="0" fontId="0" fillId="14" borderId="25" xfId="0" applyFont="1" applyFill="1" applyBorder="1" applyAlignment="1">
      <alignment vertical="top" wrapText="1"/>
    </xf>
    <xf numFmtId="0" fontId="6" fillId="16" borderId="19" xfId="0" applyFont="1" applyFill="1" applyBorder="1" applyAlignment="1">
      <alignment vertical="top"/>
    </xf>
    <xf numFmtId="0" fontId="10" fillId="16" borderId="21" xfId="0" applyFont="1" applyFill="1" applyBorder="1" applyAlignment="1">
      <alignment vertical="top"/>
    </xf>
    <xf numFmtId="0" fontId="10" fillId="16" borderId="24" xfId="0" applyFont="1" applyFill="1" applyBorder="1" applyAlignment="1">
      <alignment vertical="top"/>
    </xf>
    <xf numFmtId="0" fontId="10" fillId="16" borderId="25" xfId="0" applyFont="1" applyFill="1" applyBorder="1" applyAlignment="1">
      <alignment vertical="top"/>
    </xf>
    <xf numFmtId="0" fontId="2" fillId="8" borderId="26" xfId="0" applyFont="1" applyFill="1" applyBorder="1" applyAlignment="1">
      <alignment horizontal="left" vertical="top"/>
    </xf>
    <xf numFmtId="0" fontId="0" fillId="8" borderId="39" xfId="0" applyFont="1" applyFill="1" applyBorder="1" applyAlignment="1">
      <alignment vertical="top" wrapText="1"/>
    </xf>
    <xf numFmtId="0" fontId="6" fillId="10" borderId="26" xfId="0" applyFont="1" applyFill="1" applyBorder="1" applyAlignment="1">
      <alignment vertical="center"/>
    </xf>
    <xf numFmtId="0" fontId="10" fillId="10" borderId="39" xfId="0" applyFont="1" applyFill="1" applyBorder="1" applyAlignment="1">
      <alignment vertical="center" wrapText="1"/>
    </xf>
    <xf numFmtId="0" fontId="6" fillId="10" borderId="26" xfId="0" applyFont="1" applyFill="1" applyBorder="1" applyAlignment="1">
      <alignment vertical="top"/>
    </xf>
    <xf numFmtId="0" fontId="10" fillId="10" borderId="39" xfId="0" applyFont="1" applyFill="1" applyBorder="1" applyAlignment="1">
      <alignment vertical="top" wrapText="1"/>
    </xf>
    <xf numFmtId="0" fontId="6" fillId="17" borderId="26" xfId="0" applyFont="1" applyFill="1" applyBorder="1" applyAlignment="1">
      <alignment vertical="top"/>
    </xf>
    <xf numFmtId="0" fontId="10" fillId="17" borderId="39" xfId="0" applyFont="1" applyFill="1" applyBorder="1" applyAlignment="1">
      <alignment vertical="top" wrapText="1"/>
    </xf>
    <xf numFmtId="0" fontId="10" fillId="17" borderId="21" xfId="0" applyFont="1" applyFill="1" applyBorder="1" applyAlignment="1">
      <alignment vertical="top"/>
    </xf>
    <xf numFmtId="0" fontId="10" fillId="17" borderId="25" xfId="0" applyFont="1" applyFill="1" applyBorder="1" applyAlignment="1">
      <alignment vertical="top"/>
    </xf>
    <xf numFmtId="0" fontId="10" fillId="17" borderId="23" xfId="0" applyFont="1" applyFill="1" applyBorder="1" applyAlignment="1">
      <alignment vertical="top"/>
    </xf>
    <xf numFmtId="0" fontId="10" fillId="17" borderId="25" xfId="0" applyFont="1" applyFill="1" applyBorder="1" applyAlignment="1">
      <alignment vertical="top" wrapText="1"/>
    </xf>
    <xf numFmtId="0" fontId="2" fillId="11" borderId="0" xfId="0" applyFont="1" applyFill="1"/>
    <xf numFmtId="0" fontId="0" fillId="11" borderId="0" xfId="0" applyFont="1" applyFill="1"/>
    <xf numFmtId="0" fontId="0" fillId="11" borderId="0" xfId="0" applyFont="1" applyFill="1" applyAlignment="1">
      <alignment horizontal="center"/>
    </xf>
    <xf numFmtId="0" fontId="0" fillId="0" borderId="0" xfId="0" applyFont="1" applyAlignment="1">
      <alignment vertical="center" wrapText="1"/>
    </xf>
    <xf numFmtId="0" fontId="0" fillId="0" borderId="4" xfId="0" applyFont="1" applyBorder="1"/>
    <xf numFmtId="0" fontId="0" fillId="0" borderId="2" xfId="0" applyFont="1" applyBorder="1"/>
    <xf numFmtId="0" fontId="9" fillId="0" borderId="0" xfId="0" applyFont="1" applyFill="1" applyBorder="1" applyAlignment="1">
      <alignment vertical="center"/>
    </xf>
    <xf numFmtId="0" fontId="9" fillId="0" borderId="0" xfId="0" applyFont="1" applyBorder="1" applyAlignment="1">
      <alignment vertical="center"/>
    </xf>
    <xf numFmtId="0" fontId="0" fillId="0" borderId="7" xfId="0" applyFont="1" applyBorder="1"/>
    <xf numFmtId="0" fontId="9" fillId="0" borderId="3" xfId="0" applyFont="1" applyBorder="1" applyAlignment="1">
      <alignment vertical="center"/>
    </xf>
    <xf numFmtId="0" fontId="0" fillId="0" borderId="9" xfId="0" applyFont="1" applyBorder="1"/>
    <xf numFmtId="0" fontId="9" fillId="0" borderId="2" xfId="0" applyFont="1" applyBorder="1" applyAlignment="1">
      <alignment horizontal="right" vertical="center"/>
    </xf>
    <xf numFmtId="0" fontId="9" fillId="0" borderId="1" xfId="0" applyFont="1" applyBorder="1" applyAlignment="1">
      <alignment vertical="center"/>
    </xf>
    <xf numFmtId="0" fontId="9" fillId="0" borderId="6" xfId="0" applyFont="1" applyBorder="1" applyAlignment="1">
      <alignment horizontal="right" vertical="center"/>
    </xf>
    <xf numFmtId="49" fontId="0" fillId="0" borderId="70" xfId="0" applyNumberFormat="1" applyFont="1" applyBorder="1"/>
    <xf numFmtId="0" fontId="0" fillId="0" borderId="54" xfId="0" applyNumberFormat="1" applyFont="1" applyBorder="1"/>
    <xf numFmtId="0" fontId="0" fillId="0" borderId="53" xfId="0" applyNumberFormat="1" applyFont="1" applyBorder="1"/>
    <xf numFmtId="0" fontId="0" fillId="0" borderId="40" xfId="0" applyNumberFormat="1" applyFont="1" applyBorder="1"/>
    <xf numFmtId="0" fontId="0" fillId="0" borderId="51" xfId="0" applyNumberFormat="1" applyFont="1" applyBorder="1"/>
    <xf numFmtId="2" fontId="0" fillId="0" borderId="46" xfId="0" applyNumberFormat="1" applyFont="1" applyBorder="1"/>
    <xf numFmtId="0" fontId="0" fillId="0" borderId="70" xfId="0" applyNumberFormat="1" applyFont="1" applyBorder="1"/>
    <xf numFmtId="0" fontId="0" fillId="0" borderId="42" xfId="0" applyNumberFormat="1" applyFont="1" applyBorder="1"/>
    <xf numFmtId="2" fontId="0" fillId="0" borderId="67" xfId="0" applyNumberFormat="1" applyFont="1" applyBorder="1"/>
    <xf numFmtId="0" fontId="0" fillId="5" borderId="5" xfId="0" applyFont="1" applyFill="1" applyBorder="1" applyAlignment="1">
      <alignment horizontal="center"/>
    </xf>
    <xf numFmtId="0" fontId="0" fillId="5" borderId="9" xfId="0" applyFont="1" applyFill="1" applyBorder="1" applyAlignment="1">
      <alignment horizontal="center"/>
    </xf>
    <xf numFmtId="0" fontId="0" fillId="0" borderId="0" xfId="0" applyFont="1" applyBorder="1" applyAlignment="1">
      <alignment horizontal="center"/>
    </xf>
    <xf numFmtId="0" fontId="0" fillId="5" borderId="0" xfId="0" applyFont="1" applyFill="1" applyBorder="1" applyAlignment="1">
      <alignment horizontal="center"/>
    </xf>
    <xf numFmtId="0" fontId="0" fillId="5" borderId="7" xfId="0" applyFont="1" applyFill="1" applyBorder="1" applyAlignment="1">
      <alignment horizontal="center"/>
    </xf>
    <xf numFmtId="0" fontId="0" fillId="10" borderId="7" xfId="0" applyFont="1" applyFill="1" applyBorder="1" applyAlignment="1">
      <alignment horizontal="center"/>
    </xf>
    <xf numFmtId="0" fontId="0" fillId="5" borderId="3" xfId="0" applyFont="1" applyFill="1" applyBorder="1" applyAlignment="1">
      <alignment horizontal="center"/>
    </xf>
    <xf numFmtId="0" fontId="0" fillId="5" borderId="10" xfId="0" applyFont="1" applyFill="1" applyBorder="1" applyAlignment="1">
      <alignment horizontal="center"/>
    </xf>
    <xf numFmtId="0" fontId="9" fillId="0" borderId="2" xfId="0" applyFont="1" applyFill="1" applyBorder="1" applyAlignment="1">
      <alignment vertical="center"/>
    </xf>
    <xf numFmtId="0" fontId="9" fillId="0" borderId="6" xfId="0" applyFont="1" applyFill="1" applyBorder="1" applyAlignment="1">
      <alignment vertical="center"/>
    </xf>
    <xf numFmtId="0" fontId="0" fillId="11" borderId="0" xfId="0" applyFont="1" applyFill="1" applyBorder="1"/>
    <xf numFmtId="0" fontId="0" fillId="0" borderId="1" xfId="0" applyFont="1" applyBorder="1" applyAlignment="1">
      <alignment vertical="center"/>
    </xf>
    <xf numFmtId="0" fontId="0" fillId="0" borderId="0" xfId="0" applyFont="1" applyBorder="1" applyAlignment="1">
      <alignment horizontal="center" wrapText="1"/>
    </xf>
    <xf numFmtId="0" fontId="0" fillId="0" borderId="0" xfId="0" applyFont="1" applyBorder="1" applyAlignment="1">
      <alignment vertical="center"/>
    </xf>
    <xf numFmtId="0" fontId="0" fillId="0" borderId="14" xfId="0" applyFont="1" applyBorder="1" applyAlignment="1">
      <alignment horizontal="center" vertical="center" wrapText="1"/>
    </xf>
    <xf numFmtId="0" fontId="0" fillId="0" borderId="0" xfId="0" applyFont="1" applyBorder="1" applyAlignment="1">
      <alignment wrapText="1"/>
    </xf>
    <xf numFmtId="0" fontId="0" fillId="0" borderId="0" xfId="0" applyFont="1" applyFill="1" applyAlignment="1">
      <alignment horizontal="center"/>
    </xf>
    <xf numFmtId="0" fontId="0" fillId="0" borderId="29" xfId="0" applyFont="1" applyBorder="1"/>
    <xf numFmtId="0" fontId="0" fillId="0" borderId="30" xfId="0" applyFont="1" applyBorder="1"/>
    <xf numFmtId="0" fontId="0" fillId="0" borderId="18" xfId="0" applyFont="1" applyBorder="1"/>
    <xf numFmtId="0" fontId="0" fillId="0" borderId="15" xfId="0" applyFont="1" applyBorder="1"/>
    <xf numFmtId="164" fontId="0" fillId="5" borderId="14" xfId="1" applyNumberFormat="1" applyFont="1" applyFill="1" applyBorder="1" applyProtection="1"/>
    <xf numFmtId="0" fontId="0" fillId="11" borderId="0" xfId="0" applyFont="1" applyFill="1" applyAlignment="1">
      <alignment horizontal="left"/>
    </xf>
    <xf numFmtId="0" fontId="0" fillId="0" borderId="0" xfId="0" applyFont="1" applyFill="1" applyBorder="1" applyAlignment="1">
      <alignment horizontal="center" wrapText="1"/>
    </xf>
    <xf numFmtId="0" fontId="0" fillId="0" borderId="12" xfId="0" applyFont="1" applyFill="1" applyBorder="1" applyAlignment="1">
      <alignment horizontal="center" wrapText="1"/>
    </xf>
    <xf numFmtId="0" fontId="0" fillId="10" borderId="0" xfId="0" applyFont="1" applyFill="1" applyAlignment="1">
      <alignment horizontal="center" vertical="center" wrapText="1"/>
    </xf>
    <xf numFmtId="0" fontId="0" fillId="10" borderId="0" xfId="0" applyFont="1" applyFill="1" applyBorder="1"/>
    <xf numFmtId="0" fontId="0" fillId="10" borderId="0" xfId="0" applyFont="1" applyFill="1"/>
    <xf numFmtId="0" fontId="0" fillId="10" borderId="3" xfId="0" applyFont="1" applyFill="1" applyBorder="1"/>
    <xf numFmtId="0" fontId="0" fillId="0" borderId="7" xfId="0" applyFont="1" applyBorder="1" applyAlignment="1">
      <alignment horizontal="center" vertical="center" wrapText="1"/>
    </xf>
    <xf numFmtId="0" fontId="4" fillId="0" borderId="0" xfId="0" applyFont="1" applyFill="1" applyBorder="1" applyAlignment="1">
      <alignment horizontal="center" wrapText="1"/>
    </xf>
    <xf numFmtId="0" fontId="12" fillId="0" borderId="75" xfId="0" applyFont="1" applyBorder="1" applyAlignment="1">
      <alignment horizontal="center" vertical="center" wrapText="1"/>
    </xf>
    <xf numFmtId="0" fontId="12" fillId="0" borderId="41" xfId="0" applyFont="1" applyBorder="1" applyAlignment="1">
      <alignment horizontal="center" vertical="center" wrapText="1"/>
    </xf>
    <xf numFmtId="0" fontId="0" fillId="0" borderId="0" xfId="0" applyFont="1" applyFill="1" applyBorder="1" applyAlignment="1">
      <alignment horizontal="center"/>
    </xf>
    <xf numFmtId="0" fontId="2" fillId="0" borderId="61" xfId="0" applyFont="1" applyBorder="1"/>
    <xf numFmtId="0" fontId="2" fillId="0" borderId="60" xfId="0" applyFont="1" applyBorder="1" applyAlignment="1">
      <alignment horizontal="center" wrapText="1"/>
    </xf>
    <xf numFmtId="0" fontId="2" fillId="0" borderId="63" xfId="0" applyFont="1" applyBorder="1" applyAlignment="1">
      <alignment horizontal="center" wrapText="1"/>
    </xf>
    <xf numFmtId="0" fontId="2" fillId="0" borderId="17" xfId="0" applyFont="1" applyBorder="1" applyAlignment="1">
      <alignment horizontal="center" vertical="center" wrapText="1"/>
    </xf>
    <xf numFmtId="0" fontId="12" fillId="0" borderId="76" xfId="0" applyFont="1" applyFill="1" applyBorder="1" applyAlignment="1">
      <alignment horizontal="center" vertical="center" wrapText="1"/>
    </xf>
    <xf numFmtId="0" fontId="2" fillId="0" borderId="71" xfId="0" applyFont="1" applyFill="1" applyBorder="1" applyAlignment="1">
      <alignment horizontal="center" vertical="center" wrapText="1"/>
    </xf>
    <xf numFmtId="0" fontId="2" fillId="11" borderId="0" xfId="0" applyFont="1" applyFill="1" applyBorder="1" applyAlignment="1">
      <alignment horizontal="left"/>
    </xf>
    <xf numFmtId="0" fontId="2" fillId="11" borderId="0" xfId="0" applyFont="1" applyFill="1" applyAlignment="1">
      <alignment horizontal="center"/>
    </xf>
    <xf numFmtId="0" fontId="0" fillId="11" borderId="0" xfId="0" applyFont="1" applyFill="1" applyBorder="1" applyAlignment="1">
      <alignment horizontal="left"/>
    </xf>
    <xf numFmtId="43" fontId="0" fillId="4" borderId="73" xfId="1" applyFont="1" applyFill="1" applyBorder="1" applyAlignment="1">
      <alignment horizontal="center"/>
    </xf>
    <xf numFmtId="43" fontId="0" fillId="4" borderId="8" xfId="1" applyFont="1" applyFill="1" applyBorder="1"/>
    <xf numFmtId="43" fontId="0" fillId="4" borderId="71" xfId="1" applyFont="1" applyFill="1" applyBorder="1" applyAlignment="1">
      <alignment horizontal="center"/>
    </xf>
    <xf numFmtId="43" fontId="0" fillId="4" borderId="16" xfId="1" applyFont="1" applyFill="1" applyBorder="1"/>
    <xf numFmtId="43" fontId="0" fillId="4" borderId="76" xfId="1" applyFont="1" applyFill="1" applyBorder="1" applyAlignment="1">
      <alignment horizontal="center"/>
    </xf>
    <xf numFmtId="43" fontId="0" fillId="4" borderId="17" xfId="1" applyFont="1" applyFill="1" applyBorder="1"/>
    <xf numFmtId="2" fontId="0" fillId="13" borderId="55" xfId="0" applyNumberFormat="1" applyFont="1" applyFill="1" applyBorder="1"/>
    <xf numFmtId="2" fontId="0" fillId="13" borderId="47" xfId="0" applyNumberFormat="1" applyFont="1" applyFill="1" applyBorder="1"/>
    <xf numFmtId="2" fontId="0" fillId="13" borderId="69" xfId="0" applyNumberFormat="1" applyFont="1" applyFill="1" applyBorder="1"/>
    <xf numFmtId="0" fontId="2" fillId="0" borderId="68" xfId="0" applyFont="1" applyBorder="1" applyAlignment="1">
      <alignment horizontal="center"/>
    </xf>
    <xf numFmtId="0" fontId="2" fillId="0" borderId="42" xfId="0" applyFont="1" applyBorder="1" applyAlignment="1">
      <alignment horizontal="center"/>
    </xf>
    <xf numFmtId="0" fontId="7" fillId="0" borderId="19" xfId="0" applyFont="1" applyFill="1" applyBorder="1" applyAlignment="1">
      <alignment horizontal="center" vertical="center"/>
    </xf>
    <xf numFmtId="0" fontId="11" fillId="18" borderId="19" xfId="0" applyFont="1" applyFill="1" applyBorder="1" applyAlignment="1">
      <alignment horizontal="center" vertical="center"/>
    </xf>
    <xf numFmtId="0" fontId="11" fillId="18" borderId="22" xfId="0" applyFont="1" applyFill="1" applyBorder="1" applyAlignment="1">
      <alignment horizontal="right" vertical="center"/>
    </xf>
    <xf numFmtId="0" fontId="11" fillId="0" borderId="22" xfId="0" applyFont="1" applyFill="1" applyBorder="1" applyAlignment="1">
      <alignment horizontal="center" vertical="center"/>
    </xf>
    <xf numFmtId="0" fontId="11" fillId="0" borderId="22" xfId="0" applyFont="1" applyFill="1" applyBorder="1" applyAlignment="1">
      <alignment horizontal="right" vertical="center"/>
    </xf>
    <xf numFmtId="0" fontId="11" fillId="19" borderId="24" xfId="0" applyFont="1" applyFill="1" applyBorder="1" applyAlignment="1">
      <alignment horizontal="center" vertical="center"/>
    </xf>
    <xf numFmtId="0" fontId="11" fillId="19" borderId="22" xfId="0" applyFont="1" applyFill="1" applyBorder="1" applyAlignment="1">
      <alignment horizontal="right" vertical="center"/>
    </xf>
    <xf numFmtId="0" fontId="2" fillId="0" borderId="0" xfId="0" applyFont="1" applyFill="1" applyBorder="1" applyAlignment="1">
      <alignment horizontal="right" vertical="center"/>
    </xf>
    <xf numFmtId="0" fontId="11" fillId="19" borderId="0" xfId="0" applyFont="1" applyFill="1" applyBorder="1" applyAlignment="1">
      <alignment horizontal="right" vertical="center"/>
    </xf>
    <xf numFmtId="0" fontId="11" fillId="18" borderId="0" xfId="0" applyFont="1" applyFill="1" applyBorder="1" applyAlignment="1">
      <alignment horizontal="right" vertical="center"/>
    </xf>
    <xf numFmtId="0" fontId="11" fillId="0" borderId="0" xfId="0" applyFont="1" applyFill="1" applyBorder="1" applyAlignment="1">
      <alignment horizontal="right" vertical="center"/>
    </xf>
    <xf numFmtId="0" fontId="2" fillId="0" borderId="24" xfId="0" applyFont="1" applyFill="1" applyBorder="1" applyAlignment="1">
      <alignment horizontal="right" vertical="center"/>
    </xf>
    <xf numFmtId="0" fontId="2" fillId="0" borderId="23" xfId="0" applyFont="1" applyFill="1" applyBorder="1" applyAlignment="1">
      <alignment horizontal="right" vertical="center"/>
    </xf>
    <xf numFmtId="0" fontId="14" fillId="0" borderId="19" xfId="0" applyFont="1" applyFill="1" applyBorder="1" applyAlignment="1">
      <alignment horizontal="center" vertical="center"/>
    </xf>
    <xf numFmtId="0" fontId="0" fillId="18" borderId="22" xfId="0" applyFont="1" applyFill="1" applyBorder="1" applyAlignment="1">
      <alignment horizontal="right" vertical="center"/>
    </xf>
    <xf numFmtId="0" fontId="0" fillId="0" borderId="22" xfId="0" applyFont="1" applyFill="1" applyBorder="1" applyAlignment="1">
      <alignment horizontal="right" vertical="center"/>
    </xf>
    <xf numFmtId="0" fontId="7" fillId="0" borderId="19" xfId="0" applyFont="1" applyFill="1" applyBorder="1" applyAlignment="1">
      <alignment vertical="center"/>
    </xf>
    <xf numFmtId="0" fontId="0" fillId="19" borderId="22" xfId="0" applyFont="1" applyFill="1" applyBorder="1" applyAlignment="1">
      <alignment horizontal="right" vertical="center"/>
    </xf>
    <xf numFmtId="0" fontId="0" fillId="0" borderId="0" xfId="0" applyFont="1" applyFill="1" applyAlignment="1">
      <alignment vertical="center"/>
    </xf>
    <xf numFmtId="0" fontId="0" fillId="0" borderId="22" xfId="0" applyFont="1" applyFill="1" applyBorder="1" applyAlignment="1">
      <alignment vertical="center"/>
    </xf>
    <xf numFmtId="0" fontId="0" fillId="18" borderId="22" xfId="0" quotePrefix="1" applyFont="1" applyFill="1" applyBorder="1" applyAlignment="1">
      <alignment horizontal="right" vertical="center"/>
    </xf>
    <xf numFmtId="0" fontId="0" fillId="0" borderId="22" xfId="0" applyFont="1" applyFill="1" applyBorder="1" applyAlignment="1">
      <alignment horizontal="left" vertical="center"/>
    </xf>
    <xf numFmtId="0" fontId="0" fillId="0" borderId="22" xfId="0" quotePrefix="1" applyFont="1" applyFill="1" applyBorder="1" applyAlignment="1">
      <alignment horizontal="right" vertical="center"/>
    </xf>
    <xf numFmtId="0" fontId="0" fillId="19" borderId="22" xfId="0" quotePrefix="1" applyFont="1" applyFill="1" applyBorder="1" applyAlignment="1">
      <alignment horizontal="right" vertical="center"/>
    </xf>
    <xf numFmtId="0" fontId="13" fillId="0" borderId="19" xfId="0" applyFont="1" applyBorder="1" applyAlignment="1">
      <alignment vertical="center"/>
    </xf>
    <xf numFmtId="0" fontId="0" fillId="0" borderId="22" xfId="0" applyFont="1" applyFill="1" applyBorder="1" applyAlignment="1">
      <alignment horizontal="center" vertical="center" wrapText="1"/>
    </xf>
    <xf numFmtId="0" fontId="0" fillId="0" borderId="3" xfId="0" applyFont="1" applyFill="1" applyBorder="1" applyAlignment="1">
      <alignment vertical="center"/>
    </xf>
    <xf numFmtId="0" fontId="0" fillId="0" borderId="3" xfId="0" applyFont="1" applyFill="1" applyBorder="1" applyAlignment="1">
      <alignment horizontal="right" vertical="center"/>
    </xf>
    <xf numFmtId="0" fontId="0" fillId="0" borderId="0" xfId="0" applyFont="1" applyFill="1" applyBorder="1" applyAlignment="1">
      <alignment horizontal="right" vertical="center"/>
    </xf>
    <xf numFmtId="0" fontId="9" fillId="0" borderId="3" xfId="0" applyFont="1" applyFill="1" applyBorder="1" applyAlignment="1">
      <alignment horizontal="center" vertical="center"/>
    </xf>
    <xf numFmtId="0" fontId="13" fillId="0" borderId="0" xfId="0" applyFont="1" applyBorder="1" applyAlignment="1">
      <alignment vertical="center"/>
    </xf>
    <xf numFmtId="0" fontId="13" fillId="0" borderId="19" xfId="0" applyFont="1" applyBorder="1" applyAlignment="1">
      <alignment horizontal="center" vertical="center"/>
    </xf>
    <xf numFmtId="0" fontId="11" fillId="19" borderId="22" xfId="0" quotePrefix="1" applyFont="1" applyFill="1" applyBorder="1" applyAlignment="1">
      <alignment horizontal="right" vertical="center"/>
    </xf>
    <xf numFmtId="0" fontId="13" fillId="0" borderId="19" xfId="0" applyFont="1" applyBorder="1" applyAlignment="1">
      <alignment horizontal="left" vertical="center"/>
    </xf>
    <xf numFmtId="0" fontId="13" fillId="0" borderId="14" xfId="0" applyFont="1" applyBorder="1" applyAlignment="1">
      <alignment horizontal="center" vertical="center" wrapText="1"/>
    </xf>
    <xf numFmtId="0" fontId="13" fillId="0" borderId="1" xfId="0" applyFont="1" applyBorder="1" applyAlignment="1">
      <alignment horizontal="center" vertical="center" wrapText="1"/>
    </xf>
    <xf numFmtId="0" fontId="0" fillId="0" borderId="0" xfId="0" applyFont="1" applyAlignment="1">
      <alignment vertical="center"/>
    </xf>
    <xf numFmtId="0" fontId="0" fillId="11" borderId="0" xfId="0" applyFont="1" applyFill="1" applyAlignment="1">
      <alignment horizontal="center" vertical="center" wrapText="1"/>
    </xf>
    <xf numFmtId="0" fontId="0" fillId="11" borderId="0" xfId="0" applyFont="1" applyFill="1" applyAlignment="1">
      <alignment horizontal="center" vertical="top"/>
    </xf>
    <xf numFmtId="165" fontId="0" fillId="3" borderId="15" xfId="2" applyNumberFormat="1" applyFont="1" applyFill="1" applyBorder="1" applyAlignment="1">
      <alignment horizontal="center"/>
    </xf>
    <xf numFmtId="0" fontId="0" fillId="13" borderId="0" xfId="0" applyFont="1" applyFill="1" applyBorder="1"/>
    <xf numFmtId="0" fontId="0" fillId="0" borderId="7" xfId="0" applyFont="1" applyFill="1" applyBorder="1"/>
    <xf numFmtId="0" fontId="0" fillId="0" borderId="0" xfId="0" applyFont="1" applyFill="1" applyAlignment="1">
      <alignment vertical="top" wrapText="1"/>
    </xf>
    <xf numFmtId="0" fontId="0" fillId="11" borderId="0" xfId="0" applyFont="1" applyFill="1" applyAlignment="1">
      <alignment vertical="top"/>
    </xf>
    <xf numFmtId="0" fontId="0" fillId="0" borderId="0" xfId="0" applyFont="1" applyAlignment="1">
      <alignment vertical="top" wrapText="1"/>
    </xf>
    <xf numFmtId="0" fontId="2" fillId="11" borderId="0" xfId="0" applyFont="1" applyFill="1" applyBorder="1" applyAlignment="1">
      <alignment vertical="top"/>
    </xf>
    <xf numFmtId="0" fontId="0" fillId="0" borderId="0" xfId="0" applyFont="1" applyAlignment="1">
      <alignment horizontal="center" vertical="top"/>
    </xf>
    <xf numFmtId="0" fontId="0" fillId="0" borderId="0" xfId="0" applyFont="1" applyAlignment="1">
      <alignment horizontal="right" vertical="top"/>
    </xf>
    <xf numFmtId="0" fontId="0" fillId="5" borderId="14" xfId="0" applyFont="1" applyFill="1" applyBorder="1" applyAlignment="1">
      <alignment vertical="top"/>
    </xf>
    <xf numFmtId="165" fontId="0" fillId="5" borderId="14" xfId="2" applyNumberFormat="1" applyFont="1" applyFill="1" applyBorder="1" applyAlignment="1">
      <alignment vertical="top"/>
    </xf>
    <xf numFmtId="0" fontId="0" fillId="5" borderId="17" xfId="0" applyFont="1" applyFill="1" applyBorder="1" applyAlignment="1">
      <alignment vertical="top"/>
    </xf>
    <xf numFmtId="0" fontId="2" fillId="11" borderId="13" xfId="0" applyFont="1" applyFill="1" applyBorder="1" applyAlignment="1">
      <alignment vertical="top"/>
    </xf>
    <xf numFmtId="0" fontId="13" fillId="0" borderId="14" xfId="0" applyFont="1" applyBorder="1" applyAlignment="1">
      <alignment horizontal="center" vertical="top" wrapText="1"/>
    </xf>
    <xf numFmtId="0" fontId="13" fillId="0" borderId="1" xfId="0" applyFont="1" applyBorder="1" applyAlignment="1">
      <alignment horizontal="center" vertical="top" wrapText="1"/>
    </xf>
    <xf numFmtId="0" fontId="11" fillId="0" borderId="14" xfId="3" applyFont="1" applyBorder="1" applyAlignment="1">
      <alignment vertical="top" wrapText="1"/>
    </xf>
    <xf numFmtId="0" fontId="7" fillId="0" borderId="57" xfId="3" applyFont="1" applyBorder="1" applyAlignment="1">
      <alignment horizontal="center" vertical="top" wrapText="1"/>
    </xf>
    <xf numFmtId="0" fontId="0" fillId="13" borderId="4" xfId="0" applyFont="1" applyFill="1" applyBorder="1" applyAlignment="1">
      <alignment vertical="top"/>
    </xf>
    <xf numFmtId="0" fontId="0" fillId="0" borderId="5" xfId="0" applyFont="1" applyBorder="1" applyAlignment="1">
      <alignment vertical="top"/>
    </xf>
    <xf numFmtId="0" fontId="7" fillId="0" borderId="28" xfId="3" applyFont="1" applyBorder="1" applyAlignment="1">
      <alignment horizontal="left" vertical="top"/>
    </xf>
    <xf numFmtId="164" fontId="0" fillId="3" borderId="28" xfId="4" applyNumberFormat="1" applyFont="1" applyFill="1" applyBorder="1" applyAlignment="1">
      <alignment vertical="top"/>
    </xf>
    <xf numFmtId="0" fontId="11" fillId="0" borderId="43" xfId="3" applyFont="1" applyFill="1" applyBorder="1" applyAlignment="1">
      <alignment horizontal="center" vertical="top"/>
    </xf>
    <xf numFmtId="0" fontId="11" fillId="0" borderId="5" xfId="3" applyFont="1" applyBorder="1" applyAlignment="1">
      <alignment horizontal="center" vertical="top"/>
    </xf>
    <xf numFmtId="0" fontId="11" fillId="0" borderId="28" xfId="3" applyFont="1" applyBorder="1" applyAlignment="1">
      <alignment vertical="top"/>
    </xf>
    <xf numFmtId="0" fontId="0" fillId="0" borderId="9" xfId="0" applyFont="1" applyBorder="1" applyAlignment="1">
      <alignment vertical="top"/>
    </xf>
    <xf numFmtId="0" fontId="0" fillId="0" borderId="2" xfId="0" applyFont="1" applyBorder="1" applyAlignment="1">
      <alignment vertical="top"/>
    </xf>
    <xf numFmtId="0" fontId="7" fillId="0" borderId="22" xfId="3" applyFont="1" applyBorder="1" applyAlignment="1">
      <alignment vertical="top"/>
    </xf>
    <xf numFmtId="164" fontId="0" fillId="0" borderId="22" xfId="4" applyNumberFormat="1" applyFont="1" applyFill="1" applyBorder="1" applyAlignment="1">
      <alignment vertical="top"/>
    </xf>
    <xf numFmtId="0" fontId="11" fillId="0" borderId="23" xfId="3" applyFont="1" applyFill="1" applyBorder="1" applyAlignment="1">
      <alignment horizontal="center" vertical="top"/>
    </xf>
    <xf numFmtId="0" fontId="11" fillId="0" borderId="0" xfId="3" applyFont="1" applyFill="1" applyBorder="1" applyAlignment="1">
      <alignment horizontal="center" vertical="top"/>
    </xf>
    <xf numFmtId="0" fontId="11" fillId="0" borderId="22" xfId="3" applyFont="1" applyBorder="1" applyAlignment="1">
      <alignment vertical="top"/>
    </xf>
    <xf numFmtId="0" fontId="0" fillId="0" borderId="7" xfId="0" applyFont="1" applyBorder="1" applyAlignment="1">
      <alignment vertical="top"/>
    </xf>
    <xf numFmtId="0" fontId="0" fillId="0" borderId="38" xfId="0" applyFont="1" applyBorder="1" applyAlignment="1">
      <alignment vertical="top"/>
    </xf>
    <xf numFmtId="0" fontId="11" fillId="0" borderId="22" xfId="3" applyFont="1" applyBorder="1" applyAlignment="1">
      <alignment horizontal="left" vertical="top"/>
    </xf>
    <xf numFmtId="164" fontId="0" fillId="3" borderId="22" xfId="4" applyNumberFormat="1" applyFont="1" applyFill="1" applyBorder="1" applyAlignment="1">
      <alignment vertical="top"/>
    </xf>
    <xf numFmtId="0" fontId="11" fillId="0" borderId="23" xfId="3" applyFont="1" applyBorder="1" applyAlignment="1">
      <alignment horizontal="center" vertical="top"/>
    </xf>
    <xf numFmtId="0" fontId="11" fillId="0" borderId="0" xfId="3" applyFont="1" applyBorder="1" applyAlignment="1">
      <alignment horizontal="center" vertical="top"/>
    </xf>
    <xf numFmtId="164" fontId="11" fillId="3" borderId="22" xfId="3" applyNumberFormat="1" applyFont="1" applyFill="1" applyBorder="1" applyAlignment="1">
      <alignment vertical="top"/>
    </xf>
    <xf numFmtId="165" fontId="0" fillId="3" borderId="7" xfId="2" applyNumberFormat="1" applyFont="1" applyFill="1" applyBorder="1" applyAlignment="1">
      <alignment horizontal="center" vertical="top"/>
    </xf>
    <xf numFmtId="0" fontId="11" fillId="0" borderId="22" xfId="3" applyFont="1" applyFill="1" applyBorder="1" applyAlignment="1">
      <alignment vertical="top"/>
    </xf>
    <xf numFmtId="0" fontId="0" fillId="0" borderId="7" xfId="0" applyFont="1" applyFill="1" applyBorder="1" applyAlignment="1">
      <alignment vertical="top"/>
    </xf>
    <xf numFmtId="0" fontId="11" fillId="0" borderId="24" xfId="3" applyFont="1" applyBorder="1" applyAlignment="1">
      <alignment horizontal="left" vertical="top"/>
    </xf>
    <xf numFmtId="164" fontId="0" fillId="3" borderId="24" xfId="4" applyNumberFormat="1" applyFont="1" applyFill="1" applyBorder="1" applyAlignment="1">
      <alignment vertical="top"/>
    </xf>
    <xf numFmtId="0" fontId="11" fillId="0" borderId="25" xfId="3" applyFont="1" applyBorder="1" applyAlignment="1">
      <alignment horizontal="center" vertical="top"/>
    </xf>
    <xf numFmtId="0" fontId="11" fillId="0" borderId="13" xfId="3" applyFont="1" applyBorder="1" applyAlignment="1">
      <alignment horizontal="center" vertical="top"/>
    </xf>
    <xf numFmtId="164" fontId="11" fillId="3" borderId="24" xfId="3" applyNumberFormat="1" applyFont="1" applyFill="1" applyBorder="1" applyAlignment="1">
      <alignment vertical="top"/>
    </xf>
    <xf numFmtId="0" fontId="0" fillId="0" borderId="6" xfId="0" applyFont="1" applyBorder="1" applyAlignment="1">
      <alignment vertical="top"/>
    </xf>
    <xf numFmtId="0" fontId="9" fillId="0" borderId="3" xfId="0" applyFont="1" applyBorder="1" applyAlignment="1">
      <alignment vertical="top"/>
    </xf>
    <xf numFmtId="0" fontId="7" fillId="0" borderId="75" xfId="3" applyFont="1" applyBorder="1" applyAlignment="1">
      <alignment vertical="top"/>
    </xf>
    <xf numFmtId="164" fontId="0" fillId="3" borderId="27" xfId="4" applyNumberFormat="1" applyFont="1" applyFill="1" applyBorder="1" applyAlignment="1">
      <alignment vertical="top"/>
    </xf>
    <xf numFmtId="0" fontId="11" fillId="0" borderId="45" xfId="3" applyFont="1" applyBorder="1" applyAlignment="1">
      <alignment horizontal="center" vertical="top"/>
    </xf>
    <xf numFmtId="164" fontId="11" fillId="3" borderId="27" xfId="3" applyNumberFormat="1" applyFont="1" applyFill="1" applyBorder="1" applyAlignment="1">
      <alignment vertical="top"/>
    </xf>
    <xf numFmtId="165" fontId="0" fillId="3" borderId="41" xfId="2" applyNumberFormat="1" applyFont="1" applyFill="1" applyBorder="1" applyAlignment="1">
      <alignment horizontal="center" vertical="top"/>
    </xf>
    <xf numFmtId="164" fontId="0" fillId="0" borderId="0" xfId="0" applyNumberFormat="1" applyFont="1" applyAlignment="1">
      <alignment vertical="top"/>
    </xf>
    <xf numFmtId="0" fontId="7" fillId="0" borderId="22" xfId="3" applyFont="1" applyBorder="1" applyAlignment="1">
      <alignment horizontal="left" vertical="center"/>
    </xf>
    <xf numFmtId="165" fontId="0" fillId="5" borderId="22" xfId="5" applyNumberFormat="1" applyFont="1" applyFill="1" applyBorder="1" applyAlignment="1">
      <alignment vertical="center"/>
    </xf>
    <xf numFmtId="9" fontId="0" fillId="0" borderId="23" xfId="5" applyFont="1" applyFill="1" applyBorder="1" applyAlignment="1">
      <alignment horizontal="center" vertical="center"/>
    </xf>
    <xf numFmtId="9" fontId="0" fillId="0" borderId="0" xfId="5" applyFont="1" applyBorder="1" applyAlignment="1">
      <alignment horizontal="center" vertical="center"/>
    </xf>
    <xf numFmtId="0" fontId="11" fillId="0" borderId="22" xfId="3" applyFont="1" applyBorder="1" applyAlignment="1">
      <alignment vertical="center"/>
    </xf>
    <xf numFmtId="0" fontId="0" fillId="0" borderId="7" xfId="0" applyFont="1" applyBorder="1" applyAlignment="1">
      <alignment vertical="center"/>
    </xf>
    <xf numFmtId="0" fontId="0" fillId="0" borderId="38" xfId="0" applyFont="1" applyBorder="1" applyAlignment="1">
      <alignment vertical="center"/>
    </xf>
    <xf numFmtId="0" fontId="0" fillId="0" borderId="2" xfId="0" applyFont="1" applyBorder="1" applyAlignment="1">
      <alignment vertical="center"/>
    </xf>
    <xf numFmtId="0" fontId="11" fillId="5" borderId="22" xfId="3" applyFont="1" applyFill="1" applyBorder="1" applyAlignment="1">
      <alignment vertical="center"/>
    </xf>
    <xf numFmtId="0" fontId="11" fillId="0" borderId="23" xfId="3" applyFont="1" applyFill="1" applyBorder="1" applyAlignment="1">
      <alignment horizontal="center" vertical="center"/>
    </xf>
    <xf numFmtId="0" fontId="11" fillId="0" borderId="0" xfId="3" applyFont="1" applyBorder="1" applyAlignment="1">
      <alignment horizontal="center" vertical="center"/>
    </xf>
    <xf numFmtId="0" fontId="11" fillId="0" borderId="22" xfId="3" applyFont="1" applyFill="1" applyBorder="1" applyAlignment="1">
      <alignment vertical="center"/>
    </xf>
    <xf numFmtId="0" fontId="0" fillId="0" borderId="7" xfId="0" applyFont="1" applyFill="1" applyBorder="1" applyAlignment="1">
      <alignment vertical="center"/>
    </xf>
    <xf numFmtId="0" fontId="0" fillId="0" borderId="0" xfId="0" applyFont="1" applyFill="1" applyAlignment="1">
      <alignment horizontal="center" vertical="top" wrapText="1"/>
    </xf>
    <xf numFmtId="0" fontId="0" fillId="10" borderId="0" xfId="0" applyFont="1" applyFill="1" applyAlignment="1">
      <alignment horizontal="center" vertical="top" wrapText="1"/>
    </xf>
    <xf numFmtId="0" fontId="0" fillId="10" borderId="0" xfId="0" applyFont="1" applyFill="1" applyAlignment="1">
      <alignment vertical="top"/>
    </xf>
    <xf numFmtId="0" fontId="13" fillId="10" borderId="14" xfId="0" applyFont="1" applyFill="1" applyBorder="1" applyAlignment="1">
      <alignment horizontal="center" vertical="top" wrapText="1"/>
    </xf>
    <xf numFmtId="0" fontId="9" fillId="10" borderId="0" xfId="0" applyFont="1" applyFill="1" applyBorder="1" applyAlignment="1">
      <alignment vertical="top"/>
    </xf>
    <xf numFmtId="0" fontId="0" fillId="10" borderId="0" xfId="0" applyFont="1" applyFill="1" applyAlignment="1">
      <alignment vertical="center"/>
    </xf>
    <xf numFmtId="0" fontId="2" fillId="10" borderId="66" xfId="0" applyFont="1" applyFill="1" applyBorder="1" applyAlignment="1">
      <alignment vertical="center"/>
    </xf>
    <xf numFmtId="0" fontId="13" fillId="0" borderId="14" xfId="0" applyFont="1" applyFill="1" applyBorder="1" applyAlignment="1">
      <alignment horizontal="center" vertical="center" wrapText="1"/>
    </xf>
    <xf numFmtId="0" fontId="13" fillId="0" borderId="65" xfId="0" applyFont="1" applyBorder="1" applyAlignment="1">
      <alignment horizontal="center" vertical="center" wrapText="1"/>
    </xf>
    <xf numFmtId="0" fontId="13" fillId="0" borderId="64" xfId="0" applyFont="1" applyFill="1" applyBorder="1" applyAlignment="1">
      <alignment horizontal="center" vertical="center" wrapText="1"/>
    </xf>
    <xf numFmtId="0" fontId="13" fillId="0" borderId="64" xfId="0" applyFont="1" applyBorder="1" applyAlignment="1">
      <alignment horizontal="center" vertical="center" wrapText="1"/>
    </xf>
    <xf numFmtId="0" fontId="9" fillId="0" borderId="68" xfId="0" applyFont="1" applyBorder="1" applyAlignment="1">
      <alignment vertical="center"/>
    </xf>
    <xf numFmtId="0" fontId="9" fillId="10" borderId="67" xfId="0" applyFont="1" applyFill="1" applyBorder="1" applyAlignment="1">
      <alignment vertical="center"/>
    </xf>
    <xf numFmtId="0" fontId="9" fillId="0" borderId="67" xfId="0" applyFont="1" applyFill="1" applyBorder="1" applyAlignment="1">
      <alignment vertical="center"/>
    </xf>
    <xf numFmtId="0" fontId="0" fillId="10" borderId="9" xfId="0" applyFont="1" applyFill="1" applyBorder="1"/>
    <xf numFmtId="0" fontId="9" fillId="10" borderId="28" xfId="0" applyFont="1" applyFill="1" applyBorder="1" applyAlignment="1">
      <alignment vertical="center"/>
    </xf>
    <xf numFmtId="0" fontId="9" fillId="0" borderId="67" xfId="0" applyFont="1" applyBorder="1" applyAlignment="1">
      <alignment vertical="center"/>
    </xf>
    <xf numFmtId="0" fontId="9" fillId="0" borderId="43" xfId="0" applyFont="1" applyBorder="1" applyAlignment="1">
      <alignment vertical="center"/>
    </xf>
    <xf numFmtId="0" fontId="0" fillId="0" borderId="54" xfId="0" applyFont="1" applyBorder="1"/>
    <xf numFmtId="0" fontId="9" fillId="0" borderId="47" xfId="0" applyFont="1" applyBorder="1" applyAlignment="1">
      <alignment vertical="center"/>
    </xf>
    <xf numFmtId="0" fontId="9" fillId="10" borderId="29" xfId="0" applyFont="1" applyFill="1" applyBorder="1" applyAlignment="1">
      <alignment vertical="center"/>
    </xf>
    <xf numFmtId="0" fontId="9" fillId="0" borderId="29" xfId="0" applyFont="1" applyFill="1" applyBorder="1" applyAlignment="1">
      <alignment vertical="center"/>
    </xf>
    <xf numFmtId="0" fontId="0" fillId="10" borderId="7" xfId="0" applyFont="1" applyFill="1" applyBorder="1"/>
    <xf numFmtId="0" fontId="9" fillId="10" borderId="22" xfId="0" applyFont="1" applyFill="1" applyBorder="1" applyAlignment="1">
      <alignment vertical="center"/>
    </xf>
    <xf numFmtId="0" fontId="9" fillId="0" borderId="29" xfId="0" applyFont="1" applyBorder="1" applyAlignment="1">
      <alignment vertical="center"/>
    </xf>
    <xf numFmtId="0" fontId="9" fillId="0" borderId="23" xfId="0" applyFont="1" applyBorder="1" applyAlignment="1">
      <alignment vertical="center"/>
    </xf>
    <xf numFmtId="0" fontId="9" fillId="0" borderId="30" xfId="0" applyFont="1" applyBorder="1" applyAlignment="1">
      <alignment vertical="center"/>
    </xf>
    <xf numFmtId="0" fontId="9" fillId="0" borderId="25" xfId="0" applyFont="1" applyBorder="1" applyAlignment="1">
      <alignment vertical="center"/>
    </xf>
    <xf numFmtId="0" fontId="9" fillId="10" borderId="30" xfId="0" applyFont="1" applyFill="1" applyBorder="1" applyAlignment="1">
      <alignment vertical="center"/>
    </xf>
    <xf numFmtId="0" fontId="9" fillId="0" borderId="18" xfId="0" applyFont="1" applyFill="1" applyBorder="1" applyAlignment="1">
      <alignment vertical="center"/>
    </xf>
    <xf numFmtId="0" fontId="9" fillId="10" borderId="19" xfId="0" applyFont="1" applyFill="1" applyBorder="1" applyAlignment="1">
      <alignment vertical="center"/>
    </xf>
    <xf numFmtId="0" fontId="9" fillId="0" borderId="18" xfId="0" applyFont="1" applyBorder="1" applyAlignment="1">
      <alignment vertical="center"/>
    </xf>
    <xf numFmtId="0" fontId="9" fillId="0" borderId="30" xfId="0" applyFont="1" applyFill="1" applyBorder="1" applyAlignment="1">
      <alignment vertical="center"/>
    </xf>
    <xf numFmtId="0" fontId="9" fillId="0" borderId="55" xfId="0" applyFont="1" applyBorder="1" applyAlignment="1">
      <alignment vertical="center"/>
    </xf>
    <xf numFmtId="0" fontId="9" fillId="10" borderId="18" xfId="0" applyFont="1" applyFill="1" applyBorder="1" applyAlignment="1">
      <alignment vertical="center"/>
    </xf>
    <xf numFmtId="0" fontId="9" fillId="0" borderId="49" xfId="0" applyFont="1" applyBorder="1" applyAlignment="1">
      <alignment vertical="center"/>
    </xf>
    <xf numFmtId="0" fontId="0" fillId="10" borderId="31" xfId="0" applyFont="1" applyFill="1" applyBorder="1"/>
    <xf numFmtId="0" fontId="9" fillId="10" borderId="24" xfId="0" applyFont="1" applyFill="1" applyBorder="1" applyAlignment="1">
      <alignment vertical="center"/>
    </xf>
    <xf numFmtId="0" fontId="0" fillId="0" borderId="55" xfId="0" applyFont="1" applyBorder="1"/>
    <xf numFmtId="0" fontId="9" fillId="10" borderId="23" xfId="0" applyFont="1" applyFill="1" applyBorder="1" applyAlignment="1">
      <alignment vertical="center"/>
    </xf>
    <xf numFmtId="0" fontId="0" fillId="0" borderId="47" xfId="0" applyFont="1" applyBorder="1"/>
    <xf numFmtId="0" fontId="0" fillId="0" borderId="49" xfId="0" applyFont="1" applyBorder="1"/>
    <xf numFmtId="2" fontId="0" fillId="0" borderId="22" xfId="1" applyNumberFormat="1" applyFont="1" applyBorder="1"/>
    <xf numFmtId="0" fontId="9" fillId="0" borderId="54" xfId="0" applyFont="1" applyFill="1" applyBorder="1" applyAlignment="1">
      <alignment vertical="center"/>
    </xf>
    <xf numFmtId="0" fontId="9" fillId="10" borderId="46" xfId="0" applyFont="1" applyFill="1" applyBorder="1" applyAlignment="1">
      <alignment vertical="center"/>
    </xf>
    <xf numFmtId="0" fontId="9" fillId="10" borderId="21" xfId="0" applyFont="1" applyFill="1" applyBorder="1" applyAlignment="1">
      <alignment vertical="center"/>
    </xf>
    <xf numFmtId="0" fontId="0" fillId="10" borderId="29" xfId="0" applyFont="1" applyFill="1" applyBorder="1"/>
    <xf numFmtId="0" fontId="9" fillId="0" borderId="22" xfId="0" applyFont="1" applyFill="1" applyBorder="1" applyAlignment="1">
      <alignment vertical="center"/>
    </xf>
    <xf numFmtId="0" fontId="9" fillId="0" borderId="44" xfId="0" applyFont="1" applyFill="1" applyBorder="1" applyAlignment="1">
      <alignment vertical="center"/>
    </xf>
    <xf numFmtId="0" fontId="0" fillId="0" borderId="53" xfId="0" applyFont="1" applyBorder="1"/>
    <xf numFmtId="0" fontId="0" fillId="10" borderId="18" xfId="0" applyFont="1" applyFill="1" applyBorder="1"/>
    <xf numFmtId="0" fontId="9" fillId="0" borderId="69" xfId="0" applyFont="1" applyBorder="1" applyAlignment="1">
      <alignment vertical="center"/>
    </xf>
    <xf numFmtId="0" fontId="9" fillId="0" borderId="46" xfId="0" applyFont="1" applyFill="1" applyBorder="1" applyAlignment="1">
      <alignment vertical="center"/>
    </xf>
    <xf numFmtId="0" fontId="9" fillId="10" borderId="27" xfId="0" applyFont="1" applyFill="1" applyBorder="1" applyAlignment="1">
      <alignment vertical="center"/>
    </xf>
    <xf numFmtId="0" fontId="9" fillId="0" borderId="46" xfId="0" applyFont="1" applyBorder="1" applyAlignment="1">
      <alignment vertical="center"/>
    </xf>
    <xf numFmtId="0" fontId="0" fillId="0" borderId="51" xfId="0" applyFont="1" applyBorder="1"/>
    <xf numFmtId="0" fontId="0" fillId="0" borderId="44" xfId="0" applyFont="1" applyBorder="1" applyAlignment="1">
      <alignment vertical="center" wrapText="1"/>
    </xf>
    <xf numFmtId="0" fontId="0" fillId="0" borderId="54" xfId="0" applyFont="1" applyBorder="1" applyAlignment="1">
      <alignment vertical="center" wrapText="1"/>
    </xf>
    <xf numFmtId="0" fontId="0" fillId="0" borderId="53" xfId="0" applyFont="1" applyBorder="1" applyAlignment="1">
      <alignment vertical="center" wrapText="1"/>
    </xf>
    <xf numFmtId="0" fontId="9" fillId="0" borderId="44" xfId="0" applyFont="1" applyFill="1" applyBorder="1" applyAlignment="1">
      <alignment vertical="center" wrapText="1"/>
    </xf>
    <xf numFmtId="0" fontId="9" fillId="0" borderId="54" xfId="0" applyFont="1" applyFill="1" applyBorder="1" applyAlignment="1">
      <alignment vertical="center" wrapText="1"/>
    </xf>
    <xf numFmtId="0" fontId="9" fillId="0" borderId="53" xfId="0" applyFont="1" applyFill="1" applyBorder="1" applyAlignment="1">
      <alignment vertical="center" wrapText="1"/>
    </xf>
    <xf numFmtId="0" fontId="0" fillId="0" borderId="31" xfId="0" applyFont="1" applyBorder="1"/>
    <xf numFmtId="0" fontId="9" fillId="10" borderId="25" xfId="0" applyFont="1" applyFill="1" applyBorder="1" applyAlignment="1">
      <alignment vertical="center"/>
    </xf>
    <xf numFmtId="0" fontId="9" fillId="0" borderId="15" xfId="0" applyFont="1" applyFill="1" applyBorder="1" applyAlignment="1">
      <alignment vertical="center"/>
    </xf>
    <xf numFmtId="0" fontId="9" fillId="10" borderId="15" xfId="0" applyFont="1" applyFill="1" applyBorder="1" applyAlignment="1">
      <alignment vertical="center"/>
    </xf>
    <xf numFmtId="0" fontId="9" fillId="0" borderId="15" xfId="0" applyFont="1" applyBorder="1" applyAlignment="1">
      <alignment vertical="center"/>
    </xf>
    <xf numFmtId="2" fontId="0" fillId="0" borderId="26" xfId="1" applyNumberFormat="1" applyFont="1" applyBorder="1"/>
    <xf numFmtId="0" fontId="0" fillId="0" borderId="40" xfId="0" applyFont="1" applyBorder="1"/>
    <xf numFmtId="0" fontId="2" fillId="0" borderId="44" xfId="0" applyFont="1" applyBorder="1"/>
    <xf numFmtId="2" fontId="0" fillId="0" borderId="19" xfId="1" applyNumberFormat="1" applyFont="1" applyBorder="1"/>
    <xf numFmtId="2" fontId="0" fillId="0" borderId="24" xfId="1" applyNumberFormat="1" applyFont="1" applyBorder="1"/>
    <xf numFmtId="0" fontId="9" fillId="10" borderId="26" xfId="0" applyFont="1" applyFill="1" applyBorder="1" applyAlignment="1">
      <alignment vertical="center"/>
    </xf>
    <xf numFmtId="0" fontId="9" fillId="0" borderId="39" xfId="0" applyFont="1" applyBorder="1" applyAlignment="1">
      <alignment vertical="center"/>
    </xf>
    <xf numFmtId="0" fontId="0" fillId="10" borderId="30" xfId="0" applyFont="1" applyFill="1" applyBorder="1"/>
    <xf numFmtId="0" fontId="9" fillId="0" borderId="26" xfId="0" applyFont="1" applyFill="1" applyBorder="1" applyAlignment="1">
      <alignment vertical="center"/>
    </xf>
    <xf numFmtId="0" fontId="9" fillId="10" borderId="39" xfId="0" applyFont="1" applyFill="1" applyBorder="1" applyAlignment="1">
      <alignment vertical="center"/>
    </xf>
    <xf numFmtId="0" fontId="9" fillId="0" borderId="40" xfId="0" applyFont="1" applyFill="1" applyBorder="1" applyAlignment="1">
      <alignment vertical="center" wrapText="1"/>
    </xf>
    <xf numFmtId="0" fontId="13" fillId="0" borderId="67"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43" xfId="0" applyFont="1" applyBorder="1" applyAlignment="1">
      <alignment horizontal="center" vertical="center" wrapText="1"/>
    </xf>
    <xf numFmtId="0" fontId="9" fillId="0" borderId="7" xfId="0" applyFont="1" applyFill="1" applyBorder="1" applyAlignment="1">
      <alignment vertical="center"/>
    </xf>
    <xf numFmtId="0" fontId="9" fillId="0" borderId="0" xfId="0" applyFont="1" applyBorder="1" applyAlignment="1">
      <alignment horizontal="center" vertical="center"/>
    </xf>
    <xf numFmtId="0" fontId="9" fillId="0" borderId="23" xfId="0" applyFont="1" applyFill="1" applyBorder="1" applyAlignment="1">
      <alignment vertical="center"/>
    </xf>
    <xf numFmtId="0" fontId="9" fillId="0" borderId="23" xfId="0" applyFont="1" applyFill="1" applyBorder="1" applyAlignment="1">
      <alignment horizontal="center" vertical="center"/>
    </xf>
    <xf numFmtId="0" fontId="9" fillId="0" borderId="25" xfId="0" applyFont="1" applyFill="1" applyBorder="1" applyAlignment="1">
      <alignment vertical="center"/>
    </xf>
    <xf numFmtId="0" fontId="0" fillId="0" borderId="31" xfId="0" applyFont="1" applyFill="1" applyBorder="1"/>
    <xf numFmtId="0" fontId="0" fillId="11" borderId="0" xfId="0" applyFont="1" applyFill="1" applyAlignment="1"/>
    <xf numFmtId="0" fontId="0" fillId="0" borderId="0" xfId="0" applyFont="1" applyFill="1" applyAlignment="1"/>
    <xf numFmtId="0" fontId="0" fillId="0" borderId="0" xfId="0" applyFont="1" applyFill="1" applyAlignment="1">
      <alignment horizontal="left" wrapText="1"/>
    </xf>
    <xf numFmtId="0" fontId="2" fillId="10" borderId="67" xfId="0" applyFont="1" applyFill="1" applyBorder="1" applyAlignment="1">
      <alignment vertical="center"/>
    </xf>
    <xf numFmtId="0" fontId="9" fillId="10" borderId="43" xfId="0" applyFont="1" applyFill="1" applyBorder="1" applyAlignment="1">
      <alignment vertical="center"/>
    </xf>
    <xf numFmtId="0" fontId="9" fillId="10" borderId="0" xfId="0" applyFont="1" applyFill="1" applyBorder="1" applyAlignment="1">
      <alignment vertical="center"/>
    </xf>
    <xf numFmtId="0" fontId="9" fillId="10" borderId="3" xfId="0" applyFont="1" applyFill="1" applyBorder="1" applyAlignment="1">
      <alignment vertical="center"/>
    </xf>
    <xf numFmtId="0" fontId="9" fillId="10" borderId="45" xfId="0" applyFont="1" applyFill="1" applyBorder="1" applyAlignment="1">
      <alignment vertical="center"/>
    </xf>
    <xf numFmtId="0" fontId="13" fillId="10" borderId="67" xfId="0" applyFont="1" applyFill="1" applyBorder="1" applyAlignment="1">
      <alignment horizontal="center" vertical="center" wrapText="1"/>
    </xf>
    <xf numFmtId="0" fontId="9" fillId="10" borderId="5" xfId="0" applyFont="1" applyFill="1" applyBorder="1" applyAlignment="1">
      <alignment vertical="center"/>
    </xf>
    <xf numFmtId="0" fontId="9" fillId="10" borderId="20" xfId="0" applyFont="1" applyFill="1" applyBorder="1" applyAlignment="1">
      <alignment vertical="center"/>
    </xf>
    <xf numFmtId="0" fontId="13" fillId="10" borderId="28" xfId="0" applyFont="1" applyFill="1" applyBorder="1" applyAlignment="1">
      <alignment horizontal="center" vertical="center" wrapText="1"/>
    </xf>
    <xf numFmtId="0" fontId="9" fillId="18" borderId="0" xfId="0" applyFont="1" applyFill="1" applyBorder="1" applyAlignment="1">
      <alignment horizontal="center" vertical="center"/>
    </xf>
    <xf numFmtId="0" fontId="9" fillId="19" borderId="13" xfId="0" applyFont="1" applyFill="1" applyBorder="1" applyAlignment="1">
      <alignment horizontal="center" vertical="center"/>
    </xf>
    <xf numFmtId="0" fontId="9" fillId="18" borderId="82" xfId="0" applyFont="1" applyFill="1" applyBorder="1" applyAlignment="1">
      <alignment horizontal="center" vertical="center"/>
    </xf>
    <xf numFmtId="0" fontId="9" fillId="0" borderId="82" xfId="0" applyFont="1" applyBorder="1" applyAlignment="1">
      <alignment vertical="center"/>
    </xf>
    <xf numFmtId="0" fontId="9" fillId="0" borderId="39" xfId="0" applyFont="1" applyBorder="1" applyAlignment="1">
      <alignment horizontal="center" vertical="center"/>
    </xf>
    <xf numFmtId="0" fontId="9" fillId="19" borderId="39" xfId="0" applyFont="1" applyFill="1" applyBorder="1" applyAlignment="1">
      <alignment horizontal="center" vertical="center"/>
    </xf>
    <xf numFmtId="0" fontId="9" fillId="18" borderId="39" xfId="0" applyFont="1" applyFill="1" applyBorder="1" applyAlignment="1">
      <alignment horizontal="center" vertical="center"/>
    </xf>
    <xf numFmtId="0" fontId="9" fillId="0" borderId="40" xfId="0" applyFont="1" applyFill="1" applyBorder="1" applyAlignment="1">
      <alignment vertical="center"/>
    </xf>
    <xf numFmtId="0" fontId="0" fillId="0" borderId="34" xfId="0" applyFont="1" applyBorder="1"/>
    <xf numFmtId="0" fontId="0" fillId="0" borderId="15" xfId="0" applyFont="1" applyBorder="1" applyAlignment="1">
      <alignment horizontal="left"/>
    </xf>
    <xf numFmtId="0" fontId="9" fillId="0" borderId="34" xfId="0" applyFont="1" applyFill="1" applyBorder="1" applyAlignment="1">
      <alignment vertical="center"/>
    </xf>
    <xf numFmtId="0" fontId="9" fillId="19" borderId="74" xfId="0" applyFont="1" applyFill="1" applyBorder="1" applyAlignment="1">
      <alignment horizontal="center" vertical="center"/>
    </xf>
    <xf numFmtId="0" fontId="9" fillId="0" borderId="75" xfId="0" applyFont="1" applyBorder="1" applyAlignment="1">
      <alignment vertical="center"/>
    </xf>
    <xf numFmtId="0" fontId="0" fillId="0" borderId="33" xfId="0" applyFont="1" applyBorder="1"/>
    <xf numFmtId="0" fontId="2" fillId="10" borderId="8" xfId="0" applyFont="1" applyFill="1" applyBorder="1" applyAlignment="1">
      <alignment horizontal="center" vertical="center"/>
    </xf>
    <xf numFmtId="165" fontId="0" fillId="3" borderId="63" xfId="2" applyNumberFormat="1" applyFont="1" applyFill="1" applyBorder="1" applyAlignment="1">
      <alignment horizontal="center"/>
    </xf>
    <xf numFmtId="165" fontId="0" fillId="3" borderId="34" xfId="2" applyNumberFormat="1" applyFont="1" applyFill="1" applyBorder="1" applyAlignment="1">
      <alignment horizontal="center"/>
    </xf>
    <xf numFmtId="165" fontId="0" fillId="3" borderId="33" xfId="2" applyNumberFormat="1" applyFont="1" applyFill="1" applyBorder="1" applyAlignment="1">
      <alignment horizontal="center"/>
    </xf>
    <xf numFmtId="165" fontId="0" fillId="3" borderId="1" xfId="2" applyNumberFormat="1" applyFont="1" applyFill="1" applyBorder="1" applyAlignment="1">
      <alignment horizontal="center"/>
    </xf>
    <xf numFmtId="164" fontId="2" fillId="14" borderId="14" xfId="1" applyNumberFormat="1" applyFont="1" applyFill="1" applyBorder="1"/>
    <xf numFmtId="9" fontId="2" fillId="14" borderId="14" xfId="2" applyFont="1" applyFill="1" applyBorder="1" applyAlignment="1">
      <alignment horizontal="center"/>
    </xf>
    <xf numFmtId="9" fontId="2" fillId="10" borderId="12" xfId="2" applyFont="1" applyFill="1" applyBorder="1" applyAlignment="1">
      <alignment horizontal="center"/>
    </xf>
    <xf numFmtId="0" fontId="2" fillId="0" borderId="8" xfId="0" applyFont="1" applyFill="1" applyBorder="1" applyAlignment="1">
      <alignment horizontal="center" vertical="center"/>
    </xf>
    <xf numFmtId="164" fontId="2" fillId="14" borderId="14" xfId="1" applyNumberFormat="1" applyFont="1" applyFill="1" applyBorder="1" applyAlignment="1">
      <alignment horizontal="center"/>
    </xf>
    <xf numFmtId="9" fontId="2" fillId="14" borderId="1" xfId="2" applyFont="1" applyFill="1" applyBorder="1" applyAlignment="1">
      <alignment horizontal="center"/>
    </xf>
    <xf numFmtId="0" fontId="9" fillId="0" borderId="4" xfId="0" applyFont="1" applyBorder="1" applyAlignment="1">
      <alignment vertical="center"/>
    </xf>
    <xf numFmtId="164" fontId="9" fillId="14" borderId="8" xfId="0" applyNumberFormat="1" applyFont="1" applyFill="1" applyBorder="1" applyAlignment="1">
      <alignment vertical="center"/>
    </xf>
    <xf numFmtId="165" fontId="9" fillId="3" borderId="43" xfId="2" applyNumberFormat="1" applyFont="1" applyFill="1" applyBorder="1" applyAlignment="1">
      <alignment horizontal="center" vertical="center"/>
    </xf>
    <xf numFmtId="0" fontId="0" fillId="10" borderId="5" xfId="0" applyFont="1" applyFill="1" applyBorder="1"/>
    <xf numFmtId="0" fontId="9" fillId="13" borderId="62" xfId="0" applyNumberFormat="1" applyFont="1" applyFill="1" applyBorder="1" applyAlignment="1">
      <alignment vertical="center"/>
    </xf>
    <xf numFmtId="164" fontId="9" fillId="13" borderId="62" xfId="1" applyNumberFormat="1" applyFont="1" applyFill="1" applyBorder="1" applyAlignment="1">
      <alignment vertical="center"/>
    </xf>
    <xf numFmtId="164" fontId="9" fillId="14" borderId="8" xfId="0" applyNumberFormat="1" applyFont="1" applyFill="1" applyBorder="1" applyAlignment="1">
      <alignment horizontal="center" vertical="center"/>
    </xf>
    <xf numFmtId="165" fontId="11" fillId="3" borderId="43" xfId="2" applyNumberFormat="1" applyFont="1" applyFill="1" applyBorder="1" applyAlignment="1">
      <alignment horizontal="center" vertical="center"/>
    </xf>
    <xf numFmtId="164" fontId="9" fillId="3" borderId="8" xfId="1" applyNumberFormat="1" applyFont="1" applyFill="1" applyBorder="1" applyAlignment="1">
      <alignment horizontal="center" vertical="center"/>
    </xf>
    <xf numFmtId="164" fontId="9" fillId="3" borderId="62" xfId="1" applyNumberFormat="1" applyFont="1" applyFill="1" applyBorder="1" applyAlignment="1">
      <alignment horizontal="center" vertical="center"/>
    </xf>
    <xf numFmtId="165" fontId="9" fillId="3" borderId="63" xfId="2" applyNumberFormat="1" applyFont="1" applyFill="1" applyBorder="1" applyAlignment="1">
      <alignment horizontal="center" vertical="center"/>
    </xf>
    <xf numFmtId="0" fontId="9" fillId="10" borderId="2" xfId="0" applyFont="1" applyFill="1" applyBorder="1" applyAlignment="1">
      <alignment vertical="center"/>
    </xf>
    <xf numFmtId="0" fontId="9" fillId="10" borderId="16" xfId="0" applyFont="1" applyFill="1" applyBorder="1" applyAlignment="1">
      <alignment vertical="center"/>
    </xf>
    <xf numFmtId="0" fontId="0" fillId="13" borderId="52" xfId="0" applyNumberFormat="1" applyFont="1" applyFill="1" applyBorder="1"/>
    <xf numFmtId="164" fontId="9" fillId="13" borderId="52" xfId="1" applyNumberFormat="1" applyFont="1" applyFill="1" applyBorder="1" applyAlignment="1">
      <alignment vertical="center"/>
    </xf>
    <xf numFmtId="0" fontId="9" fillId="10" borderId="16" xfId="0" applyFont="1" applyFill="1" applyBorder="1" applyAlignment="1">
      <alignment horizontal="center" vertical="center"/>
    </xf>
    <xf numFmtId="164" fontId="9" fillId="3" borderId="52" xfId="1" applyNumberFormat="1" applyFont="1" applyFill="1" applyBorder="1" applyAlignment="1">
      <alignment horizontal="center" vertical="center"/>
    </xf>
    <xf numFmtId="165" fontId="9" fillId="3" borderId="34" xfId="2" applyNumberFormat="1" applyFont="1" applyFill="1" applyBorder="1" applyAlignment="1">
      <alignment horizontal="center" vertical="center"/>
    </xf>
    <xf numFmtId="0" fontId="9" fillId="10" borderId="6" xfId="0" applyFont="1" applyFill="1" applyBorder="1" applyAlignment="1">
      <alignment vertical="center"/>
    </xf>
    <xf numFmtId="0" fontId="9" fillId="10" borderId="17" xfId="0" applyFont="1" applyFill="1" applyBorder="1" applyAlignment="1">
      <alignment vertical="center"/>
    </xf>
    <xf numFmtId="0" fontId="0" fillId="13" borderId="58" xfId="0" applyNumberFormat="1" applyFont="1" applyFill="1" applyBorder="1"/>
    <xf numFmtId="164" fontId="9" fillId="13" borderId="58" xfId="1" applyNumberFormat="1" applyFont="1" applyFill="1" applyBorder="1" applyAlignment="1">
      <alignment vertical="center"/>
    </xf>
    <xf numFmtId="0" fontId="9" fillId="10" borderId="17" xfId="0" applyFont="1" applyFill="1" applyBorder="1" applyAlignment="1">
      <alignment horizontal="center" vertical="center"/>
    </xf>
    <xf numFmtId="164" fontId="9" fillId="3" borderId="58" xfId="1" applyNumberFormat="1" applyFont="1" applyFill="1" applyBorder="1" applyAlignment="1">
      <alignment horizontal="center" vertical="center"/>
    </xf>
    <xf numFmtId="165" fontId="9" fillId="3" borderId="33" xfId="2" applyNumberFormat="1" applyFont="1" applyFill="1" applyBorder="1" applyAlignment="1">
      <alignment horizontal="center" vertical="center"/>
    </xf>
    <xf numFmtId="0" fontId="0" fillId="13" borderId="62" xfId="0" applyNumberFormat="1" applyFont="1" applyFill="1" applyBorder="1"/>
    <xf numFmtId="164" fontId="9" fillId="3" borderId="8" xfId="0" applyNumberFormat="1" applyFont="1" applyFill="1" applyBorder="1" applyAlignment="1">
      <alignment vertical="center"/>
    </xf>
    <xf numFmtId="164" fontId="9" fillId="3" borderId="62" xfId="1" applyNumberFormat="1" applyFont="1" applyFill="1" applyBorder="1" applyAlignment="1">
      <alignment vertical="center"/>
    </xf>
    <xf numFmtId="164" fontId="9" fillId="3" borderId="52" xfId="1" applyNumberFormat="1" applyFont="1" applyFill="1" applyBorder="1" applyAlignment="1">
      <alignment vertical="center"/>
    </xf>
    <xf numFmtId="164" fontId="9" fillId="3" borderId="58" xfId="1" applyNumberFormat="1" applyFont="1" applyFill="1" applyBorder="1" applyAlignment="1">
      <alignment vertical="center"/>
    </xf>
    <xf numFmtId="0" fontId="9" fillId="0" borderId="11" xfId="0" applyFont="1" applyBorder="1" applyAlignment="1">
      <alignment vertical="center"/>
    </xf>
    <xf numFmtId="164" fontId="9" fillId="14" borderId="14" xfId="0" applyNumberFormat="1" applyFont="1" applyFill="1" applyBorder="1" applyAlignment="1">
      <alignment vertical="center"/>
    </xf>
    <xf numFmtId="165" fontId="11" fillId="3" borderId="65" xfId="2" applyNumberFormat="1" applyFont="1" applyFill="1" applyBorder="1" applyAlignment="1">
      <alignment horizontal="center" vertical="center"/>
    </xf>
    <xf numFmtId="0" fontId="9" fillId="10" borderId="12" xfId="0" applyFont="1" applyFill="1" applyBorder="1" applyAlignment="1">
      <alignment vertical="center"/>
    </xf>
    <xf numFmtId="0" fontId="0" fillId="13" borderId="14" xfId="0" applyNumberFormat="1" applyFont="1" applyFill="1" applyBorder="1"/>
    <xf numFmtId="164" fontId="9" fillId="13" borderId="14" xfId="1" applyNumberFormat="1" applyFont="1" applyFill="1" applyBorder="1" applyAlignment="1">
      <alignment vertical="center"/>
    </xf>
    <xf numFmtId="164" fontId="9" fillId="3" borderId="14" xfId="0" applyNumberFormat="1" applyFont="1" applyFill="1" applyBorder="1" applyAlignment="1">
      <alignment vertical="center"/>
    </xf>
    <xf numFmtId="164" fontId="9" fillId="3" borderId="14" xfId="1" applyNumberFormat="1" applyFont="1" applyFill="1" applyBorder="1" applyAlignment="1">
      <alignment vertical="center"/>
    </xf>
    <xf numFmtId="0" fontId="0" fillId="10" borderId="2" xfId="0" applyFont="1" applyFill="1" applyBorder="1"/>
    <xf numFmtId="0" fontId="0" fillId="10" borderId="16" xfId="0" applyFont="1" applyFill="1" applyBorder="1"/>
    <xf numFmtId="0" fontId="0" fillId="10" borderId="23" xfId="0" applyFont="1" applyFill="1" applyBorder="1"/>
    <xf numFmtId="0" fontId="9" fillId="0" borderId="11" xfId="0" applyFont="1" applyFill="1" applyBorder="1" applyAlignment="1">
      <alignment vertical="center"/>
    </xf>
    <xf numFmtId="0" fontId="9" fillId="10" borderId="11" xfId="0" applyFont="1" applyFill="1" applyBorder="1" applyAlignment="1">
      <alignment vertical="center"/>
    </xf>
    <xf numFmtId="0" fontId="9" fillId="0" borderId="35" xfId="0" applyFont="1" applyBorder="1" applyAlignment="1">
      <alignment vertical="center"/>
    </xf>
    <xf numFmtId="164" fontId="9" fillId="14" borderId="36" xfId="0" applyNumberFormat="1" applyFont="1" applyFill="1" applyBorder="1" applyAlignment="1">
      <alignment vertical="center"/>
    </xf>
    <xf numFmtId="165" fontId="11" fillId="3" borderId="21" xfId="2" applyNumberFormat="1" applyFont="1" applyFill="1" applyBorder="1" applyAlignment="1">
      <alignment horizontal="center" vertical="center"/>
    </xf>
    <xf numFmtId="0" fontId="0" fillId="10" borderId="20" xfId="0" applyFont="1" applyFill="1" applyBorder="1"/>
    <xf numFmtId="164" fontId="9" fillId="3" borderId="36" xfId="0" applyNumberFormat="1" applyFont="1" applyFill="1" applyBorder="1" applyAlignment="1">
      <alignment vertical="center"/>
    </xf>
    <xf numFmtId="0" fontId="13" fillId="0" borderId="14" xfId="0" applyFont="1" applyBorder="1" applyAlignment="1">
      <alignment vertical="center"/>
    </xf>
    <xf numFmtId="0" fontId="13" fillId="0" borderId="11" xfId="0" applyFont="1" applyBorder="1" applyAlignment="1">
      <alignment vertical="center"/>
    </xf>
    <xf numFmtId="164" fontId="13" fillId="3" borderId="14" xfId="1" applyNumberFormat="1" applyFont="1" applyFill="1" applyBorder="1" applyAlignment="1">
      <alignment horizontal="center" vertical="center"/>
    </xf>
    <xf numFmtId="10" fontId="13" fillId="3" borderId="1" xfId="2" applyNumberFormat="1" applyFont="1" applyFill="1" applyBorder="1" applyAlignment="1">
      <alignment horizontal="center" vertical="center"/>
    </xf>
    <xf numFmtId="165" fontId="13" fillId="10" borderId="12" xfId="2" applyNumberFormat="1" applyFont="1" applyFill="1" applyBorder="1" applyAlignment="1">
      <alignment horizontal="center" vertical="center"/>
    </xf>
    <xf numFmtId="165" fontId="13" fillId="3" borderId="14" xfId="2" applyNumberFormat="1" applyFont="1" applyFill="1" applyBorder="1" applyAlignment="1">
      <alignment horizontal="center" vertical="center"/>
    </xf>
    <xf numFmtId="0" fontId="0" fillId="11" borderId="23" xfId="0" applyFont="1" applyFill="1" applyBorder="1"/>
    <xf numFmtId="0" fontId="0" fillId="11" borderId="23" xfId="0" applyFont="1" applyFill="1" applyBorder="1" applyAlignment="1"/>
    <xf numFmtId="0" fontId="0" fillId="11" borderId="0" xfId="0" applyFont="1" applyFill="1" applyBorder="1" applyAlignment="1">
      <alignment vertical="center" wrapText="1"/>
    </xf>
    <xf numFmtId="0" fontId="0" fillId="11" borderId="0" xfId="0" applyFont="1" applyFill="1" applyBorder="1" applyAlignment="1"/>
    <xf numFmtId="0" fontId="11" fillId="11" borderId="0" xfId="0" applyFont="1" applyFill="1"/>
    <xf numFmtId="0" fontId="0" fillId="11" borderId="0" xfId="0" applyFont="1" applyFill="1" applyBorder="1" applyAlignment="1">
      <alignment horizontal="center" vertical="center" wrapText="1"/>
    </xf>
    <xf numFmtId="0" fontId="0" fillId="11" borderId="0" xfId="0" applyFont="1" applyFill="1" applyAlignment="1">
      <alignment wrapText="1"/>
    </xf>
    <xf numFmtId="0" fontId="2" fillId="0" borderId="56"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2" fillId="0" borderId="14" xfId="0" applyFont="1" applyFill="1" applyBorder="1" applyAlignment="1">
      <alignment horizontal="center" wrapText="1"/>
    </xf>
    <xf numFmtId="165" fontId="0" fillId="3" borderId="67" xfId="2" applyNumberFormat="1" applyFont="1" applyFill="1" applyBorder="1" applyAlignment="1">
      <alignment horizontal="center"/>
    </xf>
    <xf numFmtId="165" fontId="0" fillId="3" borderId="18" xfId="2" applyNumberFormat="1" applyFont="1" applyFill="1" applyBorder="1" applyAlignment="1">
      <alignment horizontal="center"/>
    </xf>
    <xf numFmtId="165" fontId="0" fillId="10" borderId="29" xfId="2" applyNumberFormat="1" applyFont="1" applyFill="1" applyBorder="1" applyAlignment="1">
      <alignment horizontal="center"/>
    </xf>
    <xf numFmtId="173" fontId="0" fillId="3" borderId="18" xfId="2" applyNumberFormat="1" applyFont="1" applyFill="1" applyBorder="1" applyAlignment="1">
      <alignment horizontal="center"/>
    </xf>
    <xf numFmtId="165" fontId="0" fillId="10" borderId="46" xfId="2" applyNumberFormat="1" applyFont="1" applyFill="1" applyBorder="1"/>
    <xf numFmtId="165" fontId="0" fillId="10" borderId="46" xfId="2" applyNumberFormat="1" applyFont="1" applyFill="1" applyBorder="1" applyAlignment="1">
      <alignment horizontal="center"/>
    </xf>
    <xf numFmtId="165" fontId="0" fillId="10" borderId="29" xfId="2" applyNumberFormat="1" applyFont="1" applyFill="1" applyBorder="1"/>
    <xf numFmtId="165" fontId="0" fillId="10" borderId="30" xfId="2" applyNumberFormat="1" applyFont="1" applyFill="1" applyBorder="1"/>
    <xf numFmtId="165" fontId="0" fillId="3" borderId="29" xfId="2" applyNumberFormat="1" applyFont="1" applyFill="1" applyBorder="1" applyAlignment="1">
      <alignment horizontal="center"/>
    </xf>
    <xf numFmtId="2" fontId="0" fillId="0" borderId="8" xfId="0" applyNumberFormat="1" applyFont="1" applyBorder="1"/>
    <xf numFmtId="0" fontId="13" fillId="0" borderId="14" xfId="0" applyFont="1" applyBorder="1" applyAlignment="1">
      <alignment vertical="center" wrapText="1"/>
    </xf>
    <xf numFmtId="0" fontId="13" fillId="10" borderId="14" xfId="0" applyFont="1" applyFill="1" applyBorder="1" applyAlignment="1">
      <alignment vertical="center" wrapText="1"/>
    </xf>
    <xf numFmtId="0" fontId="13" fillId="0" borderId="1" xfId="0" applyFont="1" applyBorder="1" applyAlignment="1">
      <alignment vertical="center" wrapText="1"/>
    </xf>
    <xf numFmtId="0" fontId="13" fillId="10" borderId="1" xfId="0" applyFont="1" applyFill="1" applyBorder="1" applyAlignment="1">
      <alignment vertical="center" wrapText="1"/>
    </xf>
    <xf numFmtId="0" fontId="13" fillId="0" borderId="10" xfId="0" applyFont="1"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56" xfId="0" applyFont="1" applyFill="1" applyBorder="1" applyAlignment="1">
      <alignment horizontal="center" vertical="center" wrapText="1"/>
    </xf>
    <xf numFmtId="0" fontId="13" fillId="0" borderId="57" xfId="0" applyFont="1" applyFill="1" applyBorder="1" applyAlignment="1">
      <alignment horizontal="center" vertical="center" wrapText="1"/>
    </xf>
    <xf numFmtId="0" fontId="9" fillId="13" borderId="8" xfId="0" applyFont="1" applyFill="1" applyBorder="1" applyAlignment="1">
      <alignment vertical="center"/>
    </xf>
    <xf numFmtId="0" fontId="0" fillId="13" borderId="5" xfId="0" applyFont="1" applyFill="1" applyBorder="1"/>
    <xf numFmtId="0" fontId="9" fillId="10" borderId="8" xfId="0" applyFont="1" applyFill="1" applyBorder="1" applyAlignment="1">
      <alignment vertical="center"/>
    </xf>
    <xf numFmtId="0" fontId="9" fillId="0" borderId="8" xfId="0" applyFont="1" applyBorder="1" applyAlignment="1">
      <alignment vertical="center"/>
    </xf>
    <xf numFmtId="164" fontId="9" fillId="13" borderId="8" xfId="1" applyNumberFormat="1" applyFont="1" applyFill="1" applyBorder="1" applyAlignment="1">
      <alignment vertical="center"/>
    </xf>
    <xf numFmtId="167" fontId="9" fillId="13" borderId="8" xfId="0" applyNumberFormat="1" applyFont="1" applyFill="1" applyBorder="1" applyAlignment="1">
      <alignment vertical="center"/>
    </xf>
    <xf numFmtId="168" fontId="11" fillId="3" borderId="68" xfId="1" applyNumberFormat="1" applyFont="1" applyFill="1" applyBorder="1" applyAlignment="1"/>
    <xf numFmtId="165" fontId="9" fillId="3" borderId="67" xfId="2" applyNumberFormat="1" applyFont="1" applyFill="1" applyBorder="1" applyAlignment="1">
      <alignment horizontal="center" vertical="center"/>
    </xf>
    <xf numFmtId="164" fontId="0" fillId="3" borderId="67" xfId="0" applyNumberFormat="1" applyFont="1" applyFill="1" applyBorder="1"/>
    <xf numFmtId="164" fontId="0" fillId="14" borderId="70" xfId="0" applyNumberFormat="1" applyFont="1" applyFill="1" applyBorder="1"/>
    <xf numFmtId="171" fontId="9" fillId="13" borderId="8" xfId="0" applyNumberFormat="1" applyFont="1" applyFill="1" applyBorder="1" applyAlignment="1">
      <alignment vertical="center"/>
    </xf>
    <xf numFmtId="169" fontId="0" fillId="3" borderId="68" xfId="0" applyNumberFormat="1" applyFont="1" applyFill="1" applyBorder="1"/>
    <xf numFmtId="0" fontId="0" fillId="0" borderId="16" xfId="0" applyFont="1" applyBorder="1"/>
    <xf numFmtId="0" fontId="9" fillId="0" borderId="16" xfId="0" applyFont="1" applyBorder="1" applyAlignment="1">
      <alignment vertical="center"/>
    </xf>
    <xf numFmtId="164" fontId="9" fillId="13" borderId="16" xfId="1" applyNumberFormat="1" applyFont="1" applyFill="1" applyBorder="1" applyAlignment="1">
      <alignment vertical="center"/>
    </xf>
    <xf numFmtId="167" fontId="9" fillId="13" borderId="16" xfId="0" applyNumberFormat="1" applyFont="1" applyFill="1" applyBorder="1" applyAlignment="1">
      <alignment vertical="center"/>
    </xf>
    <xf numFmtId="168" fontId="11" fillId="3" borderId="47" xfId="1" applyNumberFormat="1" applyFont="1" applyFill="1" applyBorder="1" applyAlignment="1"/>
    <xf numFmtId="165" fontId="9" fillId="3" borderId="29" xfId="2" applyNumberFormat="1" applyFont="1" applyFill="1" applyBorder="1" applyAlignment="1">
      <alignment horizontal="center" vertical="center"/>
    </xf>
    <xf numFmtId="164" fontId="0" fillId="10" borderId="29" xfId="0" applyNumberFormat="1" applyFont="1" applyFill="1" applyBorder="1"/>
    <xf numFmtId="0" fontId="0" fillId="10" borderId="29" xfId="0" applyFont="1" applyFill="1" applyBorder="1" applyAlignment="1">
      <alignment horizontal="center"/>
    </xf>
    <xf numFmtId="0" fontId="0" fillId="10" borderId="54" xfId="0" applyFont="1" applyFill="1" applyBorder="1"/>
    <xf numFmtId="171" fontId="9" fillId="13" borderId="16" xfId="0" applyNumberFormat="1" applyFont="1" applyFill="1" applyBorder="1" applyAlignment="1">
      <alignment vertical="center"/>
    </xf>
    <xf numFmtId="169" fontId="0" fillId="3" borderId="47" xfId="0" applyNumberFormat="1" applyFont="1" applyFill="1" applyBorder="1"/>
    <xf numFmtId="0" fontId="9" fillId="10" borderId="13" xfId="0" applyFont="1" applyFill="1" applyBorder="1" applyAlignment="1">
      <alignment vertical="center"/>
    </xf>
    <xf numFmtId="0" fontId="9" fillId="13" borderId="36" xfId="0" applyFont="1" applyFill="1" applyBorder="1" applyAlignment="1">
      <alignment vertical="center"/>
    </xf>
    <xf numFmtId="0" fontId="9" fillId="0" borderId="36" xfId="0" applyFont="1" applyBorder="1" applyAlignment="1">
      <alignment vertical="center"/>
    </xf>
    <xf numFmtId="0" fontId="9" fillId="0" borderId="36" xfId="0" applyNumberFormat="1" applyFont="1" applyBorder="1" applyAlignment="1">
      <alignment vertical="center"/>
    </xf>
    <xf numFmtId="164" fontId="9" fillId="13" borderId="36" xfId="1" applyNumberFormat="1" applyFont="1" applyFill="1" applyBorder="1" applyAlignment="1">
      <alignment vertical="center"/>
    </xf>
    <xf numFmtId="167" fontId="9" fillId="13" borderId="36" xfId="0" applyNumberFormat="1" applyFont="1" applyFill="1" applyBorder="1" applyAlignment="1">
      <alignment vertical="center"/>
    </xf>
    <xf numFmtId="168" fontId="11" fillId="3" borderId="55" xfId="1" applyNumberFormat="1" applyFont="1" applyFill="1" applyBorder="1" applyAlignment="1"/>
    <xf numFmtId="165" fontId="9" fillId="3" borderId="18" xfId="2" applyNumberFormat="1" applyFont="1" applyFill="1" applyBorder="1" applyAlignment="1">
      <alignment horizontal="center" vertical="center"/>
    </xf>
    <xf numFmtId="164" fontId="0" fillId="3" borderId="18" xfId="0" applyNumberFormat="1" applyFont="1" applyFill="1" applyBorder="1"/>
    <xf numFmtId="171" fontId="9" fillId="13" borderId="36" xfId="0" applyNumberFormat="1" applyFont="1" applyFill="1" applyBorder="1" applyAlignment="1">
      <alignment vertical="center"/>
    </xf>
    <xf numFmtId="169" fontId="0" fillId="3" borderId="55" xfId="0" applyNumberFormat="1" applyFont="1" applyFill="1" applyBorder="1"/>
    <xf numFmtId="0" fontId="9" fillId="0" borderId="16" xfId="0" applyNumberFormat="1" applyFont="1" applyBorder="1" applyAlignment="1">
      <alignment vertical="center"/>
    </xf>
    <xf numFmtId="0" fontId="0" fillId="0" borderId="32" xfId="0" applyFont="1" applyBorder="1"/>
    <xf numFmtId="164" fontId="9" fillId="10" borderId="16" xfId="1" applyNumberFormat="1" applyFont="1" applyFill="1" applyBorder="1" applyAlignment="1">
      <alignment vertical="center"/>
    </xf>
    <xf numFmtId="1" fontId="9" fillId="13" borderId="16" xfId="0" applyNumberFormat="1" applyFont="1" applyFill="1" applyBorder="1" applyAlignment="1">
      <alignment vertical="center"/>
    </xf>
    <xf numFmtId="0" fontId="9" fillId="0" borderId="32" xfId="0" applyFont="1" applyFill="1" applyBorder="1" applyAlignment="1">
      <alignment vertical="center"/>
    </xf>
    <xf numFmtId="173" fontId="9" fillId="3" borderId="18" xfId="2" applyNumberFormat="1" applyFont="1" applyFill="1" applyBorder="1" applyAlignment="1">
      <alignment horizontal="center" vertical="center"/>
    </xf>
    <xf numFmtId="173" fontId="9" fillId="3" borderId="29" xfId="2" applyNumberFormat="1" applyFont="1" applyFill="1" applyBorder="1" applyAlignment="1">
      <alignment horizontal="center" vertical="center"/>
    </xf>
    <xf numFmtId="0" fontId="0" fillId="0" borderId="17" xfId="0" applyFont="1" applyBorder="1"/>
    <xf numFmtId="0" fontId="9" fillId="0" borderId="10" xfId="0" applyFont="1" applyFill="1" applyBorder="1" applyAlignment="1">
      <alignment vertical="center"/>
    </xf>
    <xf numFmtId="164" fontId="9" fillId="13" borderId="17" xfId="1" applyNumberFormat="1" applyFont="1" applyFill="1" applyBorder="1" applyAlignment="1">
      <alignment vertical="center"/>
    </xf>
    <xf numFmtId="167" fontId="9" fillId="13" borderId="17" xfId="0" applyNumberFormat="1" applyFont="1" applyFill="1" applyBorder="1" applyAlignment="1">
      <alignment vertical="center"/>
    </xf>
    <xf numFmtId="168" fontId="11" fillId="3" borderId="69" xfId="1" applyNumberFormat="1" applyFont="1" applyFill="1" applyBorder="1" applyAlignment="1"/>
    <xf numFmtId="173" fontId="9" fillId="3" borderId="46" xfId="2" applyNumberFormat="1" applyFont="1" applyFill="1" applyBorder="1" applyAlignment="1">
      <alignment horizontal="center" vertical="center"/>
    </xf>
    <xf numFmtId="0" fontId="0" fillId="10" borderId="46" xfId="0" applyFont="1" applyFill="1" applyBorder="1"/>
    <xf numFmtId="0" fontId="0" fillId="10" borderId="46" xfId="0" applyFont="1" applyFill="1" applyBorder="1" applyAlignment="1">
      <alignment horizontal="center"/>
    </xf>
    <xf numFmtId="0" fontId="0" fillId="10" borderId="51" xfId="0" applyFont="1" applyFill="1" applyBorder="1"/>
    <xf numFmtId="171" fontId="9" fillId="13" borderId="17" xfId="0" applyNumberFormat="1" applyFont="1" applyFill="1" applyBorder="1" applyAlignment="1">
      <alignment vertical="center"/>
    </xf>
    <xf numFmtId="169" fontId="0" fillId="3" borderId="69" xfId="0" applyNumberFormat="1" applyFont="1" applyFill="1" applyBorder="1"/>
    <xf numFmtId="165" fontId="9" fillId="3" borderId="46" xfId="2" applyNumberFormat="1" applyFont="1" applyFill="1" applyBorder="1" applyAlignment="1">
      <alignment horizontal="center" vertical="center"/>
    </xf>
    <xf numFmtId="0" fontId="9" fillId="10" borderId="36" xfId="0" applyFont="1" applyFill="1" applyBorder="1" applyAlignment="1">
      <alignment vertical="center"/>
    </xf>
    <xf numFmtId="0" fontId="0" fillId="10" borderId="17" xfId="0" applyFont="1" applyFill="1" applyBorder="1"/>
    <xf numFmtId="0" fontId="0" fillId="10" borderId="8" xfId="0" applyFont="1" applyFill="1" applyBorder="1"/>
    <xf numFmtId="0" fontId="9" fillId="0" borderId="8" xfId="0" applyNumberFormat="1" applyFont="1" applyBorder="1" applyAlignment="1">
      <alignment vertical="center"/>
    </xf>
    <xf numFmtId="0" fontId="0" fillId="0" borderId="16" xfId="0" applyFont="1" applyFill="1" applyBorder="1"/>
    <xf numFmtId="0" fontId="9" fillId="13" borderId="52" xfId="0" applyFont="1" applyFill="1" applyBorder="1" applyAlignment="1">
      <alignment vertical="center"/>
    </xf>
    <xf numFmtId="0" fontId="9" fillId="10" borderId="48" xfId="0" applyFont="1" applyFill="1" applyBorder="1" applyAlignment="1">
      <alignment vertical="center"/>
    </xf>
    <xf numFmtId="0" fontId="9" fillId="0" borderId="52" xfId="0" applyFont="1" applyBorder="1" applyAlignment="1">
      <alignment vertical="center"/>
    </xf>
    <xf numFmtId="0" fontId="9" fillId="0" borderId="52" xfId="0" applyNumberFormat="1" applyFont="1" applyBorder="1" applyAlignment="1">
      <alignment vertical="center"/>
    </xf>
    <xf numFmtId="167" fontId="9" fillId="13" borderId="52" xfId="0" applyNumberFormat="1" applyFont="1" applyFill="1" applyBorder="1" applyAlignment="1">
      <alignment vertical="center"/>
    </xf>
    <xf numFmtId="168" fontId="11" fillId="3" borderId="71" xfId="1" applyNumberFormat="1" applyFont="1" applyFill="1" applyBorder="1" applyAlignment="1"/>
    <xf numFmtId="165" fontId="9" fillId="3" borderId="15" xfId="2" applyNumberFormat="1" applyFont="1" applyFill="1" applyBorder="1" applyAlignment="1">
      <alignment horizontal="center" vertical="center"/>
    </xf>
    <xf numFmtId="164" fontId="0" fillId="3" borderId="15" xfId="0" applyNumberFormat="1" applyFont="1" applyFill="1" applyBorder="1"/>
    <xf numFmtId="171" fontId="9" fillId="13" borderId="52" xfId="0" applyNumberFormat="1" applyFont="1" applyFill="1" applyBorder="1" applyAlignment="1">
      <alignment vertical="center"/>
    </xf>
    <xf numFmtId="169" fontId="0" fillId="3" borderId="71" xfId="0" applyNumberFormat="1" applyFont="1" applyFill="1" applyBorder="1"/>
    <xf numFmtId="0" fontId="0" fillId="10" borderId="6" xfId="0" applyFont="1" applyFill="1" applyBorder="1"/>
    <xf numFmtId="2" fontId="0" fillId="0" borderId="8" xfId="1" applyNumberFormat="1" applyFont="1" applyBorder="1"/>
    <xf numFmtId="2" fontId="0" fillId="0" borderId="16" xfId="1" applyNumberFormat="1" applyFont="1" applyBorder="1"/>
    <xf numFmtId="0" fontId="0" fillId="0" borderId="16" xfId="1" applyNumberFormat="1" applyFont="1" applyBorder="1"/>
    <xf numFmtId="0" fontId="9" fillId="0" borderId="16" xfId="0" applyFont="1" applyFill="1" applyBorder="1" applyAlignment="1">
      <alignment vertical="center"/>
    </xf>
    <xf numFmtId="164" fontId="0" fillId="10" borderId="46" xfId="0" applyNumberFormat="1" applyFont="1" applyFill="1" applyBorder="1"/>
    <xf numFmtId="164" fontId="0" fillId="14" borderId="54" xfId="0" applyNumberFormat="1" applyFont="1" applyFill="1" applyBorder="1"/>
    <xf numFmtId="0" fontId="0" fillId="0" borderId="8" xfId="1" applyNumberFormat="1" applyFont="1" applyBorder="1"/>
    <xf numFmtId="0" fontId="9" fillId="0" borderId="50" xfId="0" applyFont="1" applyBorder="1" applyAlignment="1">
      <alignment vertical="center"/>
    </xf>
    <xf numFmtId="0" fontId="9" fillId="10" borderId="37" xfId="0" applyFont="1" applyFill="1" applyBorder="1" applyAlignment="1">
      <alignment vertical="center"/>
    </xf>
    <xf numFmtId="0" fontId="0" fillId="0" borderId="50" xfId="1" applyNumberFormat="1" applyFont="1" applyBorder="1"/>
    <xf numFmtId="164" fontId="9" fillId="13" borderId="50" xfId="1" applyNumberFormat="1" applyFont="1" applyFill="1" applyBorder="1" applyAlignment="1">
      <alignment vertical="center"/>
    </xf>
    <xf numFmtId="167" fontId="9" fillId="13" borderId="50" xfId="0" applyNumberFormat="1" applyFont="1" applyFill="1" applyBorder="1" applyAlignment="1">
      <alignment vertical="center"/>
    </xf>
    <xf numFmtId="168" fontId="11" fillId="3" borderId="49" xfId="1" applyNumberFormat="1" applyFont="1" applyFill="1" applyBorder="1" applyAlignment="1"/>
    <xf numFmtId="165" fontId="9" fillId="3" borderId="30" xfId="2" applyNumberFormat="1" applyFont="1" applyFill="1" applyBorder="1" applyAlignment="1">
      <alignment horizontal="center" vertical="center"/>
    </xf>
    <xf numFmtId="171" fontId="9" fillId="13" borderId="50" xfId="0" applyNumberFormat="1" applyFont="1" applyFill="1" applyBorder="1" applyAlignment="1">
      <alignment vertical="center"/>
    </xf>
    <xf numFmtId="169" fontId="0" fillId="3" borderId="49" xfId="0" applyNumberFormat="1" applyFont="1" applyFill="1" applyBorder="1"/>
    <xf numFmtId="0" fontId="9" fillId="13" borderId="16" xfId="0" applyFont="1" applyFill="1" applyBorder="1" applyAlignment="1">
      <alignment vertical="center"/>
    </xf>
    <xf numFmtId="164" fontId="0" fillId="3" borderId="29" xfId="0" applyNumberFormat="1" applyFont="1" applyFill="1" applyBorder="1"/>
    <xf numFmtId="0" fontId="0" fillId="13" borderId="8" xfId="0" applyFont="1" applyFill="1" applyBorder="1"/>
    <xf numFmtId="164" fontId="0" fillId="10" borderId="54" xfId="0" applyNumberFormat="1" applyFont="1" applyFill="1" applyBorder="1"/>
    <xf numFmtId="0" fontId="9" fillId="10" borderId="34" xfId="0" applyFont="1" applyFill="1" applyBorder="1" applyAlignment="1">
      <alignment vertical="center"/>
    </xf>
    <xf numFmtId="0" fontId="0" fillId="0" borderId="52" xfId="1" applyNumberFormat="1" applyFont="1" applyBorder="1"/>
    <xf numFmtId="0" fontId="9" fillId="10" borderId="50" xfId="0" applyFont="1" applyFill="1" applyBorder="1" applyAlignment="1">
      <alignment vertical="center"/>
    </xf>
    <xf numFmtId="0" fontId="9" fillId="10" borderId="32" xfId="0" applyFont="1" applyFill="1" applyBorder="1" applyAlignment="1">
      <alignment vertical="center"/>
    </xf>
    <xf numFmtId="0" fontId="9" fillId="10" borderId="7" xfId="0" applyFont="1" applyFill="1" applyBorder="1" applyAlignment="1">
      <alignment vertical="center"/>
    </xf>
    <xf numFmtId="0" fontId="9" fillId="10" borderId="10" xfId="0" applyFont="1" applyFill="1" applyBorder="1" applyAlignment="1">
      <alignment vertical="center"/>
    </xf>
    <xf numFmtId="168" fontId="0" fillId="0" borderId="0" xfId="0" applyNumberFormat="1" applyFont="1"/>
    <xf numFmtId="168" fontId="0" fillId="0" borderId="0" xfId="0" applyNumberFormat="1" applyFont="1" applyFill="1"/>
    <xf numFmtId="43" fontId="0" fillId="0" borderId="0" xfId="0" applyNumberFormat="1" applyFont="1" applyFill="1"/>
    <xf numFmtId="3" fontId="2" fillId="0" borderId="12" xfId="0" applyNumberFormat="1" applyFont="1" applyFill="1" applyBorder="1" applyAlignment="1">
      <alignment horizontal="centerContinuous"/>
    </xf>
    <xf numFmtId="0" fontId="2" fillId="0" borderId="12" xfId="0" applyFont="1" applyFill="1" applyBorder="1" applyAlignment="1">
      <alignment horizontal="centerContinuous"/>
    </xf>
    <xf numFmtId="165" fontId="0" fillId="0" borderId="62" xfId="2" applyNumberFormat="1" applyFont="1" applyFill="1" applyBorder="1" applyAlignment="1">
      <alignment horizontal="center"/>
    </xf>
    <xf numFmtId="2" fontId="0" fillId="0" borderId="62" xfId="2" applyNumberFormat="1" applyFont="1" applyFill="1" applyBorder="1" applyAlignment="1">
      <alignment horizontal="center"/>
    </xf>
    <xf numFmtId="165" fontId="0" fillId="0" borderId="52" xfId="2" applyNumberFormat="1" applyFont="1" applyFill="1" applyBorder="1" applyAlignment="1">
      <alignment horizontal="center"/>
    </xf>
    <xf numFmtId="2" fontId="0" fillId="0" borderId="52" xfId="2" applyNumberFormat="1" applyFont="1" applyFill="1" applyBorder="1" applyAlignment="1">
      <alignment horizontal="center"/>
    </xf>
    <xf numFmtId="165" fontId="0" fillId="0" borderId="58" xfId="2" applyNumberFormat="1" applyFont="1" applyFill="1" applyBorder="1" applyAlignment="1">
      <alignment horizontal="center"/>
    </xf>
    <xf numFmtId="2" fontId="0" fillId="0" borderId="58" xfId="2" applyNumberFormat="1" applyFont="1" applyFill="1" applyBorder="1" applyAlignment="1">
      <alignment horizontal="center"/>
    </xf>
    <xf numFmtId="164" fontId="0" fillId="0" borderId="14" xfId="1" applyNumberFormat="1" applyFont="1" applyFill="1" applyBorder="1"/>
    <xf numFmtId="9" fontId="0" fillId="0" borderId="1" xfId="2" applyNumberFormat="1" applyFont="1" applyFill="1" applyBorder="1" applyAlignment="1">
      <alignment horizontal="center"/>
    </xf>
    <xf numFmtId="165" fontId="0" fillId="0" borderId="17" xfId="2" applyNumberFormat="1" applyFont="1" applyFill="1" applyBorder="1" applyAlignment="1">
      <alignment horizontal="center"/>
    </xf>
    <xf numFmtId="2" fontId="0" fillId="0" borderId="14" xfId="2" applyNumberFormat="1" applyFont="1" applyFill="1" applyBorder="1" applyAlignment="1">
      <alignment horizontal="center"/>
    </xf>
    <xf numFmtId="43" fontId="2" fillId="3" borderId="0" xfId="0" applyNumberFormat="1" applyFont="1" applyFill="1" applyBorder="1" applyAlignment="1">
      <alignment horizontal="center"/>
    </xf>
    <xf numFmtId="165" fontId="0" fillId="0" borderId="60" xfId="2" applyNumberFormat="1" applyFont="1" applyFill="1" applyBorder="1" applyAlignment="1">
      <alignment horizontal="center"/>
    </xf>
    <xf numFmtId="165" fontId="0" fillId="0" borderId="48" xfId="2" applyNumberFormat="1" applyFont="1" applyFill="1" applyBorder="1" applyAlignment="1">
      <alignment horizontal="center"/>
    </xf>
    <xf numFmtId="165" fontId="0" fillId="0" borderId="87" xfId="2" applyNumberFormat="1" applyFont="1" applyFill="1" applyBorder="1" applyAlignment="1">
      <alignment horizontal="center"/>
    </xf>
    <xf numFmtId="165" fontId="0" fillId="0" borderId="12" xfId="2" applyNumberFormat="1" applyFont="1" applyFill="1" applyBorder="1" applyAlignment="1">
      <alignment horizontal="center"/>
    </xf>
    <xf numFmtId="165" fontId="0" fillId="0" borderId="14" xfId="2" applyNumberFormat="1" applyFont="1" applyFill="1" applyBorder="1" applyAlignment="1">
      <alignment horizontal="center"/>
    </xf>
    <xf numFmtId="165" fontId="0" fillId="0" borderId="13" xfId="2" applyNumberFormat="1" applyFont="1" applyFill="1" applyBorder="1" applyAlignment="1">
      <alignment horizontal="center"/>
    </xf>
    <xf numFmtId="165" fontId="0" fillId="0" borderId="50" xfId="2" applyNumberFormat="1" applyFont="1" applyFill="1" applyBorder="1" applyAlignment="1">
      <alignment horizontal="center"/>
    </xf>
    <xf numFmtId="2" fontId="0" fillId="0" borderId="50" xfId="2" applyNumberFormat="1" applyFont="1" applyFill="1" applyBorder="1" applyAlignment="1">
      <alignment horizontal="center"/>
    </xf>
    <xf numFmtId="9" fontId="0" fillId="0" borderId="14" xfId="2" applyNumberFormat="1" applyFont="1" applyFill="1" applyBorder="1" applyAlignment="1">
      <alignment horizontal="center"/>
    </xf>
    <xf numFmtId="164" fontId="0" fillId="0" borderId="11" xfId="1" applyNumberFormat="1" applyFont="1" applyFill="1" applyBorder="1"/>
    <xf numFmtId="9" fontId="0" fillId="0" borderId="17" xfId="2" applyFont="1" applyFill="1" applyBorder="1" applyAlignment="1">
      <alignment horizontal="center"/>
    </xf>
    <xf numFmtId="164" fontId="0" fillId="0" borderId="3" xfId="1" applyNumberFormat="1" applyFont="1" applyFill="1" applyBorder="1"/>
    <xf numFmtId="164" fontId="0" fillId="0" borderId="17" xfId="1" applyNumberFormat="1" applyFont="1" applyFill="1" applyBorder="1"/>
    <xf numFmtId="9" fontId="0" fillId="0" borderId="10" xfId="2" applyFont="1" applyFill="1" applyBorder="1" applyAlignment="1">
      <alignment horizontal="center"/>
    </xf>
    <xf numFmtId="165" fontId="0" fillId="0" borderId="36" xfId="2" applyNumberFormat="1" applyFont="1" applyFill="1" applyBorder="1" applyAlignment="1">
      <alignment horizontal="center"/>
    </xf>
    <xf numFmtId="2" fontId="0" fillId="0" borderId="36" xfId="2" applyNumberFormat="1" applyFont="1" applyFill="1" applyBorder="1" applyAlignment="1">
      <alignment horizontal="center"/>
    </xf>
    <xf numFmtId="165" fontId="0" fillId="0" borderId="16" xfId="2" applyNumberFormat="1" applyFont="1" applyFill="1" applyBorder="1" applyAlignment="1">
      <alignment horizontal="center"/>
    </xf>
    <xf numFmtId="2" fontId="0" fillId="0" borderId="16" xfId="2" applyNumberFormat="1" applyFont="1" applyFill="1" applyBorder="1" applyAlignment="1">
      <alignment horizontal="center"/>
    </xf>
    <xf numFmtId="9" fontId="0" fillId="0" borderId="3" xfId="2" applyFont="1" applyFill="1" applyBorder="1" applyAlignment="1">
      <alignment horizontal="center"/>
    </xf>
    <xf numFmtId="164" fontId="0" fillId="0" borderId="10" xfId="1" applyNumberFormat="1" applyFont="1" applyFill="1" applyBorder="1"/>
    <xf numFmtId="2" fontId="0" fillId="0" borderId="17" xfId="2" applyNumberFormat="1" applyFont="1" applyFill="1" applyBorder="1" applyAlignment="1">
      <alignment horizontal="center"/>
    </xf>
    <xf numFmtId="0" fontId="2" fillId="0" borderId="14" xfId="0" applyFont="1" applyBorder="1" applyAlignment="1">
      <alignment horizontal="center" vertical="center" textRotation="90"/>
    </xf>
    <xf numFmtId="0" fontId="13" fillId="0" borderId="0" xfId="0" applyFont="1" applyBorder="1" applyAlignment="1">
      <alignment vertical="center" wrapText="1"/>
    </xf>
    <xf numFmtId="0" fontId="13" fillId="0" borderId="0" xfId="0" applyFont="1" applyBorder="1" applyAlignment="1">
      <alignment horizontal="center" vertical="center" wrapText="1"/>
    </xf>
    <xf numFmtId="0" fontId="15" fillId="11" borderId="0" xfId="0" applyFont="1" applyFill="1"/>
    <xf numFmtId="0" fontId="0" fillId="0" borderId="8" xfId="0" applyFont="1" applyBorder="1" applyAlignment="1">
      <alignment vertical="center"/>
    </xf>
    <xf numFmtId="0" fontId="0" fillId="0" borderId="7" xfId="0" applyFont="1" applyBorder="1" applyAlignment="1">
      <alignment horizontal="center" vertical="center"/>
    </xf>
    <xf numFmtId="0" fontId="0" fillId="0" borderId="82" xfId="0" applyFont="1" applyBorder="1" applyAlignment="1">
      <alignment vertical="center"/>
    </xf>
    <xf numFmtId="0" fontId="0" fillId="0" borderId="72" xfId="0" applyFont="1" applyBorder="1" applyAlignment="1">
      <alignment vertical="center"/>
    </xf>
    <xf numFmtId="0" fontId="0" fillId="0" borderId="42" xfId="0" applyFont="1" applyBorder="1" applyAlignment="1">
      <alignment vertical="center"/>
    </xf>
    <xf numFmtId="0" fontId="0" fillId="0" borderId="10" xfId="0" applyFont="1" applyBorder="1" applyAlignment="1">
      <alignment vertical="center"/>
    </xf>
    <xf numFmtId="0" fontId="0" fillId="0" borderId="15" xfId="0" applyFont="1" applyBorder="1" applyAlignment="1">
      <alignment vertical="center"/>
    </xf>
    <xf numFmtId="0" fontId="0" fillId="0" borderId="40" xfId="0" applyFont="1" applyBorder="1" applyAlignment="1">
      <alignment vertical="center"/>
    </xf>
    <xf numFmtId="0" fontId="0" fillId="0" borderId="58" xfId="0" applyFont="1" applyBorder="1" applyAlignment="1">
      <alignment vertical="center"/>
    </xf>
    <xf numFmtId="0" fontId="0" fillId="0" borderId="74" xfId="0" applyFont="1" applyBorder="1" applyAlignment="1">
      <alignment vertical="center"/>
    </xf>
    <xf numFmtId="0" fontId="0" fillId="0" borderId="75" xfId="0" applyFont="1" applyBorder="1" applyAlignment="1">
      <alignment vertical="center"/>
    </xf>
    <xf numFmtId="0" fontId="0" fillId="0" borderId="41" xfId="0" applyFont="1" applyBorder="1" applyAlignment="1">
      <alignment vertical="center"/>
    </xf>
    <xf numFmtId="0" fontId="0" fillId="0" borderId="30" xfId="0" applyFont="1" applyBorder="1" applyAlignment="1">
      <alignment vertical="center"/>
    </xf>
    <xf numFmtId="0" fontId="0" fillId="0" borderId="53" xfId="0" applyFont="1" applyBorder="1" applyAlignment="1">
      <alignment vertical="center"/>
    </xf>
    <xf numFmtId="0" fontId="0" fillId="0" borderId="62" xfId="0" applyFont="1" applyBorder="1" applyAlignment="1">
      <alignment vertical="center"/>
    </xf>
    <xf numFmtId="0" fontId="0" fillId="0" borderId="60" xfId="0" applyFont="1" applyBorder="1" applyAlignment="1">
      <alignment vertical="center"/>
    </xf>
    <xf numFmtId="0" fontId="0" fillId="0" borderId="63" xfId="0" applyFont="1" applyBorder="1" applyAlignment="1">
      <alignment vertical="center"/>
    </xf>
    <xf numFmtId="0" fontId="0" fillId="0" borderId="87" xfId="0" applyFont="1" applyBorder="1" applyAlignment="1">
      <alignment vertical="center"/>
    </xf>
    <xf numFmtId="0" fontId="0" fillId="0" borderId="33" xfId="0" applyFont="1" applyBorder="1" applyAlignment="1">
      <alignment vertical="center"/>
    </xf>
    <xf numFmtId="0" fontId="2" fillId="0" borderId="0" xfId="0" applyFont="1" applyAlignment="1">
      <alignment horizontal="left" vertical="top"/>
    </xf>
    <xf numFmtId="0" fontId="2" fillId="0" borderId="0" xfId="0" applyFont="1" applyAlignment="1">
      <alignment horizontal="right" vertical="top"/>
    </xf>
    <xf numFmtId="0" fontId="2" fillId="0" borderId="5" xfId="0" applyFont="1" applyBorder="1" applyAlignment="1">
      <alignment horizontal="center" vertical="top"/>
    </xf>
    <xf numFmtId="0" fontId="0" fillId="0" borderId="0" xfId="0" applyFont="1" applyBorder="1" applyAlignment="1">
      <alignment horizontal="center" vertical="top"/>
    </xf>
    <xf numFmtId="0" fontId="0" fillId="0" borderId="10" xfId="0" applyFont="1" applyBorder="1" applyAlignment="1">
      <alignment horizontal="center" vertical="top"/>
    </xf>
    <xf numFmtId="0" fontId="0" fillId="0" borderId="17" xfId="0" applyFont="1" applyBorder="1" applyAlignment="1">
      <alignment vertical="top"/>
    </xf>
    <xf numFmtId="0" fontId="9" fillId="0" borderId="0" xfId="0" applyFont="1" applyAlignment="1">
      <alignment horizontal="center" vertical="top"/>
    </xf>
    <xf numFmtId="0" fontId="9" fillId="0" borderId="2" xfId="0" applyFont="1" applyBorder="1" applyAlignment="1">
      <alignment horizontal="center" vertical="top"/>
    </xf>
    <xf numFmtId="0" fontId="9" fillId="0" borderId="16" xfId="0" applyFont="1" applyBorder="1" applyAlignment="1">
      <alignment horizontal="center" vertical="top"/>
    </xf>
    <xf numFmtId="0" fontId="9" fillId="0" borderId="0" xfId="0" applyFont="1" applyBorder="1" applyAlignment="1">
      <alignment horizontal="center" vertical="top"/>
    </xf>
    <xf numFmtId="0" fontId="9" fillId="0" borderId="5" xfId="0" applyFont="1" applyBorder="1" applyAlignment="1">
      <alignment horizontal="center" vertical="top"/>
    </xf>
    <xf numFmtId="0" fontId="9" fillId="0" borderId="4" xfId="0" applyFont="1" applyBorder="1" applyAlignment="1">
      <alignment horizontal="center" vertical="top"/>
    </xf>
    <xf numFmtId="0" fontId="9" fillId="0" borderId="8" xfId="0" applyFont="1" applyBorder="1" applyAlignment="1">
      <alignment horizontal="center" vertical="top"/>
    </xf>
    <xf numFmtId="0" fontId="9" fillId="0" borderId="12" xfId="0" applyFont="1" applyBorder="1" applyAlignment="1">
      <alignment horizontal="center" vertical="top"/>
    </xf>
    <xf numFmtId="0" fontId="9" fillId="0" borderId="11" xfId="0" applyFont="1" applyBorder="1" applyAlignment="1">
      <alignment horizontal="center" vertical="top"/>
    </xf>
    <xf numFmtId="0" fontId="9" fillId="0" borderId="14" xfId="0" applyFont="1" applyBorder="1" applyAlignment="1">
      <alignment horizontal="center" vertical="top"/>
    </xf>
    <xf numFmtId="0" fontId="2" fillId="0" borderId="75" xfId="0" applyFont="1" applyBorder="1" applyAlignment="1">
      <alignment horizontal="center" vertical="top"/>
    </xf>
    <xf numFmtId="0" fontId="2" fillId="0" borderId="3" xfId="0" applyFont="1" applyBorder="1" applyAlignment="1">
      <alignment horizontal="center" vertical="top"/>
    </xf>
    <xf numFmtId="0" fontId="2" fillId="0" borderId="67" xfId="0" applyFont="1" applyBorder="1" applyAlignment="1">
      <alignment horizontal="right" vertical="center"/>
    </xf>
    <xf numFmtId="0" fontId="2" fillId="0" borderId="46" xfId="0" applyFont="1" applyBorder="1" applyAlignment="1">
      <alignment horizontal="right" vertical="center"/>
    </xf>
    <xf numFmtId="0" fontId="0" fillId="0" borderId="0" xfId="0" applyFont="1" applyFill="1" applyAlignment="1">
      <alignment horizontal="right" vertical="top"/>
    </xf>
    <xf numFmtId="0" fontId="0" fillId="11" borderId="0" xfId="0" applyFont="1" applyFill="1" applyAlignment="1">
      <alignment horizontal="right" vertical="top"/>
    </xf>
    <xf numFmtId="0" fontId="0" fillId="0" borderId="0" xfId="0" applyFont="1" applyAlignment="1">
      <alignment horizontal="right" vertical="top" wrapText="1"/>
    </xf>
    <xf numFmtId="0" fontId="0" fillId="0" borderId="0" xfId="0" applyFont="1" applyBorder="1" applyAlignment="1">
      <alignment horizontal="right" vertical="top"/>
    </xf>
    <xf numFmtId="0" fontId="0" fillId="0" borderId="13" xfId="0" applyFont="1" applyBorder="1" applyAlignment="1">
      <alignment vertical="top"/>
    </xf>
    <xf numFmtId="0" fontId="0" fillId="0" borderId="20" xfId="0" applyFont="1" applyBorder="1" applyAlignment="1"/>
    <xf numFmtId="0" fontId="0" fillId="0" borderId="20" xfId="0" applyFont="1" applyBorder="1" applyAlignment="1">
      <alignment horizontal="right"/>
    </xf>
    <xf numFmtId="0" fontId="0" fillId="0" borderId="21" xfId="0" applyFont="1" applyBorder="1" applyAlignment="1"/>
    <xf numFmtId="0" fontId="0" fillId="0" borderId="0" xfId="0" applyFont="1" applyBorder="1" applyAlignment="1"/>
    <xf numFmtId="0" fontId="0" fillId="0" borderId="0" xfId="0" applyFont="1" applyBorder="1" applyAlignment="1">
      <alignment horizontal="right"/>
    </xf>
    <xf numFmtId="0" fontId="0" fillId="0" borderId="23" xfId="0" applyFont="1" applyBorder="1" applyAlignment="1"/>
    <xf numFmtId="0" fontId="0" fillId="0" borderId="13" xfId="0" applyFont="1" applyBorder="1" applyAlignment="1"/>
    <xf numFmtId="0" fontId="0" fillId="0" borderId="13" xfId="0" applyFont="1" applyBorder="1" applyAlignment="1">
      <alignment horizontal="right"/>
    </xf>
    <xf numFmtId="0" fontId="0" fillId="0" borderId="25" xfId="0" applyFont="1" applyBorder="1" applyAlignment="1"/>
    <xf numFmtId="0" fontId="0" fillId="0" borderId="47" xfId="0" applyFont="1" applyBorder="1" applyAlignment="1">
      <alignment vertical="top"/>
    </xf>
    <xf numFmtId="0" fontId="0" fillId="0" borderId="23" xfId="0" applyFont="1" applyBorder="1" applyAlignment="1">
      <alignment vertical="top"/>
    </xf>
    <xf numFmtId="0" fontId="0" fillId="0" borderId="30" xfId="0" applyFont="1" applyBorder="1" applyAlignment="1">
      <alignment horizontal="right" vertical="center"/>
    </xf>
    <xf numFmtId="0" fontId="0" fillId="0" borderId="24" xfId="0" applyFont="1" applyBorder="1" applyAlignment="1">
      <alignment vertical="center"/>
    </xf>
    <xf numFmtId="0" fontId="0" fillId="0" borderId="49" xfId="0" quotePrefix="1" applyFont="1" applyBorder="1" applyAlignment="1">
      <alignment vertical="center"/>
    </xf>
    <xf numFmtId="0" fontId="0" fillId="0" borderId="25" xfId="0" quotePrefix="1" applyFont="1" applyBorder="1" applyAlignment="1">
      <alignment vertical="top"/>
    </xf>
    <xf numFmtId="0" fontId="0" fillId="0" borderId="15" xfId="0" applyFont="1" applyBorder="1" applyAlignment="1">
      <alignment horizontal="right" vertical="center"/>
    </xf>
    <xf numFmtId="0" fontId="0" fillId="0" borderId="26" xfId="0" applyFont="1" applyBorder="1" applyAlignment="1">
      <alignment vertical="center"/>
    </xf>
    <xf numFmtId="0" fontId="0" fillId="0" borderId="71" xfId="0" quotePrefix="1" applyFont="1" applyBorder="1" applyAlignment="1">
      <alignment vertical="center"/>
    </xf>
    <xf numFmtId="0" fontId="0" fillId="0" borderId="21" xfId="0" applyFont="1" applyBorder="1" applyAlignment="1">
      <alignment vertical="top"/>
    </xf>
    <xf numFmtId="0" fontId="0" fillId="0" borderId="69" xfId="0" applyFont="1" applyBorder="1" applyAlignment="1">
      <alignment vertical="top"/>
    </xf>
    <xf numFmtId="0" fontId="0" fillId="0" borderId="45" xfId="0" quotePrefix="1" applyFont="1" applyBorder="1" applyAlignment="1">
      <alignment vertical="top"/>
    </xf>
    <xf numFmtId="0" fontId="0" fillId="0" borderId="75" xfId="0" applyFont="1" applyBorder="1" applyAlignment="1">
      <alignment horizontal="right" vertical="center"/>
    </xf>
    <xf numFmtId="0" fontId="0" fillId="0" borderId="85" xfId="0" applyFont="1" applyBorder="1" applyAlignment="1">
      <alignment vertical="center"/>
    </xf>
    <xf numFmtId="0" fontId="0" fillId="0" borderId="76" xfId="0" quotePrefix="1" applyFont="1" applyBorder="1" applyAlignment="1">
      <alignment vertical="center"/>
    </xf>
    <xf numFmtId="0" fontId="0" fillId="0" borderId="0" xfId="0" quotePrefix="1" applyFont="1" applyBorder="1" applyAlignment="1">
      <alignment vertical="top"/>
    </xf>
    <xf numFmtId="0" fontId="0" fillId="0" borderId="68" xfId="0" applyFont="1" applyBorder="1" applyAlignment="1">
      <alignment vertical="top"/>
    </xf>
    <xf numFmtId="0" fontId="0" fillId="0" borderId="72" xfId="0" applyFont="1" applyBorder="1" applyAlignment="1">
      <alignment vertical="top"/>
    </xf>
    <xf numFmtId="0" fontId="0" fillId="0" borderId="72" xfId="0" applyFont="1" applyBorder="1" applyAlignment="1">
      <alignment horizontal="right" vertical="center"/>
    </xf>
    <xf numFmtId="0" fontId="0" fillId="0" borderId="59" xfId="0" applyFont="1" applyBorder="1" applyAlignment="1">
      <alignment vertical="center"/>
    </xf>
    <xf numFmtId="0" fontId="0" fillId="0" borderId="73" xfId="0" quotePrefix="1" applyFont="1" applyBorder="1" applyAlignment="1">
      <alignment vertical="center"/>
    </xf>
    <xf numFmtId="0" fontId="0" fillId="0" borderId="75" xfId="0" applyFont="1" applyBorder="1" applyAlignment="1">
      <alignment vertical="top"/>
    </xf>
    <xf numFmtId="0" fontId="0" fillId="0" borderId="72" xfId="0" applyFont="1" applyBorder="1" applyAlignment="1">
      <alignment horizontal="right" vertical="center" wrapText="1"/>
    </xf>
    <xf numFmtId="0" fontId="0" fillId="0" borderId="15" xfId="0" applyFont="1" applyBorder="1" applyAlignment="1">
      <alignment vertical="top"/>
    </xf>
    <xf numFmtId="0" fontId="0" fillId="0" borderId="15" xfId="0" applyFont="1" applyBorder="1" applyAlignment="1">
      <alignment horizontal="right" vertical="center" wrapText="1"/>
    </xf>
    <xf numFmtId="0" fontId="0" fillId="0" borderId="49" xfId="0" applyFont="1" applyBorder="1" applyAlignment="1">
      <alignment vertical="top"/>
    </xf>
    <xf numFmtId="0" fontId="0" fillId="0" borderId="75" xfId="0" applyFont="1" applyBorder="1" applyAlignment="1">
      <alignment horizontal="right" vertical="center" wrapText="1"/>
    </xf>
    <xf numFmtId="0" fontId="0" fillId="0" borderId="67" xfId="0" applyFont="1" applyBorder="1" applyAlignment="1">
      <alignment vertical="center"/>
    </xf>
    <xf numFmtId="0" fontId="0" fillId="0" borderId="28" xfId="0" applyFont="1" applyBorder="1" applyAlignment="1">
      <alignment vertical="center"/>
    </xf>
    <xf numFmtId="0" fontId="0" fillId="0" borderId="68" xfId="0" quotePrefix="1" applyFont="1" applyBorder="1" applyAlignment="1">
      <alignment vertical="center"/>
    </xf>
    <xf numFmtId="0" fontId="0" fillId="0" borderId="70" xfId="0" applyFont="1" applyBorder="1" applyAlignment="1">
      <alignment vertical="center"/>
    </xf>
    <xf numFmtId="0" fontId="0" fillId="0" borderId="29" xfId="0" applyFont="1" applyBorder="1" applyAlignment="1">
      <alignment vertical="top"/>
    </xf>
    <xf numFmtId="0" fontId="0" fillId="0" borderId="30" xfId="0" applyFont="1" applyBorder="1" applyAlignment="1">
      <alignment horizontal="right" vertical="center" wrapText="1"/>
    </xf>
    <xf numFmtId="0" fontId="0" fillId="0" borderId="18" xfId="0" applyFont="1" applyBorder="1" applyAlignment="1">
      <alignment vertical="top"/>
    </xf>
    <xf numFmtId="0" fontId="0" fillId="10" borderId="19" xfId="0" applyFont="1" applyFill="1" applyBorder="1" applyAlignment="1">
      <alignment vertical="center"/>
    </xf>
    <xf numFmtId="0" fontId="0" fillId="10" borderId="20" xfId="0" applyFont="1" applyFill="1" applyBorder="1" applyAlignment="1">
      <alignment vertical="center"/>
    </xf>
    <xf numFmtId="0" fontId="0" fillId="10" borderId="20" xfId="0" quotePrefix="1" applyFont="1" applyFill="1" applyBorder="1" applyAlignment="1">
      <alignment vertical="center"/>
    </xf>
    <xf numFmtId="0" fontId="0" fillId="10" borderId="32" xfId="0" applyFont="1" applyFill="1" applyBorder="1" applyAlignment="1">
      <alignment vertical="center"/>
    </xf>
    <xf numFmtId="0" fontId="0" fillId="10" borderId="22" xfId="0" applyFont="1" applyFill="1" applyBorder="1" applyAlignment="1">
      <alignment vertical="center"/>
    </xf>
    <xf numFmtId="0" fontId="0" fillId="10" borderId="0" xfId="0" applyFont="1" applyFill="1" applyBorder="1" applyAlignment="1">
      <alignment vertical="center"/>
    </xf>
    <xf numFmtId="0" fontId="0" fillId="10" borderId="0" xfId="0" quotePrefix="1" applyFont="1" applyFill="1" applyBorder="1" applyAlignment="1">
      <alignment vertical="center"/>
    </xf>
    <xf numFmtId="0" fontId="0" fillId="10" borderId="7" xfId="0" applyFont="1" applyFill="1" applyBorder="1" applyAlignment="1">
      <alignment vertical="center"/>
    </xf>
    <xf numFmtId="0" fontId="0" fillId="0" borderId="30" xfId="0" applyFont="1" applyBorder="1" applyAlignment="1">
      <alignment vertical="top"/>
    </xf>
    <xf numFmtId="0" fontId="0" fillId="10" borderId="24" xfId="0" applyFont="1" applyFill="1" applyBorder="1" applyAlignment="1">
      <alignment vertical="center"/>
    </xf>
    <xf numFmtId="0" fontId="0" fillId="10" borderId="13" xfId="0" applyFont="1" applyFill="1" applyBorder="1" applyAlignment="1">
      <alignment vertical="center"/>
    </xf>
    <xf numFmtId="0" fontId="0" fillId="10" borderId="13" xfId="0" quotePrefix="1" applyFont="1" applyFill="1" applyBorder="1" applyAlignment="1">
      <alignment vertical="center"/>
    </xf>
    <xf numFmtId="0" fontId="0" fillId="10" borderId="31" xfId="0" applyFont="1" applyFill="1" applyBorder="1" applyAlignment="1">
      <alignment vertical="center"/>
    </xf>
    <xf numFmtId="0" fontId="0" fillId="0" borderId="56" xfId="0" applyFont="1" applyBorder="1" applyAlignment="1">
      <alignment vertical="top"/>
    </xf>
    <xf numFmtId="0" fontId="0" fillId="0" borderId="64" xfId="0" applyFont="1" applyBorder="1" applyAlignment="1">
      <alignment vertical="top"/>
    </xf>
    <xf numFmtId="0" fontId="0" fillId="0" borderId="64" xfId="0" applyFont="1" applyBorder="1" applyAlignment="1">
      <alignment horizontal="right" vertical="center" wrapText="1"/>
    </xf>
    <xf numFmtId="0" fontId="0" fillId="0" borderId="64" xfId="0" applyFont="1" applyBorder="1" applyAlignment="1">
      <alignment vertical="center"/>
    </xf>
    <xf numFmtId="0" fontId="0" fillId="0" borderId="66" xfId="0" applyFont="1" applyBorder="1" applyAlignment="1">
      <alignment vertical="center"/>
    </xf>
    <xf numFmtId="0" fontId="0" fillId="0" borderId="56" xfId="0" quotePrefix="1" applyFont="1" applyBorder="1" applyAlignment="1">
      <alignment vertical="center"/>
    </xf>
    <xf numFmtId="0" fontId="0" fillId="0" borderId="57" xfId="0" applyFont="1" applyBorder="1" applyAlignment="1">
      <alignment vertical="center"/>
    </xf>
    <xf numFmtId="0" fontId="0" fillId="11" borderId="0" xfId="0" applyFont="1" applyFill="1" applyAlignment="1">
      <alignment vertical="top" wrapText="1"/>
    </xf>
    <xf numFmtId="0" fontId="13" fillId="0" borderId="10" xfId="0" applyFont="1" applyBorder="1" applyAlignment="1">
      <alignment horizontal="center" vertical="center"/>
    </xf>
    <xf numFmtId="0" fontId="0" fillId="11" borderId="0" xfId="0" applyFont="1" applyFill="1" applyAlignment="1">
      <alignment horizontal="left" wrapText="1"/>
    </xf>
    <xf numFmtId="0" fontId="0" fillId="0" borderId="8"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7" fillId="0" borderId="64" xfId="3" applyFont="1" applyBorder="1" applyAlignment="1">
      <alignment horizontal="center" vertical="top" wrapText="1"/>
    </xf>
    <xf numFmtId="0" fontId="2" fillId="0" borderId="11" xfId="0" applyFont="1" applyBorder="1" applyAlignment="1">
      <alignment horizontal="center"/>
    </xf>
    <xf numFmtId="0" fontId="13" fillId="0" borderId="2" xfId="0" applyFont="1" applyFill="1" applyBorder="1" applyAlignment="1">
      <alignment vertical="center"/>
    </xf>
    <xf numFmtId="0" fontId="2" fillId="14" borderId="1" xfId="0" applyFont="1" applyFill="1" applyBorder="1" applyAlignment="1">
      <alignment horizontal="center"/>
    </xf>
    <xf numFmtId="0" fontId="0" fillId="11" borderId="1" xfId="0" applyFont="1" applyFill="1" applyBorder="1" applyAlignment="1">
      <alignment horizontal="center" vertical="center" wrapText="1"/>
    </xf>
    <xf numFmtId="164" fontId="0" fillId="0" borderId="16" xfId="1" applyNumberFormat="1" applyFont="1" applyFill="1" applyBorder="1"/>
    <xf numFmtId="165" fontId="0" fillId="0" borderId="20" xfId="2" applyNumberFormat="1" applyFont="1" applyFill="1" applyBorder="1" applyAlignment="1">
      <alignment horizontal="center"/>
    </xf>
    <xf numFmtId="165" fontId="0" fillId="0" borderId="15" xfId="2" applyNumberFormat="1" applyFont="1" applyFill="1" applyBorder="1" applyAlignment="1">
      <alignment horizontal="center"/>
    </xf>
    <xf numFmtId="165" fontId="0" fillId="0" borderId="72" xfId="2" applyNumberFormat="1" applyFont="1" applyFill="1" applyBorder="1" applyAlignment="1">
      <alignment horizontal="center"/>
    </xf>
    <xf numFmtId="165" fontId="0" fillId="0" borderId="75" xfId="2" applyNumberFormat="1" applyFont="1" applyFill="1" applyBorder="1" applyAlignment="1">
      <alignment horizontal="center"/>
    </xf>
    <xf numFmtId="2" fontId="0" fillId="0" borderId="63" xfId="2" applyNumberFormat="1" applyFont="1" applyFill="1" applyBorder="1" applyAlignment="1">
      <alignment horizontal="center"/>
    </xf>
    <xf numFmtId="2" fontId="0" fillId="0" borderId="34" xfId="2" applyNumberFormat="1" applyFont="1" applyFill="1" applyBorder="1" applyAlignment="1">
      <alignment horizontal="center"/>
    </xf>
    <xf numFmtId="2" fontId="0" fillId="0" borderId="33" xfId="2" applyNumberFormat="1" applyFont="1" applyFill="1" applyBorder="1" applyAlignment="1">
      <alignment horizontal="center"/>
    </xf>
    <xf numFmtId="0" fontId="0" fillId="13" borderId="8" xfId="0" applyNumberFormat="1" applyFont="1" applyFill="1" applyBorder="1"/>
    <xf numFmtId="0" fontId="0" fillId="13" borderId="17" xfId="0" applyNumberFormat="1" applyFont="1" applyFill="1" applyBorder="1"/>
    <xf numFmtId="0" fontId="0" fillId="13" borderId="36" xfId="0" applyNumberFormat="1" applyFont="1" applyFill="1" applyBorder="1"/>
    <xf numFmtId="165" fontId="0" fillId="3" borderId="32" xfId="2" applyNumberFormat="1" applyFont="1" applyFill="1" applyBorder="1" applyAlignment="1">
      <alignment horizontal="center"/>
    </xf>
    <xf numFmtId="0" fontId="0" fillId="13" borderId="50" xfId="0" applyNumberFormat="1" applyFont="1" applyFill="1" applyBorder="1"/>
    <xf numFmtId="165" fontId="0" fillId="3" borderId="31" xfId="2" applyNumberFormat="1" applyFont="1" applyFill="1" applyBorder="1" applyAlignment="1">
      <alignment horizontal="center"/>
    </xf>
    <xf numFmtId="165" fontId="0" fillId="3" borderId="62" xfId="2" applyNumberFormat="1" applyFont="1" applyFill="1" applyBorder="1" applyAlignment="1">
      <alignment horizontal="center"/>
    </xf>
    <xf numFmtId="165" fontId="0" fillId="3" borderId="52" xfId="2" applyNumberFormat="1" applyFont="1" applyFill="1" applyBorder="1" applyAlignment="1">
      <alignment horizontal="center"/>
    </xf>
    <xf numFmtId="165" fontId="0" fillId="3" borderId="58" xfId="2" applyNumberFormat="1" applyFont="1" applyFill="1" applyBorder="1" applyAlignment="1">
      <alignment horizontal="center"/>
    </xf>
    <xf numFmtId="165" fontId="11" fillId="3" borderId="8" xfId="2" applyNumberFormat="1" applyFont="1" applyFill="1" applyBorder="1" applyAlignment="1">
      <alignment horizontal="center" vertical="center"/>
    </xf>
    <xf numFmtId="165" fontId="0" fillId="3" borderId="8" xfId="2" applyNumberFormat="1" applyFont="1" applyFill="1" applyBorder="1" applyAlignment="1">
      <alignment horizontal="center"/>
    </xf>
    <xf numFmtId="165" fontId="0" fillId="3" borderId="17" xfId="2" applyNumberFormat="1" applyFont="1" applyFill="1" applyBorder="1" applyAlignment="1">
      <alignment horizontal="center"/>
    </xf>
    <xf numFmtId="164" fontId="9" fillId="13" borderId="5" xfId="1" applyNumberFormat="1" applyFont="1" applyFill="1" applyBorder="1" applyAlignment="1">
      <alignment vertical="center"/>
    </xf>
    <xf numFmtId="164" fontId="9" fillId="13" borderId="48" xfId="1" applyNumberFormat="1" applyFont="1" applyFill="1" applyBorder="1" applyAlignment="1">
      <alignment vertical="center"/>
    </xf>
    <xf numFmtId="164" fontId="9" fillId="13" borderId="3" xfId="1" applyNumberFormat="1" applyFont="1" applyFill="1" applyBorder="1" applyAlignment="1">
      <alignment vertical="center"/>
    </xf>
    <xf numFmtId="165" fontId="11" fillId="3" borderId="9" xfId="2" applyNumberFormat="1" applyFont="1" applyFill="1" applyBorder="1" applyAlignment="1">
      <alignment horizontal="center" vertical="center"/>
    </xf>
    <xf numFmtId="164" fontId="9" fillId="3" borderId="50" xfId="1" applyNumberFormat="1" applyFont="1" applyFill="1" applyBorder="1" applyAlignment="1">
      <alignment vertical="center"/>
    </xf>
    <xf numFmtId="0" fontId="0" fillId="13" borderId="61" xfId="0" applyNumberFormat="1" applyFont="1" applyFill="1" applyBorder="1"/>
    <xf numFmtId="0" fontId="0" fillId="13" borderId="38" xfId="0" applyNumberFormat="1" applyFont="1" applyFill="1" applyBorder="1"/>
    <xf numFmtId="0" fontId="0" fillId="13" borderId="86" xfId="0" applyNumberFormat="1" applyFont="1" applyFill="1" applyBorder="1"/>
    <xf numFmtId="0" fontId="0" fillId="6" borderId="0" xfId="0" applyFont="1" applyFill="1"/>
    <xf numFmtId="0" fontId="0" fillId="20" borderId="20" xfId="0" applyFont="1" applyFill="1" applyBorder="1"/>
    <xf numFmtId="0" fontId="0" fillId="20" borderId="21" xfId="0" applyFont="1" applyFill="1" applyBorder="1"/>
    <xf numFmtId="0" fontId="0" fillId="20" borderId="0" xfId="0" applyFont="1" applyFill="1" applyBorder="1"/>
    <xf numFmtId="0" fontId="0" fillId="20" borderId="23" xfId="0" applyFont="1" applyFill="1" applyBorder="1"/>
    <xf numFmtId="0" fontId="0" fillId="20" borderId="13" xfId="0" applyFont="1" applyFill="1" applyBorder="1"/>
    <xf numFmtId="0" fontId="0" fillId="20" borderId="25" xfId="0" applyFont="1" applyFill="1" applyBorder="1"/>
    <xf numFmtId="0" fontId="0" fillId="14" borderId="20" xfId="0" applyFont="1" applyFill="1" applyBorder="1"/>
    <xf numFmtId="0" fontId="0" fillId="14" borderId="21" xfId="0" applyFont="1" applyFill="1" applyBorder="1"/>
    <xf numFmtId="0" fontId="0" fillId="14" borderId="0" xfId="0" applyFont="1" applyFill="1" applyBorder="1"/>
    <xf numFmtId="0" fontId="0" fillId="14" borderId="23" xfId="0" applyFont="1" applyFill="1" applyBorder="1"/>
    <xf numFmtId="0" fontId="0" fillId="14" borderId="13" xfId="0" applyFont="1" applyFill="1" applyBorder="1"/>
    <xf numFmtId="0" fontId="0" fillId="14" borderId="25" xfId="0" applyFont="1" applyFill="1" applyBorder="1"/>
    <xf numFmtId="0" fontId="2" fillId="20" borderId="19" xfId="0" applyFont="1" applyFill="1" applyBorder="1" applyAlignment="1">
      <alignment vertical="center"/>
    </xf>
    <xf numFmtId="0" fontId="0" fillId="20" borderId="22" xfId="0" applyFont="1" applyFill="1" applyBorder="1" applyAlignment="1">
      <alignment horizontal="left" vertical="center" indent="1"/>
    </xf>
    <xf numFmtId="0" fontId="0" fillId="20" borderId="24" xfId="0" applyFont="1" applyFill="1" applyBorder="1" applyAlignment="1">
      <alignment horizontal="left" vertical="center" indent="1"/>
    </xf>
    <xf numFmtId="0" fontId="2" fillId="14" borderId="19" xfId="0" applyFont="1" applyFill="1" applyBorder="1" applyAlignment="1">
      <alignment vertical="center"/>
    </xf>
    <xf numFmtId="0" fontId="0" fillId="14" borderId="22" xfId="0" applyFont="1" applyFill="1" applyBorder="1" applyAlignment="1">
      <alignment horizontal="left" vertical="center" indent="1"/>
    </xf>
    <xf numFmtId="0" fontId="0" fillId="14" borderId="24" xfId="0" applyFont="1" applyFill="1" applyBorder="1" applyAlignment="1">
      <alignment horizontal="left" vertical="center" indent="1"/>
    </xf>
    <xf numFmtId="0" fontId="7" fillId="0" borderId="0" xfId="0" applyFont="1" applyFill="1" applyBorder="1"/>
    <xf numFmtId="0" fontId="13" fillId="10" borderId="1" xfId="0" applyFont="1" applyFill="1" applyBorder="1" applyAlignment="1">
      <alignment horizontal="center" vertical="center" wrapText="1"/>
    </xf>
    <xf numFmtId="0" fontId="16" fillId="0" borderId="17" xfId="0" applyFont="1" applyFill="1" applyBorder="1" applyAlignment="1">
      <alignment horizontal="center" vertical="center"/>
    </xf>
    <xf numFmtId="0" fontId="17" fillId="0" borderId="10" xfId="0" applyFont="1" applyFill="1" applyBorder="1" applyAlignment="1">
      <alignment horizontal="center" vertical="center"/>
    </xf>
    <xf numFmtId="0" fontId="0" fillId="0" borderId="0" xfId="0" applyFont="1" applyAlignment="1">
      <alignment horizontal="center" vertical="center"/>
    </xf>
    <xf numFmtId="0" fontId="17" fillId="0" borderId="0" xfId="0" applyFont="1" applyFill="1" applyBorder="1" applyAlignment="1">
      <alignment horizontal="center" vertical="center"/>
    </xf>
    <xf numFmtId="0" fontId="16" fillId="0" borderId="20" xfId="0" applyFont="1" applyFill="1" applyBorder="1" applyAlignment="1">
      <alignment horizontal="center" vertical="center"/>
    </xf>
    <xf numFmtId="0" fontId="17" fillId="0" borderId="20" xfId="0" applyFont="1" applyFill="1" applyBorder="1" applyAlignment="1">
      <alignment horizontal="center" vertical="center"/>
    </xf>
    <xf numFmtId="0" fontId="11" fillId="0" borderId="20" xfId="0" applyFont="1" applyFill="1" applyBorder="1" applyAlignment="1">
      <alignment vertical="center"/>
    </xf>
    <xf numFmtId="0" fontId="0" fillId="0" borderId="21" xfId="0" applyFont="1" applyFill="1" applyBorder="1" applyAlignment="1">
      <alignment vertical="center"/>
    </xf>
    <xf numFmtId="0" fontId="0" fillId="13" borderId="8" xfId="0" applyFont="1" applyFill="1" applyBorder="1" applyAlignment="1">
      <alignment vertical="center"/>
    </xf>
    <xf numFmtId="0" fontId="9" fillId="0" borderId="9" xfId="0" applyFont="1" applyBorder="1" applyAlignment="1">
      <alignment vertical="center"/>
    </xf>
    <xf numFmtId="0" fontId="9" fillId="0" borderId="8" xfId="0" applyFont="1" applyFill="1" applyBorder="1" applyAlignment="1">
      <alignment horizontal="center" vertical="center"/>
    </xf>
    <xf numFmtId="0" fontId="9" fillId="13" borderId="8" xfId="0" applyFont="1" applyFill="1" applyBorder="1" applyAlignment="1">
      <alignment horizontal="center" vertical="center"/>
    </xf>
    <xf numFmtId="0" fontId="0" fillId="4" borderId="15" xfId="0" applyFont="1" applyFill="1" applyBorder="1" applyAlignment="1">
      <alignment vertical="center"/>
    </xf>
    <xf numFmtId="2" fontId="0" fillId="4" borderId="15" xfId="0" applyNumberFormat="1" applyFont="1" applyFill="1" applyBorder="1" applyAlignment="1">
      <alignment horizontal="center" vertical="center"/>
    </xf>
    <xf numFmtId="2" fontId="0" fillId="13" borderId="15" xfId="0" applyNumberFormat="1" applyFont="1" applyFill="1" applyBorder="1" applyAlignment="1">
      <alignment horizontal="center" vertical="center"/>
    </xf>
    <xf numFmtId="0" fontId="11" fillId="5" borderId="15" xfId="0" applyFont="1" applyFill="1" applyBorder="1" applyAlignment="1">
      <alignment vertical="center"/>
    </xf>
    <xf numFmtId="0" fontId="0" fillId="0" borderId="15" xfId="0" applyFont="1" applyFill="1" applyBorder="1" applyAlignment="1">
      <alignment vertical="center"/>
    </xf>
    <xf numFmtId="0" fontId="0" fillId="0" borderId="23" xfId="0" applyFont="1" applyFill="1" applyBorder="1" applyAlignment="1">
      <alignment vertical="center"/>
    </xf>
    <xf numFmtId="0" fontId="9" fillId="0" borderId="2" xfId="0" applyFont="1" applyBorder="1" applyAlignment="1">
      <alignment vertical="center"/>
    </xf>
    <xf numFmtId="0" fontId="9" fillId="0" borderId="7" xfId="0" applyFont="1" applyBorder="1" applyAlignment="1">
      <alignment vertical="center"/>
    </xf>
    <xf numFmtId="0" fontId="9" fillId="0" borderId="16" xfId="0" applyFont="1" applyFill="1" applyBorder="1" applyAlignment="1">
      <alignment horizontal="center" vertical="center"/>
    </xf>
    <xf numFmtId="0" fontId="9" fillId="0" borderId="6" xfId="0" applyFont="1" applyBorder="1" applyAlignment="1">
      <alignment vertical="center"/>
    </xf>
    <xf numFmtId="0" fontId="9" fillId="0" borderId="17" xfId="0" applyFont="1" applyFill="1" applyBorder="1" applyAlignment="1">
      <alignment horizontal="center" vertical="center"/>
    </xf>
    <xf numFmtId="0" fontId="9" fillId="13" borderId="14" xfId="0" applyFont="1" applyFill="1" applyBorder="1" applyAlignment="1">
      <alignment horizontal="center" vertical="center"/>
    </xf>
    <xf numFmtId="0" fontId="11" fillId="0" borderId="0" xfId="0" applyFont="1" applyFill="1" applyBorder="1" applyAlignment="1">
      <alignment vertical="center"/>
    </xf>
    <xf numFmtId="0" fontId="9" fillId="0" borderId="0" xfId="0" applyFont="1" applyFill="1" applyBorder="1" applyAlignment="1">
      <alignment horizontal="center" vertical="center"/>
    </xf>
    <xf numFmtId="0" fontId="0" fillId="4" borderId="30" xfId="0" applyFont="1" applyFill="1" applyBorder="1" applyAlignment="1">
      <alignment vertical="center"/>
    </xf>
    <xf numFmtId="2" fontId="0" fillId="4" borderId="30" xfId="0" applyNumberFormat="1" applyFont="1" applyFill="1" applyBorder="1" applyAlignment="1">
      <alignment horizontal="center" vertical="center"/>
    </xf>
    <xf numFmtId="0" fontId="0" fillId="5" borderId="15" xfId="0" applyFont="1" applyFill="1" applyBorder="1" applyAlignment="1">
      <alignment vertical="center"/>
    </xf>
    <xf numFmtId="0" fontId="11" fillId="0" borderId="23" xfId="0" applyFont="1" applyFill="1" applyBorder="1" applyAlignment="1">
      <alignment vertical="center"/>
    </xf>
    <xf numFmtId="0" fontId="0" fillId="3" borderId="15" xfId="0" applyFont="1" applyFill="1" applyBorder="1" applyAlignment="1">
      <alignment vertical="center"/>
    </xf>
    <xf numFmtId="0" fontId="11" fillId="0" borderId="13" xfId="0" applyFont="1" applyFill="1" applyBorder="1" applyAlignment="1">
      <alignment vertical="center"/>
    </xf>
    <xf numFmtId="0" fontId="0" fillId="0" borderId="13" xfId="0" applyFont="1" applyFill="1" applyBorder="1" applyAlignment="1">
      <alignment vertical="center"/>
    </xf>
    <xf numFmtId="0" fontId="0" fillId="0" borderId="25" xfId="0" applyFont="1" applyFill="1" applyBorder="1" applyAlignment="1">
      <alignment vertical="center"/>
    </xf>
    <xf numFmtId="0" fontId="16" fillId="0" borderId="0" xfId="0" applyFont="1" applyFill="1" applyBorder="1" applyAlignment="1">
      <alignment horizontal="center" vertical="center"/>
    </xf>
    <xf numFmtId="0" fontId="0" fillId="0" borderId="20" xfId="0" applyFont="1" applyFill="1" applyBorder="1" applyAlignment="1">
      <alignment vertical="center"/>
    </xf>
    <xf numFmtId="0" fontId="11" fillId="0" borderId="21" xfId="0" applyFont="1" applyFill="1" applyBorder="1" applyAlignment="1">
      <alignment vertical="center"/>
    </xf>
    <xf numFmtId="0" fontId="11" fillId="0" borderId="23"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20" xfId="0" applyFont="1" applyFill="1" applyBorder="1" applyAlignment="1">
      <alignment horizontal="right" vertical="center"/>
    </xf>
    <xf numFmtId="0" fontId="17" fillId="0" borderId="0" xfId="0" applyFont="1" applyFill="1" applyBorder="1" applyAlignment="1">
      <alignment vertical="center"/>
    </xf>
    <xf numFmtId="0" fontId="0" fillId="0" borderId="0" xfId="0" quotePrefix="1" applyFont="1" applyFill="1" applyBorder="1" applyAlignment="1">
      <alignment horizontal="center" vertical="center"/>
    </xf>
    <xf numFmtId="16" fontId="0" fillId="0" borderId="0" xfId="0" quotePrefix="1" applyNumberFormat="1" applyFont="1" applyFill="1" applyBorder="1" applyAlignment="1">
      <alignment horizontal="center" vertical="center"/>
    </xf>
    <xf numFmtId="0" fontId="0" fillId="2" borderId="15" xfId="0" applyFont="1" applyFill="1" applyBorder="1" applyAlignment="1">
      <alignment vertical="center"/>
    </xf>
    <xf numFmtId="0" fontId="17" fillId="0" borderId="20" xfId="0" applyFont="1" applyFill="1" applyBorder="1" applyAlignment="1">
      <alignment vertical="center"/>
    </xf>
    <xf numFmtId="0" fontId="0" fillId="0" borderId="0" xfId="0" quotePrefix="1" applyFont="1" applyFill="1" applyBorder="1" applyAlignment="1">
      <alignment horizontal="right" vertical="center"/>
    </xf>
    <xf numFmtId="0" fontId="0" fillId="0" borderId="19" xfId="0" applyFont="1" applyFill="1" applyBorder="1" applyAlignment="1">
      <alignment vertical="center"/>
    </xf>
    <xf numFmtId="0" fontId="9" fillId="0" borderId="22" xfId="0" applyFont="1" applyBorder="1" applyAlignment="1">
      <alignment vertical="center"/>
    </xf>
    <xf numFmtId="0" fontId="0" fillId="0" borderId="24" xfId="0" applyFont="1" applyFill="1" applyBorder="1" applyAlignment="1">
      <alignment vertical="center"/>
    </xf>
    <xf numFmtId="0" fontId="13" fillId="10" borderId="0" xfId="0" applyFont="1" applyFill="1" applyBorder="1" applyAlignment="1">
      <alignment vertical="center" wrapText="1"/>
    </xf>
    <xf numFmtId="0" fontId="13" fillId="0" borderId="0" xfId="0" applyFont="1" applyFill="1" applyBorder="1" applyAlignment="1">
      <alignment horizontal="center" vertical="center" wrapText="1"/>
    </xf>
    <xf numFmtId="0" fontId="11" fillId="0" borderId="3" xfId="0" applyFont="1" applyFill="1" applyBorder="1" applyAlignment="1">
      <alignment horizontal="center" vertical="center"/>
    </xf>
    <xf numFmtId="2" fontId="0" fillId="0" borderId="3" xfId="0" applyNumberFormat="1" applyFont="1" applyFill="1" applyBorder="1" applyAlignment="1">
      <alignment horizontal="center" vertical="center"/>
    </xf>
    <xf numFmtId="0" fontId="17" fillId="0" borderId="3" xfId="0" applyFont="1" applyFill="1" applyBorder="1" applyAlignment="1">
      <alignment horizontal="center" vertical="center"/>
    </xf>
    <xf numFmtId="0" fontId="11" fillId="0" borderId="0" xfId="0" applyFont="1" applyFill="1" applyBorder="1" applyAlignment="1">
      <alignment horizontal="center" vertical="center"/>
    </xf>
    <xf numFmtId="2" fontId="0" fillId="0" borderId="0" xfId="0" applyNumberFormat="1" applyFont="1" applyFill="1" applyBorder="1" applyAlignment="1">
      <alignment horizontal="center" vertical="center"/>
    </xf>
    <xf numFmtId="0" fontId="0" fillId="0" borderId="0" xfId="0" applyFont="1" applyFill="1" applyAlignment="1">
      <alignment horizontal="center" vertical="center"/>
    </xf>
    <xf numFmtId="0" fontId="9" fillId="0" borderId="3" xfId="0" applyFont="1" applyFill="1" applyBorder="1" applyAlignment="1">
      <alignment vertical="center"/>
    </xf>
    <xf numFmtId="0" fontId="9" fillId="0" borderId="3" xfId="0" applyFont="1" applyBorder="1" applyAlignment="1">
      <alignment horizontal="center" vertical="center"/>
    </xf>
    <xf numFmtId="0" fontId="0" fillId="0" borderId="0" xfId="0" applyFont="1" applyBorder="1" applyAlignment="1">
      <alignment horizontal="center" vertical="center"/>
    </xf>
    <xf numFmtId="0" fontId="0" fillId="14" borderId="15" xfId="0" applyFont="1" applyFill="1" applyBorder="1" applyAlignment="1">
      <alignment horizontal="center"/>
    </xf>
    <xf numFmtId="0" fontId="0" fillId="0" borderId="22" xfId="0" applyFont="1" applyFill="1" applyBorder="1"/>
    <xf numFmtId="0" fontId="0" fillId="0" borderId="23" xfId="0" applyFont="1" applyBorder="1"/>
    <xf numFmtId="0" fontId="0" fillId="0" borderId="26" xfId="0" applyFont="1" applyBorder="1" applyAlignment="1">
      <alignment horizontal="center"/>
    </xf>
    <xf numFmtId="0" fontId="0" fillId="0" borderId="39" xfId="0" quotePrefix="1" applyFont="1" applyFill="1" applyBorder="1"/>
    <xf numFmtId="0" fontId="9" fillId="0" borderId="26" xfId="0" quotePrefix="1" applyFont="1" applyFill="1" applyBorder="1" applyAlignment="1">
      <alignment vertical="center"/>
    </xf>
    <xf numFmtId="0" fontId="0" fillId="0" borderId="68" xfId="0" applyFont="1" applyBorder="1"/>
    <xf numFmtId="0" fontId="0" fillId="0" borderId="67" xfId="0" applyFont="1" applyBorder="1"/>
    <xf numFmtId="0" fontId="9" fillId="0" borderId="54" xfId="0" applyNumberFormat="1" applyFont="1" applyBorder="1" applyAlignment="1">
      <alignment vertical="center"/>
    </xf>
    <xf numFmtId="0" fontId="13" fillId="0" borderId="17" xfId="0" applyFont="1" applyBorder="1" applyAlignment="1">
      <alignment horizontal="center" vertical="center"/>
    </xf>
    <xf numFmtId="0" fontId="9" fillId="0" borderId="53" xfId="0" applyNumberFormat="1" applyFont="1" applyBorder="1" applyAlignment="1">
      <alignment vertical="center"/>
    </xf>
    <xf numFmtId="0" fontId="0" fillId="0" borderId="69" xfId="0" applyFont="1" applyBorder="1"/>
    <xf numFmtId="0" fontId="0" fillId="0" borderId="67" xfId="0" applyFont="1" applyFill="1" applyBorder="1"/>
    <xf numFmtId="0" fontId="9" fillId="0" borderId="70" xfId="0" applyNumberFormat="1" applyFont="1" applyBorder="1" applyAlignment="1">
      <alignment vertical="center"/>
    </xf>
    <xf numFmtId="0" fontId="9" fillId="0" borderId="40" xfId="0" applyNumberFormat="1" applyFont="1" applyBorder="1" applyAlignment="1">
      <alignment vertical="center"/>
    </xf>
    <xf numFmtId="2" fontId="0" fillId="0" borderId="70" xfId="1" applyNumberFormat="1" applyFont="1" applyBorder="1"/>
    <xf numFmtId="2" fontId="0" fillId="0" borderId="54" xfId="1" applyNumberFormat="1" applyFont="1" applyBorder="1"/>
    <xf numFmtId="2" fontId="0" fillId="0" borderId="53" xfId="1" applyNumberFormat="1" applyFont="1" applyBorder="1"/>
    <xf numFmtId="0" fontId="0" fillId="0" borderId="54" xfId="1" applyNumberFormat="1" applyFont="1" applyBorder="1"/>
    <xf numFmtId="0" fontId="0" fillId="0" borderId="51" xfId="1" applyNumberFormat="1" applyFont="1" applyBorder="1"/>
    <xf numFmtId="0" fontId="9" fillId="0" borderId="72" xfId="0" applyFont="1" applyFill="1" applyBorder="1" applyAlignment="1">
      <alignment vertical="center"/>
    </xf>
    <xf numFmtId="0" fontId="9" fillId="0" borderId="72" xfId="0" applyFont="1" applyBorder="1" applyAlignment="1">
      <alignment vertical="center"/>
    </xf>
    <xf numFmtId="0" fontId="9" fillId="0" borderId="51" xfId="0" applyNumberFormat="1" applyFont="1" applyBorder="1" applyAlignment="1">
      <alignment vertical="center"/>
    </xf>
    <xf numFmtId="0" fontId="9" fillId="0" borderId="68" xfId="0" applyFont="1" applyFill="1" applyBorder="1" applyAlignment="1">
      <alignment vertical="center"/>
    </xf>
    <xf numFmtId="0" fontId="0" fillId="0" borderId="70" xfId="0" applyFont="1" applyBorder="1"/>
    <xf numFmtId="0" fontId="0" fillId="0" borderId="40" xfId="1" applyNumberFormat="1" applyFont="1" applyBorder="1"/>
    <xf numFmtId="0" fontId="0" fillId="0" borderId="53" xfId="1" applyNumberFormat="1" applyFont="1" applyBorder="1"/>
    <xf numFmtId="0" fontId="0" fillId="0" borderId="70" xfId="1" applyNumberFormat="1" applyFont="1" applyBorder="1"/>
    <xf numFmtId="0" fontId="0" fillId="13" borderId="14" xfId="0" applyFont="1" applyFill="1" applyBorder="1"/>
    <xf numFmtId="0" fontId="0" fillId="10" borderId="14" xfId="0" applyFont="1" applyFill="1" applyBorder="1"/>
    <xf numFmtId="0" fontId="0" fillId="5" borderId="14" xfId="0" applyFont="1" applyFill="1" applyBorder="1" applyProtection="1"/>
    <xf numFmtId="0" fontId="0" fillId="5" borderId="14" xfId="0" applyFont="1" applyFill="1" applyBorder="1"/>
    <xf numFmtId="0" fontId="0" fillId="0" borderId="8" xfId="0" applyFont="1" applyBorder="1" applyAlignment="1">
      <alignment horizontal="center" wrapText="1"/>
    </xf>
    <xf numFmtId="0" fontId="0" fillId="0" borderId="2" xfId="0" applyFont="1" applyBorder="1" applyAlignment="1">
      <alignment horizontal="center" vertical="center" wrapText="1"/>
    </xf>
    <xf numFmtId="0" fontId="0" fillId="4" borderId="0" xfId="0" applyFont="1" applyFill="1" applyBorder="1"/>
    <xf numFmtId="0" fontId="13" fillId="0" borderId="15" xfId="0" applyFont="1" applyBorder="1" applyAlignment="1">
      <alignment horizontal="center" vertical="center"/>
    </xf>
    <xf numFmtId="0" fontId="13" fillId="0" borderId="40" xfId="0" applyFont="1" applyBorder="1" applyAlignment="1">
      <alignment horizontal="center" vertical="center"/>
    </xf>
    <xf numFmtId="0" fontId="0" fillId="6" borderId="0" xfId="0" applyFont="1" applyFill="1" applyAlignment="1">
      <alignment horizontal="center" vertical="center" wrapText="1"/>
    </xf>
    <xf numFmtId="0" fontId="0" fillId="4" borderId="0" xfId="0" applyFont="1" applyFill="1" applyAlignment="1">
      <alignment horizontal="center" vertical="center" wrapText="1"/>
    </xf>
    <xf numFmtId="0" fontId="0" fillId="0" borderId="0" xfId="0" applyFont="1" applyBorder="1" applyAlignment="1">
      <alignment vertical="center" wrapText="1"/>
    </xf>
    <xf numFmtId="0" fontId="0" fillId="13" borderId="12" xfId="0" applyFont="1" applyFill="1" applyBorder="1"/>
    <xf numFmtId="0" fontId="0" fillId="13" borderId="1" xfId="0" applyFont="1" applyFill="1" applyBorder="1"/>
    <xf numFmtId="0" fontId="0" fillId="13" borderId="11" xfId="0" applyFont="1" applyFill="1" applyBorder="1"/>
    <xf numFmtId="0" fontId="0" fillId="4" borderId="63" xfId="0" applyFont="1" applyFill="1" applyBorder="1" applyAlignment="1">
      <alignment horizontal="center"/>
    </xf>
    <xf numFmtId="0" fontId="0" fillId="4" borderId="34" xfId="0" applyFont="1" applyFill="1" applyBorder="1" applyAlignment="1">
      <alignment horizontal="center"/>
    </xf>
    <xf numFmtId="166" fontId="0" fillId="5" borderId="44" xfId="0" applyNumberFormat="1" applyFont="1" applyFill="1" applyBorder="1" applyAlignment="1">
      <alignment horizontal="center"/>
    </xf>
    <xf numFmtId="166" fontId="0" fillId="5" borderId="54" xfId="0" applyNumberFormat="1" applyFont="1" applyFill="1" applyBorder="1" applyAlignment="1">
      <alignment horizontal="center"/>
    </xf>
    <xf numFmtId="166" fontId="0" fillId="5" borderId="51" xfId="0" applyNumberFormat="1" applyFont="1" applyFill="1" applyBorder="1" applyAlignment="1">
      <alignment horizontal="center"/>
    </xf>
    <xf numFmtId="166" fontId="0" fillId="0" borderId="0" xfId="0" applyNumberFormat="1" applyFont="1" applyBorder="1" applyAlignment="1">
      <alignment horizontal="center"/>
    </xf>
    <xf numFmtId="0" fontId="0" fillId="10" borderId="10" xfId="0" applyFont="1" applyFill="1" applyBorder="1"/>
    <xf numFmtId="0" fontId="0" fillId="4" borderId="33" xfId="0" applyFont="1" applyFill="1" applyBorder="1" applyAlignment="1">
      <alignment horizontal="center"/>
    </xf>
    <xf numFmtId="0" fontId="0" fillId="0" borderId="21" xfId="0" applyFont="1" applyBorder="1"/>
    <xf numFmtId="2" fontId="0" fillId="0" borderId="21" xfId="0" applyNumberFormat="1" applyFont="1" applyBorder="1"/>
    <xf numFmtId="0" fontId="0" fillId="0" borderId="5" xfId="0" applyFont="1" applyFill="1" applyBorder="1"/>
    <xf numFmtId="0" fontId="9" fillId="0" borderId="9" xfId="0" applyFont="1" applyFill="1" applyBorder="1" applyAlignment="1">
      <alignment vertical="center"/>
    </xf>
    <xf numFmtId="0" fontId="6" fillId="0" borderId="2" xfId="0" applyFont="1" applyBorder="1" applyAlignment="1">
      <alignment vertical="center"/>
    </xf>
    <xf numFmtId="0" fontId="6" fillId="0" borderId="4" xfId="0" applyFont="1" applyFill="1" applyBorder="1" applyAlignment="1">
      <alignment vertical="center"/>
    </xf>
    <xf numFmtId="0" fontId="10" fillId="0" borderId="2" xfId="0" applyFont="1" applyFill="1" applyBorder="1" applyAlignment="1">
      <alignment vertical="center"/>
    </xf>
    <xf numFmtId="0" fontId="6" fillId="0" borderId="4" xfId="0" applyFont="1" applyBorder="1" applyAlignment="1">
      <alignment vertical="center"/>
    </xf>
    <xf numFmtId="0" fontId="9" fillId="0" borderId="31" xfId="0" applyFont="1" applyFill="1" applyBorder="1" applyAlignment="1">
      <alignment vertical="center"/>
    </xf>
    <xf numFmtId="0" fontId="7" fillId="0" borderId="22" xfId="0" applyFont="1" applyFill="1" applyBorder="1" applyAlignment="1">
      <alignment vertical="center"/>
    </xf>
    <xf numFmtId="0" fontId="9" fillId="0" borderId="50" xfId="0" applyNumberFormat="1" applyFont="1" applyBorder="1" applyAlignment="1">
      <alignment vertical="center"/>
    </xf>
    <xf numFmtId="0" fontId="7" fillId="0" borderId="24" xfId="0" applyFont="1" applyFill="1" applyBorder="1" applyAlignment="1">
      <alignment vertical="center"/>
    </xf>
    <xf numFmtId="0" fontId="0" fillId="0" borderId="6" xfId="0" applyFont="1" applyBorder="1"/>
    <xf numFmtId="0" fontId="0" fillId="0" borderId="3" xfId="0" applyFont="1" applyFill="1" applyBorder="1"/>
    <xf numFmtId="0" fontId="9" fillId="0" borderId="17" xfId="0" applyFont="1" applyFill="1" applyBorder="1" applyAlignment="1">
      <alignment vertical="center"/>
    </xf>
    <xf numFmtId="0" fontId="0" fillId="0" borderId="2" xfId="0" applyFont="1" applyFill="1" applyBorder="1"/>
    <xf numFmtId="0" fontId="9" fillId="0" borderId="48" xfId="0" applyFont="1" applyFill="1" applyBorder="1" applyAlignment="1">
      <alignment vertical="center"/>
    </xf>
    <xf numFmtId="0" fontId="9" fillId="0" borderId="20" xfId="0" applyFont="1" applyFill="1" applyBorder="1" applyAlignment="1">
      <alignment vertical="center"/>
    </xf>
    <xf numFmtId="0" fontId="9" fillId="0" borderId="13" xfId="0" applyFont="1" applyFill="1" applyBorder="1" applyAlignment="1">
      <alignment vertical="center"/>
    </xf>
    <xf numFmtId="0" fontId="6" fillId="7" borderId="35" xfId="0" applyFont="1" applyFill="1" applyBorder="1" applyAlignment="1">
      <alignment vertical="center"/>
    </xf>
    <xf numFmtId="0" fontId="6" fillId="9" borderId="2" xfId="0" applyFont="1" applyFill="1" applyBorder="1" applyAlignment="1">
      <alignment vertical="center"/>
    </xf>
    <xf numFmtId="0" fontId="6" fillId="7" borderId="4" xfId="0" applyFont="1" applyFill="1" applyBorder="1" applyAlignment="1">
      <alignment vertical="center"/>
    </xf>
    <xf numFmtId="0" fontId="6" fillId="7" borderId="55" xfId="0" applyFont="1" applyFill="1" applyBorder="1" applyAlignment="1">
      <alignment vertical="center"/>
    </xf>
    <xf numFmtId="0" fontId="9" fillId="0" borderId="13" xfId="0" applyFont="1" applyBorder="1" applyAlignment="1">
      <alignment vertical="center"/>
    </xf>
    <xf numFmtId="0" fontId="6" fillId="7" borderId="78" xfId="0" applyFont="1" applyFill="1" applyBorder="1" applyAlignment="1">
      <alignment vertical="center"/>
    </xf>
    <xf numFmtId="0" fontId="6" fillId="7" borderId="79" xfId="0" applyFont="1" applyFill="1" applyBorder="1" applyAlignment="1">
      <alignment vertical="center"/>
    </xf>
    <xf numFmtId="0" fontId="9" fillId="0" borderId="19" xfId="0" applyFont="1" applyBorder="1" applyAlignment="1">
      <alignment vertical="center"/>
    </xf>
    <xf numFmtId="0" fontId="9" fillId="0" borderId="20" xfId="0" applyFont="1" applyBorder="1" applyAlignment="1">
      <alignment vertical="center"/>
    </xf>
    <xf numFmtId="0" fontId="9" fillId="0" borderId="21" xfId="0" applyFont="1" applyBorder="1" applyAlignment="1">
      <alignment vertical="center"/>
    </xf>
    <xf numFmtId="0" fontId="9" fillId="0" borderId="24" xfId="0" applyFont="1" applyFill="1" applyBorder="1" applyAlignment="1">
      <alignment vertical="center"/>
    </xf>
    <xf numFmtId="0" fontId="6" fillId="0" borderId="0" xfId="0" applyFont="1" applyBorder="1" applyAlignment="1">
      <alignment vertical="center"/>
    </xf>
    <xf numFmtId="0" fontId="6" fillId="0" borderId="0" xfId="0" applyFont="1" applyFill="1" applyBorder="1" applyAlignment="1">
      <alignment vertical="center"/>
    </xf>
    <xf numFmtId="0" fontId="0" fillId="0" borderId="17" xfId="1" applyNumberFormat="1" applyFont="1" applyBorder="1"/>
    <xf numFmtId="0" fontId="0" fillId="0" borderId="10" xfId="0" applyFont="1" applyBorder="1"/>
    <xf numFmtId="0" fontId="9" fillId="0" borderId="4" xfId="0" applyFont="1" applyFill="1" applyBorder="1" applyAlignment="1">
      <alignment vertical="center"/>
    </xf>
    <xf numFmtId="0" fontId="9" fillId="0" borderId="24" xfId="0" applyFont="1" applyBorder="1" applyAlignment="1">
      <alignment vertical="center"/>
    </xf>
    <xf numFmtId="0" fontId="0" fillId="0" borderId="26" xfId="0" applyFont="1" applyBorder="1"/>
    <xf numFmtId="0" fontId="0" fillId="0" borderId="39" xfId="0" applyFont="1" applyBorder="1"/>
    <xf numFmtId="0" fontId="0" fillId="0" borderId="0" xfId="0" applyFont="1" applyFill="1" applyAlignment="1">
      <alignment horizontal="center" vertical="center" wrapText="1"/>
    </xf>
    <xf numFmtId="0" fontId="13" fillId="0" borderId="8" xfId="0" applyFont="1" applyBorder="1" applyAlignment="1">
      <alignment horizontal="center" vertical="center" wrapText="1"/>
    </xf>
    <xf numFmtId="0" fontId="13" fillId="10" borderId="8"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13" fillId="0" borderId="11" xfId="0" applyFont="1" applyBorder="1" applyAlignment="1">
      <alignment horizontal="center" vertical="center" wrapText="1"/>
    </xf>
    <xf numFmtId="0" fontId="13" fillId="10" borderId="12" xfId="0" applyFont="1" applyFill="1" applyBorder="1" applyAlignment="1">
      <alignment horizontal="center" vertical="center" wrapText="1"/>
    </xf>
    <xf numFmtId="0" fontId="13" fillId="0" borderId="9" xfId="0" applyFont="1" applyBorder="1" applyAlignment="1">
      <alignment horizontal="center" vertical="center" wrapText="1"/>
    </xf>
    <xf numFmtId="0" fontId="13" fillId="0" borderId="9" xfId="0" applyFont="1" applyFill="1" applyBorder="1" applyAlignment="1">
      <alignment horizontal="center" vertical="center" wrapText="1"/>
    </xf>
    <xf numFmtId="0" fontId="13" fillId="0" borderId="16"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5" xfId="0" applyFont="1" applyBorder="1" applyAlignment="1">
      <alignment horizontal="center" vertical="center" wrapText="1"/>
    </xf>
    <xf numFmtId="0" fontId="13" fillId="10" borderId="0" xfId="0" applyFont="1" applyFill="1" applyBorder="1" applyAlignment="1">
      <alignment horizontal="center" vertical="center" wrapText="1"/>
    </xf>
    <xf numFmtId="0" fontId="9" fillId="18" borderId="68" xfId="0" applyFont="1" applyFill="1" applyBorder="1" applyAlignment="1">
      <alignment vertical="center"/>
    </xf>
    <xf numFmtId="0" fontId="9" fillId="13" borderId="9" xfId="0" applyFont="1" applyFill="1" applyBorder="1" applyAlignment="1">
      <alignment horizontal="center" vertical="center"/>
    </xf>
    <xf numFmtId="167" fontId="9" fillId="13" borderId="8" xfId="0" applyNumberFormat="1" applyFont="1" applyFill="1" applyBorder="1" applyAlignment="1">
      <alignment horizontal="center" vertical="center"/>
    </xf>
    <xf numFmtId="167" fontId="9" fillId="13" borderId="9" xfId="0" applyNumberFormat="1" applyFont="1" applyFill="1" applyBorder="1" applyAlignment="1">
      <alignment horizontal="center" vertical="center"/>
    </xf>
    <xf numFmtId="167" fontId="9" fillId="3" borderId="8" xfId="0" applyNumberFormat="1" applyFont="1" applyFill="1" applyBorder="1" applyAlignment="1">
      <alignment vertical="center"/>
    </xf>
    <xf numFmtId="167" fontId="0" fillId="3" borderId="8" xfId="0" applyNumberFormat="1" applyFont="1" applyFill="1" applyBorder="1"/>
    <xf numFmtId="0" fontId="0" fillId="13" borderId="8" xfId="0" applyFont="1" applyFill="1" applyBorder="1" applyAlignment="1">
      <alignment horizontal="center"/>
    </xf>
    <xf numFmtId="0" fontId="9" fillId="0" borderId="47" xfId="0" applyFont="1" applyFill="1" applyBorder="1" applyAlignment="1">
      <alignment vertical="center"/>
    </xf>
    <xf numFmtId="0" fontId="9" fillId="13" borderId="7" xfId="0" applyFont="1" applyFill="1" applyBorder="1" applyAlignment="1">
      <alignment horizontal="center" vertical="center"/>
    </xf>
    <xf numFmtId="167" fontId="9" fillId="13" borderId="16" xfId="0" applyNumberFormat="1" applyFont="1" applyFill="1" applyBorder="1" applyAlignment="1">
      <alignment horizontal="center" vertical="center"/>
    </xf>
    <xf numFmtId="167" fontId="9" fillId="10" borderId="7" xfId="0" applyNumberFormat="1" applyFont="1" applyFill="1" applyBorder="1" applyAlignment="1">
      <alignment horizontal="center" vertical="center"/>
    </xf>
    <xf numFmtId="167" fontId="9" fillId="10" borderId="16" xfId="0" applyNumberFormat="1" applyFont="1" applyFill="1" applyBorder="1" applyAlignment="1">
      <alignment vertical="center"/>
    </xf>
    <xf numFmtId="2" fontId="9" fillId="10" borderId="16" xfId="0" applyNumberFormat="1" applyFont="1" applyFill="1" applyBorder="1" applyAlignment="1">
      <alignment vertical="center"/>
    </xf>
    <xf numFmtId="167" fontId="0" fillId="10" borderId="16" xfId="0" applyNumberFormat="1" applyFont="1" applyFill="1" applyBorder="1"/>
    <xf numFmtId="0" fontId="9" fillId="19" borderId="69" xfId="0" applyFont="1" applyFill="1" applyBorder="1" applyAlignment="1">
      <alignment vertical="center"/>
    </xf>
    <xf numFmtId="0" fontId="9" fillId="13" borderId="10" xfId="0" applyFont="1" applyFill="1" applyBorder="1" applyAlignment="1">
      <alignment horizontal="center" vertical="center"/>
    </xf>
    <xf numFmtId="167" fontId="9" fillId="13" borderId="17" xfId="0" applyNumberFormat="1" applyFont="1" applyFill="1" applyBorder="1" applyAlignment="1">
      <alignment horizontal="center" vertical="center"/>
    </xf>
    <xf numFmtId="167" fontId="9" fillId="10" borderId="17" xfId="0" applyNumberFormat="1" applyFont="1" applyFill="1" applyBorder="1" applyAlignment="1">
      <alignment vertical="center"/>
    </xf>
    <xf numFmtId="167" fontId="0" fillId="10" borderId="17" xfId="0" applyNumberFormat="1" applyFont="1" applyFill="1" applyBorder="1"/>
    <xf numFmtId="0" fontId="9" fillId="18" borderId="47" xfId="0" applyFont="1" applyFill="1" applyBorder="1" applyAlignment="1">
      <alignment vertical="center"/>
    </xf>
    <xf numFmtId="167" fontId="9" fillId="13" borderId="0" xfId="0" applyNumberFormat="1" applyFont="1" applyFill="1" applyBorder="1" applyAlignment="1">
      <alignment horizontal="center" vertical="center"/>
    </xf>
    <xf numFmtId="167" fontId="9" fillId="10" borderId="16" xfId="0" applyNumberFormat="1" applyFont="1" applyFill="1" applyBorder="1" applyAlignment="1">
      <alignment horizontal="center" vertical="center"/>
    </xf>
    <xf numFmtId="0" fontId="9" fillId="0" borderId="5" xfId="0" applyFont="1" applyFill="1" applyBorder="1" applyAlignment="1">
      <alignment vertical="center"/>
    </xf>
    <xf numFmtId="167" fontId="9" fillId="0" borderId="5" xfId="0" applyNumberFormat="1" applyFont="1" applyFill="1" applyBorder="1" applyAlignment="1">
      <alignment vertical="center"/>
    </xf>
    <xf numFmtId="174" fontId="9" fillId="13" borderId="8" xfId="1" applyNumberFormat="1" applyFont="1" applyFill="1" applyBorder="1" applyAlignment="1">
      <alignment vertical="center"/>
    </xf>
    <xf numFmtId="167" fontId="9" fillId="0" borderId="0" xfId="0" applyNumberFormat="1" applyFont="1" applyFill="1" applyBorder="1" applyAlignment="1">
      <alignment vertical="center"/>
    </xf>
    <xf numFmtId="167" fontId="9" fillId="0" borderId="3" xfId="0" applyNumberFormat="1" applyFont="1" applyFill="1" applyBorder="1" applyAlignment="1">
      <alignment vertical="center"/>
    </xf>
    <xf numFmtId="0" fontId="9" fillId="0" borderId="8" xfId="0" applyFont="1" applyFill="1" applyBorder="1" applyAlignment="1">
      <alignment vertical="center"/>
    </xf>
    <xf numFmtId="0" fontId="9" fillId="19" borderId="47" xfId="0" applyFont="1" applyFill="1" applyBorder="1" applyAlignment="1">
      <alignment vertical="center"/>
    </xf>
    <xf numFmtId="166" fontId="9" fillId="3" borderId="8" xfId="0" applyNumberFormat="1" applyFont="1" applyFill="1" applyBorder="1" applyAlignment="1">
      <alignment vertical="center"/>
    </xf>
    <xf numFmtId="166" fontId="0" fillId="3" borderId="8" xfId="0" applyNumberFormat="1" applyFont="1" applyFill="1" applyBorder="1"/>
    <xf numFmtId="0" fontId="0" fillId="0" borderId="3" xfId="0" applyFont="1" applyBorder="1"/>
    <xf numFmtId="167" fontId="9" fillId="3" borderId="16" xfId="0" applyNumberFormat="1" applyFont="1" applyFill="1" applyBorder="1" applyAlignment="1">
      <alignment vertical="center"/>
    </xf>
    <xf numFmtId="172" fontId="11" fillId="13" borderId="8" xfId="0" applyNumberFormat="1" applyFont="1" applyFill="1" applyBorder="1" applyAlignment="1">
      <alignment horizontal="center" vertical="center"/>
    </xf>
    <xf numFmtId="172" fontId="9" fillId="13" borderId="8" xfId="0" applyNumberFormat="1" applyFont="1" applyFill="1" applyBorder="1" applyAlignment="1">
      <alignment horizontal="center" vertical="center"/>
    </xf>
    <xf numFmtId="0" fontId="9" fillId="13" borderId="2" xfId="0" applyFont="1" applyFill="1" applyBorder="1" applyAlignment="1">
      <alignment vertical="center"/>
    </xf>
    <xf numFmtId="167" fontId="9" fillId="10" borderId="17" xfId="0" applyNumberFormat="1" applyFont="1" applyFill="1" applyBorder="1" applyAlignment="1">
      <alignment horizontal="center" vertical="center"/>
    </xf>
    <xf numFmtId="167" fontId="0" fillId="0" borderId="0" xfId="0" applyNumberFormat="1" applyFont="1" applyFill="1" applyBorder="1"/>
    <xf numFmtId="2" fontId="9" fillId="0" borderId="0" xfId="0" applyNumberFormat="1" applyFont="1" applyFill="1" applyBorder="1" applyAlignment="1">
      <alignment vertical="center"/>
    </xf>
    <xf numFmtId="0" fontId="13" fillId="0" borderId="1" xfId="0" applyFont="1" applyFill="1" applyBorder="1" applyAlignment="1">
      <alignment horizontal="center" vertical="center" wrapText="1"/>
    </xf>
    <xf numFmtId="0" fontId="13" fillId="0" borderId="8" xfId="0" applyFont="1" applyFill="1" applyBorder="1" applyAlignment="1">
      <alignment horizontal="center" vertical="center" wrapText="1"/>
    </xf>
    <xf numFmtId="0" fontId="13" fillId="10" borderId="9"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9" fillId="0" borderId="62" xfId="0" applyFont="1" applyFill="1" applyBorder="1" applyAlignment="1">
      <alignment vertical="center"/>
    </xf>
    <xf numFmtId="164" fontId="9" fillId="0" borderId="60" xfId="1" applyNumberFormat="1" applyFont="1" applyFill="1" applyBorder="1" applyAlignment="1">
      <alignment vertical="center"/>
    </xf>
    <xf numFmtId="164" fontId="9" fillId="0" borderId="62" xfId="1" applyNumberFormat="1" applyFont="1" applyFill="1" applyBorder="1" applyAlignment="1">
      <alignment vertical="center"/>
    </xf>
    <xf numFmtId="164" fontId="0" fillId="0" borderId="62" xfId="0" applyNumberFormat="1" applyFont="1" applyFill="1" applyBorder="1"/>
    <xf numFmtId="0" fontId="0" fillId="10" borderId="60" xfId="0" applyFont="1" applyFill="1" applyBorder="1"/>
    <xf numFmtId="0" fontId="0" fillId="0" borderId="61" xfId="0" applyFont="1" applyFill="1" applyBorder="1"/>
    <xf numFmtId="164" fontId="9" fillId="0" borderId="72" xfId="1" applyNumberFormat="1" applyFont="1" applyFill="1" applyBorder="1" applyAlignment="1">
      <alignment vertical="center"/>
    </xf>
    <xf numFmtId="164" fontId="0" fillId="0" borderId="60" xfId="0" applyNumberFormat="1" applyFont="1" applyFill="1" applyBorder="1"/>
    <xf numFmtId="0" fontId="9" fillId="0" borderId="61" xfId="0" applyFont="1" applyFill="1" applyBorder="1" applyAlignment="1">
      <alignment vertical="center"/>
    </xf>
    <xf numFmtId="164" fontId="9" fillId="0" borderId="61" xfId="1" applyNumberFormat="1" applyFont="1" applyFill="1" applyBorder="1" applyAlignment="1">
      <alignment vertical="center"/>
    </xf>
    <xf numFmtId="165" fontId="9" fillId="0" borderId="62" xfId="2" applyNumberFormat="1" applyFont="1" applyFill="1" applyBorder="1" applyAlignment="1">
      <alignment horizontal="center" vertical="center"/>
    </xf>
    <xf numFmtId="164" fontId="9" fillId="0" borderId="62" xfId="0" applyNumberFormat="1" applyFont="1" applyFill="1" applyBorder="1" applyAlignment="1">
      <alignment vertical="center"/>
    </xf>
    <xf numFmtId="0" fontId="9" fillId="10" borderId="62" xfId="0" applyFont="1" applyFill="1" applyBorder="1" applyAlignment="1">
      <alignment vertical="center"/>
    </xf>
    <xf numFmtId="0" fontId="9" fillId="0" borderId="60" xfId="0" applyFont="1" applyFill="1" applyBorder="1" applyAlignment="1">
      <alignment vertical="center"/>
    </xf>
    <xf numFmtId="164" fontId="9" fillId="0" borderId="63" xfId="1" applyNumberFormat="1" applyFont="1" applyFill="1" applyBorder="1" applyAlignment="1">
      <alignment vertical="center"/>
    </xf>
    <xf numFmtId="164" fontId="9" fillId="0" borderId="63" xfId="0" applyNumberFormat="1" applyFont="1" applyFill="1" applyBorder="1" applyAlignment="1">
      <alignment vertical="center"/>
    </xf>
    <xf numFmtId="0" fontId="0" fillId="0" borderId="4" xfId="0" applyFont="1" applyFill="1" applyBorder="1"/>
    <xf numFmtId="0" fontId="0" fillId="10" borderId="62" xfId="0" applyFont="1" applyFill="1" applyBorder="1"/>
    <xf numFmtId="0" fontId="9" fillId="0" borderId="52" xfId="0" applyFont="1" applyFill="1" applyBorder="1" applyAlignment="1">
      <alignment vertical="center"/>
    </xf>
    <xf numFmtId="164" fontId="9" fillId="0" borderId="48" xfId="1" applyNumberFormat="1" applyFont="1" applyFill="1" applyBorder="1" applyAlignment="1">
      <alignment vertical="center"/>
    </xf>
    <xf numFmtId="164" fontId="9" fillId="0" borderId="52" xfId="1" applyNumberFormat="1" applyFont="1" applyFill="1" applyBorder="1" applyAlignment="1">
      <alignment vertical="center"/>
    </xf>
    <xf numFmtId="164" fontId="0" fillId="0" borderId="52" xfId="0" applyNumberFormat="1" applyFont="1" applyFill="1" applyBorder="1"/>
    <xf numFmtId="0" fontId="9" fillId="0" borderId="36" xfId="0" applyFont="1" applyFill="1" applyBorder="1" applyAlignment="1">
      <alignment vertical="center"/>
    </xf>
    <xf numFmtId="0" fontId="0" fillId="10" borderId="48" xfId="0" applyFont="1" applyFill="1" applyBorder="1"/>
    <xf numFmtId="0" fontId="0" fillId="0" borderId="38" xfId="0" applyFont="1" applyFill="1" applyBorder="1"/>
    <xf numFmtId="164" fontId="9" fillId="0" borderId="15" xfId="1" applyNumberFormat="1" applyFont="1" applyFill="1" applyBorder="1" applyAlignment="1">
      <alignment vertical="center"/>
    </xf>
    <xf numFmtId="164" fontId="0" fillId="0" borderId="48" xfId="0" applyNumberFormat="1" applyFont="1" applyFill="1" applyBorder="1"/>
    <xf numFmtId="0" fontId="9" fillId="0" borderId="38" xfId="0" applyFont="1" applyFill="1" applyBorder="1" applyAlignment="1">
      <alignment vertical="center"/>
    </xf>
    <xf numFmtId="164" fontId="9" fillId="0" borderId="38" xfId="1" applyNumberFormat="1" applyFont="1" applyFill="1" applyBorder="1" applyAlignment="1">
      <alignment vertical="center"/>
    </xf>
    <xf numFmtId="165" fontId="9" fillId="0" borderId="52" xfId="2" applyNumberFormat="1" applyFont="1" applyFill="1" applyBorder="1" applyAlignment="1">
      <alignment horizontal="center" vertical="center"/>
    </xf>
    <xf numFmtId="164" fontId="9" fillId="0" borderId="52" xfId="0" applyNumberFormat="1" applyFont="1" applyFill="1" applyBorder="1" applyAlignment="1">
      <alignment vertical="center"/>
    </xf>
    <xf numFmtId="0" fontId="9" fillId="10" borderId="52" xfId="0" applyFont="1" applyFill="1" applyBorder="1" applyAlignment="1">
      <alignment vertical="center"/>
    </xf>
    <xf numFmtId="164" fontId="9" fillId="0" borderId="34" xfId="1" applyNumberFormat="1" applyFont="1" applyFill="1" applyBorder="1" applyAlignment="1">
      <alignment vertical="center"/>
    </xf>
    <xf numFmtId="164" fontId="9" fillId="0" borderId="34" xfId="0" applyNumberFormat="1" applyFont="1" applyFill="1" applyBorder="1" applyAlignment="1">
      <alignment vertical="center"/>
    </xf>
    <xf numFmtId="0" fontId="0" fillId="10" borderId="52" xfId="0" applyFont="1" applyFill="1" applyBorder="1"/>
    <xf numFmtId="0" fontId="0" fillId="10" borderId="36" xfId="0" applyFont="1" applyFill="1" applyBorder="1"/>
    <xf numFmtId="164" fontId="9" fillId="0" borderId="35" xfId="1" applyNumberFormat="1" applyFont="1" applyFill="1" applyBorder="1" applyAlignment="1">
      <alignment vertical="center"/>
    </xf>
    <xf numFmtId="164" fontId="9" fillId="0" borderId="32" xfId="1" applyNumberFormat="1" applyFont="1" applyFill="1" applyBorder="1" applyAlignment="1">
      <alignment vertical="center"/>
    </xf>
    <xf numFmtId="164" fontId="9" fillId="0" borderId="32" xfId="0" applyNumberFormat="1" applyFont="1" applyFill="1" applyBorder="1" applyAlignment="1">
      <alignment vertical="center"/>
    </xf>
    <xf numFmtId="0" fontId="0" fillId="10" borderId="87" xfId="0" applyFont="1" applyFill="1" applyBorder="1"/>
    <xf numFmtId="0" fontId="0" fillId="0" borderId="86" xfId="0" applyFont="1" applyFill="1" applyBorder="1"/>
    <xf numFmtId="164" fontId="9" fillId="0" borderId="75" xfId="1" applyNumberFormat="1" applyFont="1" applyFill="1" applyBorder="1" applyAlignment="1">
      <alignment vertical="center"/>
    </xf>
    <xf numFmtId="164" fontId="0" fillId="0" borderId="87" xfId="0" applyNumberFormat="1" applyFont="1" applyFill="1" applyBorder="1"/>
    <xf numFmtId="0" fontId="9" fillId="0" borderId="58" xfId="0" applyFont="1" applyFill="1" applyBorder="1" applyAlignment="1">
      <alignment vertical="center"/>
    </xf>
    <xf numFmtId="0" fontId="9" fillId="10" borderId="58" xfId="0" applyFont="1" applyFill="1" applyBorder="1" applyAlignment="1">
      <alignment vertical="center"/>
    </xf>
    <xf numFmtId="0" fontId="9" fillId="0" borderId="87" xfId="0" applyFont="1" applyFill="1" applyBorder="1" applyAlignment="1">
      <alignment vertical="center"/>
    </xf>
    <xf numFmtId="164" fontId="9" fillId="0" borderId="86" xfId="1" applyNumberFormat="1" applyFont="1" applyFill="1" applyBorder="1" applyAlignment="1">
      <alignment vertical="center"/>
    </xf>
    <xf numFmtId="165" fontId="9" fillId="0" borderId="58" xfId="2" applyNumberFormat="1" applyFont="1" applyFill="1" applyBorder="1" applyAlignment="1">
      <alignment horizontal="center" vertical="center"/>
    </xf>
    <xf numFmtId="164" fontId="9" fillId="0" borderId="87" xfId="1" applyNumberFormat="1" applyFont="1" applyFill="1" applyBorder="1" applyAlignment="1">
      <alignment vertical="center"/>
    </xf>
    <xf numFmtId="164" fontId="9" fillId="0" borderId="58" xfId="0" applyNumberFormat="1" applyFont="1" applyFill="1" applyBorder="1" applyAlignment="1">
      <alignment vertical="center"/>
    </xf>
    <xf numFmtId="0" fontId="9" fillId="10" borderId="60" xfId="0" applyFont="1" applyFill="1" applyBorder="1" applyAlignment="1">
      <alignment vertical="center"/>
    </xf>
    <xf numFmtId="0" fontId="9" fillId="0" borderId="86" xfId="0" applyFont="1" applyFill="1" applyBorder="1" applyAlignment="1">
      <alignment vertical="center"/>
    </xf>
    <xf numFmtId="164" fontId="9" fillId="0" borderId="58" xfId="1" applyNumberFormat="1" applyFont="1" applyFill="1" applyBorder="1" applyAlignment="1">
      <alignment vertical="center"/>
    </xf>
    <xf numFmtId="164" fontId="0" fillId="0" borderId="58" xfId="0" applyNumberFormat="1" applyFont="1" applyFill="1" applyBorder="1"/>
    <xf numFmtId="0" fontId="0" fillId="0" borderId="35" xfId="0" applyFont="1" applyFill="1" applyBorder="1"/>
    <xf numFmtId="164" fontId="9" fillId="0" borderId="18" xfId="1" applyNumberFormat="1" applyFont="1" applyFill="1" applyBorder="1" applyAlignment="1">
      <alignment vertical="center"/>
    </xf>
    <xf numFmtId="164" fontId="0" fillId="0" borderId="20" xfId="0" applyNumberFormat="1" applyFont="1" applyFill="1" applyBorder="1"/>
    <xf numFmtId="164" fontId="9" fillId="0" borderId="11" xfId="1" applyNumberFormat="1" applyFont="1" applyFill="1" applyBorder="1" applyAlignment="1">
      <alignment vertical="center"/>
    </xf>
    <xf numFmtId="9" fontId="9" fillId="0" borderId="17" xfId="2" applyFont="1" applyFill="1" applyBorder="1" applyAlignment="1">
      <alignment horizontal="center" vertical="center"/>
    </xf>
    <xf numFmtId="164" fontId="9" fillId="0" borderId="12" xfId="1" applyNumberFormat="1" applyFont="1" applyFill="1" applyBorder="1" applyAlignment="1">
      <alignment vertical="center"/>
    </xf>
    <xf numFmtId="164" fontId="9" fillId="0" borderId="14" xfId="1" applyNumberFormat="1" applyFont="1" applyFill="1" applyBorder="1" applyAlignment="1">
      <alignment vertical="center"/>
    </xf>
    <xf numFmtId="0" fontId="9" fillId="0" borderId="14" xfId="0" applyFont="1" applyFill="1" applyBorder="1" applyAlignment="1">
      <alignment vertical="center"/>
    </xf>
    <xf numFmtId="0" fontId="0" fillId="0" borderId="72" xfId="0" applyFont="1" applyFill="1" applyBorder="1"/>
    <xf numFmtId="164" fontId="0" fillId="0" borderId="59" xfId="0" applyNumberFormat="1" applyFont="1" applyFill="1" applyBorder="1"/>
    <xf numFmtId="0" fontId="0" fillId="0" borderId="15" xfId="0" applyFont="1" applyFill="1" applyBorder="1"/>
    <xf numFmtId="164" fontId="0" fillId="0" borderId="26" xfId="0" applyNumberFormat="1" applyFont="1" applyFill="1" applyBorder="1"/>
    <xf numFmtId="0" fontId="13" fillId="0" borderId="0" xfId="0" applyFont="1" applyFill="1" applyBorder="1" applyAlignment="1">
      <alignment vertical="center"/>
    </xf>
    <xf numFmtId="43" fontId="0" fillId="0" borderId="0" xfId="0" applyNumberFormat="1" applyFont="1" applyBorder="1"/>
    <xf numFmtId="0" fontId="0" fillId="0" borderId="6" xfId="0" applyFont="1" applyFill="1" applyBorder="1"/>
    <xf numFmtId="0" fontId="0" fillId="10" borderId="58" xfId="0" applyFont="1" applyFill="1" applyBorder="1"/>
    <xf numFmtId="164" fontId="9" fillId="0" borderId="33" xfId="1" applyNumberFormat="1" applyFont="1" applyFill="1" applyBorder="1" applyAlignment="1">
      <alignment vertical="center"/>
    </xf>
    <xf numFmtId="164" fontId="9" fillId="0" borderId="33" xfId="0" applyNumberFormat="1" applyFont="1" applyFill="1" applyBorder="1" applyAlignment="1">
      <alignment vertical="center"/>
    </xf>
    <xf numFmtId="0" fontId="0" fillId="0" borderId="75" xfId="0" applyFont="1" applyFill="1" applyBorder="1"/>
    <xf numFmtId="164" fontId="0" fillId="0" borderId="85" xfId="0" applyNumberFormat="1" applyFont="1" applyFill="1" applyBorder="1"/>
    <xf numFmtId="0" fontId="9" fillId="0" borderId="50" xfId="0" applyFont="1" applyFill="1" applyBorder="1" applyAlignment="1">
      <alignment vertical="center"/>
    </xf>
    <xf numFmtId="0" fontId="0" fillId="0" borderId="37" xfId="0" applyFont="1" applyFill="1" applyBorder="1"/>
    <xf numFmtId="164" fontId="9" fillId="0" borderId="30" xfId="1" applyNumberFormat="1" applyFont="1" applyFill="1" applyBorder="1" applyAlignment="1">
      <alignment vertical="center"/>
    </xf>
    <xf numFmtId="164" fontId="0" fillId="0" borderId="13" xfId="0" applyNumberFormat="1" applyFont="1" applyFill="1" applyBorder="1"/>
    <xf numFmtId="0" fontId="9" fillId="10" borderId="87" xfId="0" applyFont="1" applyFill="1" applyBorder="1" applyAlignment="1">
      <alignment vertical="center"/>
    </xf>
    <xf numFmtId="0" fontId="0" fillId="0" borderId="11" xfId="0" applyFont="1" applyFill="1" applyBorder="1"/>
    <xf numFmtId="164" fontId="9" fillId="0" borderId="64" xfId="1" applyNumberFormat="1" applyFont="1" applyFill="1" applyBorder="1" applyAlignment="1">
      <alignment vertical="center"/>
    </xf>
    <xf numFmtId="164" fontId="0" fillId="0" borderId="12" xfId="0" applyNumberFormat="1" applyFont="1" applyFill="1" applyBorder="1"/>
    <xf numFmtId="164" fontId="9" fillId="0" borderId="1" xfId="1" applyNumberFormat="1" applyFont="1" applyFill="1" applyBorder="1" applyAlignment="1">
      <alignment vertical="center"/>
    </xf>
    <xf numFmtId="164" fontId="9" fillId="0" borderId="1" xfId="0" applyNumberFormat="1" applyFont="1" applyFill="1" applyBorder="1" applyAlignment="1">
      <alignment vertical="center"/>
    </xf>
    <xf numFmtId="0" fontId="9" fillId="10" borderId="14" xfId="0" applyFont="1" applyFill="1" applyBorder="1" applyAlignment="1">
      <alignment vertical="center"/>
    </xf>
    <xf numFmtId="0" fontId="0" fillId="0" borderId="66" xfId="0" applyFont="1" applyFill="1" applyBorder="1"/>
    <xf numFmtId="0" fontId="0" fillId="10" borderId="13" xfId="0" applyFont="1" applyFill="1" applyBorder="1"/>
    <xf numFmtId="0" fontId="9" fillId="10" borderId="61" xfId="0" applyFont="1" applyFill="1" applyBorder="1" applyAlignment="1">
      <alignment vertical="center"/>
    </xf>
    <xf numFmtId="0" fontId="9" fillId="10" borderId="86" xfId="0" applyFont="1" applyFill="1" applyBorder="1" applyAlignment="1">
      <alignment vertical="center"/>
    </xf>
    <xf numFmtId="0" fontId="0" fillId="10" borderId="11" xfId="0" applyFont="1" applyFill="1" applyBorder="1"/>
    <xf numFmtId="0" fontId="0" fillId="0" borderId="1" xfId="0" applyFont="1" applyFill="1" applyBorder="1"/>
    <xf numFmtId="0" fontId="0" fillId="0" borderId="52" xfId="0" applyFont="1" applyFill="1" applyBorder="1"/>
    <xf numFmtId="164" fontId="9" fillId="0" borderId="37" xfId="1" applyNumberFormat="1" applyFont="1" applyFill="1" applyBorder="1" applyAlignment="1">
      <alignment vertical="center"/>
    </xf>
    <xf numFmtId="165" fontId="9" fillId="0" borderId="50" xfId="2" applyNumberFormat="1" applyFont="1" applyFill="1" applyBorder="1" applyAlignment="1">
      <alignment horizontal="center" vertical="center"/>
    </xf>
    <xf numFmtId="164" fontId="9" fillId="0" borderId="13" xfId="1" applyNumberFormat="1" applyFont="1" applyFill="1" applyBorder="1" applyAlignment="1">
      <alignment vertical="center"/>
    </xf>
    <xf numFmtId="164" fontId="9" fillId="0" borderId="50" xfId="0" applyNumberFormat="1" applyFont="1" applyFill="1" applyBorder="1" applyAlignment="1">
      <alignment vertical="center"/>
    </xf>
    <xf numFmtId="0" fontId="0" fillId="10" borderId="12" xfId="0" applyFont="1" applyFill="1" applyBorder="1"/>
    <xf numFmtId="0" fontId="0" fillId="0" borderId="12" xfId="0" applyFont="1" applyFill="1" applyBorder="1"/>
    <xf numFmtId="0" fontId="0" fillId="10" borderId="50" xfId="0" applyFont="1" applyFill="1" applyBorder="1"/>
    <xf numFmtId="164" fontId="9" fillId="0" borderId="31" xfId="1" applyNumberFormat="1" applyFont="1" applyFill="1" applyBorder="1" applyAlignment="1">
      <alignment vertical="center"/>
    </xf>
    <xf numFmtId="164" fontId="9" fillId="0" borderId="31" xfId="0" applyNumberFormat="1" applyFont="1" applyFill="1" applyBorder="1" applyAlignment="1">
      <alignment vertical="center"/>
    </xf>
    <xf numFmtId="0" fontId="0" fillId="0" borderId="47" xfId="0" applyFont="1" applyFill="1" applyBorder="1"/>
    <xf numFmtId="0" fontId="0" fillId="0" borderId="69" xfId="0" applyFont="1" applyFill="1" applyBorder="1"/>
    <xf numFmtId="164" fontId="9" fillId="0" borderId="2" xfId="1" applyNumberFormat="1" applyFont="1" applyFill="1" applyBorder="1" applyAlignment="1">
      <alignment vertical="center"/>
    </xf>
    <xf numFmtId="164" fontId="9" fillId="0" borderId="7" xfId="1" applyNumberFormat="1" applyFont="1" applyFill="1" applyBorder="1" applyAlignment="1">
      <alignment vertical="center"/>
    </xf>
    <xf numFmtId="164" fontId="9" fillId="0" borderId="7" xfId="0" applyNumberFormat="1" applyFont="1" applyFill="1" applyBorder="1" applyAlignment="1">
      <alignment vertical="center"/>
    </xf>
    <xf numFmtId="0" fontId="0" fillId="0" borderId="63" xfId="0" applyFont="1" applyBorder="1"/>
    <xf numFmtId="2" fontId="0" fillId="0" borderId="0" xfId="0" applyNumberFormat="1" applyFont="1"/>
    <xf numFmtId="0" fontId="13" fillId="0" borderId="8" xfId="0" applyFont="1" applyBorder="1" applyAlignment="1">
      <alignment vertical="center" wrapText="1"/>
    </xf>
    <xf numFmtId="0" fontId="13" fillId="5" borderId="8" xfId="0" applyFont="1" applyFill="1" applyBorder="1" applyAlignment="1">
      <alignment horizontal="center" vertical="center" wrapText="1"/>
    </xf>
    <xf numFmtId="0" fontId="9" fillId="0" borderId="32" xfId="0" applyFont="1" applyBorder="1" applyAlignment="1">
      <alignment vertical="center"/>
    </xf>
    <xf numFmtId="0" fontId="9" fillId="0" borderId="31" xfId="0" applyFont="1" applyBorder="1" applyAlignment="1">
      <alignment vertical="center"/>
    </xf>
    <xf numFmtId="0" fontId="9" fillId="0" borderId="34" xfId="0" applyFont="1" applyBorder="1" applyAlignment="1">
      <alignment vertical="center"/>
    </xf>
    <xf numFmtId="0" fontId="0" fillId="6" borderId="0" xfId="0" applyFont="1" applyFill="1" applyAlignment="1">
      <alignment vertical="center" wrapText="1"/>
    </xf>
    <xf numFmtId="0" fontId="13" fillId="0" borderId="8" xfId="0" applyFont="1" applyBorder="1" applyAlignment="1">
      <alignment vertical="center"/>
    </xf>
    <xf numFmtId="0" fontId="0" fillId="4" borderId="5" xfId="0" applyFont="1" applyFill="1" applyBorder="1"/>
    <xf numFmtId="0" fontId="0" fillId="0" borderId="8" xfId="0" applyFont="1" applyBorder="1"/>
    <xf numFmtId="0" fontId="13" fillId="0" borderId="16" xfId="0" applyFont="1" applyBorder="1" applyAlignment="1">
      <alignment vertical="center"/>
    </xf>
    <xf numFmtId="170" fontId="0" fillId="0" borderId="0" xfId="0" applyNumberFormat="1" applyFont="1"/>
    <xf numFmtId="0" fontId="0" fillId="4" borderId="3" xfId="0" applyFont="1" applyFill="1" applyBorder="1"/>
    <xf numFmtId="2" fontId="0" fillId="0" borderId="5" xfId="1" applyNumberFormat="1" applyFont="1" applyBorder="1"/>
    <xf numFmtId="0" fontId="9" fillId="4" borderId="0" xfId="0" applyFont="1" applyFill="1" applyBorder="1" applyAlignment="1">
      <alignment vertical="center"/>
    </xf>
    <xf numFmtId="0" fontId="0" fillId="4" borderId="4" xfId="0" applyFont="1" applyFill="1" applyBorder="1"/>
    <xf numFmtId="0" fontId="0" fillId="4" borderId="9" xfId="0" applyFont="1" applyFill="1" applyBorder="1"/>
    <xf numFmtId="0" fontId="9" fillId="4" borderId="2" xfId="0" applyFont="1" applyFill="1" applyBorder="1" applyAlignment="1">
      <alignment vertical="center"/>
    </xf>
    <xf numFmtId="0" fontId="0" fillId="4" borderId="7" xfId="0" applyFont="1" applyFill="1" applyBorder="1"/>
    <xf numFmtId="0" fontId="0" fillId="4" borderId="2" xfId="0" applyFont="1" applyFill="1" applyBorder="1"/>
    <xf numFmtId="0" fontId="0" fillId="4" borderId="6" xfId="0" applyFont="1" applyFill="1" applyBorder="1"/>
    <xf numFmtId="0" fontId="0" fillId="4" borderId="10" xfId="0" applyFont="1" applyFill="1" applyBorder="1"/>
    <xf numFmtId="0" fontId="9" fillId="4" borderId="5" xfId="0" applyFont="1" applyFill="1" applyBorder="1" applyAlignment="1">
      <alignment vertical="center"/>
    </xf>
    <xf numFmtId="0" fontId="9" fillId="4" borderId="4" xfId="0" applyFont="1" applyFill="1" applyBorder="1" applyAlignment="1">
      <alignment vertical="center"/>
    </xf>
    <xf numFmtId="0" fontId="9" fillId="4" borderId="9" xfId="0" applyFont="1" applyFill="1" applyBorder="1" applyAlignment="1">
      <alignment vertical="center"/>
    </xf>
    <xf numFmtId="0" fontId="9" fillId="4" borderId="7" xfId="0" applyFont="1" applyFill="1" applyBorder="1" applyAlignment="1">
      <alignment vertical="center"/>
    </xf>
    <xf numFmtId="0" fontId="9" fillId="4" borderId="10" xfId="0" applyFont="1" applyFill="1" applyBorder="1" applyAlignment="1">
      <alignment vertical="center"/>
    </xf>
    <xf numFmtId="0" fontId="13" fillId="0" borderId="17" xfId="0" applyFont="1" applyBorder="1" applyAlignment="1">
      <alignment vertical="center"/>
    </xf>
    <xf numFmtId="2" fontId="9" fillId="0" borderId="0" xfId="0" applyNumberFormat="1" applyFont="1" applyBorder="1" applyAlignment="1">
      <alignment vertical="center"/>
    </xf>
    <xf numFmtId="0" fontId="0" fillId="4" borderId="8" xfId="0" applyFont="1" applyFill="1" applyBorder="1"/>
    <xf numFmtId="0" fontId="0" fillId="4" borderId="16" xfId="0" applyFont="1" applyFill="1" applyBorder="1"/>
    <xf numFmtId="0" fontId="0" fillId="4" borderId="17" xfId="0" applyFont="1" applyFill="1" applyBorder="1"/>
    <xf numFmtId="0" fontId="0" fillId="0" borderId="0" xfId="0" applyAlignment="1">
      <alignment horizontal="right"/>
    </xf>
    <xf numFmtId="0" fontId="0" fillId="0" borderId="26" xfId="0" applyBorder="1"/>
    <xf numFmtId="0" fontId="0" fillId="0" borderId="48" xfId="0" applyBorder="1"/>
    <xf numFmtId="0" fontId="0" fillId="0" borderId="39" xfId="0" applyBorder="1"/>
    <xf numFmtId="0" fontId="0" fillId="0" borderId="18" xfId="0" applyBorder="1" applyAlignment="1">
      <alignment horizontal="center"/>
    </xf>
    <xf numFmtId="9" fontId="0" fillId="0" borderId="30" xfId="2" applyFont="1" applyBorder="1" applyAlignment="1">
      <alignment horizontal="center"/>
    </xf>
    <xf numFmtId="0" fontId="0" fillId="0" borderId="15" xfId="0" applyBorder="1"/>
    <xf numFmtId="0" fontId="0" fillId="0" borderId="15" xfId="0" applyBorder="1" applyAlignment="1">
      <alignment horizontal="center"/>
    </xf>
    <xf numFmtId="0" fontId="0" fillId="0" borderId="18" xfId="0" applyBorder="1"/>
    <xf numFmtId="0" fontId="0" fillId="0" borderId="29" xfId="0" applyBorder="1" applyAlignment="1">
      <alignment horizontal="center"/>
    </xf>
    <xf numFmtId="0" fontId="0" fillId="0" borderId="30" xfId="0" applyBorder="1"/>
    <xf numFmtId="0" fontId="0" fillId="0" borderId="0" xfId="0" applyFont="1" applyAlignment="1">
      <alignment horizontal="left" vertical="center" indent="5"/>
    </xf>
    <xf numFmtId="0" fontId="2" fillId="0" borderId="0" xfId="0" applyFont="1" applyAlignment="1">
      <alignment horizontal="left" vertical="center" indent="5"/>
    </xf>
    <xf numFmtId="0" fontId="0" fillId="0" borderId="0" xfId="0" applyAlignment="1"/>
    <xf numFmtId="0" fontId="0" fillId="0" borderId="0" xfId="0" applyFont="1" applyAlignment="1">
      <alignment horizontal="left" vertical="center" wrapText="1"/>
    </xf>
    <xf numFmtId="0" fontId="0" fillId="0" borderId="4" xfId="0" applyFont="1" applyBorder="1" applyAlignment="1">
      <alignment horizontal="left" vertical="center" indent="5"/>
    </xf>
    <xf numFmtId="0" fontId="0" fillId="0" borderId="5" xfId="0" applyFont="1" applyBorder="1"/>
    <xf numFmtId="0" fontId="0" fillId="0" borderId="5" xfId="0" applyBorder="1"/>
    <xf numFmtId="0" fontId="0" fillId="0" borderId="9" xfId="0" applyBorder="1"/>
    <xf numFmtId="0" fontId="0" fillId="0" borderId="2" xfId="0" applyFont="1" applyBorder="1" applyAlignment="1">
      <alignment horizontal="left" vertical="center" indent="5"/>
    </xf>
    <xf numFmtId="0" fontId="0" fillId="0" borderId="0" xfId="0" applyBorder="1"/>
    <xf numFmtId="0" fontId="0" fillId="0" borderId="7" xfId="0" applyBorder="1"/>
    <xf numFmtId="0" fontId="0" fillId="0" borderId="0" xfId="0" applyBorder="1" applyAlignment="1">
      <alignment horizontal="right"/>
    </xf>
    <xf numFmtId="0" fontId="0" fillId="0" borderId="6" xfId="0" applyFont="1" applyBorder="1" applyAlignment="1">
      <alignment horizontal="left" vertical="center" indent="5"/>
    </xf>
    <xf numFmtId="0" fontId="0" fillId="0" borderId="3" xfId="0" applyBorder="1"/>
    <xf numFmtId="0" fontId="0" fillId="0" borderId="10" xfId="0" applyBorder="1"/>
    <xf numFmtId="2" fontId="0" fillId="0" borderId="15" xfId="0" applyNumberFormat="1" applyBorder="1"/>
    <xf numFmtId="0" fontId="6" fillId="0" borderId="0" xfId="0" applyFont="1" applyFill="1" applyBorder="1" applyAlignment="1">
      <alignment vertical="top"/>
    </xf>
    <xf numFmtId="0" fontId="10" fillId="0" borderId="0" xfId="0" applyFont="1" applyFill="1" applyBorder="1" applyAlignment="1">
      <alignment vertical="top" wrapText="1"/>
    </xf>
    <xf numFmtId="166" fontId="0" fillId="14" borderId="15" xfId="0" applyNumberFormat="1" applyFill="1" applyBorder="1"/>
    <xf numFmtId="0" fontId="19" fillId="0" borderId="24" xfId="0" applyFont="1" applyFill="1" applyBorder="1" applyAlignment="1">
      <alignment horizontal="center" vertical="center" wrapText="1"/>
    </xf>
    <xf numFmtId="0" fontId="27" fillId="0" borderId="0" xfId="0" applyFont="1" applyAlignment="1">
      <alignment vertical="top" wrapText="1"/>
    </xf>
    <xf numFmtId="0" fontId="0" fillId="0" borderId="48" xfId="0" applyFont="1" applyBorder="1"/>
    <xf numFmtId="0" fontId="0" fillId="0" borderId="18" xfId="0" applyBorder="1" applyAlignment="1">
      <alignment horizontal="center" wrapText="1"/>
    </xf>
    <xf numFmtId="0" fontId="0" fillId="0" borderId="30" xfId="0" applyBorder="1" applyAlignment="1">
      <alignment horizontal="center" wrapText="1"/>
    </xf>
    <xf numFmtId="0" fontId="28" fillId="0" borderId="88" xfId="0" applyFont="1" applyBorder="1" applyAlignment="1">
      <alignment horizontal="left" vertical="top" wrapText="1"/>
    </xf>
    <xf numFmtId="0" fontId="29" fillId="0" borderId="88" xfId="0" applyFont="1" applyBorder="1" applyAlignment="1">
      <alignment horizontal="left" vertical="top" wrapText="1"/>
    </xf>
    <xf numFmtId="0" fontId="0" fillId="0" borderId="22" xfId="0" applyFill="1" applyBorder="1" applyAlignment="1">
      <alignment horizontal="center"/>
    </xf>
    <xf numFmtId="9" fontId="0" fillId="0" borderId="0" xfId="2" applyFont="1"/>
    <xf numFmtId="2" fontId="0" fillId="5" borderId="15" xfId="0" applyNumberFormat="1" applyFill="1" applyBorder="1" applyAlignment="1">
      <alignment horizontal="right"/>
    </xf>
    <xf numFmtId="0" fontId="0" fillId="0" borderId="29" xfId="0" applyBorder="1"/>
    <xf numFmtId="0" fontId="0" fillId="0" borderId="29" xfId="0" applyBorder="1" applyAlignment="1">
      <alignment horizontal="right" wrapText="1"/>
    </xf>
    <xf numFmtId="2" fontId="0" fillId="0" borderId="29" xfId="0" applyNumberFormat="1" applyBorder="1" applyAlignment="1">
      <alignment horizontal="right" wrapText="1"/>
    </xf>
    <xf numFmtId="175" fontId="0" fillId="0" borderId="29" xfId="0" applyNumberFormat="1" applyBorder="1"/>
    <xf numFmtId="2" fontId="0" fillId="0" borderId="29" xfId="0" applyNumberFormat="1" applyBorder="1"/>
    <xf numFmtId="175" fontId="0" fillId="0" borderId="30" xfId="0" applyNumberFormat="1" applyBorder="1"/>
    <xf numFmtId="2" fontId="0" fillId="0" borderId="30" xfId="0" applyNumberFormat="1" applyBorder="1"/>
    <xf numFmtId="0" fontId="0" fillId="0" borderId="30" xfId="0" applyBorder="1" applyAlignment="1">
      <alignment horizontal="right" wrapText="1"/>
    </xf>
    <xf numFmtId="0" fontId="0" fillId="0" borderId="30" xfId="0" applyFont="1" applyBorder="1" applyAlignment="1">
      <alignment horizontal="right" wrapText="1"/>
    </xf>
    <xf numFmtId="0" fontId="2" fillId="0" borderId="15" xfId="0" applyFont="1" applyBorder="1" applyAlignment="1">
      <alignment horizontal="centerContinuous" vertical="center" wrapText="1"/>
    </xf>
    <xf numFmtId="0" fontId="0" fillId="0" borderId="15" xfId="0" applyBorder="1" applyAlignment="1">
      <alignment horizontal="centerContinuous" vertical="center" wrapText="1"/>
    </xf>
    <xf numFmtId="0" fontId="2" fillId="0" borderId="0" xfId="0" applyFont="1" applyAlignment="1">
      <alignment horizontal="centerContinuous"/>
    </xf>
    <xf numFmtId="9" fontId="0" fillId="21" borderId="15" xfId="2" applyFont="1" applyFill="1" applyBorder="1"/>
    <xf numFmtId="2" fontId="0" fillId="0" borderId="30" xfId="0" applyNumberFormat="1" applyBorder="1" applyAlignment="1">
      <alignment horizontal="right" wrapText="1"/>
    </xf>
    <xf numFmtId="0" fontId="0" fillId="0" borderId="29" xfId="0" applyFont="1" applyBorder="1" applyAlignment="1">
      <alignment horizontal="right" wrapText="1"/>
    </xf>
    <xf numFmtId="166" fontId="0" fillId="4" borderId="15" xfId="0" applyNumberFormat="1" applyFill="1" applyBorder="1"/>
    <xf numFmtId="0" fontId="30" fillId="0" borderId="0" xfId="0" applyFont="1"/>
    <xf numFmtId="0" fontId="2" fillId="11" borderId="0" xfId="0" applyFont="1" applyFill="1" applyAlignment="1">
      <alignment vertical="center"/>
    </xf>
    <xf numFmtId="0" fontId="0" fillId="11" borderId="0" xfId="0" applyFill="1"/>
    <xf numFmtId="0" fontId="0" fillId="11" borderId="0" xfId="0" applyFont="1" applyFill="1" applyAlignment="1">
      <alignment vertical="center"/>
    </xf>
    <xf numFmtId="0" fontId="0" fillId="11" borderId="0" xfId="0" applyFont="1" applyFill="1" applyAlignment="1">
      <alignment horizontal="left" vertical="center" wrapText="1"/>
    </xf>
    <xf numFmtId="0" fontId="19" fillId="0" borderId="25" xfId="0" applyFont="1" applyFill="1" applyBorder="1" applyAlignment="1">
      <alignment horizontal="center" vertical="center" wrapText="1"/>
    </xf>
    <xf numFmtId="9" fontId="0" fillId="22" borderId="15" xfId="2" applyFont="1" applyFill="1" applyBorder="1"/>
    <xf numFmtId="9" fontId="0" fillId="22" borderId="15" xfId="2" applyNumberFormat="1" applyFont="1" applyFill="1" applyBorder="1"/>
    <xf numFmtId="0" fontId="0" fillId="5" borderId="0" xfId="0" applyFont="1" applyFill="1" applyBorder="1"/>
    <xf numFmtId="0" fontId="0" fillId="5" borderId="0" xfId="0" applyFill="1" applyBorder="1" applyAlignment="1">
      <alignment horizontal="right"/>
    </xf>
    <xf numFmtId="0" fontId="0" fillId="5" borderId="2" xfId="0" applyFont="1" applyFill="1" applyBorder="1" applyAlignment="1">
      <alignment horizontal="left" vertical="center" indent="5"/>
    </xf>
    <xf numFmtId="0" fontId="2" fillId="0" borderId="0" xfId="0" applyFont="1" applyFill="1" applyAlignment="1">
      <alignment horizontal="left" vertical="center" indent="5"/>
    </xf>
    <xf numFmtId="0" fontId="0" fillId="0" borderId="0" xfId="0" applyFill="1" applyAlignment="1">
      <alignment horizontal="right"/>
    </xf>
    <xf numFmtId="0" fontId="0" fillId="0" borderId="0" xfId="0" applyFill="1"/>
    <xf numFmtId="166" fontId="0" fillId="0" borderId="0" xfId="0" applyNumberFormat="1" applyFill="1" applyBorder="1"/>
    <xf numFmtId="9" fontId="0" fillId="0" borderId="0" xfId="2" applyFont="1" applyFill="1"/>
    <xf numFmtId="0" fontId="0" fillId="0" borderId="0" xfId="0" applyFill="1" applyBorder="1" applyAlignment="1">
      <alignment horizontal="center"/>
    </xf>
    <xf numFmtId="2" fontId="9" fillId="13" borderId="7" xfId="0" applyNumberFormat="1" applyFont="1" applyFill="1" applyBorder="1" applyAlignment="1">
      <alignment horizontal="center" vertical="center"/>
    </xf>
    <xf numFmtId="2" fontId="9" fillId="13" borderId="10" xfId="0" applyNumberFormat="1" applyFont="1" applyFill="1" applyBorder="1" applyAlignment="1">
      <alignment horizontal="center" vertical="center"/>
    </xf>
    <xf numFmtId="0" fontId="9" fillId="22" borderId="34" xfId="0" applyFont="1" applyFill="1" applyBorder="1" applyAlignment="1">
      <alignment vertical="center"/>
    </xf>
    <xf numFmtId="0" fontId="2" fillId="11" borderId="0" xfId="0" applyFont="1" applyFill="1" applyAlignment="1">
      <alignment horizontal="left" vertical="center"/>
    </xf>
    <xf numFmtId="0" fontId="0" fillId="11" borderId="0" xfId="0" applyFont="1" applyFill="1" applyAlignment="1">
      <alignment horizontal="left" wrapText="1"/>
    </xf>
    <xf numFmtId="0" fontId="9" fillId="10" borderId="82" xfId="0" applyFont="1" applyFill="1" applyBorder="1" applyAlignment="1">
      <alignment vertical="center"/>
    </xf>
    <xf numFmtId="0" fontId="9" fillId="10" borderId="74" xfId="0" applyFont="1" applyFill="1" applyBorder="1" applyAlignment="1">
      <alignment vertical="center"/>
    </xf>
    <xf numFmtId="0" fontId="0" fillId="11" borderId="0" xfId="0" applyFont="1" applyFill="1" applyAlignment="1">
      <alignment horizontal="left" indent="1"/>
    </xf>
    <xf numFmtId="0" fontId="0" fillId="11" borderId="0" xfId="0" applyFill="1" applyAlignment="1"/>
    <xf numFmtId="0" fontId="18" fillId="11" borderId="0" xfId="6" applyFont="1" applyFill="1" applyAlignment="1">
      <alignment vertical="center"/>
    </xf>
    <xf numFmtId="0" fontId="30" fillId="11" borderId="0" xfId="0" applyFont="1" applyFill="1"/>
    <xf numFmtId="0" fontId="0" fillId="11" borderId="0" xfId="0" applyFont="1" applyFill="1" applyAlignment="1">
      <alignment horizontal="left" vertical="center"/>
    </xf>
    <xf numFmtId="0" fontId="0" fillId="11" borderId="0" xfId="0" applyFont="1" applyFill="1" applyAlignment="1">
      <alignment horizontal="left" vertical="center" indent="5"/>
    </xf>
    <xf numFmtId="2" fontId="0" fillId="4" borderId="71" xfId="0" applyNumberFormat="1" applyFont="1" applyFill="1" applyBorder="1"/>
    <xf numFmtId="2" fontId="0" fillId="4" borderId="15" xfId="0" applyNumberFormat="1" applyFont="1" applyFill="1" applyBorder="1"/>
    <xf numFmtId="2" fontId="0" fillId="4" borderId="40" xfId="0" applyNumberFormat="1" applyFont="1" applyFill="1" applyBorder="1"/>
    <xf numFmtId="2" fontId="0" fillId="4" borderId="73" xfId="0" applyNumberFormat="1" applyFont="1" applyFill="1" applyBorder="1"/>
    <xf numFmtId="2" fontId="0" fillId="4" borderId="72" xfId="0" applyNumberFormat="1" applyFont="1" applyFill="1" applyBorder="1"/>
    <xf numFmtId="2" fontId="0" fillId="4" borderId="42" xfId="0" applyNumberFormat="1" applyFont="1" applyFill="1" applyBorder="1"/>
    <xf numFmtId="2" fontId="0" fillId="4" borderId="76" xfId="0" applyNumberFormat="1" applyFont="1" applyFill="1" applyBorder="1"/>
    <xf numFmtId="2" fontId="0" fillId="4" borderId="75" xfId="0" applyNumberFormat="1" applyFont="1" applyFill="1" applyBorder="1"/>
    <xf numFmtId="2" fontId="0" fillId="4" borderId="41" xfId="0" applyNumberFormat="1" applyFont="1" applyFill="1" applyBorder="1"/>
    <xf numFmtId="0" fontId="0" fillId="0" borderId="35" xfId="0" applyFont="1" applyBorder="1" applyAlignment="1">
      <alignment horizontal="right" vertical="top"/>
    </xf>
    <xf numFmtId="0" fontId="0" fillId="0" borderId="37" xfId="0" applyFont="1" applyBorder="1" applyAlignment="1">
      <alignment horizontal="right" vertical="top"/>
    </xf>
    <xf numFmtId="0" fontId="0" fillId="5" borderId="15" xfId="0" applyFont="1" applyFill="1" applyBorder="1" applyAlignment="1">
      <alignment vertical="top"/>
    </xf>
    <xf numFmtId="0" fontId="0" fillId="0" borderId="0" xfId="0" applyFont="1" applyFill="1" applyAlignment="1">
      <alignment horizontal="center" vertical="top"/>
    </xf>
    <xf numFmtId="43" fontId="0" fillId="13" borderId="15" xfId="1" applyFont="1" applyFill="1" applyBorder="1" applyAlignment="1">
      <alignment vertical="center"/>
    </xf>
    <xf numFmtId="43" fontId="0" fillId="3" borderId="15" xfId="0" applyNumberFormat="1" applyFont="1" applyFill="1" applyBorder="1" applyAlignment="1">
      <alignment vertical="top"/>
    </xf>
    <xf numFmtId="0" fontId="11" fillId="11" borderId="0" xfId="0" quotePrefix="1" applyFont="1" applyFill="1"/>
    <xf numFmtId="0" fontId="2" fillId="0" borderId="15" xfId="0" applyFont="1" applyBorder="1" applyAlignment="1">
      <alignment horizontal="center" vertical="top"/>
    </xf>
    <xf numFmtId="0" fontId="9" fillId="5" borderId="26" xfId="0" applyFont="1" applyFill="1" applyBorder="1" applyAlignment="1" applyProtection="1">
      <alignment horizontal="center" vertical="center"/>
      <protection locked="0"/>
    </xf>
    <xf numFmtId="0" fontId="9" fillId="5" borderId="72" xfId="0" applyFont="1" applyFill="1" applyBorder="1" applyAlignment="1" applyProtection="1">
      <alignment horizontal="center" vertical="center"/>
      <protection locked="0"/>
    </xf>
    <xf numFmtId="0" fontId="9" fillId="5" borderId="15" xfId="0" applyFont="1" applyFill="1" applyBorder="1" applyAlignment="1" applyProtection="1">
      <alignment horizontal="center" vertical="center"/>
      <protection locked="0"/>
    </xf>
    <xf numFmtId="166" fontId="9" fillId="5" borderId="15" xfId="0" applyNumberFormat="1" applyFont="1" applyFill="1" applyBorder="1" applyAlignment="1" applyProtection="1">
      <alignment horizontal="center" vertical="center"/>
      <protection locked="0"/>
    </xf>
    <xf numFmtId="0" fontId="9" fillId="10" borderId="18" xfId="0" applyFont="1" applyFill="1" applyBorder="1" applyAlignment="1" applyProtection="1">
      <alignment horizontal="center" vertical="center"/>
      <protection locked="0"/>
    </xf>
    <xf numFmtId="0" fontId="9" fillId="10" borderId="29" xfId="0" applyFont="1" applyFill="1" applyBorder="1" applyAlignment="1" applyProtection="1">
      <alignment horizontal="center" vertical="center"/>
      <protection locked="0"/>
    </xf>
    <xf numFmtId="0" fontId="9" fillId="10" borderId="30" xfId="0" applyFont="1" applyFill="1" applyBorder="1" applyAlignment="1" applyProtection="1">
      <alignment horizontal="center" vertical="center"/>
      <protection locked="0"/>
    </xf>
    <xf numFmtId="166" fontId="9" fillId="22" borderId="26" xfId="0" applyNumberFormat="1" applyFont="1" applyFill="1" applyBorder="1" applyAlignment="1" applyProtection="1">
      <alignment horizontal="center" vertical="center"/>
      <protection locked="0"/>
    </xf>
    <xf numFmtId="0" fontId="9" fillId="5" borderId="85" xfId="0" applyFont="1" applyFill="1" applyBorder="1" applyAlignment="1" applyProtection="1">
      <alignment horizontal="center" vertical="center"/>
      <protection locked="0"/>
    </xf>
    <xf numFmtId="0" fontId="9" fillId="5" borderId="67" xfId="0" applyFont="1" applyFill="1" applyBorder="1" applyAlignment="1" applyProtection="1">
      <alignment vertical="center"/>
      <protection locked="0"/>
    </xf>
    <xf numFmtId="0" fontId="9" fillId="10" borderId="29" xfId="0" applyFont="1" applyFill="1" applyBorder="1" applyAlignment="1" applyProtection="1">
      <alignment vertical="center"/>
      <protection locked="0"/>
    </xf>
    <xf numFmtId="0" fontId="9" fillId="10" borderId="30" xfId="0" applyFont="1" applyFill="1" applyBorder="1" applyAlignment="1" applyProtection="1">
      <alignment vertical="center"/>
      <protection locked="0"/>
    </xf>
    <xf numFmtId="0" fontId="9" fillId="5" borderId="18" xfId="0" applyFont="1" applyFill="1" applyBorder="1" applyAlignment="1" applyProtection="1">
      <alignment vertical="center"/>
      <protection locked="0"/>
    </xf>
    <xf numFmtId="0" fontId="9" fillId="5" borderId="29" xfId="0" applyFont="1" applyFill="1" applyBorder="1" applyAlignment="1" applyProtection="1">
      <alignment vertical="center"/>
      <protection locked="0"/>
    </xf>
    <xf numFmtId="0" fontId="9" fillId="5" borderId="15" xfId="0" applyFont="1" applyFill="1" applyBorder="1" applyAlignment="1" applyProtection="1">
      <alignment vertical="center"/>
      <protection locked="0"/>
    </xf>
    <xf numFmtId="0" fontId="9" fillId="5" borderId="30" xfId="0" applyFont="1" applyFill="1" applyBorder="1" applyAlignment="1" applyProtection="1">
      <alignment vertical="center"/>
      <protection locked="0"/>
    </xf>
    <xf numFmtId="0" fontId="9" fillId="10" borderId="15" xfId="0" applyFont="1" applyFill="1" applyBorder="1" applyAlignment="1" applyProtection="1">
      <alignment vertical="center"/>
      <protection locked="0"/>
    </xf>
    <xf numFmtId="0" fontId="9" fillId="5" borderId="46" xfId="0" applyFont="1" applyFill="1" applyBorder="1" applyAlignment="1" applyProtection="1">
      <alignment vertical="center"/>
      <protection locked="0"/>
    </xf>
    <xf numFmtId="14" fontId="0" fillId="0" borderId="0" xfId="0" applyNumberFormat="1" applyFont="1" applyAlignment="1">
      <alignment horizontal="left"/>
    </xf>
    <xf numFmtId="0" fontId="6" fillId="17" borderId="19" xfId="0" applyFont="1" applyFill="1" applyBorder="1" applyAlignment="1">
      <alignment horizontal="left" vertical="top" wrapText="1"/>
    </xf>
    <xf numFmtId="0" fontId="6" fillId="17" borderId="24" xfId="0" applyFont="1" applyFill="1" applyBorder="1" applyAlignment="1">
      <alignment horizontal="left" vertical="top" wrapText="1"/>
    </xf>
    <xf numFmtId="0" fontId="6" fillId="17" borderId="22" xfId="0" applyFont="1" applyFill="1" applyBorder="1" applyAlignment="1">
      <alignment horizontal="left" vertical="top" wrapText="1"/>
    </xf>
    <xf numFmtId="0" fontId="13" fillId="0" borderId="8" xfId="0" applyFont="1" applyBorder="1" applyAlignment="1">
      <alignment horizontal="center" vertical="center" textRotation="90" wrapText="1"/>
    </xf>
    <xf numFmtId="0" fontId="13" fillId="0" borderId="16" xfId="0" applyFont="1" applyBorder="1" applyAlignment="1">
      <alignment horizontal="center" vertical="center" textRotation="90" wrapText="1"/>
    </xf>
    <xf numFmtId="0" fontId="13" fillId="0" borderId="17" xfId="0" applyFont="1" applyBorder="1" applyAlignment="1">
      <alignment horizontal="center" vertical="center" textRotation="90" wrapText="1"/>
    </xf>
    <xf numFmtId="0" fontId="13" fillId="0" borderId="9" xfId="0" applyFont="1" applyBorder="1" applyAlignment="1">
      <alignment horizontal="center" vertical="center"/>
    </xf>
    <xf numFmtId="0" fontId="13" fillId="0" borderId="7" xfId="0" applyFont="1" applyBorder="1" applyAlignment="1">
      <alignment horizontal="center" vertical="center"/>
    </xf>
    <xf numFmtId="0" fontId="13" fillId="0" borderId="10" xfId="0" applyFont="1" applyBorder="1" applyAlignment="1">
      <alignment horizontal="center" vertical="center"/>
    </xf>
    <xf numFmtId="0" fontId="2" fillId="0" borderId="3" xfId="0" applyFont="1" applyBorder="1" applyAlignment="1">
      <alignment horizontal="left"/>
    </xf>
    <xf numFmtId="0" fontId="2" fillId="0" borderId="4" xfId="0" applyFont="1" applyBorder="1" applyAlignment="1">
      <alignment horizontal="center"/>
    </xf>
    <xf numFmtId="0" fontId="2" fillId="0" borderId="2" xfId="0" applyFont="1" applyBorder="1" applyAlignment="1">
      <alignment horizontal="center"/>
    </xf>
    <xf numFmtId="0" fontId="2" fillId="0" borderId="6" xfId="0" applyFont="1" applyBorder="1" applyAlignment="1">
      <alignment horizontal="center"/>
    </xf>
    <xf numFmtId="0" fontId="13" fillId="0" borderId="5" xfId="0" applyFont="1" applyBorder="1" applyAlignment="1">
      <alignment horizontal="center" vertical="center" textRotation="90" wrapText="1"/>
    </xf>
    <xf numFmtId="0" fontId="13" fillId="0" borderId="0" xfId="0" applyFont="1" applyBorder="1" applyAlignment="1">
      <alignment horizontal="center" vertical="center" textRotation="90" wrapText="1"/>
    </xf>
    <xf numFmtId="0" fontId="13" fillId="0" borderId="3" xfId="0" applyFont="1" applyBorder="1" applyAlignment="1">
      <alignment horizontal="center" vertical="center" textRotation="90" wrapText="1"/>
    </xf>
    <xf numFmtId="0" fontId="0" fillId="11" borderId="11" xfId="0" applyFont="1" applyFill="1" applyBorder="1" applyAlignment="1">
      <alignment horizontal="center" vertical="center" wrapText="1"/>
    </xf>
    <xf numFmtId="0" fontId="0" fillId="11" borderId="1" xfId="0" applyFont="1" applyFill="1" applyBorder="1" applyAlignment="1">
      <alignment horizontal="center" vertical="center" wrapText="1"/>
    </xf>
    <xf numFmtId="0" fontId="0" fillId="0" borderId="4" xfId="0" applyFont="1" applyBorder="1" applyAlignment="1">
      <alignment horizontal="center" wrapText="1"/>
    </xf>
    <xf numFmtId="0" fontId="0" fillId="0" borderId="9" xfId="0" applyFont="1" applyBorder="1" applyAlignment="1">
      <alignment horizontal="center" wrapText="1"/>
    </xf>
    <xf numFmtId="0" fontId="0" fillId="0" borderId="2" xfId="0" applyFont="1" applyBorder="1" applyAlignment="1">
      <alignment horizontal="center" wrapText="1"/>
    </xf>
    <xf numFmtId="0" fontId="0" fillId="0" borderId="7" xfId="0" applyFont="1" applyBorder="1" applyAlignment="1">
      <alignment horizontal="center" wrapText="1"/>
    </xf>
    <xf numFmtId="0" fontId="0" fillId="0" borderId="6" xfId="0" applyFont="1" applyBorder="1" applyAlignment="1">
      <alignment horizontal="center" wrapText="1"/>
    </xf>
    <xf numFmtId="0" fontId="0" fillId="0" borderId="10" xfId="0" applyFont="1" applyBorder="1" applyAlignment="1">
      <alignment horizontal="center" wrapText="1"/>
    </xf>
    <xf numFmtId="0" fontId="0" fillId="11" borderId="0" xfId="0" applyFont="1" applyFill="1" applyAlignment="1">
      <alignment horizontal="left" wrapText="1"/>
    </xf>
    <xf numFmtId="0" fontId="13" fillId="11" borderId="11" xfId="0" applyFont="1" applyFill="1" applyBorder="1" applyAlignment="1">
      <alignment horizontal="right" vertical="center"/>
    </xf>
    <xf numFmtId="0" fontId="13" fillId="11" borderId="12" xfId="0" applyFont="1" applyFill="1" applyBorder="1" applyAlignment="1">
      <alignment horizontal="right" vertical="center"/>
    </xf>
    <xf numFmtId="0" fontId="0" fillId="0" borderId="4" xfId="0" applyFont="1" applyFill="1" applyBorder="1" applyAlignment="1">
      <alignment horizontal="center" vertical="center" wrapText="1"/>
    </xf>
    <xf numFmtId="0" fontId="0" fillId="0" borderId="9" xfId="0" applyFont="1" applyFill="1" applyBorder="1" applyAlignment="1">
      <alignment horizontal="center" vertical="center" wrapText="1"/>
    </xf>
    <xf numFmtId="0" fontId="0" fillId="0" borderId="2" xfId="0" applyFont="1" applyFill="1" applyBorder="1" applyAlignment="1">
      <alignment horizontal="center" vertical="center" wrapText="1"/>
    </xf>
    <xf numFmtId="0" fontId="0" fillId="0" borderId="7" xfId="0" applyFont="1" applyFill="1" applyBorder="1" applyAlignment="1">
      <alignment horizontal="center" vertical="center" wrapText="1"/>
    </xf>
    <xf numFmtId="0" fontId="0" fillId="0" borderId="6"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11" borderId="0" xfId="0" applyFont="1" applyFill="1" applyBorder="1" applyAlignment="1">
      <alignment horizontal="left" wrapText="1"/>
    </xf>
    <xf numFmtId="0" fontId="2" fillId="0" borderId="11" xfId="0" applyFont="1" applyBorder="1" applyAlignment="1">
      <alignment horizontal="center" wrapText="1"/>
    </xf>
    <xf numFmtId="0" fontId="2" fillId="0" borderId="12" xfId="0" applyFont="1" applyBorder="1" applyAlignment="1">
      <alignment horizontal="center" wrapText="1"/>
    </xf>
    <xf numFmtId="0" fontId="0" fillId="0" borderId="8"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7" xfId="0" applyFont="1" applyBorder="1" applyAlignment="1">
      <alignment horizontal="center" vertical="center" wrapText="1"/>
    </xf>
    <xf numFmtId="0" fontId="2" fillId="0" borderId="4"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0" fillId="0" borderId="73" xfId="0" applyFont="1" applyBorder="1" applyAlignment="1">
      <alignment horizontal="center" vertical="center" wrapText="1"/>
    </xf>
    <xf numFmtId="0" fontId="0" fillId="0" borderId="72" xfId="0" applyFont="1" applyBorder="1" applyAlignment="1">
      <alignment horizontal="center" vertical="center" wrapText="1"/>
    </xf>
    <xf numFmtId="0" fontId="0" fillId="0" borderId="42" xfId="0" applyFont="1" applyBorder="1" applyAlignment="1">
      <alignment horizontal="center" vertical="center" wrapText="1"/>
    </xf>
    <xf numFmtId="0" fontId="0" fillId="0" borderId="71" xfId="0" applyFont="1" applyBorder="1" applyAlignment="1">
      <alignment horizontal="center" vertical="center" wrapText="1"/>
    </xf>
    <xf numFmtId="0" fontId="0" fillId="0" borderId="15" xfId="0" applyFont="1" applyBorder="1" applyAlignment="1">
      <alignment horizontal="center" vertical="center" wrapText="1"/>
    </xf>
    <xf numFmtId="0" fontId="0" fillId="0" borderId="40" xfId="0" applyFont="1" applyBorder="1" applyAlignment="1">
      <alignment horizontal="center" vertical="center" wrapText="1"/>
    </xf>
    <xf numFmtId="0" fontId="0" fillId="0" borderId="8" xfId="0" applyFont="1" applyFill="1" applyBorder="1" applyAlignment="1">
      <alignment horizontal="center" vertical="center" wrapText="1"/>
    </xf>
    <xf numFmtId="0" fontId="0" fillId="0" borderId="1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13" fillId="0" borderId="4" xfId="0" applyFont="1" applyFill="1" applyBorder="1" applyAlignment="1">
      <alignment horizontal="center" vertical="center" wrapText="1"/>
    </xf>
    <xf numFmtId="0" fontId="13" fillId="0" borderId="5" xfId="0" applyFont="1" applyFill="1" applyBorder="1" applyAlignment="1">
      <alignment horizontal="center" vertical="center" wrapText="1"/>
    </xf>
    <xf numFmtId="0" fontId="13" fillId="0" borderId="9" xfId="0"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7"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3" xfId="0" applyFont="1" applyFill="1" applyBorder="1" applyAlignment="1">
      <alignment horizontal="center" vertical="center" wrapText="1"/>
    </xf>
    <xf numFmtId="0" fontId="13" fillId="0" borderId="10"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 fillId="0" borderId="4" xfId="0" applyFont="1" applyFill="1" applyBorder="1" applyAlignment="1">
      <alignment horizontal="center" wrapText="1"/>
    </xf>
    <xf numFmtId="0" fontId="2" fillId="0" borderId="5" xfId="0" applyFont="1" applyFill="1" applyBorder="1" applyAlignment="1">
      <alignment horizontal="center" wrapText="1"/>
    </xf>
    <xf numFmtId="0" fontId="2" fillId="0" borderId="6" xfId="0" applyFont="1" applyFill="1" applyBorder="1" applyAlignment="1">
      <alignment horizontal="center" wrapText="1"/>
    </xf>
    <xf numFmtId="0" fontId="2" fillId="0" borderId="3" xfId="0" applyFont="1" applyFill="1" applyBorder="1" applyAlignment="1">
      <alignment horizontal="center" wrapText="1"/>
    </xf>
    <xf numFmtId="0" fontId="2" fillId="0" borderId="8" xfId="0" applyFont="1" applyFill="1" applyBorder="1" applyAlignment="1">
      <alignment horizontal="center" wrapText="1"/>
    </xf>
    <xf numFmtId="0" fontId="2" fillId="0" borderId="17" xfId="0" applyFont="1" applyFill="1" applyBorder="1" applyAlignment="1">
      <alignment horizontal="center" wrapText="1"/>
    </xf>
    <xf numFmtId="0" fontId="13" fillId="0" borderId="11"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7" fillId="0" borderId="11" xfId="0" applyFont="1" applyFill="1" applyBorder="1" applyAlignment="1">
      <alignment horizontal="center" vertical="center"/>
    </xf>
    <xf numFmtId="0" fontId="7" fillId="0" borderId="12" xfId="0" applyFont="1" applyFill="1" applyBorder="1" applyAlignment="1">
      <alignment horizontal="center" vertical="center"/>
    </xf>
    <xf numFmtId="0" fontId="7" fillId="0" borderId="1" xfId="0" applyFont="1" applyFill="1" applyBorder="1" applyAlignment="1">
      <alignment horizontal="center" vertical="center"/>
    </xf>
    <xf numFmtId="0" fontId="19" fillId="0" borderId="19" xfId="0" applyFont="1" applyFill="1" applyBorder="1" applyAlignment="1">
      <alignment horizontal="center" vertical="center" wrapText="1"/>
    </xf>
    <xf numFmtId="0" fontId="19" fillId="0" borderId="21" xfId="0" applyFont="1" applyFill="1" applyBorder="1" applyAlignment="1">
      <alignment horizontal="center" vertical="center" wrapText="1"/>
    </xf>
    <xf numFmtId="0" fontId="19" fillId="0" borderId="22" xfId="0" applyFont="1" applyFill="1" applyBorder="1" applyAlignment="1">
      <alignment horizontal="center" vertical="center" wrapText="1"/>
    </xf>
    <xf numFmtId="0" fontId="19" fillId="0" borderId="23" xfId="0" applyFont="1" applyFill="1" applyBorder="1" applyAlignment="1">
      <alignment horizontal="center" vertical="center" wrapText="1"/>
    </xf>
    <xf numFmtId="0" fontId="19" fillId="0" borderId="24"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0" fillId="21" borderId="15" xfId="0" applyFill="1" applyBorder="1" applyAlignment="1">
      <alignment horizontal="left"/>
    </xf>
    <xf numFmtId="0" fontId="18" fillId="11" borderId="0" xfId="6" applyFill="1" applyAlignment="1">
      <alignment horizontal="left"/>
    </xf>
    <xf numFmtId="0" fontId="7" fillId="0" borderId="65" xfId="3" applyFont="1" applyBorder="1" applyAlignment="1">
      <alignment horizontal="center" vertical="top" wrapText="1"/>
    </xf>
    <xf numFmtId="0" fontId="7" fillId="0" borderId="64" xfId="3" applyFont="1" applyBorder="1" applyAlignment="1">
      <alignment horizontal="center" vertical="top" wrapText="1"/>
    </xf>
    <xf numFmtId="0" fontId="0" fillId="11" borderId="0" xfId="0" applyFont="1" applyFill="1" applyAlignment="1">
      <alignment horizontal="left" vertical="top" wrapText="1"/>
    </xf>
    <xf numFmtId="0" fontId="9" fillId="0" borderId="44" xfId="0" applyFont="1" applyFill="1" applyBorder="1" applyAlignment="1">
      <alignment horizontal="left" vertical="center" wrapText="1"/>
    </xf>
    <xf numFmtId="0" fontId="9" fillId="0" borderId="53" xfId="0" applyFont="1" applyFill="1" applyBorder="1" applyAlignment="1">
      <alignment horizontal="left" vertical="center" wrapText="1"/>
    </xf>
    <xf numFmtId="0" fontId="13" fillId="0" borderId="28" xfId="0" applyFont="1" applyFill="1" applyBorder="1" applyAlignment="1">
      <alignment horizontal="center" vertical="center" wrapText="1"/>
    </xf>
    <xf numFmtId="0" fontId="13" fillId="0" borderId="43" xfId="0" applyFont="1" applyFill="1" applyBorder="1" applyAlignment="1">
      <alignment horizontal="center" vertical="center" wrapText="1"/>
    </xf>
    <xf numFmtId="0" fontId="0" fillId="0" borderId="0" xfId="0" applyFont="1" applyBorder="1" applyAlignment="1">
      <alignment horizontal="center" vertical="center"/>
    </xf>
    <xf numFmtId="0" fontId="2" fillId="0" borderId="5" xfId="0" applyFont="1" applyBorder="1" applyAlignment="1">
      <alignment horizontal="center"/>
    </xf>
    <xf numFmtId="0" fontId="2" fillId="0" borderId="9" xfId="0" applyFont="1" applyBorder="1" applyAlignment="1">
      <alignment horizontal="center"/>
    </xf>
    <xf numFmtId="0" fontId="2" fillId="0" borderId="11" xfId="0" applyFont="1" applyBorder="1" applyAlignment="1">
      <alignment horizontal="center"/>
    </xf>
    <xf numFmtId="0" fontId="2" fillId="0" borderId="12" xfId="0" applyFont="1" applyBorder="1" applyAlignment="1">
      <alignment horizontal="center"/>
    </xf>
    <xf numFmtId="0" fontId="2" fillId="0" borderId="1" xfId="0" applyFont="1" applyBorder="1" applyAlignment="1">
      <alignment horizontal="center"/>
    </xf>
    <xf numFmtId="0" fontId="0" fillId="0" borderId="6" xfId="0" applyFont="1" applyBorder="1" applyAlignment="1">
      <alignment horizontal="center"/>
    </xf>
    <xf numFmtId="0" fontId="0" fillId="0" borderId="3" xfId="0" applyFont="1" applyBorder="1" applyAlignment="1">
      <alignment horizontal="center"/>
    </xf>
    <xf numFmtId="0" fontId="0" fillId="0" borderId="10" xfId="0" applyFont="1" applyBorder="1" applyAlignment="1">
      <alignment horizontal="center"/>
    </xf>
    <xf numFmtId="164" fontId="0" fillId="0" borderId="9" xfId="1" applyNumberFormat="1" applyFont="1" applyBorder="1" applyAlignment="1">
      <alignment horizontal="center"/>
    </xf>
    <xf numFmtId="164" fontId="0" fillId="0" borderId="10" xfId="1" applyNumberFormat="1" applyFont="1" applyBorder="1" applyAlignment="1">
      <alignment horizontal="center"/>
    </xf>
    <xf numFmtId="0" fontId="2" fillId="0" borderId="1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8"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 xfId="0" applyFont="1" applyBorder="1" applyAlignment="1">
      <alignment horizontal="center" vertical="center"/>
    </xf>
    <xf numFmtId="0" fontId="2" fillId="0" borderId="15" xfId="0" applyFont="1" applyBorder="1" applyAlignment="1">
      <alignment horizontal="center"/>
    </xf>
    <xf numFmtId="0" fontId="0" fillId="0" borderId="18" xfId="0" applyFont="1" applyBorder="1" applyAlignment="1">
      <alignment horizontal="center"/>
    </xf>
    <xf numFmtId="0" fontId="0" fillId="0" borderId="29" xfId="0" applyFont="1" applyBorder="1" applyAlignment="1">
      <alignment horizontal="center"/>
    </xf>
    <xf numFmtId="0" fontId="0" fillId="0" borderId="30" xfId="0" applyFont="1" applyBorder="1" applyAlignment="1">
      <alignment horizontal="center"/>
    </xf>
    <xf numFmtId="0" fontId="0" fillId="0" borderId="18" xfId="0" applyFont="1" applyBorder="1" applyAlignment="1">
      <alignment horizontal="center" vertical="center"/>
    </xf>
    <xf numFmtId="0" fontId="0" fillId="0" borderId="29" xfId="0" applyFont="1" applyBorder="1" applyAlignment="1">
      <alignment horizontal="center" vertical="center"/>
    </xf>
    <xf numFmtId="0" fontId="0" fillId="0" borderId="30" xfId="0" applyFont="1" applyBorder="1" applyAlignment="1">
      <alignment horizontal="center" vertical="center"/>
    </xf>
    <xf numFmtId="0" fontId="2" fillId="0" borderId="15" xfId="0" applyFont="1" applyBorder="1" applyAlignment="1">
      <alignment horizontal="center" vertical="center" wrapText="1"/>
    </xf>
    <xf numFmtId="0" fontId="2" fillId="0" borderId="15" xfId="0" applyFont="1" applyBorder="1" applyAlignment="1">
      <alignment horizontal="center" vertical="center"/>
    </xf>
    <xf numFmtId="0" fontId="0" fillId="0" borderId="8" xfId="0" applyFont="1" applyBorder="1" applyAlignment="1">
      <alignment horizontal="center" vertical="center"/>
    </xf>
    <xf numFmtId="0" fontId="0" fillId="0" borderId="17"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0" fillId="0" borderId="1" xfId="0" applyFont="1" applyBorder="1" applyAlignment="1">
      <alignment horizontal="center" vertical="center"/>
    </xf>
    <xf numFmtId="0" fontId="0" fillId="0" borderId="3" xfId="0" applyFont="1" applyBorder="1" applyAlignment="1">
      <alignment vertical="top"/>
    </xf>
    <xf numFmtId="0" fontId="0" fillId="0" borderId="8" xfId="0" applyFont="1" applyBorder="1" applyAlignment="1">
      <alignment horizontal="center" vertical="top"/>
    </xf>
    <xf numFmtId="0" fontId="0" fillId="0" borderId="83" xfId="0" applyFont="1" applyBorder="1" applyAlignment="1">
      <alignment horizontal="center" vertical="top"/>
    </xf>
    <xf numFmtId="0" fontId="0" fillId="0" borderId="11" xfId="0" applyFont="1" applyBorder="1" applyAlignment="1">
      <alignment horizontal="center" vertical="top"/>
    </xf>
    <xf numFmtId="0" fontId="0" fillId="0" borderId="12" xfId="0" applyFont="1" applyBorder="1" applyAlignment="1">
      <alignment horizontal="center" vertical="top"/>
    </xf>
    <xf numFmtId="0" fontId="0" fillId="0" borderId="84" xfId="0" applyFont="1" applyBorder="1" applyAlignment="1">
      <alignment horizontal="center" vertical="top"/>
    </xf>
    <xf numFmtId="0" fontId="2" fillId="0" borderId="68" xfId="0" applyFont="1" applyBorder="1" applyAlignment="1">
      <alignment horizontal="center" vertical="center"/>
    </xf>
    <xf numFmtId="0" fontId="2" fillId="0" borderId="69" xfId="0" applyFont="1" applyBorder="1" applyAlignment="1">
      <alignment horizontal="center" vertical="center"/>
    </xf>
    <xf numFmtId="0" fontId="2" fillId="0" borderId="67" xfId="0" applyFont="1" applyBorder="1" applyAlignment="1">
      <alignment horizontal="center" vertical="center"/>
    </xf>
    <xf numFmtId="0" fontId="2" fillId="0" borderId="46" xfId="0" applyFont="1" applyBorder="1" applyAlignment="1">
      <alignment horizontal="center" vertical="center"/>
    </xf>
    <xf numFmtId="0" fontId="2" fillId="0" borderId="72" xfId="0" applyFont="1" applyBorder="1" applyAlignment="1">
      <alignment horizontal="center" vertical="top"/>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0" fillId="0" borderId="68" xfId="0" applyFont="1" applyBorder="1" applyAlignment="1">
      <alignment horizontal="center" vertical="top" wrapText="1"/>
    </xf>
    <xf numFmtId="0" fontId="0" fillId="0" borderId="47" xfId="0" applyFont="1" applyBorder="1" applyAlignment="1">
      <alignment horizontal="center" vertical="top" wrapText="1"/>
    </xf>
    <xf numFmtId="0" fontId="0" fillId="0" borderId="55" xfId="0" applyFont="1" applyBorder="1" applyAlignment="1">
      <alignment horizontal="center" vertical="top" wrapText="1"/>
    </xf>
    <xf numFmtId="0" fontId="2" fillId="0" borderId="26" xfId="0" applyFont="1" applyBorder="1" applyAlignment="1">
      <alignment horizontal="center" vertical="center" wrapText="1"/>
    </xf>
    <xf numFmtId="0" fontId="2" fillId="0" borderId="48" xfId="0" applyFont="1" applyBorder="1" applyAlignment="1">
      <alignment horizontal="center" vertical="center" wrapText="1"/>
    </xf>
    <xf numFmtId="0" fontId="2" fillId="0" borderId="39" xfId="0" applyFont="1" applyBorder="1" applyAlignment="1">
      <alignment horizontal="center" vertical="center" wrapText="1"/>
    </xf>
    <xf numFmtId="0" fontId="0" fillId="0" borderId="0" xfId="0" applyFont="1" applyFill="1" applyBorder="1" applyAlignment="1">
      <alignment horizontal="center" vertical="center" wrapText="1"/>
    </xf>
    <xf numFmtId="0" fontId="0" fillId="0" borderId="4" xfId="0" applyFont="1" applyBorder="1" applyAlignment="1">
      <alignment horizontal="center"/>
    </xf>
    <xf numFmtId="0" fontId="0" fillId="0" borderId="9" xfId="0" applyFont="1" applyBorder="1" applyAlignment="1">
      <alignment horizontal="center"/>
    </xf>
    <xf numFmtId="0" fontId="0" fillId="0" borderId="11" xfId="0" applyFont="1" applyBorder="1" applyAlignment="1">
      <alignment horizontal="center"/>
    </xf>
    <xf numFmtId="0" fontId="0" fillId="0" borderId="1" xfId="0" applyFont="1" applyBorder="1" applyAlignment="1">
      <alignment horizontal="center"/>
    </xf>
  </cellXfs>
  <cellStyles count="7">
    <cellStyle name="Comma" xfId="1" builtinId="3"/>
    <cellStyle name="Comma 2" xfId="4"/>
    <cellStyle name="Hyperlink" xfId="6" builtinId="8"/>
    <cellStyle name="Normal" xfId="0" builtinId="0"/>
    <cellStyle name="Normal 3" xfId="3"/>
    <cellStyle name="Percent" xfId="2" builtinId="5"/>
    <cellStyle name="Percent 2" xfId="5"/>
  </cellStyles>
  <dxfs count="16">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strike val="0"/>
        <outline val="0"/>
        <shadow val="0"/>
        <u val="none"/>
        <vertAlign val="baseline"/>
        <sz val="11"/>
        <name val="Calibri"/>
        <scheme val="minor"/>
      </font>
    </dxf>
    <dxf>
      <font>
        <b/>
        <i val="0"/>
        <strike val="0"/>
        <condense val="0"/>
        <extend val="0"/>
        <outline val="0"/>
        <shadow val="0"/>
        <u val="none"/>
        <vertAlign val="baseline"/>
        <sz val="11"/>
        <color rgb="FF000000"/>
        <name val="Calibri"/>
        <scheme val="minor"/>
      </font>
      <alignment horizontal="general" vertical="center" textRotation="0" wrapText="0" indent="0" justifyLastLine="0" shrinkToFit="0" readingOrder="0"/>
    </dxf>
    <dxf>
      <fill>
        <patternFill>
          <bgColor rgb="FFFFFF00"/>
        </patternFill>
      </fill>
    </dxf>
    <dxf>
      <fill>
        <patternFill>
          <bgColor rgb="FFFF6699"/>
        </patternFill>
      </fill>
    </dxf>
    <dxf>
      <fill>
        <patternFill>
          <bgColor rgb="FFFF6699"/>
        </patternFill>
      </fill>
    </dxf>
  </dxfs>
  <tableStyles count="0" defaultTableStyle="TableStyleMedium2" defaultPivotStyle="PivotStyleLight16"/>
  <colors>
    <mruColors>
      <color rgb="FF808080"/>
      <color rgb="FFFFFF99"/>
      <color rgb="FFFF6699"/>
      <color rgb="FFFF99FF"/>
      <color rgb="FF00FFFF"/>
      <color rgb="FF00CC00"/>
      <color rgb="FFFF5050"/>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Use by Facility Group</a:t>
            </a:r>
          </a:p>
        </c:rich>
      </c:tx>
      <c:overlay val="0"/>
    </c:title>
    <c:autoTitleDeleted val="0"/>
    <c:plotArea>
      <c:layout/>
      <c:pieChart>
        <c:varyColors val="1"/>
        <c:ser>
          <c:idx val="0"/>
          <c:order val="0"/>
          <c:cat>
            <c:strRef>
              <c:f>'Summary Tables'!$C$15:$C$24</c:f>
              <c:strCache>
                <c:ptCount val="10"/>
                <c:pt idx="0">
                  <c:v>Terminals</c:v>
                </c:pt>
                <c:pt idx="1">
                  <c:v>Office Buildings</c:v>
                </c:pt>
                <c:pt idx="2">
                  <c:v>Rental Car Center</c:v>
                </c:pt>
                <c:pt idx="3">
                  <c:v>Ground Transportation</c:v>
                </c:pt>
                <c:pt idx="4">
                  <c:v>Parking</c:v>
                </c:pt>
                <c:pt idx="5">
                  <c:v>Fire and Police Stations</c:v>
                </c:pt>
                <c:pt idx="6">
                  <c:v>Hotels</c:v>
                </c:pt>
                <c:pt idx="7">
                  <c:v>Central Heating/Cooling Plant</c:v>
                </c:pt>
                <c:pt idx="8">
                  <c:v>Maintenance &amp; Services</c:v>
                </c:pt>
                <c:pt idx="9">
                  <c:v>Airlines/Cargo Hangars</c:v>
                </c:pt>
              </c:strCache>
            </c:strRef>
          </c:cat>
          <c:val>
            <c:numRef>
              <c:f>'Summary Tables'!$D$15:$D$24</c:f>
              <c:numCache>
                <c:formatCode>_(* #,##0_);_(* \(#,##0\);_(* "-"??_);_(@_)</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68399956326829459"/>
          <c:y val="0.10719238905760337"/>
          <c:w val="0.29968722302860595"/>
          <c:h val="0.88174701314760595"/>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Use by Facility Group</a:t>
            </a:r>
          </a:p>
        </c:rich>
      </c:tx>
      <c:overlay val="0"/>
    </c:title>
    <c:autoTitleDeleted val="0"/>
    <c:plotArea>
      <c:layout/>
      <c:barChart>
        <c:barDir val="col"/>
        <c:grouping val="clustered"/>
        <c:varyColors val="0"/>
        <c:ser>
          <c:idx val="0"/>
          <c:order val="0"/>
          <c:tx>
            <c:v>Estimated</c:v>
          </c:tx>
          <c:invertIfNegative val="0"/>
          <c:cat>
            <c:strRef>
              <c:f>'Summary Tables'!$C$15:$C$24</c:f>
              <c:strCache>
                <c:ptCount val="10"/>
                <c:pt idx="0">
                  <c:v>Terminals</c:v>
                </c:pt>
                <c:pt idx="1">
                  <c:v>Office Buildings</c:v>
                </c:pt>
                <c:pt idx="2">
                  <c:v>Rental Car Center</c:v>
                </c:pt>
                <c:pt idx="3">
                  <c:v>Ground Transportation</c:v>
                </c:pt>
                <c:pt idx="4">
                  <c:v>Parking</c:v>
                </c:pt>
                <c:pt idx="5">
                  <c:v>Fire and Police Stations</c:v>
                </c:pt>
                <c:pt idx="6">
                  <c:v>Hotels</c:v>
                </c:pt>
                <c:pt idx="7">
                  <c:v>Central Heating/Cooling Plant</c:v>
                </c:pt>
                <c:pt idx="8">
                  <c:v>Maintenance &amp; Services</c:v>
                </c:pt>
                <c:pt idx="9">
                  <c:v>Airlines/Cargo Hangars</c:v>
                </c:pt>
              </c:strCache>
            </c:strRef>
          </c:cat>
          <c:val>
            <c:numRef>
              <c:f>'Summary Tables'!$D$15:$D$24</c:f>
              <c:numCache>
                <c:formatCode>_(* #,##0_);_(* \(#,##0\);_(* "-"??_);_(@_)</c:formatCode>
                <c:ptCount val="10"/>
                <c:pt idx="0">
                  <c:v>0</c:v>
                </c:pt>
                <c:pt idx="1">
                  <c:v>0</c:v>
                </c:pt>
                <c:pt idx="2">
                  <c:v>0</c:v>
                </c:pt>
                <c:pt idx="3">
                  <c:v>0</c:v>
                </c:pt>
                <c:pt idx="4">
                  <c:v>0</c:v>
                </c:pt>
                <c:pt idx="5">
                  <c:v>0</c:v>
                </c:pt>
                <c:pt idx="6">
                  <c:v>0</c:v>
                </c:pt>
                <c:pt idx="7">
                  <c:v>0</c:v>
                </c:pt>
                <c:pt idx="8">
                  <c:v>0</c:v>
                </c:pt>
                <c:pt idx="9">
                  <c:v>0</c:v>
                </c:pt>
              </c:numCache>
            </c:numRef>
          </c:val>
        </c:ser>
        <c:ser>
          <c:idx val="1"/>
          <c:order val="1"/>
          <c:tx>
            <c:v>Optimal</c:v>
          </c:tx>
          <c:invertIfNegative val="0"/>
          <c:val>
            <c:numRef>
              <c:f>'Summary Tables'!$F$15:$F$24</c:f>
              <c:numCache>
                <c:formatCode>_(* #,##0_);_(* \(#,##0\);_(* "-"??_);_(@_)</c:formatCode>
                <c:ptCount val="10"/>
                <c:pt idx="0">
                  <c:v>0</c:v>
                </c:pt>
                <c:pt idx="1">
                  <c:v>0</c:v>
                </c:pt>
                <c:pt idx="2">
                  <c:v>0</c:v>
                </c:pt>
                <c:pt idx="3">
                  <c:v>0</c:v>
                </c:pt>
                <c:pt idx="4">
                  <c:v>0</c:v>
                </c:pt>
                <c:pt idx="5">
                  <c:v>0</c:v>
                </c:pt>
                <c:pt idx="6">
                  <c:v>0</c:v>
                </c:pt>
                <c:pt idx="7">
                  <c:v>0</c:v>
                </c:pt>
                <c:pt idx="8">
                  <c:v>0</c:v>
                </c:pt>
                <c:pt idx="9">
                  <c:v>0</c:v>
                </c:pt>
              </c:numCache>
            </c:numRef>
          </c:val>
        </c:ser>
        <c:dLbls>
          <c:showLegendKey val="0"/>
          <c:showVal val="0"/>
          <c:showCatName val="0"/>
          <c:showSerName val="0"/>
          <c:showPercent val="0"/>
          <c:showBubbleSize val="0"/>
        </c:dLbls>
        <c:gapWidth val="100"/>
        <c:axId val="145912960"/>
        <c:axId val="145914496"/>
      </c:barChart>
      <c:catAx>
        <c:axId val="145912960"/>
        <c:scaling>
          <c:orientation val="minMax"/>
        </c:scaling>
        <c:delete val="0"/>
        <c:axPos val="b"/>
        <c:numFmt formatCode="General" sourceLinked="0"/>
        <c:majorTickMark val="out"/>
        <c:minorTickMark val="none"/>
        <c:tickLblPos val="nextTo"/>
        <c:crossAx val="145914496"/>
        <c:crosses val="autoZero"/>
        <c:auto val="1"/>
        <c:lblAlgn val="ctr"/>
        <c:lblOffset val="100"/>
        <c:noMultiLvlLbl val="0"/>
      </c:catAx>
      <c:valAx>
        <c:axId val="145914496"/>
        <c:scaling>
          <c:orientation val="minMax"/>
        </c:scaling>
        <c:delete val="0"/>
        <c:axPos val="l"/>
        <c:majorGridlines/>
        <c:title>
          <c:tx>
            <c:rich>
              <a:bodyPr rot="-5400000" vert="horz"/>
              <a:lstStyle/>
              <a:p>
                <a:pPr>
                  <a:defRPr/>
                </a:pPr>
                <a:r>
                  <a:rPr lang="en-US"/>
                  <a:t>Gallons per Day</a:t>
                </a:r>
              </a:p>
            </c:rich>
          </c:tx>
          <c:overlay val="0"/>
        </c:title>
        <c:numFmt formatCode="_(* #,##0_);_(* \(#,##0\);_(* &quot;-&quot;??_);_(@_)" sourceLinked="1"/>
        <c:majorTickMark val="out"/>
        <c:minorTickMark val="none"/>
        <c:tickLblPos val="nextTo"/>
        <c:crossAx val="1459129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Use by Water Use Area</a:t>
            </a:r>
          </a:p>
        </c:rich>
      </c:tx>
      <c:overlay val="0"/>
    </c:title>
    <c:autoTitleDeleted val="0"/>
    <c:plotArea>
      <c:layout/>
      <c:pieChart>
        <c:varyColors val="1"/>
        <c:ser>
          <c:idx val="0"/>
          <c:order val="0"/>
          <c:cat>
            <c:strRef>
              <c:f>'Summary Tables'!$U$15:$U$23</c:f>
              <c:strCache>
                <c:ptCount val="9"/>
                <c:pt idx="0">
                  <c:v>Restrooms</c:v>
                </c:pt>
                <c:pt idx="1">
                  <c:v>Food Service</c:v>
                </c:pt>
                <c:pt idx="2">
                  <c:v>Break rooms</c:v>
                </c:pt>
                <c:pt idx="3">
                  <c:v>Guestrooms</c:v>
                </c:pt>
                <c:pt idx="4">
                  <c:v>Flight kitchens</c:v>
                </c:pt>
                <c:pt idx="5">
                  <c:v>Aircraft</c:v>
                </c:pt>
                <c:pt idx="6">
                  <c:v>Landscaping</c:v>
                </c:pt>
                <c:pt idx="7">
                  <c:v>Maintenance</c:v>
                </c:pt>
                <c:pt idx="8">
                  <c:v>Other</c:v>
                </c:pt>
              </c:strCache>
            </c:strRef>
          </c:cat>
          <c:val>
            <c:numRef>
              <c:f>'Summary Tables'!$V$15:$V$23</c:f>
              <c:numCache>
                <c:formatCode>_(* #,##0_);_(* \(#,##0\);_(* "-"??_);_(@_)</c:formatCode>
                <c:ptCount val="9"/>
                <c:pt idx="0">
                  <c:v>0</c:v>
                </c:pt>
                <c:pt idx="1">
                  <c:v>0</c:v>
                </c:pt>
                <c:pt idx="2">
                  <c:v>0</c:v>
                </c:pt>
                <c:pt idx="3">
                  <c:v>0</c:v>
                </c:pt>
                <c:pt idx="4">
                  <c:v>0</c:v>
                </c:pt>
                <c:pt idx="5">
                  <c:v>0</c:v>
                </c:pt>
                <c:pt idx="6">
                  <c:v>0</c:v>
                </c:pt>
                <c:pt idx="7">
                  <c:v>0</c:v>
                </c:pt>
                <c:pt idx="8">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78057277701612415"/>
          <c:y val="0.1296425037034305"/>
          <c:w val="0.20401890249080962"/>
          <c:h val="0.8069719768635478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Use by Water Use Area</a:t>
            </a:r>
          </a:p>
        </c:rich>
      </c:tx>
      <c:overlay val="0"/>
    </c:title>
    <c:autoTitleDeleted val="0"/>
    <c:plotArea>
      <c:layout/>
      <c:barChart>
        <c:barDir val="col"/>
        <c:grouping val="clustered"/>
        <c:varyColors val="0"/>
        <c:ser>
          <c:idx val="0"/>
          <c:order val="0"/>
          <c:tx>
            <c:v>Estimated</c:v>
          </c:tx>
          <c:invertIfNegative val="0"/>
          <c:cat>
            <c:strRef>
              <c:f>'Summary Tables'!$U$15:$U$23</c:f>
              <c:strCache>
                <c:ptCount val="9"/>
                <c:pt idx="0">
                  <c:v>Restrooms</c:v>
                </c:pt>
                <c:pt idx="1">
                  <c:v>Food Service</c:v>
                </c:pt>
                <c:pt idx="2">
                  <c:v>Break rooms</c:v>
                </c:pt>
                <c:pt idx="3">
                  <c:v>Guestrooms</c:v>
                </c:pt>
                <c:pt idx="4">
                  <c:v>Flight kitchens</c:v>
                </c:pt>
                <c:pt idx="5">
                  <c:v>Aircraft</c:v>
                </c:pt>
                <c:pt idx="6">
                  <c:v>Landscaping</c:v>
                </c:pt>
                <c:pt idx="7">
                  <c:v>Maintenance</c:v>
                </c:pt>
                <c:pt idx="8">
                  <c:v>Other</c:v>
                </c:pt>
              </c:strCache>
            </c:strRef>
          </c:cat>
          <c:val>
            <c:numRef>
              <c:f>'Summary Tables'!$V$15:$V$23</c:f>
              <c:numCache>
                <c:formatCode>_(* #,##0_);_(* \(#,##0\);_(* "-"??_);_(@_)</c:formatCode>
                <c:ptCount val="9"/>
                <c:pt idx="0">
                  <c:v>0</c:v>
                </c:pt>
                <c:pt idx="1">
                  <c:v>0</c:v>
                </c:pt>
                <c:pt idx="2">
                  <c:v>0</c:v>
                </c:pt>
                <c:pt idx="3">
                  <c:v>0</c:v>
                </c:pt>
                <c:pt idx="4">
                  <c:v>0</c:v>
                </c:pt>
                <c:pt idx="5">
                  <c:v>0</c:v>
                </c:pt>
                <c:pt idx="6">
                  <c:v>0</c:v>
                </c:pt>
                <c:pt idx="7">
                  <c:v>0</c:v>
                </c:pt>
                <c:pt idx="8">
                  <c:v>0</c:v>
                </c:pt>
              </c:numCache>
            </c:numRef>
          </c:val>
        </c:ser>
        <c:ser>
          <c:idx val="1"/>
          <c:order val="1"/>
          <c:tx>
            <c:v>Optimal</c:v>
          </c:tx>
          <c:invertIfNegative val="0"/>
          <c:val>
            <c:numRef>
              <c:f>'Summary Tables'!$X$15:$X$23</c:f>
              <c:numCache>
                <c:formatCode>_(* #,##0_);_(* \(#,##0\);_(* "-"??_);_(@_)</c:formatCode>
                <c:ptCount val="9"/>
                <c:pt idx="0">
                  <c:v>0</c:v>
                </c:pt>
                <c:pt idx="1">
                  <c:v>0</c:v>
                </c:pt>
                <c:pt idx="2">
                  <c:v>0</c:v>
                </c:pt>
                <c:pt idx="3">
                  <c:v>0</c:v>
                </c:pt>
                <c:pt idx="4">
                  <c:v>0</c:v>
                </c:pt>
                <c:pt idx="5">
                  <c:v>0</c:v>
                </c:pt>
                <c:pt idx="6">
                  <c:v>0</c:v>
                </c:pt>
                <c:pt idx="7">
                  <c:v>0</c:v>
                </c:pt>
                <c:pt idx="8">
                  <c:v>0</c:v>
                </c:pt>
              </c:numCache>
            </c:numRef>
          </c:val>
        </c:ser>
        <c:dLbls>
          <c:showLegendKey val="0"/>
          <c:showVal val="0"/>
          <c:showCatName val="0"/>
          <c:showSerName val="0"/>
          <c:showPercent val="0"/>
          <c:showBubbleSize val="0"/>
        </c:dLbls>
        <c:gapWidth val="100"/>
        <c:axId val="145852672"/>
        <c:axId val="145854464"/>
      </c:barChart>
      <c:catAx>
        <c:axId val="145852672"/>
        <c:scaling>
          <c:orientation val="minMax"/>
        </c:scaling>
        <c:delete val="0"/>
        <c:axPos val="b"/>
        <c:numFmt formatCode="General" sourceLinked="0"/>
        <c:majorTickMark val="out"/>
        <c:minorTickMark val="none"/>
        <c:tickLblPos val="nextTo"/>
        <c:crossAx val="145854464"/>
        <c:crosses val="autoZero"/>
        <c:auto val="1"/>
        <c:lblAlgn val="ctr"/>
        <c:lblOffset val="100"/>
        <c:noMultiLvlLbl val="0"/>
      </c:catAx>
      <c:valAx>
        <c:axId val="145854464"/>
        <c:scaling>
          <c:orientation val="minMax"/>
        </c:scaling>
        <c:delete val="0"/>
        <c:axPos val="l"/>
        <c:majorGridlines/>
        <c:title>
          <c:tx>
            <c:rich>
              <a:bodyPr rot="-5400000" vert="horz"/>
              <a:lstStyle/>
              <a:p>
                <a:pPr>
                  <a:defRPr/>
                </a:pPr>
                <a:r>
                  <a:rPr lang="en-US"/>
                  <a:t>Gallons per Day</a:t>
                </a:r>
              </a:p>
            </c:rich>
          </c:tx>
          <c:overlay val="0"/>
        </c:title>
        <c:numFmt formatCode="_(* #,##0_);_(* \(#,##0\);_(* &quot;-&quot;??_);_(@_)" sourceLinked="1"/>
        <c:majorTickMark val="out"/>
        <c:minorTickMark val="none"/>
        <c:tickLblPos val="nextTo"/>
        <c:crossAx val="145852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Use by End Use</a:t>
            </a:r>
          </a:p>
        </c:rich>
      </c:tx>
      <c:overlay val="0"/>
    </c:title>
    <c:autoTitleDeleted val="0"/>
    <c:plotArea>
      <c:layout>
        <c:manualLayout>
          <c:layoutTarget val="inner"/>
          <c:xMode val="edge"/>
          <c:yMode val="edge"/>
          <c:x val="5.665966754155731E-2"/>
          <c:y val="5.0925925925925923E-2"/>
          <c:w val="0.53888888888888886"/>
          <c:h val="0.89814814814814814"/>
        </c:manualLayout>
      </c:layout>
      <c:pieChart>
        <c:varyColors val="1"/>
        <c:ser>
          <c:idx val="0"/>
          <c:order val="0"/>
          <c:cat>
            <c:strRef>
              <c:f>'Summary Tables'!$AM$15:$AM$37</c:f>
              <c:strCache>
                <c:ptCount val="23"/>
                <c:pt idx="0">
                  <c:v>Toilets</c:v>
                </c:pt>
                <c:pt idx="1">
                  <c:v>Urinals</c:v>
                </c:pt>
                <c:pt idx="2">
                  <c:v>Faucets</c:v>
                </c:pt>
                <c:pt idx="3">
                  <c:v>Kitchen faucets</c:v>
                </c:pt>
                <c:pt idx="4">
                  <c:v>Pre-rinse spray valves</c:v>
                </c:pt>
                <c:pt idx="5">
                  <c:v>Dishwashers</c:v>
                </c:pt>
                <c:pt idx="6">
                  <c:v>Ice machines</c:v>
                </c:pt>
                <c:pt idx="7">
                  <c:v>Showers</c:v>
                </c:pt>
                <c:pt idx="8">
                  <c:v>Swimming pool</c:v>
                </c:pt>
                <c:pt idx="9">
                  <c:v>Laundry</c:v>
                </c:pt>
                <c:pt idx="10">
                  <c:v>Boiler</c:v>
                </c:pt>
                <c:pt idx="11">
                  <c:v>Cooling</c:v>
                </c:pt>
                <c:pt idx="12">
                  <c:v>Outdoor irrigation</c:v>
                </c:pt>
                <c:pt idx="13">
                  <c:v>Vehicle washing</c:v>
                </c:pt>
                <c:pt idx="14">
                  <c:v>Pavement cleaning</c:v>
                </c:pt>
                <c:pt idx="15">
                  <c:v>Training</c:v>
                </c:pt>
                <c:pt idx="16">
                  <c:v>Snow removal</c:v>
                </c:pt>
                <c:pt idx="17">
                  <c:v>Fleet vehicle washing</c:v>
                </c:pt>
                <c:pt idx="18">
                  <c:v>Runway rubber removal </c:v>
                </c:pt>
                <c:pt idx="19">
                  <c:v>Aircraft cleaning </c:v>
                </c:pt>
                <c:pt idx="20">
                  <c:v>Onboard aircraft water</c:v>
                </c:pt>
                <c:pt idx="21">
                  <c:v>Deicing</c:v>
                </c:pt>
                <c:pt idx="22">
                  <c:v>Other</c:v>
                </c:pt>
              </c:strCache>
            </c:strRef>
          </c:cat>
          <c:val>
            <c:numRef>
              <c:f>'Summary Tables'!$AN$15:$AN$37</c:f>
              <c:numCache>
                <c:formatCode>_(* #,##0_);_(* \(#,##0\);_(* "-"??_);_(@_)</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72474298621519495"/>
          <c:y val="2.5584475551667159E-2"/>
          <c:w val="0.26185218804753962"/>
          <c:h val="0.91787055263925343"/>
        </c:manualLayout>
      </c:layout>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Water Use by End Use</a:t>
            </a:r>
          </a:p>
        </c:rich>
      </c:tx>
      <c:overlay val="0"/>
    </c:title>
    <c:autoTitleDeleted val="0"/>
    <c:plotArea>
      <c:layout>
        <c:manualLayout>
          <c:layoutTarget val="inner"/>
          <c:xMode val="edge"/>
          <c:yMode val="edge"/>
          <c:x val="0.16518590084214935"/>
          <c:y val="0.12315608986376703"/>
          <c:w val="0.66016619126513743"/>
          <c:h val="0.66021825396825395"/>
        </c:manualLayout>
      </c:layout>
      <c:barChart>
        <c:barDir val="col"/>
        <c:grouping val="clustered"/>
        <c:varyColors val="0"/>
        <c:ser>
          <c:idx val="0"/>
          <c:order val="0"/>
          <c:tx>
            <c:v>Estimated</c:v>
          </c:tx>
          <c:invertIfNegative val="0"/>
          <c:cat>
            <c:strRef>
              <c:f>'Summary Tables'!$AM$15:$AM$37</c:f>
              <c:strCache>
                <c:ptCount val="23"/>
                <c:pt idx="0">
                  <c:v>Toilets</c:v>
                </c:pt>
                <c:pt idx="1">
                  <c:v>Urinals</c:v>
                </c:pt>
                <c:pt idx="2">
                  <c:v>Faucets</c:v>
                </c:pt>
                <c:pt idx="3">
                  <c:v>Kitchen faucets</c:v>
                </c:pt>
                <c:pt idx="4">
                  <c:v>Pre-rinse spray valves</c:v>
                </c:pt>
                <c:pt idx="5">
                  <c:v>Dishwashers</c:v>
                </c:pt>
                <c:pt idx="6">
                  <c:v>Ice machines</c:v>
                </c:pt>
                <c:pt idx="7">
                  <c:v>Showers</c:v>
                </c:pt>
                <c:pt idx="8">
                  <c:v>Swimming pool</c:v>
                </c:pt>
                <c:pt idx="9">
                  <c:v>Laundry</c:v>
                </c:pt>
                <c:pt idx="10">
                  <c:v>Boiler</c:v>
                </c:pt>
                <c:pt idx="11">
                  <c:v>Cooling</c:v>
                </c:pt>
                <c:pt idx="12">
                  <c:v>Outdoor irrigation</c:v>
                </c:pt>
                <c:pt idx="13">
                  <c:v>Vehicle washing</c:v>
                </c:pt>
                <c:pt idx="14">
                  <c:v>Pavement cleaning</c:v>
                </c:pt>
                <c:pt idx="15">
                  <c:v>Training</c:v>
                </c:pt>
                <c:pt idx="16">
                  <c:v>Snow removal</c:v>
                </c:pt>
                <c:pt idx="17">
                  <c:v>Fleet vehicle washing</c:v>
                </c:pt>
                <c:pt idx="18">
                  <c:v>Runway rubber removal </c:v>
                </c:pt>
                <c:pt idx="19">
                  <c:v>Aircraft cleaning </c:v>
                </c:pt>
                <c:pt idx="20">
                  <c:v>Onboard aircraft water</c:v>
                </c:pt>
                <c:pt idx="21">
                  <c:v>Deicing</c:v>
                </c:pt>
                <c:pt idx="22">
                  <c:v>Other</c:v>
                </c:pt>
              </c:strCache>
            </c:strRef>
          </c:cat>
          <c:val>
            <c:numRef>
              <c:f>'Summary Tables'!$AN$15:$AN$37</c:f>
              <c:numCache>
                <c:formatCode>_(* #,##0_);_(* \(#,##0\);_(* "-"??_);_(@_)</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ser>
          <c:idx val="1"/>
          <c:order val="1"/>
          <c:tx>
            <c:v>Optimal</c:v>
          </c:tx>
          <c:invertIfNegative val="0"/>
          <c:val>
            <c:numRef>
              <c:f>'Summary Tables'!$AP$15:$AP$37</c:f>
              <c:numCache>
                <c:formatCode>_(* #,##0_);_(* \(#,##0\);_(* "-"??_);_(@_)</c:formatCode>
                <c:ptCount val="2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numCache>
            </c:numRef>
          </c:val>
        </c:ser>
        <c:dLbls>
          <c:showLegendKey val="0"/>
          <c:showVal val="0"/>
          <c:showCatName val="0"/>
          <c:showSerName val="0"/>
          <c:showPercent val="0"/>
          <c:showBubbleSize val="0"/>
        </c:dLbls>
        <c:gapWidth val="100"/>
        <c:axId val="149567744"/>
        <c:axId val="149569536"/>
      </c:barChart>
      <c:catAx>
        <c:axId val="149567744"/>
        <c:scaling>
          <c:orientation val="minMax"/>
        </c:scaling>
        <c:delete val="0"/>
        <c:axPos val="b"/>
        <c:numFmt formatCode="General" sourceLinked="0"/>
        <c:majorTickMark val="out"/>
        <c:minorTickMark val="none"/>
        <c:tickLblPos val="nextTo"/>
        <c:crossAx val="149569536"/>
        <c:crosses val="autoZero"/>
        <c:auto val="1"/>
        <c:lblAlgn val="ctr"/>
        <c:lblOffset val="100"/>
        <c:noMultiLvlLbl val="0"/>
      </c:catAx>
      <c:valAx>
        <c:axId val="149569536"/>
        <c:scaling>
          <c:orientation val="minMax"/>
        </c:scaling>
        <c:delete val="0"/>
        <c:axPos val="l"/>
        <c:majorGridlines/>
        <c:title>
          <c:tx>
            <c:rich>
              <a:bodyPr rot="-5400000" vert="horz"/>
              <a:lstStyle/>
              <a:p>
                <a:pPr>
                  <a:defRPr/>
                </a:pPr>
                <a:r>
                  <a:rPr lang="en-US"/>
                  <a:t>Gallona per Day</a:t>
                </a:r>
              </a:p>
            </c:rich>
          </c:tx>
          <c:overlay val="0"/>
        </c:title>
        <c:numFmt formatCode="_(* #,##0_);_(* \(#,##0\);_(* &quot;-&quot;??_);_(@_)" sourceLinked="1"/>
        <c:majorTickMark val="out"/>
        <c:minorTickMark val="none"/>
        <c:tickLblPos val="nextTo"/>
        <c:crossAx val="1495677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152400</xdr:colOff>
      <xdr:row>74</xdr:row>
      <xdr:rowOff>53340</xdr:rowOff>
    </xdr:from>
    <xdr:to>
      <xdr:col>8</xdr:col>
      <xdr:colOff>434340</xdr:colOff>
      <xdr:row>74</xdr:row>
      <xdr:rowOff>160020</xdr:rowOff>
    </xdr:to>
    <xdr:sp macro="" textlink="">
      <xdr:nvSpPr>
        <xdr:cNvPr id="7" name="Right Arrow 6"/>
        <xdr:cNvSpPr/>
      </xdr:nvSpPr>
      <xdr:spPr>
        <a:xfrm>
          <a:off x="4610100" y="16527780"/>
          <a:ext cx="281940" cy="1066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14</xdr:col>
      <xdr:colOff>699490</xdr:colOff>
      <xdr:row>0</xdr:row>
      <xdr:rowOff>47625</xdr:rowOff>
    </xdr:from>
    <xdr:to>
      <xdr:col>17</xdr:col>
      <xdr:colOff>76200</xdr:colOff>
      <xdr:row>28</xdr:row>
      <xdr:rowOff>180975</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7690" y="47625"/>
          <a:ext cx="7063385" cy="545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9</xdr:row>
      <xdr:rowOff>0</xdr:rowOff>
    </xdr:from>
    <xdr:to>
      <xdr:col>9</xdr:col>
      <xdr:colOff>38100</xdr:colOff>
      <xdr:row>27</xdr:row>
      <xdr:rowOff>7620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29</xdr:row>
      <xdr:rowOff>0</xdr:rowOff>
    </xdr:from>
    <xdr:to>
      <xdr:col>9</xdr:col>
      <xdr:colOff>38100</xdr:colOff>
      <xdr:row>47</xdr:row>
      <xdr:rowOff>7620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9</xdr:row>
      <xdr:rowOff>0</xdr:rowOff>
    </xdr:from>
    <xdr:to>
      <xdr:col>19</xdr:col>
      <xdr:colOff>68580</xdr:colOff>
      <xdr:row>26</xdr:row>
      <xdr:rowOff>144780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29</xdr:row>
      <xdr:rowOff>0</xdr:rowOff>
    </xdr:from>
    <xdr:to>
      <xdr:col>19</xdr:col>
      <xdr:colOff>175260</xdr:colOff>
      <xdr:row>47</xdr:row>
      <xdr:rowOff>45720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0</xdr:colOff>
      <xdr:row>9</xdr:row>
      <xdr:rowOff>0</xdr:rowOff>
    </xdr:from>
    <xdr:to>
      <xdr:col>30</xdr:col>
      <xdr:colOff>114300</xdr:colOff>
      <xdr:row>35</xdr:row>
      <xdr:rowOff>45720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0</xdr:colOff>
      <xdr:row>37</xdr:row>
      <xdr:rowOff>0</xdr:rowOff>
    </xdr:from>
    <xdr:to>
      <xdr:col>31</xdr:col>
      <xdr:colOff>320040</xdr:colOff>
      <xdr:row>65</xdr:row>
      <xdr:rowOff>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tables/table1.xml><?xml version="1.0" encoding="utf-8"?>
<table xmlns="http://schemas.openxmlformats.org/spreadsheetml/2006/main" id="1" name="Table1" displayName="Table1" ref="O4:Y22" totalsRowShown="0" headerRowDxfId="12" dataDxfId="11">
  <autoFilter ref="O4:Y22"/>
  <tableColumns count="11">
    <tableColumn id="1" name="Terminals" dataDxfId="10"/>
    <tableColumn id="2" name="Office Buildings" dataDxfId="9"/>
    <tableColumn id="3" name="Rental Car Center" dataDxfId="8"/>
    <tableColumn id="4" name="Ground Transportation" dataDxfId="7"/>
    <tableColumn id="5" name="Parking" dataDxfId="6"/>
    <tableColumn id="6" name="Fire and Police Stations" dataDxfId="5"/>
    <tableColumn id="7" name="Hotels" dataDxfId="4"/>
    <tableColumn id="8" name="Central Heating/Cooling Plant" dataDxfId="3"/>
    <tableColumn id="9" name="Maintenance &amp; Services" dataDxfId="2"/>
    <tableColumn id="10" name="Airlines/Cargo Hangars" dataDxfId="1"/>
    <tableColumn id="11" name="blank" dataDxfId="0"/>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6.bin"/><Relationship Id="rId1" Type="http://schemas.openxmlformats.org/officeDocument/2006/relationships/hyperlink" Target="http://www1.eere.energy.gov/femp/pdfs/est_unmetered_landscape_wtr.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B1:W113"/>
  <sheetViews>
    <sheetView showGridLines="0" tabSelected="1" zoomScaleNormal="100" workbookViewId="0">
      <selection activeCell="B2" sqref="B2"/>
    </sheetView>
  </sheetViews>
  <sheetFormatPr defaultColWidth="9.109375" defaultRowHeight="14.4" x14ac:dyDescent="0.3"/>
  <cols>
    <col min="1" max="1" width="1.88671875" style="13" customWidth="1"/>
    <col min="2" max="2" width="2.6640625" style="13" customWidth="1"/>
    <col min="3" max="3" width="27.6640625" style="13" customWidth="1"/>
    <col min="4" max="4" width="67.6640625" style="13" customWidth="1"/>
    <col min="5" max="5" width="63.88671875" style="13" customWidth="1"/>
    <col min="6" max="16384" width="9.109375" style="13"/>
  </cols>
  <sheetData>
    <row r="1" spans="2:17" ht="21" x14ac:dyDescent="0.35">
      <c r="B1" s="108" t="s">
        <v>1055</v>
      </c>
    </row>
    <row r="2" spans="2:17" ht="15" x14ac:dyDescent="0.25">
      <c r="B2" s="2" t="s">
        <v>1028</v>
      </c>
      <c r="C2" s="2"/>
    </row>
    <row r="3" spans="2:17" ht="15" x14ac:dyDescent="0.25">
      <c r="B3" s="1332">
        <v>42380</v>
      </c>
      <c r="C3" s="1332"/>
    </row>
    <row r="5" spans="2:17" ht="21" x14ac:dyDescent="0.35">
      <c r="B5" s="108" t="s">
        <v>460</v>
      </c>
    </row>
    <row r="6" spans="2:17" ht="21" x14ac:dyDescent="0.35">
      <c r="B6" s="108" t="s">
        <v>1054</v>
      </c>
    </row>
    <row r="7" spans="2:17" ht="14.4" customHeight="1" x14ac:dyDescent="0.25">
      <c r="C7" s="2"/>
      <c r="J7" s="35"/>
      <c r="K7" s="35"/>
      <c r="L7" s="35"/>
      <c r="M7" s="35"/>
      <c r="N7" s="35"/>
      <c r="O7" s="35"/>
      <c r="P7" s="35"/>
      <c r="Q7" s="35"/>
    </row>
    <row r="8" spans="2:17" x14ac:dyDescent="0.3">
      <c r="B8" s="177" t="s">
        <v>555</v>
      </c>
      <c r="C8" s="540" t="s">
        <v>490</v>
      </c>
      <c r="D8" s="176"/>
      <c r="E8" s="176"/>
    </row>
    <row r="9" spans="2:17" ht="15" x14ac:dyDescent="0.25">
      <c r="B9" s="176"/>
      <c r="C9" s="540" t="s">
        <v>542</v>
      </c>
      <c r="D9" s="176"/>
      <c r="E9" s="176"/>
    </row>
    <row r="10" spans="2:17" ht="15" x14ac:dyDescent="0.25">
      <c r="B10" s="176"/>
      <c r="C10" s="1312" t="s">
        <v>547</v>
      </c>
      <c r="D10" s="176"/>
      <c r="E10" s="176"/>
    </row>
    <row r="11" spans="2:17" ht="15" x14ac:dyDescent="0.25">
      <c r="B11" s="176"/>
      <c r="C11" s="1312" t="s">
        <v>546</v>
      </c>
      <c r="D11" s="176"/>
      <c r="E11" s="176"/>
    </row>
    <row r="12" spans="2:17" ht="15" x14ac:dyDescent="0.25">
      <c r="B12" s="176"/>
      <c r="C12" s="1312" t="s">
        <v>543</v>
      </c>
      <c r="D12" s="176"/>
      <c r="E12" s="176"/>
    </row>
    <row r="13" spans="2:17" ht="15" x14ac:dyDescent="0.25">
      <c r="B13" s="176"/>
      <c r="C13" s="1312" t="s">
        <v>545</v>
      </c>
      <c r="D13" s="176"/>
      <c r="E13" s="176"/>
    </row>
    <row r="14" spans="2:17" ht="15" x14ac:dyDescent="0.25">
      <c r="B14" s="176"/>
      <c r="C14" s="540"/>
      <c r="D14" s="176"/>
      <c r="E14" s="176"/>
    </row>
    <row r="15" spans="2:17" ht="14.4" customHeight="1" x14ac:dyDescent="0.3">
      <c r="B15" s="177" t="s">
        <v>555</v>
      </c>
      <c r="C15" s="176" t="s">
        <v>762</v>
      </c>
      <c r="D15" s="176"/>
      <c r="E15" s="176"/>
      <c r="J15" s="35"/>
      <c r="K15" s="35"/>
      <c r="L15" s="35"/>
      <c r="M15" s="35"/>
      <c r="N15" s="35"/>
      <c r="O15" s="35"/>
      <c r="P15" s="35"/>
      <c r="Q15" s="35"/>
    </row>
    <row r="16" spans="2:17" ht="14.4" customHeight="1" x14ac:dyDescent="0.25">
      <c r="B16" s="176"/>
      <c r="C16" s="540" t="s">
        <v>759</v>
      </c>
      <c r="D16" s="176"/>
      <c r="E16" s="176"/>
      <c r="J16" s="35"/>
      <c r="K16" s="35"/>
      <c r="L16" s="35"/>
      <c r="M16" s="35"/>
      <c r="N16" s="35"/>
      <c r="O16" s="35"/>
      <c r="P16" s="35"/>
      <c r="Q16" s="35"/>
    </row>
    <row r="17" spans="2:17" ht="14.4" customHeight="1" x14ac:dyDescent="0.25">
      <c r="B17" s="176"/>
      <c r="C17" s="176"/>
      <c r="D17" s="176"/>
      <c r="E17" s="176"/>
      <c r="J17" s="35"/>
      <c r="K17" s="35"/>
      <c r="L17" s="35"/>
      <c r="M17" s="35"/>
      <c r="N17" s="35"/>
      <c r="O17" s="35"/>
      <c r="P17" s="35"/>
      <c r="Q17" s="35"/>
    </row>
    <row r="18" spans="2:17" ht="14.4" customHeight="1" x14ac:dyDescent="0.3">
      <c r="B18" s="177" t="s">
        <v>555</v>
      </c>
      <c r="C18" s="176" t="s">
        <v>489</v>
      </c>
      <c r="D18" s="176"/>
      <c r="E18" s="176"/>
      <c r="J18" s="35"/>
      <c r="K18" s="35"/>
      <c r="L18" s="35"/>
      <c r="M18" s="35"/>
      <c r="N18" s="35"/>
      <c r="O18" s="35"/>
      <c r="P18" s="35"/>
      <c r="Q18" s="35"/>
    </row>
    <row r="19" spans="2:17" ht="14.4" customHeight="1" x14ac:dyDescent="0.25">
      <c r="B19" s="176"/>
      <c r="C19" s="540" t="s">
        <v>215</v>
      </c>
      <c r="D19" s="176"/>
      <c r="E19" s="176"/>
      <c r="J19" s="35"/>
      <c r="K19" s="35"/>
      <c r="L19" s="35"/>
      <c r="M19" s="35"/>
      <c r="N19" s="35"/>
      <c r="O19" s="35"/>
      <c r="P19" s="35"/>
      <c r="Q19" s="35"/>
    </row>
    <row r="20" spans="2:17" ht="14.4" customHeight="1" x14ac:dyDescent="0.3">
      <c r="B20" s="176"/>
      <c r="C20" s="540"/>
      <c r="D20" s="176"/>
      <c r="E20" s="176"/>
      <c r="J20" s="35"/>
      <c r="K20" s="35"/>
      <c r="L20" s="35"/>
      <c r="M20" s="35"/>
      <c r="N20" s="35"/>
      <c r="O20" s="35"/>
      <c r="P20" s="35"/>
      <c r="Q20" s="35"/>
    </row>
    <row r="21" spans="2:17" x14ac:dyDescent="0.3">
      <c r="B21" s="177" t="s">
        <v>555</v>
      </c>
      <c r="C21" s="540" t="s">
        <v>544</v>
      </c>
      <c r="D21" s="176"/>
      <c r="E21" s="176"/>
    </row>
    <row r="22" spans="2:17" x14ac:dyDescent="0.3">
      <c r="B22" s="176"/>
      <c r="C22" s="176"/>
      <c r="D22" s="176"/>
      <c r="E22" s="176"/>
    </row>
    <row r="23" spans="2:17" x14ac:dyDescent="0.3">
      <c r="B23" s="177" t="s">
        <v>555</v>
      </c>
      <c r="C23" s="540" t="s">
        <v>764</v>
      </c>
      <c r="D23" s="176"/>
      <c r="E23" s="176"/>
    </row>
    <row r="24" spans="2:17" x14ac:dyDescent="0.3">
      <c r="B24" s="176"/>
      <c r="C24" s="540" t="s">
        <v>491</v>
      </c>
      <c r="D24" s="176"/>
      <c r="E24" s="176"/>
    </row>
    <row r="25" spans="2:17" x14ac:dyDescent="0.3">
      <c r="B25" s="176"/>
      <c r="C25" s="540" t="s">
        <v>1032</v>
      </c>
      <c r="D25" s="176"/>
      <c r="E25" s="176"/>
    </row>
    <row r="26" spans="2:17" x14ac:dyDescent="0.3">
      <c r="B26" s="176"/>
      <c r="C26" s="540"/>
      <c r="D26" s="176" t="s">
        <v>1033</v>
      </c>
      <c r="E26" s="176"/>
    </row>
    <row r="27" spans="2:17" x14ac:dyDescent="0.3">
      <c r="B27" s="176"/>
      <c r="C27" s="540"/>
      <c r="D27" s="176"/>
      <c r="E27" s="176"/>
    </row>
    <row r="28" spans="2:17" x14ac:dyDescent="0.3">
      <c r="B28" s="177" t="s">
        <v>555</v>
      </c>
      <c r="C28" s="540" t="s">
        <v>492</v>
      </c>
      <c r="D28" s="176"/>
      <c r="E28" s="176"/>
    </row>
    <row r="29" spans="2:17" x14ac:dyDescent="0.3">
      <c r="B29" s="176"/>
      <c r="C29" s="540" t="s">
        <v>531</v>
      </c>
      <c r="D29" s="176"/>
      <c r="E29" s="176"/>
    </row>
    <row r="30" spans="2:17" x14ac:dyDescent="0.3">
      <c r="B30" s="176"/>
      <c r="C30" s="540"/>
      <c r="D30" s="176"/>
      <c r="E30" s="176"/>
    </row>
    <row r="31" spans="2:17" x14ac:dyDescent="0.3">
      <c r="B31" s="177" t="s">
        <v>555</v>
      </c>
      <c r="C31" s="540" t="s">
        <v>549</v>
      </c>
      <c r="D31" s="176"/>
      <c r="E31" s="176"/>
    </row>
    <row r="32" spans="2:17" x14ac:dyDescent="0.3">
      <c r="B32" s="177"/>
      <c r="C32" s="540" t="s">
        <v>688</v>
      </c>
      <c r="D32" s="176"/>
      <c r="E32" s="176"/>
    </row>
    <row r="33" spans="2:23" x14ac:dyDescent="0.3">
      <c r="B33" s="177"/>
      <c r="C33" s="540" t="s">
        <v>645</v>
      </c>
      <c r="D33" s="176"/>
      <c r="E33" s="176"/>
    </row>
    <row r="34" spans="2:23" x14ac:dyDescent="0.3">
      <c r="B34" s="176"/>
      <c r="C34" s="176" t="s">
        <v>550</v>
      </c>
      <c r="D34" s="176"/>
      <c r="E34" s="176"/>
    </row>
    <row r="35" spans="2:23" s="125" customFormat="1" ht="15" customHeight="1" x14ac:dyDescent="0.3">
      <c r="B35" s="176"/>
      <c r="C35" s="176" t="s">
        <v>151</v>
      </c>
      <c r="D35" s="176"/>
      <c r="E35" s="176"/>
    </row>
    <row r="36" spans="2:23" s="125" customFormat="1" ht="15" customHeight="1" x14ac:dyDescent="0.3"/>
    <row r="37" spans="2:23" s="125" customFormat="1" ht="16.2" customHeight="1" x14ac:dyDescent="0.3">
      <c r="C37" s="128" t="s">
        <v>662</v>
      </c>
      <c r="D37" s="93"/>
    </row>
    <row r="38" spans="2:23" s="125" customFormat="1" ht="16.2" customHeight="1" x14ac:dyDescent="0.3">
      <c r="C38" s="129" t="s">
        <v>651</v>
      </c>
      <c r="D38" s="93"/>
    </row>
    <row r="39" spans="2:23" s="125" customFormat="1" ht="16.2" customHeight="1" x14ac:dyDescent="0.3">
      <c r="C39" s="95" t="s">
        <v>358</v>
      </c>
      <c r="D39" s="93"/>
    </row>
    <row r="40" spans="2:23" s="125" customFormat="1" ht="16.2" customHeight="1" x14ac:dyDescent="0.3">
      <c r="C40" s="130" t="s">
        <v>663</v>
      </c>
      <c r="D40" s="93"/>
    </row>
    <row r="41" spans="2:23" s="125" customFormat="1" ht="16.2" customHeight="1" x14ac:dyDescent="0.3">
      <c r="C41" s="131" t="s">
        <v>664</v>
      </c>
      <c r="D41" s="93"/>
    </row>
    <row r="42" spans="2:23" s="125" customFormat="1" x14ac:dyDescent="0.3">
      <c r="C42" s="927" t="s">
        <v>149</v>
      </c>
    </row>
    <row r="43" spans="2:23" s="125" customFormat="1" x14ac:dyDescent="0.3">
      <c r="C43" s="132" t="s">
        <v>665</v>
      </c>
    </row>
    <row r="44" spans="2:23" s="125" customFormat="1" x14ac:dyDescent="0.3">
      <c r="C44" s="10" t="s">
        <v>150</v>
      </c>
      <c r="D44" s="93"/>
    </row>
    <row r="45" spans="2:23" s="125" customFormat="1" x14ac:dyDescent="0.3">
      <c r="C45" s="133" t="s">
        <v>666</v>
      </c>
    </row>
    <row r="46" spans="2:23" ht="15" customHeight="1" x14ac:dyDescent="0.4">
      <c r="G46" s="134"/>
      <c r="H46" s="134"/>
      <c r="I46" s="134"/>
      <c r="J46" s="134"/>
      <c r="K46" s="134"/>
      <c r="L46" s="134"/>
      <c r="M46" s="134"/>
      <c r="N46" s="134"/>
    </row>
    <row r="47" spans="2:23" s="135" customFormat="1" x14ac:dyDescent="0.3">
      <c r="C47" s="1313" t="s">
        <v>399</v>
      </c>
      <c r="D47" s="136" t="s">
        <v>493</v>
      </c>
      <c r="E47" s="137"/>
    </row>
    <row r="48" spans="2:23" s="135" customFormat="1" ht="28.8" x14ac:dyDescent="0.3">
      <c r="C48" s="149" t="s">
        <v>427</v>
      </c>
      <c r="D48" s="150" t="s">
        <v>488</v>
      </c>
      <c r="E48" s="137"/>
      <c r="F48" s="146"/>
      <c r="P48" s="146"/>
      <c r="Q48" s="146"/>
      <c r="R48" s="146"/>
      <c r="S48" s="146"/>
      <c r="T48" s="146"/>
      <c r="U48" s="146"/>
      <c r="V48" s="146"/>
      <c r="W48" s="146"/>
    </row>
    <row r="49" spans="2:4" s="135" customFormat="1" ht="14.4" customHeight="1" x14ac:dyDescent="0.3">
      <c r="C49" s="138"/>
      <c r="D49" s="138"/>
    </row>
    <row r="50" spans="2:4" s="135" customFormat="1" x14ac:dyDescent="0.3">
      <c r="B50" s="139" t="s">
        <v>648</v>
      </c>
    </row>
    <row r="51" spans="2:4" s="135" customFormat="1" ht="45" customHeight="1" x14ac:dyDescent="0.3">
      <c r="C51" s="147" t="s">
        <v>644</v>
      </c>
      <c r="D51" s="148" t="s">
        <v>461</v>
      </c>
    </row>
    <row r="52" spans="2:4" s="135" customFormat="1" x14ac:dyDescent="0.3">
      <c r="C52" s="138"/>
      <c r="D52" s="138"/>
    </row>
    <row r="53" spans="2:4" s="135" customFormat="1" ht="28.8" x14ac:dyDescent="0.3">
      <c r="C53" s="147" t="s">
        <v>358</v>
      </c>
      <c r="D53" s="148" t="s">
        <v>652</v>
      </c>
    </row>
    <row r="54" spans="2:4" s="135" customFormat="1" x14ac:dyDescent="0.3">
      <c r="C54" s="140"/>
      <c r="D54" s="140"/>
    </row>
    <row r="55" spans="2:4" s="135" customFormat="1" x14ac:dyDescent="0.3">
      <c r="B55" s="139" t="s">
        <v>687</v>
      </c>
    </row>
    <row r="56" spans="2:4" s="135" customFormat="1" ht="28.8" x14ac:dyDescent="0.3">
      <c r="C56" s="169" t="s">
        <v>273</v>
      </c>
      <c r="D56" s="170" t="s">
        <v>406</v>
      </c>
    </row>
    <row r="57" spans="2:4" s="141" customFormat="1" x14ac:dyDescent="0.3">
      <c r="C57" s="1238"/>
      <c r="D57" s="1239"/>
    </row>
    <row r="58" spans="2:4" s="135" customFormat="1" ht="43.2" x14ac:dyDescent="0.3">
      <c r="C58" s="169" t="s">
        <v>476</v>
      </c>
      <c r="D58" s="170" t="s">
        <v>843</v>
      </c>
    </row>
    <row r="59" spans="2:4" s="135" customFormat="1" x14ac:dyDescent="0.3">
      <c r="C59" s="137"/>
      <c r="D59" s="137"/>
    </row>
    <row r="60" spans="2:4" s="135" customFormat="1" ht="28.8" x14ac:dyDescent="0.3">
      <c r="C60" s="169" t="s">
        <v>274</v>
      </c>
      <c r="D60" s="170" t="s">
        <v>407</v>
      </c>
    </row>
    <row r="61" spans="2:4" s="141" customFormat="1" ht="13.95" customHeight="1" x14ac:dyDescent="0.3">
      <c r="C61" s="142"/>
      <c r="D61" s="143"/>
    </row>
    <row r="62" spans="2:4" s="135" customFormat="1" x14ac:dyDescent="0.3">
      <c r="C62" s="1333" t="s">
        <v>139</v>
      </c>
      <c r="D62" s="171" t="s">
        <v>494</v>
      </c>
    </row>
    <row r="63" spans="2:4" s="135" customFormat="1" x14ac:dyDescent="0.3">
      <c r="C63" s="1334"/>
      <c r="D63" s="172" t="s">
        <v>269</v>
      </c>
    </row>
    <row r="64" spans="2:4" s="135" customFormat="1" x14ac:dyDescent="0.3">
      <c r="C64" s="126"/>
    </row>
    <row r="65" spans="2:4" s="135" customFormat="1" x14ac:dyDescent="0.3">
      <c r="C65" s="1333" t="s">
        <v>140</v>
      </c>
      <c r="D65" s="171" t="s">
        <v>401</v>
      </c>
    </row>
    <row r="66" spans="2:4" s="135" customFormat="1" x14ac:dyDescent="0.3">
      <c r="C66" s="1335"/>
      <c r="D66" s="173" t="s">
        <v>271</v>
      </c>
    </row>
    <row r="67" spans="2:4" s="135" customFormat="1" ht="28.8" x14ac:dyDescent="0.3">
      <c r="C67" s="1334"/>
      <c r="D67" s="174" t="s">
        <v>268</v>
      </c>
    </row>
    <row r="68" spans="2:4" s="135" customFormat="1" x14ac:dyDescent="0.3"/>
    <row r="69" spans="2:4" s="141" customFormat="1" ht="13.95" customHeight="1" x14ac:dyDescent="0.3">
      <c r="B69" s="144" t="s">
        <v>649</v>
      </c>
      <c r="C69" s="142"/>
      <c r="D69" s="143"/>
    </row>
    <row r="70" spans="2:4" s="135" customFormat="1" ht="28.8" x14ac:dyDescent="0.3">
      <c r="C70" s="151" t="s">
        <v>51</v>
      </c>
      <c r="D70" s="152" t="s">
        <v>404</v>
      </c>
    </row>
    <row r="71" spans="2:4" s="135" customFormat="1" ht="30.6" customHeight="1" x14ac:dyDescent="0.3">
      <c r="C71" s="153"/>
      <c r="D71" s="154" t="s">
        <v>402</v>
      </c>
    </row>
    <row r="72" spans="2:4" s="135" customFormat="1" ht="15.6" customHeight="1" x14ac:dyDescent="0.3">
      <c r="C72" s="153"/>
      <c r="D72" s="155" t="s">
        <v>403</v>
      </c>
    </row>
    <row r="73" spans="2:4" s="135" customFormat="1" x14ac:dyDescent="0.3">
      <c r="C73" s="153"/>
      <c r="D73" s="156" t="s">
        <v>405</v>
      </c>
    </row>
    <row r="74" spans="2:4" s="135" customFormat="1" ht="28.8" x14ac:dyDescent="0.3">
      <c r="C74" s="157"/>
      <c r="D74" s="158" t="s">
        <v>272</v>
      </c>
    </row>
    <row r="75" spans="2:4" s="135" customFormat="1" x14ac:dyDescent="0.3"/>
    <row r="76" spans="2:4" s="141" customFormat="1" ht="28.8" x14ac:dyDescent="0.3">
      <c r="C76" s="151" t="s">
        <v>49</v>
      </c>
      <c r="D76" s="152" t="s">
        <v>667</v>
      </c>
    </row>
    <row r="77" spans="2:4" s="141" customFormat="1" x14ac:dyDescent="0.3">
      <c r="C77" s="153"/>
      <c r="D77" s="155" t="s">
        <v>408</v>
      </c>
    </row>
    <row r="78" spans="2:4" s="141" customFormat="1" x14ac:dyDescent="0.3">
      <c r="C78" s="153"/>
      <c r="D78" s="155" t="s">
        <v>400</v>
      </c>
    </row>
    <row r="79" spans="2:4" s="141" customFormat="1" ht="28.8" x14ac:dyDescent="0.3">
      <c r="C79" s="157"/>
      <c r="D79" s="158" t="s">
        <v>668</v>
      </c>
    </row>
    <row r="80" spans="2:4" s="141" customFormat="1" ht="13.95" customHeight="1" x14ac:dyDescent="0.3">
      <c r="C80" s="142"/>
      <c r="D80" s="143"/>
    </row>
    <row r="81" spans="2:5" s="135" customFormat="1" x14ac:dyDescent="0.3">
      <c r="C81" s="151" t="s">
        <v>82</v>
      </c>
      <c r="D81" s="152" t="s">
        <v>396</v>
      </c>
    </row>
    <row r="82" spans="2:5" s="135" customFormat="1" x14ac:dyDescent="0.3">
      <c r="C82" s="153"/>
      <c r="D82" s="155" t="s">
        <v>398</v>
      </c>
    </row>
    <row r="83" spans="2:5" s="135" customFormat="1" ht="28.8" x14ac:dyDescent="0.3">
      <c r="C83" s="153"/>
      <c r="D83" s="156" t="s">
        <v>56</v>
      </c>
    </row>
    <row r="84" spans="2:5" s="135" customFormat="1" ht="28.8" x14ac:dyDescent="0.3">
      <c r="C84" s="157"/>
      <c r="D84" s="158" t="s">
        <v>275</v>
      </c>
    </row>
    <row r="85" spans="2:5" s="135" customFormat="1" ht="14.4" customHeight="1" x14ac:dyDescent="0.3">
      <c r="C85" s="142"/>
      <c r="D85" s="142"/>
    </row>
    <row r="86" spans="2:5" s="141" customFormat="1" ht="13.95" customHeight="1" x14ac:dyDescent="0.3">
      <c r="B86" s="144" t="s">
        <v>650</v>
      </c>
      <c r="C86" s="142"/>
      <c r="D86" s="143"/>
    </row>
    <row r="87" spans="2:5" s="141" customFormat="1" x14ac:dyDescent="0.3">
      <c r="C87" s="159" t="s">
        <v>147</v>
      </c>
      <c r="D87" s="160" t="s">
        <v>81</v>
      </c>
    </row>
    <row r="88" spans="2:5" s="141" customFormat="1" x14ac:dyDescent="0.3">
      <c r="C88" s="161"/>
      <c r="D88" s="162" t="s">
        <v>148</v>
      </c>
    </row>
    <row r="89" spans="2:5" s="141" customFormat="1" ht="13.95" customHeight="1" x14ac:dyDescent="0.3">
      <c r="C89" s="135"/>
      <c r="D89" s="135"/>
    </row>
    <row r="90" spans="2:5" s="141" customFormat="1" x14ac:dyDescent="0.3">
      <c r="C90" s="159" t="s">
        <v>83</v>
      </c>
      <c r="D90" s="160" t="s">
        <v>270</v>
      </c>
    </row>
    <row r="91" spans="2:5" s="141" customFormat="1" x14ac:dyDescent="0.3">
      <c r="C91" s="161"/>
      <c r="D91" s="162" t="s">
        <v>409</v>
      </c>
    </row>
    <row r="92" spans="2:5" s="141" customFormat="1" ht="14.4" customHeight="1" x14ac:dyDescent="0.3">
      <c r="C92" s="142"/>
      <c r="D92" s="142"/>
    </row>
    <row r="93" spans="2:5" s="141" customFormat="1" ht="13.95" customHeight="1" x14ac:dyDescent="0.3">
      <c r="B93" s="144" t="s">
        <v>689</v>
      </c>
      <c r="C93" s="142"/>
      <c r="D93" s="143"/>
    </row>
    <row r="94" spans="2:5" s="141" customFormat="1" ht="28.8" x14ac:dyDescent="0.3">
      <c r="C94" s="163" t="s">
        <v>646</v>
      </c>
      <c r="D94" s="164" t="s">
        <v>647</v>
      </c>
    </row>
    <row r="95" spans="2:5" s="141" customFormat="1" ht="13.95" customHeight="1" x14ac:dyDescent="0.3">
      <c r="C95" s="142"/>
      <c r="D95" s="143"/>
    </row>
    <row r="96" spans="2:5" s="135" customFormat="1" ht="33" customHeight="1" x14ac:dyDescent="0.3">
      <c r="C96" s="163" t="s">
        <v>551</v>
      </c>
      <c r="D96" s="164" t="s">
        <v>487</v>
      </c>
      <c r="E96" s="137"/>
    </row>
    <row r="97" spans="2:5" s="135" customFormat="1" x14ac:dyDescent="0.3">
      <c r="C97" s="111"/>
      <c r="D97" s="143"/>
      <c r="E97" s="137"/>
    </row>
    <row r="98" spans="2:5" s="135" customFormat="1" ht="28.8" x14ac:dyDescent="0.3">
      <c r="C98" s="163" t="s">
        <v>552</v>
      </c>
      <c r="D98" s="164" t="s">
        <v>553</v>
      </c>
      <c r="E98" s="137"/>
    </row>
    <row r="99" spans="2:5" s="135" customFormat="1" x14ac:dyDescent="0.3">
      <c r="C99" s="111"/>
      <c r="D99" s="145"/>
      <c r="E99" s="137"/>
    </row>
    <row r="100" spans="2:5" s="135" customFormat="1" x14ac:dyDescent="0.3">
      <c r="B100" s="140" t="s">
        <v>514</v>
      </c>
      <c r="D100" s="137"/>
    </row>
    <row r="101" spans="2:5" s="135" customFormat="1" x14ac:dyDescent="0.3">
      <c r="C101" s="167" t="s">
        <v>983</v>
      </c>
      <c r="D101" s="168" t="s">
        <v>1027</v>
      </c>
    </row>
    <row r="102" spans="2:5" s="135" customFormat="1" x14ac:dyDescent="0.3">
      <c r="C102" s="141"/>
      <c r="D102" s="141"/>
    </row>
    <row r="103" spans="2:5" s="135" customFormat="1" ht="28.8" x14ac:dyDescent="0.3">
      <c r="C103" s="167" t="s">
        <v>278</v>
      </c>
      <c r="D103" s="168" t="s">
        <v>397</v>
      </c>
    </row>
    <row r="104" spans="2:5" s="135" customFormat="1" x14ac:dyDescent="0.3">
      <c r="C104" s="141"/>
      <c r="D104" s="141"/>
    </row>
    <row r="105" spans="2:5" s="135" customFormat="1" ht="28.8" x14ac:dyDescent="0.3">
      <c r="C105" s="167" t="s">
        <v>50</v>
      </c>
      <c r="D105" s="168" t="s">
        <v>513</v>
      </c>
    </row>
    <row r="106" spans="2:5" s="135" customFormat="1" x14ac:dyDescent="0.3">
      <c r="C106" s="141"/>
      <c r="D106" s="141"/>
    </row>
    <row r="107" spans="2:5" s="135" customFormat="1" ht="20.25" customHeight="1" x14ac:dyDescent="0.3">
      <c r="C107" s="165" t="s">
        <v>510</v>
      </c>
      <c r="D107" s="166" t="s">
        <v>653</v>
      </c>
    </row>
    <row r="108" spans="2:5" s="135" customFormat="1" x14ac:dyDescent="0.3">
      <c r="C108" s="141"/>
      <c r="D108" s="141"/>
    </row>
    <row r="109" spans="2:5" s="135" customFormat="1" ht="20.25" customHeight="1" x14ac:dyDescent="0.3">
      <c r="C109" s="165" t="s">
        <v>511</v>
      </c>
      <c r="D109" s="166" t="s">
        <v>512</v>
      </c>
    </row>
    <row r="112" spans="2:5" x14ac:dyDescent="0.3">
      <c r="C112" s="13" t="s">
        <v>1049</v>
      </c>
    </row>
    <row r="113" spans="3:3" x14ac:dyDescent="0.3">
      <c r="C113" s="13" t="s">
        <v>1050</v>
      </c>
    </row>
  </sheetData>
  <mergeCells count="3">
    <mergeCell ref="B3:C3"/>
    <mergeCell ref="C62:C63"/>
    <mergeCell ref="C65:C67"/>
  </mergeCells>
  <pageMargins left="0.45" right="0.45" top="0.75" bottom="0.5" header="0.3" footer="0.3"/>
  <pageSetup scale="78" fitToHeight="0" orientation="landscape" r:id="rId1"/>
  <headerFooter>
    <oddHeader>&amp;C&amp;"-,Bold"&amp;12&amp;F, &amp;A</oddHeader>
    <oddFooter>&amp;R&amp;10Page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99"/>
  </sheetPr>
  <dimension ref="B1:AD54"/>
  <sheetViews>
    <sheetView showGridLines="0" zoomScaleNormal="100" workbookViewId="0"/>
  </sheetViews>
  <sheetFormatPr defaultColWidth="9.109375" defaultRowHeight="14.4" x14ac:dyDescent="0.3"/>
  <cols>
    <col min="1" max="1" width="1.88671875" style="13" customWidth="1"/>
    <col min="2" max="2" width="3" style="13" customWidth="1"/>
    <col min="3" max="3" width="28" style="13" customWidth="1"/>
    <col min="4" max="4" width="12" style="13" customWidth="1"/>
    <col min="5" max="5" width="19.109375" style="13" customWidth="1"/>
    <col min="6" max="6" width="25.44140625" style="125" hidden="1" customWidth="1"/>
    <col min="7" max="7" width="19.109375" style="13" customWidth="1"/>
    <col min="8" max="8" width="9.44140625" style="13" bestFit="1" customWidth="1"/>
    <col min="9" max="9" width="7.88671875" style="13" customWidth="1"/>
    <col min="10" max="10" width="4.33203125" style="13" customWidth="1"/>
    <col min="11" max="11" width="25.6640625" style="13" customWidth="1"/>
    <col min="12" max="12" width="12" style="124" customWidth="1"/>
    <col min="13" max="13" width="12" style="13" customWidth="1"/>
    <col min="14" max="14" width="25.44140625" style="125" hidden="1" customWidth="1"/>
    <col min="15" max="15" width="27.6640625" style="13" customWidth="1"/>
    <col min="16" max="16" width="10.5546875" style="13" customWidth="1"/>
    <col min="17" max="17" width="8" style="13" customWidth="1"/>
    <col min="18" max="18" width="4.33203125" style="13" customWidth="1"/>
    <col min="19" max="19" width="25.6640625" style="13" customWidth="1"/>
    <col min="20" max="20" width="12" style="13" customWidth="1"/>
    <col min="21" max="21" width="8.33203125" style="13" customWidth="1"/>
    <col min="22" max="22" width="25.109375" style="13" hidden="1" customWidth="1"/>
    <col min="23" max="23" width="16.88671875" style="13" bestFit="1" customWidth="1"/>
    <col min="24" max="24" width="11.33203125" style="13" customWidth="1"/>
    <col min="25" max="25" width="9.44140625" style="13" customWidth="1"/>
    <col min="26" max="26" width="4.33203125" style="13" customWidth="1"/>
    <col min="27" max="16384" width="9.109375" style="13"/>
  </cols>
  <sheetData>
    <row r="1" spans="2:30" ht="15" x14ac:dyDescent="0.25">
      <c r="B1" s="175" t="s">
        <v>82</v>
      </c>
      <c r="C1" s="176"/>
      <c r="D1" s="176"/>
      <c r="E1" s="176"/>
      <c r="F1" s="176"/>
      <c r="G1" s="176"/>
      <c r="H1" s="176"/>
      <c r="I1" s="176"/>
      <c r="J1" s="176"/>
      <c r="K1" s="176"/>
      <c r="L1" s="177"/>
      <c r="M1" s="176"/>
    </row>
    <row r="2" spans="2:30" ht="15" x14ac:dyDescent="0.25">
      <c r="B2" s="176" t="s">
        <v>595</v>
      </c>
      <c r="C2" s="176"/>
      <c r="D2" s="176"/>
      <c r="E2" s="176"/>
      <c r="F2" s="176"/>
      <c r="G2" s="176"/>
      <c r="H2" s="176"/>
      <c r="I2" s="176"/>
      <c r="J2" s="176"/>
      <c r="K2" s="176"/>
      <c r="L2" s="177"/>
      <c r="M2" s="176"/>
    </row>
    <row r="3" spans="2:30" x14ac:dyDescent="0.3">
      <c r="B3" s="177" t="s">
        <v>555</v>
      </c>
      <c r="C3" s="176" t="s">
        <v>596</v>
      </c>
      <c r="D3" s="176"/>
      <c r="E3" s="176"/>
      <c r="F3" s="176"/>
      <c r="G3" s="176"/>
      <c r="H3" s="176"/>
      <c r="I3" s="176"/>
      <c r="J3" s="176"/>
      <c r="K3" s="176"/>
      <c r="L3" s="177"/>
      <c r="M3" s="176"/>
    </row>
    <row r="4" spans="2:30" ht="15" x14ac:dyDescent="0.25">
      <c r="B4" s="177"/>
      <c r="C4" s="536" t="s">
        <v>701</v>
      </c>
      <c r="D4" s="176"/>
      <c r="E4" s="176"/>
      <c r="F4" s="176"/>
      <c r="G4" s="176"/>
      <c r="H4" s="176"/>
      <c r="I4" s="176"/>
      <c r="J4" s="176"/>
      <c r="K4" s="176"/>
      <c r="L4" s="177"/>
      <c r="M4" s="176"/>
    </row>
    <row r="5" spans="2:30" ht="15" x14ac:dyDescent="0.25">
      <c r="B5" s="177"/>
      <c r="C5" s="208" t="s">
        <v>699</v>
      </c>
      <c r="D5" s="176"/>
      <c r="E5" s="176"/>
      <c r="F5" s="176"/>
      <c r="G5" s="176"/>
      <c r="H5" s="176"/>
      <c r="I5" s="176"/>
      <c r="J5" s="176"/>
      <c r="K5" s="176"/>
      <c r="L5" s="177"/>
      <c r="M5" s="176"/>
    </row>
    <row r="6" spans="2:30" ht="14.4" customHeight="1" x14ac:dyDescent="0.25">
      <c r="B6" s="176"/>
      <c r="C6" s="537" t="s">
        <v>697</v>
      </c>
      <c r="D6" s="176"/>
      <c r="E6" s="176"/>
      <c r="F6" s="176"/>
      <c r="G6" s="176"/>
      <c r="H6" s="176"/>
      <c r="I6" s="176"/>
      <c r="J6" s="176"/>
      <c r="K6" s="538"/>
      <c r="L6" s="538"/>
      <c r="M6" s="538"/>
    </row>
    <row r="7" spans="2:30" ht="14.4" customHeight="1" x14ac:dyDescent="0.25">
      <c r="B7" s="176"/>
      <c r="C7" s="539" t="s">
        <v>616</v>
      </c>
      <c r="D7" s="176"/>
      <c r="E7" s="176"/>
      <c r="F7" s="176"/>
      <c r="G7" s="176"/>
      <c r="H7" s="176"/>
      <c r="I7" s="176"/>
      <c r="J7" s="176"/>
      <c r="K7" s="538"/>
      <c r="L7" s="538"/>
      <c r="M7" s="538"/>
    </row>
    <row r="8" spans="2:30" x14ac:dyDescent="0.3">
      <c r="B8" s="177" t="s">
        <v>555</v>
      </c>
      <c r="C8" s="537" t="s">
        <v>275</v>
      </c>
      <c r="D8" s="176"/>
      <c r="E8" s="176"/>
      <c r="F8" s="176"/>
      <c r="G8" s="176"/>
      <c r="H8" s="176"/>
      <c r="I8" s="176"/>
      <c r="J8" s="176"/>
      <c r="K8" s="538"/>
      <c r="L8" s="538"/>
      <c r="M8" s="538"/>
    </row>
    <row r="9" spans="2:30" ht="15" x14ac:dyDescent="0.25">
      <c r="B9" s="176"/>
      <c r="C9" s="540" t="s">
        <v>703</v>
      </c>
      <c r="D9" s="176"/>
      <c r="E9" s="176"/>
      <c r="F9" s="176"/>
      <c r="G9" s="176"/>
      <c r="H9" s="176"/>
      <c r="I9" s="176"/>
      <c r="J9" s="176"/>
      <c r="K9" s="541"/>
      <c r="L9" s="541"/>
      <c r="M9" s="541"/>
    </row>
    <row r="10" spans="2:30" x14ac:dyDescent="0.3">
      <c r="B10" s="177" t="s">
        <v>555</v>
      </c>
      <c r="C10" s="540" t="s">
        <v>548</v>
      </c>
      <c r="D10" s="176"/>
      <c r="E10" s="176"/>
      <c r="F10" s="289" t="s">
        <v>291</v>
      </c>
      <c r="G10" s="176"/>
      <c r="H10" s="176"/>
      <c r="I10" s="176"/>
      <c r="J10" s="176"/>
      <c r="K10" s="177"/>
      <c r="L10" s="177"/>
      <c r="M10" s="176"/>
    </row>
    <row r="11" spans="2:30" x14ac:dyDescent="0.3">
      <c r="B11" s="177" t="s">
        <v>555</v>
      </c>
      <c r="C11" s="540" t="s">
        <v>602</v>
      </c>
      <c r="D11" s="176"/>
      <c r="E11" s="176"/>
      <c r="F11" s="289"/>
      <c r="G11" s="176"/>
      <c r="H11" s="176"/>
      <c r="I11" s="176"/>
      <c r="J11" s="176"/>
      <c r="K11" s="177"/>
      <c r="L11" s="177"/>
      <c r="M11" s="176"/>
    </row>
    <row r="12" spans="2:30" ht="15.75" thickBot="1" x14ac:dyDescent="0.3">
      <c r="B12" s="177"/>
      <c r="C12" s="540" t="s">
        <v>617</v>
      </c>
      <c r="D12" s="176"/>
      <c r="E12" s="176"/>
      <c r="F12" s="289"/>
      <c r="G12" s="176"/>
      <c r="H12" s="176"/>
      <c r="I12" s="176"/>
      <c r="J12" s="176"/>
      <c r="K12" s="177"/>
      <c r="L12" s="177"/>
      <c r="M12" s="176"/>
      <c r="V12" s="223" t="s">
        <v>291</v>
      </c>
    </row>
    <row r="13" spans="2:30" ht="15.75" thickBot="1" x14ac:dyDescent="0.3">
      <c r="C13" s="122"/>
      <c r="F13" s="223" t="s">
        <v>291</v>
      </c>
      <c r="N13" s="223" t="s">
        <v>291</v>
      </c>
      <c r="S13" s="1343" t="s">
        <v>698</v>
      </c>
      <c r="T13" s="1422"/>
      <c r="U13" s="1422"/>
      <c r="V13" s="1422"/>
      <c r="W13" s="1422"/>
      <c r="X13" s="1422"/>
      <c r="Y13" s="1423"/>
    </row>
    <row r="14" spans="2:30" ht="15.75" thickBot="1" x14ac:dyDescent="0.3">
      <c r="C14" s="1424" t="s">
        <v>702</v>
      </c>
      <c r="D14" s="1425"/>
      <c r="E14" s="1425"/>
      <c r="F14" s="1425"/>
      <c r="G14" s="1425"/>
      <c r="H14" s="1425"/>
      <c r="I14" s="1426"/>
      <c r="K14" s="1424" t="s">
        <v>700</v>
      </c>
      <c r="L14" s="1425"/>
      <c r="M14" s="1425"/>
      <c r="N14" s="1425"/>
      <c r="O14" s="1425"/>
      <c r="P14" s="1425"/>
      <c r="Q14" s="1426"/>
      <c r="S14" s="1427" t="s">
        <v>603</v>
      </c>
      <c r="T14" s="1428"/>
      <c r="U14" s="1428"/>
      <c r="V14" s="1428"/>
      <c r="W14" s="1428"/>
      <c r="X14" s="1428"/>
      <c r="Y14" s="1429"/>
    </row>
    <row r="15" spans="2:30" ht="44.4" customHeight="1" thickBot="1" x14ac:dyDescent="0.3">
      <c r="C15" s="286" t="s">
        <v>101</v>
      </c>
      <c r="D15" s="286" t="s">
        <v>55</v>
      </c>
      <c r="E15" s="286" t="s">
        <v>47</v>
      </c>
      <c r="F15" s="471" t="s">
        <v>102</v>
      </c>
      <c r="G15" s="109" t="s">
        <v>102</v>
      </c>
      <c r="H15" s="286" t="s">
        <v>113</v>
      </c>
      <c r="I15" s="287" t="s">
        <v>47</v>
      </c>
      <c r="K15" s="286" t="s">
        <v>101</v>
      </c>
      <c r="L15" s="286" t="s">
        <v>55</v>
      </c>
      <c r="M15" s="286" t="s">
        <v>47</v>
      </c>
      <c r="N15" s="471" t="s">
        <v>102</v>
      </c>
      <c r="O15" s="109" t="s">
        <v>102</v>
      </c>
      <c r="P15" s="286" t="s">
        <v>113</v>
      </c>
      <c r="Q15" s="287" t="s">
        <v>47</v>
      </c>
      <c r="S15" s="286" t="s">
        <v>101</v>
      </c>
      <c r="T15" s="286" t="s">
        <v>55</v>
      </c>
      <c r="U15" s="286" t="s">
        <v>285</v>
      </c>
      <c r="V15" s="471" t="s">
        <v>102</v>
      </c>
      <c r="W15" s="109" t="s">
        <v>102</v>
      </c>
      <c r="X15" s="286" t="s">
        <v>113</v>
      </c>
      <c r="Y15" s="286" t="s">
        <v>285</v>
      </c>
    </row>
    <row r="16" spans="2:30" ht="15" x14ac:dyDescent="0.25">
      <c r="C16" s="482" t="s">
        <v>1</v>
      </c>
      <c r="D16" s="483">
        <f>SUM(H16:H20)</f>
        <v>0</v>
      </c>
      <c r="E16" s="484" t="str">
        <f>IFERROR(D16/D$51,"-")</f>
        <v>-</v>
      </c>
      <c r="F16" s="485" t="s">
        <v>84</v>
      </c>
      <c r="G16" s="486" t="str">
        <f>VLOOKUP(F16,'Airport Mapping'!$C$5:$D$39,2,FALSE)</f>
        <v xml:space="preserve"> </v>
      </c>
      <c r="H16" s="487">
        <f>SUMIFS('Data Entry'!H:H,'Data Entry'!F:F,F16)/2</f>
        <v>0</v>
      </c>
      <c r="I16" s="472" t="str">
        <f>IFERROR(H16/H$51,"-")</f>
        <v>-</v>
      </c>
      <c r="K16" s="482" t="s">
        <v>1</v>
      </c>
      <c r="L16" s="488">
        <f ca="1">SUM(P16:P20)</f>
        <v>0</v>
      </c>
      <c r="M16" s="489" t="str">
        <f ca="1">IFERROR(L16/L$51,"-")</f>
        <v>-</v>
      </c>
      <c r="N16" s="485" t="s">
        <v>84</v>
      </c>
      <c r="O16" s="486" t="str">
        <f>VLOOKUP(N16,'Airport Mapping'!$C$5:$D$39,2,FALSE)</f>
        <v xml:space="preserve"> </v>
      </c>
      <c r="P16" s="487">
        <f ca="1">'Summary Tables'!N15</f>
        <v>0</v>
      </c>
      <c r="Q16" s="472" t="str">
        <f ca="1">IFERROR(P16/P$51,"-")</f>
        <v>-</v>
      </c>
      <c r="S16" s="482" t="s">
        <v>1</v>
      </c>
      <c r="T16" s="490">
        <f ca="1">IFERROR(L16-D16, "-")</f>
        <v>0</v>
      </c>
      <c r="U16" s="484" t="str">
        <f ca="1">IFERROR(T16/D16,"-")</f>
        <v>-</v>
      </c>
      <c r="V16" s="485" t="s">
        <v>84</v>
      </c>
      <c r="W16" s="486" t="str">
        <f>VLOOKUP(V16,'Airport Mapping'!$C$5:$D$39,2,FALSE)</f>
        <v xml:space="preserve"> </v>
      </c>
      <c r="X16" s="491">
        <f t="shared" ref="X16:X51" ca="1" si="0">IFERROR(P16-H16, "-")</f>
        <v>0</v>
      </c>
      <c r="Y16" s="492" t="str">
        <f t="shared" ref="Y16:Y51" ca="1" si="1">IFERROR(X16/H16,"-")</f>
        <v>-</v>
      </c>
      <c r="AA16" s="859" t="s">
        <v>775</v>
      </c>
      <c r="AB16" s="847"/>
      <c r="AC16" s="847"/>
      <c r="AD16" s="848"/>
    </row>
    <row r="17" spans="3:30" ht="15" x14ac:dyDescent="0.25">
      <c r="C17" s="493"/>
      <c r="D17" s="494"/>
      <c r="E17" s="397"/>
      <c r="F17" s="224" t="s">
        <v>85</v>
      </c>
      <c r="G17" s="495" t="str">
        <f>VLOOKUP(F17,'Airport Mapping'!$C$5:$D$39,2,FALSE)</f>
        <v xml:space="preserve"> </v>
      </c>
      <c r="H17" s="496">
        <f>SUMIFS('Data Entry'!H:H,'Data Entry'!F:F,F17)/2</f>
        <v>0</v>
      </c>
      <c r="I17" s="473" t="str">
        <f t="shared" ref="I17:I50" si="2">IFERROR(H17/H$51,"-")</f>
        <v>-</v>
      </c>
      <c r="K17" s="493"/>
      <c r="L17" s="497"/>
      <c r="M17" s="397"/>
      <c r="N17" s="224" t="s">
        <v>85</v>
      </c>
      <c r="O17" s="495" t="str">
        <f>VLOOKUP(N17,'Airport Mapping'!$C$5:$D$39,2,FALSE)</f>
        <v xml:space="preserve"> </v>
      </c>
      <c r="P17" s="496">
        <f ca="1">'Summary Tables'!N16</f>
        <v>0</v>
      </c>
      <c r="Q17" s="473" t="str">
        <f t="shared" ref="Q17:Q50" ca="1" si="3">IFERROR(P17/P$51,"-")</f>
        <v>-</v>
      </c>
      <c r="S17" s="493"/>
      <c r="T17" s="494"/>
      <c r="U17" s="397"/>
      <c r="V17" s="224" t="s">
        <v>85</v>
      </c>
      <c r="W17" s="495" t="str">
        <f>VLOOKUP(V17,'Airport Mapping'!$C$5:$D$39,2,FALSE)</f>
        <v xml:space="preserve"> </v>
      </c>
      <c r="X17" s="498">
        <f t="shared" ca="1" si="0"/>
        <v>0</v>
      </c>
      <c r="Y17" s="499" t="str">
        <f t="shared" ca="1" si="1"/>
        <v>-</v>
      </c>
      <c r="AA17" s="860" t="s">
        <v>768</v>
      </c>
      <c r="AB17" s="849"/>
      <c r="AC17" s="849"/>
      <c r="AD17" s="850"/>
    </row>
    <row r="18" spans="3:30" ht="15" x14ac:dyDescent="0.25">
      <c r="C18" s="493"/>
      <c r="D18" s="494"/>
      <c r="E18" s="397"/>
      <c r="F18" s="224" t="s">
        <v>86</v>
      </c>
      <c r="G18" s="495" t="str">
        <f>VLOOKUP(F18,'Airport Mapping'!$C$5:$D$39,2,FALSE)</f>
        <v xml:space="preserve"> </v>
      </c>
      <c r="H18" s="496">
        <f>SUMIFS('Data Entry'!H:H,'Data Entry'!F:F,F18)/2</f>
        <v>0</v>
      </c>
      <c r="I18" s="473" t="str">
        <f t="shared" si="2"/>
        <v>-</v>
      </c>
      <c r="K18" s="493"/>
      <c r="L18" s="497"/>
      <c r="M18" s="397"/>
      <c r="N18" s="224" t="s">
        <v>86</v>
      </c>
      <c r="O18" s="495" t="str">
        <f>VLOOKUP(N18,'Airport Mapping'!$C$5:$D$39,2,FALSE)</f>
        <v xml:space="preserve"> </v>
      </c>
      <c r="P18" s="496">
        <f ca="1">'Summary Tables'!N17</f>
        <v>0</v>
      </c>
      <c r="Q18" s="473" t="str">
        <f t="shared" ca="1" si="3"/>
        <v>-</v>
      </c>
      <c r="S18" s="493"/>
      <c r="T18" s="494"/>
      <c r="U18" s="397"/>
      <c r="V18" s="224" t="s">
        <v>86</v>
      </c>
      <c r="W18" s="495" t="str">
        <f>VLOOKUP(V18,'Airport Mapping'!$C$5:$D$39,2,FALSE)</f>
        <v xml:space="preserve"> </v>
      </c>
      <c r="X18" s="498">
        <f t="shared" ca="1" si="0"/>
        <v>0</v>
      </c>
      <c r="Y18" s="499" t="str">
        <f t="shared" ca="1" si="1"/>
        <v>-</v>
      </c>
      <c r="AA18" s="860" t="s">
        <v>769</v>
      </c>
      <c r="AB18" s="849"/>
      <c r="AC18" s="849"/>
      <c r="AD18" s="850"/>
    </row>
    <row r="19" spans="3:30" x14ac:dyDescent="0.3">
      <c r="C19" s="493"/>
      <c r="D19" s="494"/>
      <c r="E19" s="397"/>
      <c r="F19" s="224" t="s">
        <v>87</v>
      </c>
      <c r="G19" s="495" t="str">
        <f>VLOOKUP(F19,'Airport Mapping'!$C$5:$D$39,2,FALSE)</f>
        <v xml:space="preserve"> </v>
      </c>
      <c r="H19" s="496">
        <f>SUMIFS('Data Entry'!H:H,'Data Entry'!F:F,F19)/2</f>
        <v>0</v>
      </c>
      <c r="I19" s="473" t="str">
        <f t="shared" si="2"/>
        <v>-</v>
      </c>
      <c r="K19" s="493"/>
      <c r="L19" s="497"/>
      <c r="M19" s="397"/>
      <c r="N19" s="224" t="s">
        <v>87</v>
      </c>
      <c r="O19" s="495" t="str">
        <f>VLOOKUP(N19,'Airport Mapping'!$C$5:$D$39,2,FALSE)</f>
        <v xml:space="preserve"> </v>
      </c>
      <c r="P19" s="496">
        <f ca="1">'Summary Tables'!N18</f>
        <v>0</v>
      </c>
      <c r="Q19" s="473" t="str">
        <f t="shared" ca="1" si="3"/>
        <v>-</v>
      </c>
      <c r="S19" s="493"/>
      <c r="T19" s="494"/>
      <c r="U19" s="397"/>
      <c r="V19" s="224" t="s">
        <v>87</v>
      </c>
      <c r="W19" s="495" t="str">
        <f>VLOOKUP(V19,'Airport Mapping'!$C$5:$D$39,2,FALSE)</f>
        <v xml:space="preserve"> </v>
      </c>
      <c r="X19" s="498">
        <f t="shared" ca="1" si="0"/>
        <v>0</v>
      </c>
      <c r="Y19" s="499" t="str">
        <f t="shared" ca="1" si="1"/>
        <v>-</v>
      </c>
      <c r="AA19" s="860" t="s">
        <v>770</v>
      </c>
      <c r="AB19" s="849"/>
      <c r="AC19" s="849"/>
      <c r="AD19" s="850"/>
    </row>
    <row r="20" spans="3:30" ht="15" thickBot="1" x14ac:dyDescent="0.35">
      <c r="C20" s="500"/>
      <c r="D20" s="501"/>
      <c r="E20" s="452"/>
      <c r="F20" s="226" t="s">
        <v>88</v>
      </c>
      <c r="G20" s="502" t="str">
        <f>VLOOKUP(F20,'Airport Mapping'!$C$5:$D$39,2,FALSE)</f>
        <v xml:space="preserve"> </v>
      </c>
      <c r="H20" s="503">
        <f>SUMIFS('Data Entry'!H:H,'Data Entry'!F:F,F20)/2</f>
        <v>0</v>
      </c>
      <c r="I20" s="474" t="str">
        <f t="shared" si="2"/>
        <v>-</v>
      </c>
      <c r="K20" s="500"/>
      <c r="L20" s="504"/>
      <c r="M20" s="452"/>
      <c r="N20" s="226" t="s">
        <v>88</v>
      </c>
      <c r="O20" s="502" t="str">
        <f>VLOOKUP(N20,'Airport Mapping'!$C$5:$D$39,2,FALSE)</f>
        <v xml:space="preserve"> </v>
      </c>
      <c r="P20" s="503">
        <f ca="1">'Summary Tables'!N19</f>
        <v>0</v>
      </c>
      <c r="Q20" s="474" t="str">
        <f t="shared" ca="1" si="3"/>
        <v>-</v>
      </c>
      <c r="S20" s="500"/>
      <c r="T20" s="501"/>
      <c r="U20" s="452"/>
      <c r="V20" s="226" t="s">
        <v>88</v>
      </c>
      <c r="W20" s="502" t="str">
        <f>VLOOKUP(V20,'Airport Mapping'!$C$5:$D$39,2,FALSE)</f>
        <v xml:space="preserve"> </v>
      </c>
      <c r="X20" s="505">
        <f t="shared" ca="1" si="0"/>
        <v>0</v>
      </c>
      <c r="Y20" s="506" t="str">
        <f t="shared" ca="1" si="1"/>
        <v>-</v>
      </c>
      <c r="AA20" s="860" t="s">
        <v>771</v>
      </c>
      <c r="AB20" s="849"/>
      <c r="AC20" s="849"/>
      <c r="AD20" s="850"/>
    </row>
    <row r="21" spans="3:30" x14ac:dyDescent="0.3">
      <c r="C21" s="482" t="s">
        <v>412</v>
      </c>
      <c r="D21" s="483">
        <f>SUM(H21:H25)</f>
        <v>0</v>
      </c>
      <c r="E21" s="489" t="str">
        <f>IFERROR(D21/D$51,"-")</f>
        <v>-</v>
      </c>
      <c r="F21" s="454" t="s">
        <v>383</v>
      </c>
      <c r="G21" s="507" t="str">
        <f>VLOOKUP(F21,'Airport Mapping'!$C$5:$D$39,2,FALSE)</f>
        <v xml:space="preserve"> </v>
      </c>
      <c r="H21" s="487">
        <f>SUMIFS('Data Entry'!H:H,'Data Entry'!F:F,F21)/2</f>
        <v>0</v>
      </c>
      <c r="I21" s="472" t="str">
        <f t="shared" si="2"/>
        <v>-</v>
      </c>
      <c r="K21" s="482" t="s">
        <v>412</v>
      </c>
      <c r="L21" s="483">
        <f ca="1">SUM(P21:P25)</f>
        <v>0</v>
      </c>
      <c r="M21" s="489" t="str">
        <f ca="1">IFERROR(L21/L$51,"-")</f>
        <v>-</v>
      </c>
      <c r="N21" s="454" t="s">
        <v>383</v>
      </c>
      <c r="O21" s="507" t="str">
        <f>VLOOKUP(N21,'Airport Mapping'!$C$5:$D$39,2,FALSE)</f>
        <v xml:space="preserve"> </v>
      </c>
      <c r="P21" s="487">
        <f ca="1">'Summary Tables'!N20</f>
        <v>0</v>
      </c>
      <c r="Q21" s="472" t="str">
        <f t="shared" ca="1" si="3"/>
        <v>-</v>
      </c>
      <c r="S21" s="482" t="s">
        <v>412</v>
      </c>
      <c r="T21" s="508">
        <f ca="1">IFERROR(L21-D21, "-")</f>
        <v>0</v>
      </c>
      <c r="U21" s="489" t="str">
        <f ca="1">IFERROR(T21/D21,"-")</f>
        <v>-</v>
      </c>
      <c r="V21" s="454" t="s">
        <v>383</v>
      </c>
      <c r="W21" s="507" t="str">
        <f>VLOOKUP(V21,'Airport Mapping'!$C$5:$D$39,2,FALSE)</f>
        <v xml:space="preserve"> </v>
      </c>
      <c r="X21" s="509">
        <f t="shared" ca="1" si="0"/>
        <v>0</v>
      </c>
      <c r="Y21" s="472" t="str">
        <f t="shared" ca="1" si="1"/>
        <v>-</v>
      </c>
      <c r="AA21" s="861" t="s">
        <v>777</v>
      </c>
      <c r="AB21" s="851"/>
      <c r="AC21" s="851"/>
      <c r="AD21" s="852"/>
    </row>
    <row r="22" spans="3:30" x14ac:dyDescent="0.3">
      <c r="C22" s="493"/>
      <c r="D22" s="494"/>
      <c r="E22" s="397"/>
      <c r="F22" s="450" t="s">
        <v>384</v>
      </c>
      <c r="G22" s="495" t="str">
        <f>VLOOKUP(F22,'Airport Mapping'!$C$5:$D$39,2,FALSE)</f>
        <v xml:space="preserve"> </v>
      </c>
      <c r="H22" s="496">
        <f>SUMIFS('Data Entry'!H:H,'Data Entry'!F:F,F22)/2</f>
        <v>0</v>
      </c>
      <c r="I22" s="473" t="str">
        <f t="shared" si="2"/>
        <v>-</v>
      </c>
      <c r="K22" s="493"/>
      <c r="L22" s="494"/>
      <c r="M22" s="397"/>
      <c r="N22" s="450" t="s">
        <v>384</v>
      </c>
      <c r="O22" s="495" t="str">
        <f>VLOOKUP(N22,'Airport Mapping'!$C$5:$D$39,2,FALSE)</f>
        <v xml:space="preserve"> </v>
      </c>
      <c r="P22" s="496">
        <f ca="1">'Summary Tables'!N21</f>
        <v>0</v>
      </c>
      <c r="Q22" s="473" t="str">
        <f t="shared" ca="1" si="3"/>
        <v>-</v>
      </c>
      <c r="S22" s="493"/>
      <c r="T22" s="494"/>
      <c r="U22" s="397"/>
      <c r="V22" s="450" t="s">
        <v>384</v>
      </c>
      <c r="W22" s="495" t="str">
        <f>VLOOKUP(V22,'Airport Mapping'!$C$5:$D$39,2,FALSE)</f>
        <v xml:space="preserve"> </v>
      </c>
      <c r="X22" s="510">
        <f t="shared" ca="1" si="0"/>
        <v>0</v>
      </c>
      <c r="Y22" s="473" t="str">
        <f t="shared" ca="1" si="1"/>
        <v>-</v>
      </c>
    </row>
    <row r="23" spans="3:30" x14ac:dyDescent="0.3">
      <c r="C23" s="493"/>
      <c r="D23" s="494"/>
      <c r="E23" s="397"/>
      <c r="F23" s="450" t="s">
        <v>385</v>
      </c>
      <c r="G23" s="495" t="str">
        <f>VLOOKUP(F23,'Airport Mapping'!$C$5:$D$39,2,FALSE)</f>
        <v xml:space="preserve"> </v>
      </c>
      <c r="H23" s="496">
        <f>SUMIFS('Data Entry'!H:H,'Data Entry'!F:F,F23)/2</f>
        <v>0</v>
      </c>
      <c r="I23" s="473" t="str">
        <f t="shared" si="2"/>
        <v>-</v>
      </c>
      <c r="K23" s="493"/>
      <c r="L23" s="494"/>
      <c r="M23" s="397"/>
      <c r="N23" s="450" t="s">
        <v>385</v>
      </c>
      <c r="O23" s="495" t="str">
        <f>VLOOKUP(N23,'Airport Mapping'!$C$5:$D$39,2,FALSE)</f>
        <v xml:space="preserve"> </v>
      </c>
      <c r="P23" s="496">
        <f ca="1">'Summary Tables'!N22</f>
        <v>0</v>
      </c>
      <c r="Q23" s="473" t="str">
        <f t="shared" ca="1" si="3"/>
        <v>-</v>
      </c>
      <c r="S23" s="493"/>
      <c r="T23" s="494"/>
      <c r="U23" s="397"/>
      <c r="V23" s="450" t="s">
        <v>385</v>
      </c>
      <c r="W23" s="495" t="str">
        <f>VLOOKUP(V23,'Airport Mapping'!$C$5:$D$39,2,FALSE)</f>
        <v xml:space="preserve"> </v>
      </c>
      <c r="X23" s="510">
        <f t="shared" ca="1" si="0"/>
        <v>0</v>
      </c>
      <c r="Y23" s="473" t="str">
        <f t="shared" ca="1" si="1"/>
        <v>-</v>
      </c>
      <c r="AA23" s="862" t="s">
        <v>776</v>
      </c>
      <c r="AB23" s="853"/>
      <c r="AC23" s="853"/>
      <c r="AD23" s="854"/>
    </row>
    <row r="24" spans="3:30" x14ac:dyDescent="0.3">
      <c r="C24" s="493"/>
      <c r="D24" s="494"/>
      <c r="E24" s="397"/>
      <c r="F24" s="450" t="s">
        <v>386</v>
      </c>
      <c r="G24" s="495" t="str">
        <f>VLOOKUP(F24,'Airport Mapping'!$C$5:$D$39,2,FALSE)</f>
        <v xml:space="preserve"> </v>
      </c>
      <c r="H24" s="496">
        <f>SUMIFS('Data Entry'!H:H,'Data Entry'!F:F,F24)/2</f>
        <v>0</v>
      </c>
      <c r="I24" s="473" t="str">
        <f t="shared" si="2"/>
        <v>-</v>
      </c>
      <c r="K24" s="493"/>
      <c r="L24" s="494"/>
      <c r="M24" s="397"/>
      <c r="N24" s="450" t="s">
        <v>386</v>
      </c>
      <c r="O24" s="495" t="str">
        <f>VLOOKUP(N24,'Airport Mapping'!$C$5:$D$39,2,FALSE)</f>
        <v xml:space="preserve"> </v>
      </c>
      <c r="P24" s="496">
        <f ca="1">'Summary Tables'!N23</f>
        <v>0</v>
      </c>
      <c r="Q24" s="473" t="str">
        <f t="shared" ca="1" si="3"/>
        <v>-</v>
      </c>
      <c r="S24" s="493"/>
      <c r="T24" s="494"/>
      <c r="U24" s="397"/>
      <c r="V24" s="450" t="s">
        <v>386</v>
      </c>
      <c r="W24" s="495" t="str">
        <f>VLOOKUP(V24,'Airport Mapping'!$C$5:$D$39,2,FALSE)</f>
        <v xml:space="preserve"> </v>
      </c>
      <c r="X24" s="510">
        <f t="shared" ca="1" si="0"/>
        <v>0</v>
      </c>
      <c r="Y24" s="473" t="str">
        <f t="shared" ca="1" si="1"/>
        <v>-</v>
      </c>
      <c r="AA24" s="863" t="s">
        <v>772</v>
      </c>
      <c r="AB24" s="855"/>
      <c r="AC24" s="855"/>
      <c r="AD24" s="856"/>
    </row>
    <row r="25" spans="3:30" ht="15" thickBot="1" x14ac:dyDescent="0.35">
      <c r="C25" s="500"/>
      <c r="D25" s="501"/>
      <c r="E25" s="452"/>
      <c r="F25" s="451" t="s">
        <v>387</v>
      </c>
      <c r="G25" s="828" t="str">
        <f>VLOOKUP(F25,'Airport Mapping'!$C$5:$D$39,2,FALSE)</f>
        <v xml:space="preserve"> </v>
      </c>
      <c r="H25" s="591">
        <f>SUMIFS('Data Entry'!H:H,'Data Entry'!F:F,F25)/2</f>
        <v>0</v>
      </c>
      <c r="I25" s="829" t="str">
        <f t="shared" si="2"/>
        <v>-</v>
      </c>
      <c r="K25" s="500"/>
      <c r="L25" s="501"/>
      <c r="M25" s="452"/>
      <c r="N25" s="451" t="s">
        <v>387</v>
      </c>
      <c r="O25" s="502" t="str">
        <f>VLOOKUP(N25,'Airport Mapping'!$C$5:$D$39,2,FALSE)</f>
        <v xml:space="preserve"> </v>
      </c>
      <c r="P25" s="503">
        <f ca="1">'Summary Tables'!N24</f>
        <v>0</v>
      </c>
      <c r="Q25" s="474" t="str">
        <f t="shared" ca="1" si="3"/>
        <v>-</v>
      </c>
      <c r="S25" s="500"/>
      <c r="T25" s="501"/>
      <c r="U25" s="452"/>
      <c r="V25" s="451" t="s">
        <v>387</v>
      </c>
      <c r="W25" s="828" t="str">
        <f>VLOOKUP(V25,'Airport Mapping'!$C$5:$D$39,2,FALSE)</f>
        <v xml:space="preserve"> </v>
      </c>
      <c r="X25" s="511">
        <f t="shared" ca="1" si="0"/>
        <v>0</v>
      </c>
      <c r="Y25" s="474" t="str">
        <f t="shared" ca="1" si="1"/>
        <v>-</v>
      </c>
      <c r="AA25" s="863" t="s">
        <v>773</v>
      </c>
      <c r="AB25" s="855"/>
      <c r="AC25" s="855"/>
      <c r="AD25" s="856"/>
    </row>
    <row r="26" spans="3:30" x14ac:dyDescent="0.3">
      <c r="C26" s="567" t="s">
        <v>11</v>
      </c>
      <c r="D26" s="483">
        <f>SUM(H26:H30)</f>
        <v>0</v>
      </c>
      <c r="E26" s="835" t="str">
        <f>IFERROR(D26/D$51,"-")</f>
        <v>-</v>
      </c>
      <c r="F26" s="454" t="s">
        <v>89</v>
      </c>
      <c r="G26" s="507" t="str">
        <f>VLOOKUP(F26,'Airport Mapping'!$C$5:$D$39,2,FALSE)</f>
        <v xml:space="preserve"> </v>
      </c>
      <c r="H26" s="487">
        <f>SUMIFS('Data Entry'!H:H,'Data Entry'!F:F,F26)/2</f>
        <v>0</v>
      </c>
      <c r="I26" s="832" t="str">
        <f t="shared" si="2"/>
        <v>-</v>
      </c>
      <c r="K26" s="482" t="s">
        <v>11</v>
      </c>
      <c r="L26" s="483">
        <f ca="1">SUM(P26:P30)</f>
        <v>0</v>
      </c>
      <c r="M26" s="841" t="str">
        <f ca="1">IFERROR(L26/L$51,"-")</f>
        <v>-</v>
      </c>
      <c r="N26" s="454" t="s">
        <v>89</v>
      </c>
      <c r="O26" s="826" t="str">
        <f>VLOOKUP(N26,'Airport Mapping'!$C$5:$D$39,2,FALSE)</f>
        <v xml:space="preserve"> </v>
      </c>
      <c r="P26" s="838">
        <f ca="1">'Summary Tables'!N25</f>
        <v>0</v>
      </c>
      <c r="Q26" s="836" t="str">
        <f t="shared" ca="1" si="3"/>
        <v>-</v>
      </c>
      <c r="S26" s="482" t="s">
        <v>11</v>
      </c>
      <c r="T26" s="508">
        <f ca="1">IFERROR(L26-D26, "-")</f>
        <v>0</v>
      </c>
      <c r="U26" s="841" t="str">
        <f ca="1">IFERROR(T26/D26,"-")</f>
        <v>-</v>
      </c>
      <c r="V26" s="454" t="s">
        <v>89</v>
      </c>
      <c r="W26" s="843" t="str">
        <f>VLOOKUP(V26,'Airport Mapping'!$C$5:$D$39,2,FALSE)</f>
        <v xml:space="preserve"> </v>
      </c>
      <c r="X26" s="509">
        <f t="shared" ca="1" si="0"/>
        <v>0</v>
      </c>
      <c r="Y26" s="472" t="str">
        <f t="shared" ca="1" si="1"/>
        <v>-</v>
      </c>
      <c r="AA26" s="863" t="s">
        <v>774</v>
      </c>
      <c r="AB26" s="855"/>
      <c r="AC26" s="855"/>
      <c r="AD26" s="856"/>
    </row>
    <row r="27" spans="3:30" x14ac:dyDescent="0.3">
      <c r="C27" s="494"/>
      <c r="D27" s="494"/>
      <c r="E27" s="494"/>
      <c r="F27" s="450" t="s">
        <v>90</v>
      </c>
      <c r="G27" s="495" t="str">
        <f>VLOOKUP(F27,'Airport Mapping'!$C$5:$D$39,2,FALSE)</f>
        <v xml:space="preserve"> </v>
      </c>
      <c r="H27" s="496">
        <f>SUMIFS('Data Entry'!H:H,'Data Entry'!F:F,F27)/2</f>
        <v>0</v>
      </c>
      <c r="I27" s="833" t="str">
        <f t="shared" si="2"/>
        <v>-</v>
      </c>
      <c r="K27" s="493"/>
      <c r="L27" s="494"/>
      <c r="M27" s="657"/>
      <c r="N27" s="623" t="s">
        <v>90</v>
      </c>
      <c r="O27" s="495" t="str">
        <f>VLOOKUP(N27,'Airport Mapping'!$C$5:$D$39,2,FALSE)</f>
        <v xml:space="preserve"> </v>
      </c>
      <c r="P27" s="839">
        <f ca="1">'Summary Tables'!N26</f>
        <v>0</v>
      </c>
      <c r="Q27" s="833" t="str">
        <f t="shared" ca="1" si="3"/>
        <v>-</v>
      </c>
      <c r="S27" s="493"/>
      <c r="T27" s="494"/>
      <c r="U27" s="657"/>
      <c r="V27" s="450" t="s">
        <v>90</v>
      </c>
      <c r="W27" s="844" t="str">
        <f>VLOOKUP(V27,'Airport Mapping'!$C$5:$D$39,2,FALSE)</f>
        <v xml:space="preserve"> </v>
      </c>
      <c r="X27" s="510">
        <f t="shared" ca="1" si="0"/>
        <v>0</v>
      </c>
      <c r="Y27" s="473" t="str">
        <f t="shared" ca="1" si="1"/>
        <v>-</v>
      </c>
      <c r="AA27" s="864" t="s">
        <v>778</v>
      </c>
      <c r="AB27" s="857"/>
      <c r="AC27" s="857"/>
      <c r="AD27" s="858"/>
    </row>
    <row r="28" spans="3:30" x14ac:dyDescent="0.3">
      <c r="C28" s="494"/>
      <c r="D28" s="494"/>
      <c r="E28" s="494"/>
      <c r="F28" s="450" t="s">
        <v>766</v>
      </c>
      <c r="G28" s="495" t="str">
        <f>VLOOKUP(F28,'Airport Mapping'!$C$5:$D$39,2,FALSE)</f>
        <v xml:space="preserve"> </v>
      </c>
      <c r="H28" s="496">
        <f>SUMIFS('Data Entry'!H:H,'Data Entry'!F:F,F28)/2</f>
        <v>0</v>
      </c>
      <c r="I28" s="833" t="str">
        <f t="shared" ref="I28:I30" si="4">IFERROR(H28/H$51,"-")</f>
        <v>-</v>
      </c>
      <c r="K28" s="493"/>
      <c r="L28" s="494"/>
      <c r="M28" s="657"/>
      <c r="N28" s="623" t="s">
        <v>766</v>
      </c>
      <c r="O28" s="495" t="str">
        <f>VLOOKUP(N28,'Airport Mapping'!$C$5:$D$39,2,FALSE)</f>
        <v xml:space="preserve"> </v>
      </c>
      <c r="P28" s="839">
        <f ca="1">'Summary Tables'!N27</f>
        <v>0</v>
      </c>
      <c r="Q28" s="833" t="str">
        <f t="shared" ref="Q28:Q30" ca="1" si="5">IFERROR(P28/P$51,"-")</f>
        <v>-</v>
      </c>
      <c r="S28" s="493"/>
      <c r="T28" s="494"/>
      <c r="U28" s="657"/>
      <c r="V28" s="450" t="s">
        <v>766</v>
      </c>
      <c r="W28" s="844" t="str">
        <f>VLOOKUP(V28,'Airport Mapping'!$C$5:$D$39,2,FALSE)</f>
        <v xml:space="preserve"> </v>
      </c>
      <c r="X28" s="510">
        <f t="shared" ref="X28:X30" ca="1" si="6">IFERROR(P28-H28, "-")</f>
        <v>0</v>
      </c>
      <c r="Y28" s="473" t="str">
        <f t="shared" ref="Y28:Y30" ca="1" si="7">IFERROR(X28/H28,"-")</f>
        <v>-</v>
      </c>
    </row>
    <row r="29" spans="3:30" x14ac:dyDescent="0.3">
      <c r="C29" s="494"/>
      <c r="D29" s="494"/>
      <c r="E29" s="494"/>
      <c r="F29" s="450" t="s">
        <v>767</v>
      </c>
      <c r="G29" s="495" t="str">
        <f>VLOOKUP(F29,'Airport Mapping'!$C$5:$D$39,2,FALSE)</f>
        <v xml:space="preserve"> </v>
      </c>
      <c r="H29" s="496">
        <f>SUMIFS('Data Entry'!H:H,'Data Entry'!F:F,F29)/2</f>
        <v>0</v>
      </c>
      <c r="I29" s="833" t="str">
        <f t="shared" si="4"/>
        <v>-</v>
      </c>
      <c r="K29" s="493"/>
      <c r="L29" s="494"/>
      <c r="M29" s="657"/>
      <c r="N29" s="623" t="s">
        <v>767</v>
      </c>
      <c r="O29" s="495" t="str">
        <f>VLOOKUP(N29,'Airport Mapping'!$C$5:$D$39,2,FALSE)</f>
        <v xml:space="preserve"> </v>
      </c>
      <c r="P29" s="839">
        <f ca="1">'Summary Tables'!N28</f>
        <v>0</v>
      </c>
      <c r="Q29" s="833" t="str">
        <f t="shared" ca="1" si="5"/>
        <v>-</v>
      </c>
      <c r="S29" s="493"/>
      <c r="T29" s="494"/>
      <c r="U29" s="657"/>
      <c r="V29" s="450" t="s">
        <v>767</v>
      </c>
      <c r="W29" s="844" t="str">
        <f>VLOOKUP(V29,'Airport Mapping'!$C$5:$D$39,2,FALSE)</f>
        <v xml:space="preserve"> </v>
      </c>
      <c r="X29" s="510">
        <f t="shared" ca="1" si="6"/>
        <v>0</v>
      </c>
      <c r="Y29" s="473" t="str">
        <f t="shared" ca="1" si="7"/>
        <v>-</v>
      </c>
    </row>
    <row r="30" spans="3:30" ht="15" thickBot="1" x14ac:dyDescent="0.35">
      <c r="C30" s="501"/>
      <c r="D30" s="501"/>
      <c r="E30" s="501"/>
      <c r="F30" s="451" t="s">
        <v>765</v>
      </c>
      <c r="G30" s="502" t="str">
        <f>VLOOKUP(F30,'Airport Mapping'!$C$5:$D$39,2,FALSE)</f>
        <v xml:space="preserve"> </v>
      </c>
      <c r="H30" s="503">
        <f>SUMIFS('Data Entry'!H:H,'Data Entry'!F:F,F30)/2</f>
        <v>0</v>
      </c>
      <c r="I30" s="834" t="str">
        <f t="shared" si="4"/>
        <v>-</v>
      </c>
      <c r="K30" s="500"/>
      <c r="L30" s="501"/>
      <c r="M30" s="658"/>
      <c r="N30" s="451" t="s">
        <v>765</v>
      </c>
      <c r="O30" s="827" t="str">
        <f>VLOOKUP(N30,'Airport Mapping'!$C$5:$D$39,2,FALSE)</f>
        <v xml:space="preserve"> </v>
      </c>
      <c r="P30" s="840">
        <f ca="1">'Summary Tables'!N29</f>
        <v>0</v>
      </c>
      <c r="Q30" s="837" t="str">
        <f t="shared" ca="1" si="5"/>
        <v>-</v>
      </c>
      <c r="S30" s="500"/>
      <c r="T30" s="501"/>
      <c r="U30" s="658"/>
      <c r="V30" s="451" t="s">
        <v>765</v>
      </c>
      <c r="W30" s="845" t="str">
        <f>VLOOKUP(V30,'Airport Mapping'!$C$5:$D$39,2,FALSE)</f>
        <v xml:space="preserve"> </v>
      </c>
      <c r="X30" s="511">
        <f t="shared" ca="1" si="6"/>
        <v>0</v>
      </c>
      <c r="Y30" s="474" t="str">
        <f t="shared" ca="1" si="7"/>
        <v>-</v>
      </c>
    </row>
    <row r="31" spans="3:30" x14ac:dyDescent="0.3">
      <c r="C31" s="482" t="s">
        <v>420</v>
      </c>
      <c r="D31" s="483">
        <f>SUM(H31:H32)</f>
        <v>0</v>
      </c>
      <c r="E31" s="489" t="str">
        <f>IFERROR(D31/D$51,"-")</f>
        <v>-</v>
      </c>
      <c r="F31" s="454" t="s">
        <v>421</v>
      </c>
      <c r="G31" s="830" t="str">
        <f>VLOOKUP(F31,'Airport Mapping'!$C$5:$D$39,2,FALSE)</f>
        <v xml:space="preserve"> </v>
      </c>
      <c r="H31" s="643">
        <f>SUMIFS('Data Entry'!H:H,'Data Entry'!F:F,F31)/2</f>
        <v>0</v>
      </c>
      <c r="I31" s="831" t="str">
        <f t="shared" si="2"/>
        <v>-</v>
      </c>
      <c r="K31" s="482" t="s">
        <v>420</v>
      </c>
      <c r="L31" s="483">
        <f ca="1">SUM(P31:P32)</f>
        <v>0</v>
      </c>
      <c r="M31" s="489" t="str">
        <f ca="1">IFERROR(L31/L$51,"-")</f>
        <v>-</v>
      </c>
      <c r="N31" s="454" t="s">
        <v>421</v>
      </c>
      <c r="O31" s="507" t="str">
        <f>VLOOKUP(N31,'Airport Mapping'!$C$5:$D$39,2,FALSE)</f>
        <v xml:space="preserve"> </v>
      </c>
      <c r="P31" s="487">
        <f ca="1">'Summary Tables'!N30</f>
        <v>0</v>
      </c>
      <c r="Q31" s="472" t="str">
        <f t="shared" ca="1" si="3"/>
        <v>-</v>
      </c>
      <c r="S31" s="482" t="s">
        <v>420</v>
      </c>
      <c r="T31" s="508">
        <f ca="1">IFERROR(L31-D31, "-")</f>
        <v>0</v>
      </c>
      <c r="U31" s="489" t="str">
        <f ca="1">IFERROR(T31/D31,"-")</f>
        <v>-</v>
      </c>
      <c r="V31" s="454" t="s">
        <v>421</v>
      </c>
      <c r="W31" s="830" t="str">
        <f>VLOOKUP(V31,'Airport Mapping'!$C$5:$D$39,2,FALSE)</f>
        <v xml:space="preserve"> </v>
      </c>
      <c r="X31" s="842">
        <f t="shared" ca="1" si="0"/>
        <v>0</v>
      </c>
      <c r="Y31" s="831" t="str">
        <f t="shared" ca="1" si="1"/>
        <v>-</v>
      </c>
    </row>
    <row r="32" spans="3:30" ht="15" thickBot="1" x14ac:dyDescent="0.35">
      <c r="C32" s="500"/>
      <c r="D32" s="501"/>
      <c r="E32" s="452"/>
      <c r="F32" s="451" t="s">
        <v>422</v>
      </c>
      <c r="G32" s="502" t="str">
        <f>VLOOKUP(F32,'Airport Mapping'!$C$5:$D$39,2,FALSE)</f>
        <v xml:space="preserve"> </v>
      </c>
      <c r="H32" s="503">
        <f>SUMIFS('Data Entry'!H:H,'Data Entry'!F:F,F32)/2</f>
        <v>0</v>
      </c>
      <c r="I32" s="474" t="str">
        <f t="shared" si="2"/>
        <v>-</v>
      </c>
      <c r="K32" s="500"/>
      <c r="L32" s="501"/>
      <c r="M32" s="452"/>
      <c r="N32" s="451" t="s">
        <v>422</v>
      </c>
      <c r="O32" s="502" t="str">
        <f>VLOOKUP(N32,'Airport Mapping'!$C$5:$D$39,2,FALSE)</f>
        <v xml:space="preserve"> </v>
      </c>
      <c r="P32" s="503">
        <f ca="1">'Summary Tables'!N31</f>
        <v>0</v>
      </c>
      <c r="Q32" s="474" t="str">
        <f t="shared" ca="1" si="3"/>
        <v>-</v>
      </c>
      <c r="S32" s="500"/>
      <c r="T32" s="501"/>
      <c r="U32" s="452"/>
      <c r="V32" s="451" t="s">
        <v>422</v>
      </c>
      <c r="W32" s="502" t="str">
        <f>VLOOKUP(V32,'Airport Mapping'!$C$5:$D$39,2,FALSE)</f>
        <v xml:space="preserve"> </v>
      </c>
      <c r="X32" s="511">
        <f t="shared" ca="1" si="0"/>
        <v>0</v>
      </c>
      <c r="Y32" s="474" t="str">
        <f t="shared" ca="1" si="1"/>
        <v>-</v>
      </c>
    </row>
    <row r="33" spans="3:25" x14ac:dyDescent="0.3">
      <c r="C33" s="482" t="s">
        <v>13</v>
      </c>
      <c r="D33" s="483">
        <f>SUM(H33:H37)</f>
        <v>0</v>
      </c>
      <c r="E33" s="489" t="str">
        <f>IFERROR(D33/D$51,"-")</f>
        <v>-</v>
      </c>
      <c r="F33" s="454" t="s">
        <v>91</v>
      </c>
      <c r="G33" s="507" t="str">
        <f>VLOOKUP(F33,'Airport Mapping'!$C$5:$D$39,2,FALSE)</f>
        <v xml:space="preserve"> </v>
      </c>
      <c r="H33" s="487">
        <f>SUMIFS('Data Entry'!H:H,'Data Entry'!F:F,F33)/2</f>
        <v>0</v>
      </c>
      <c r="I33" s="472" t="str">
        <f t="shared" si="2"/>
        <v>-</v>
      </c>
      <c r="K33" s="482" t="s">
        <v>13</v>
      </c>
      <c r="L33" s="483">
        <f ca="1">SUM(P33:P37)</f>
        <v>0</v>
      </c>
      <c r="M33" s="489" t="str">
        <f ca="1">IFERROR(L33/L$51,"-")</f>
        <v>-</v>
      </c>
      <c r="N33" s="454" t="s">
        <v>91</v>
      </c>
      <c r="O33" s="507" t="str">
        <f>VLOOKUP(N33,'Airport Mapping'!$C$5:$D$39,2,FALSE)</f>
        <v xml:space="preserve"> </v>
      </c>
      <c r="P33" s="487">
        <f ca="1">'Summary Tables'!N32</f>
        <v>0</v>
      </c>
      <c r="Q33" s="472" t="str">
        <f t="shared" ca="1" si="3"/>
        <v>-</v>
      </c>
      <c r="S33" s="482" t="s">
        <v>13</v>
      </c>
      <c r="T33" s="508">
        <f ca="1">IFERROR(L33-D33, "-")</f>
        <v>0</v>
      </c>
      <c r="U33" s="489" t="str">
        <f ca="1">IFERROR(T33/D33,"-")</f>
        <v>-</v>
      </c>
      <c r="V33" s="454" t="s">
        <v>91</v>
      </c>
      <c r="W33" s="507" t="str">
        <f>VLOOKUP(V33,'Airport Mapping'!$C$5:$D$39,2,FALSE)</f>
        <v xml:space="preserve"> </v>
      </c>
      <c r="X33" s="509">
        <f t="shared" ca="1" si="0"/>
        <v>0</v>
      </c>
      <c r="Y33" s="472" t="str">
        <f t="shared" ca="1" si="1"/>
        <v>-</v>
      </c>
    </row>
    <row r="34" spans="3:25" x14ac:dyDescent="0.3">
      <c r="C34" s="493"/>
      <c r="D34" s="494"/>
      <c r="E34" s="397"/>
      <c r="F34" s="450" t="s">
        <v>92</v>
      </c>
      <c r="G34" s="495" t="str">
        <f>VLOOKUP(F34,'Airport Mapping'!$C$5:$D$39,2,FALSE)</f>
        <v xml:space="preserve"> </v>
      </c>
      <c r="H34" s="496">
        <f>SUMIFS('Data Entry'!H:H,'Data Entry'!F:F,F34)/2</f>
        <v>0</v>
      </c>
      <c r="I34" s="473" t="str">
        <f t="shared" si="2"/>
        <v>-</v>
      </c>
      <c r="K34" s="493"/>
      <c r="L34" s="494"/>
      <c r="M34" s="397"/>
      <c r="N34" s="450" t="s">
        <v>92</v>
      </c>
      <c r="O34" s="495" t="str">
        <f>VLOOKUP(N34,'Airport Mapping'!$C$5:$D$39,2,FALSE)</f>
        <v xml:space="preserve"> </v>
      </c>
      <c r="P34" s="496">
        <f ca="1">'Summary Tables'!N33</f>
        <v>0</v>
      </c>
      <c r="Q34" s="473" t="str">
        <f t="shared" ca="1" si="3"/>
        <v>-</v>
      </c>
      <c r="S34" s="493"/>
      <c r="T34" s="494"/>
      <c r="U34" s="397"/>
      <c r="V34" s="450" t="s">
        <v>92</v>
      </c>
      <c r="W34" s="495" t="str">
        <f>VLOOKUP(V34,'Airport Mapping'!$C$5:$D$39,2,FALSE)</f>
        <v xml:space="preserve"> </v>
      </c>
      <c r="X34" s="510">
        <f t="shared" ca="1" si="0"/>
        <v>0</v>
      </c>
      <c r="Y34" s="473" t="str">
        <f t="shared" ca="1" si="1"/>
        <v>-</v>
      </c>
    </row>
    <row r="35" spans="3:25" x14ac:dyDescent="0.3">
      <c r="C35" s="493"/>
      <c r="D35" s="494"/>
      <c r="E35" s="397"/>
      <c r="F35" s="450" t="s">
        <v>93</v>
      </c>
      <c r="G35" s="495" t="str">
        <f>VLOOKUP(F35,'Airport Mapping'!$C$5:$D$39,2,FALSE)</f>
        <v xml:space="preserve"> </v>
      </c>
      <c r="H35" s="496">
        <f>SUMIFS('Data Entry'!H:H,'Data Entry'!F:F,F35)/2</f>
        <v>0</v>
      </c>
      <c r="I35" s="473" t="str">
        <f t="shared" si="2"/>
        <v>-</v>
      </c>
      <c r="K35" s="493"/>
      <c r="L35" s="494"/>
      <c r="M35" s="397"/>
      <c r="N35" s="450" t="s">
        <v>93</v>
      </c>
      <c r="O35" s="495" t="str">
        <f>VLOOKUP(N35,'Airport Mapping'!$C$5:$D$39,2,FALSE)</f>
        <v xml:space="preserve"> </v>
      </c>
      <c r="P35" s="496">
        <f ca="1">'Summary Tables'!N34</f>
        <v>0</v>
      </c>
      <c r="Q35" s="473" t="str">
        <f t="shared" ca="1" si="3"/>
        <v>-</v>
      </c>
      <c r="S35" s="493"/>
      <c r="T35" s="494"/>
      <c r="U35" s="397"/>
      <c r="V35" s="450" t="s">
        <v>93</v>
      </c>
      <c r="W35" s="495" t="str">
        <f>VLOOKUP(V35,'Airport Mapping'!$C$5:$D$39,2,FALSE)</f>
        <v xml:space="preserve"> </v>
      </c>
      <c r="X35" s="510">
        <f t="shared" ca="1" si="0"/>
        <v>0</v>
      </c>
      <c r="Y35" s="473" t="str">
        <f t="shared" ca="1" si="1"/>
        <v>-</v>
      </c>
    </row>
    <row r="36" spans="3:25" x14ac:dyDescent="0.3">
      <c r="C36" s="493"/>
      <c r="D36" s="494"/>
      <c r="E36" s="397"/>
      <c r="F36" s="450" t="s">
        <v>94</v>
      </c>
      <c r="G36" s="495" t="str">
        <f>VLOOKUP(F36,'Airport Mapping'!$C$5:$D$39,2,FALSE)</f>
        <v xml:space="preserve"> </v>
      </c>
      <c r="H36" s="496">
        <f>SUMIFS('Data Entry'!H:H,'Data Entry'!F:F,F36)/2</f>
        <v>0</v>
      </c>
      <c r="I36" s="473" t="str">
        <f t="shared" si="2"/>
        <v>-</v>
      </c>
      <c r="K36" s="493"/>
      <c r="L36" s="494"/>
      <c r="M36" s="397"/>
      <c r="N36" s="450" t="s">
        <v>94</v>
      </c>
      <c r="O36" s="495" t="str">
        <f>VLOOKUP(N36,'Airport Mapping'!$C$5:$D$39,2,FALSE)</f>
        <v xml:space="preserve"> </v>
      </c>
      <c r="P36" s="496">
        <f ca="1">'Summary Tables'!N35</f>
        <v>0</v>
      </c>
      <c r="Q36" s="473" t="str">
        <f t="shared" ca="1" si="3"/>
        <v>-</v>
      </c>
      <c r="S36" s="493"/>
      <c r="T36" s="494"/>
      <c r="U36" s="397"/>
      <c r="V36" s="450" t="s">
        <v>94</v>
      </c>
      <c r="W36" s="495" t="str">
        <f>VLOOKUP(V36,'Airport Mapping'!$C$5:$D$39,2,FALSE)</f>
        <v xml:space="preserve"> </v>
      </c>
      <c r="X36" s="510">
        <f t="shared" ca="1" si="0"/>
        <v>0</v>
      </c>
      <c r="Y36" s="473" t="str">
        <f t="shared" ca="1" si="1"/>
        <v>-</v>
      </c>
    </row>
    <row r="37" spans="3:25" ht="15" thickBot="1" x14ac:dyDescent="0.35">
      <c r="C37" s="500"/>
      <c r="D37" s="501"/>
      <c r="E37" s="452"/>
      <c r="F37" s="451" t="s">
        <v>95</v>
      </c>
      <c r="G37" s="502" t="str">
        <f>VLOOKUP(F37,'Airport Mapping'!$C$5:$D$39,2,FALSE)</f>
        <v xml:space="preserve"> </v>
      </c>
      <c r="H37" s="503">
        <f>SUMIFS('Data Entry'!H:H,'Data Entry'!F:F,F37)/2</f>
        <v>0</v>
      </c>
      <c r="I37" s="474" t="str">
        <f t="shared" si="2"/>
        <v>-</v>
      </c>
      <c r="K37" s="500"/>
      <c r="L37" s="501"/>
      <c r="M37" s="452"/>
      <c r="N37" s="451" t="s">
        <v>95</v>
      </c>
      <c r="O37" s="502" t="str">
        <f>VLOOKUP(N37,'Airport Mapping'!$C$5:$D$39,2,FALSE)</f>
        <v xml:space="preserve"> </v>
      </c>
      <c r="P37" s="503">
        <f ca="1">'Summary Tables'!N36</f>
        <v>0</v>
      </c>
      <c r="Q37" s="474" t="str">
        <f t="shared" ca="1" si="3"/>
        <v>-</v>
      </c>
      <c r="S37" s="500"/>
      <c r="T37" s="501"/>
      <c r="U37" s="452"/>
      <c r="V37" s="451" t="s">
        <v>95</v>
      </c>
      <c r="W37" s="502" t="str">
        <f>VLOOKUP(V37,'Airport Mapping'!$C$5:$D$39,2,FALSE)</f>
        <v xml:space="preserve"> </v>
      </c>
      <c r="X37" s="511">
        <f t="shared" ca="1" si="0"/>
        <v>0</v>
      </c>
      <c r="Y37" s="474" t="str">
        <f t="shared" ca="1" si="1"/>
        <v>-</v>
      </c>
    </row>
    <row r="38" spans="3:25" ht="15" thickBot="1" x14ac:dyDescent="0.35">
      <c r="C38" s="512" t="s">
        <v>418</v>
      </c>
      <c r="D38" s="513">
        <f>H38</f>
        <v>0</v>
      </c>
      <c r="E38" s="514" t="str">
        <f>IFERROR(D38/D$51,"-")</f>
        <v>-</v>
      </c>
      <c r="F38" s="515" t="s">
        <v>418</v>
      </c>
      <c r="G38" s="516" t="str">
        <f>VLOOKUP(F38,'Airport Mapping'!$C$5:$D$39,2,FALSE)</f>
        <v xml:space="preserve"> </v>
      </c>
      <c r="H38" s="517">
        <f>SUMIFS('Data Entry'!H:H,'Data Entry'!F:F,F38)/2</f>
        <v>0</v>
      </c>
      <c r="I38" s="475" t="str">
        <f t="shared" si="2"/>
        <v>-</v>
      </c>
      <c r="K38" s="512" t="s">
        <v>418</v>
      </c>
      <c r="L38" s="513">
        <f ca="1">SUM(P38)</f>
        <v>0</v>
      </c>
      <c r="M38" s="514" t="str">
        <f ca="1">IFERROR(L38/L$51,"-")</f>
        <v>-</v>
      </c>
      <c r="N38" s="515" t="s">
        <v>418</v>
      </c>
      <c r="O38" s="516" t="str">
        <f>VLOOKUP(N38,'Airport Mapping'!$C$5:$D$39,2,FALSE)</f>
        <v xml:space="preserve"> </v>
      </c>
      <c r="P38" s="517">
        <f ca="1">'Summary Tables'!N37</f>
        <v>0</v>
      </c>
      <c r="Q38" s="475" t="str">
        <f t="shared" ca="1" si="3"/>
        <v>-</v>
      </c>
      <c r="S38" s="512" t="s">
        <v>418</v>
      </c>
      <c r="T38" s="518">
        <f ca="1">IFERROR(L38-D38, "-")</f>
        <v>0</v>
      </c>
      <c r="U38" s="514" t="str">
        <f ca="1">IFERROR(T38/D38,"-")</f>
        <v>-</v>
      </c>
      <c r="V38" s="515" t="s">
        <v>418</v>
      </c>
      <c r="W38" s="516" t="str">
        <f>VLOOKUP(V38,'Airport Mapping'!$C$5:$D$39,2,FALSE)</f>
        <v xml:space="preserve"> </v>
      </c>
      <c r="X38" s="519">
        <f t="shared" ca="1" si="0"/>
        <v>0</v>
      </c>
      <c r="Y38" s="475" t="str">
        <f t="shared" ca="1" si="1"/>
        <v>-</v>
      </c>
    </row>
    <row r="39" spans="3:25" x14ac:dyDescent="0.3">
      <c r="C39" s="482" t="s">
        <v>16</v>
      </c>
      <c r="D39" s="483">
        <f>SUM(H39:H43)</f>
        <v>0</v>
      </c>
      <c r="E39" s="489" t="str">
        <f>IFERROR(D39/D$51,"-")</f>
        <v>-</v>
      </c>
      <c r="F39" s="454" t="s">
        <v>96</v>
      </c>
      <c r="G39" s="507" t="str">
        <f>VLOOKUP(F39,'Airport Mapping'!$C$5:$D$39,2,FALSE)</f>
        <v xml:space="preserve"> </v>
      </c>
      <c r="H39" s="487">
        <f>SUMIFS('Data Entry'!H:H,'Data Entry'!F:F,F39)/2</f>
        <v>0</v>
      </c>
      <c r="I39" s="472" t="str">
        <f t="shared" si="2"/>
        <v>-</v>
      </c>
      <c r="K39" s="482" t="s">
        <v>16</v>
      </c>
      <c r="L39" s="483">
        <f ca="1">SUM(P39:P43)</f>
        <v>0</v>
      </c>
      <c r="M39" s="489" t="str">
        <f ca="1">IFERROR(L39/L$51,"-")</f>
        <v>-</v>
      </c>
      <c r="N39" s="454" t="s">
        <v>96</v>
      </c>
      <c r="O39" s="507" t="str">
        <f>VLOOKUP(N39,'Airport Mapping'!$C$5:$D$39,2,FALSE)</f>
        <v xml:space="preserve"> </v>
      </c>
      <c r="P39" s="487">
        <f ca="1">'Summary Tables'!N38</f>
        <v>0</v>
      </c>
      <c r="Q39" s="472" t="str">
        <f t="shared" ca="1" si="3"/>
        <v>-</v>
      </c>
      <c r="S39" s="482" t="s">
        <v>16</v>
      </c>
      <c r="T39" s="508">
        <f ca="1">IFERROR(L39-D39, "-")</f>
        <v>0</v>
      </c>
      <c r="U39" s="489" t="str">
        <f ca="1">IFERROR(T39/D39,"-")</f>
        <v>-</v>
      </c>
      <c r="V39" s="454" t="s">
        <v>96</v>
      </c>
      <c r="W39" s="507" t="str">
        <f>VLOOKUP(V39,'Airport Mapping'!$C$5:$D$39,2,FALSE)</f>
        <v xml:space="preserve"> </v>
      </c>
      <c r="X39" s="509">
        <f t="shared" ca="1" si="0"/>
        <v>0</v>
      </c>
      <c r="Y39" s="472" t="str">
        <f t="shared" ca="1" si="1"/>
        <v>-</v>
      </c>
    </row>
    <row r="40" spans="3:25" x14ac:dyDescent="0.3">
      <c r="C40" s="493"/>
      <c r="D40" s="494"/>
      <c r="E40" s="397"/>
      <c r="F40" s="450" t="s">
        <v>97</v>
      </c>
      <c r="G40" s="495" t="str">
        <f>VLOOKUP(F40,'Airport Mapping'!$C$5:$D$39,2,FALSE)</f>
        <v xml:space="preserve"> </v>
      </c>
      <c r="H40" s="496">
        <f>SUMIFS('Data Entry'!H:H,'Data Entry'!F:F,F40)/2</f>
        <v>0</v>
      </c>
      <c r="I40" s="473" t="str">
        <f t="shared" si="2"/>
        <v>-</v>
      </c>
      <c r="K40" s="493"/>
      <c r="L40" s="494"/>
      <c r="M40" s="397"/>
      <c r="N40" s="450" t="s">
        <v>97</v>
      </c>
      <c r="O40" s="495" t="str">
        <f>VLOOKUP(N40,'Airport Mapping'!$C$5:$D$39,2,FALSE)</f>
        <v xml:space="preserve"> </v>
      </c>
      <c r="P40" s="496">
        <f ca="1">'Summary Tables'!N39</f>
        <v>0</v>
      </c>
      <c r="Q40" s="473" t="str">
        <f t="shared" ca="1" si="3"/>
        <v>-</v>
      </c>
      <c r="S40" s="493"/>
      <c r="T40" s="494"/>
      <c r="U40" s="397"/>
      <c r="V40" s="450" t="s">
        <v>97</v>
      </c>
      <c r="W40" s="495" t="str">
        <f>VLOOKUP(V40,'Airport Mapping'!$C$5:$D$39,2,FALSE)</f>
        <v xml:space="preserve"> </v>
      </c>
      <c r="X40" s="510">
        <f t="shared" ca="1" si="0"/>
        <v>0</v>
      </c>
      <c r="Y40" s="473" t="str">
        <f t="shared" ca="1" si="1"/>
        <v>-</v>
      </c>
    </row>
    <row r="41" spans="3:25" x14ac:dyDescent="0.3">
      <c r="C41" s="493"/>
      <c r="D41" s="494"/>
      <c r="E41" s="397"/>
      <c r="F41" s="450" t="s">
        <v>98</v>
      </c>
      <c r="G41" s="495" t="str">
        <f>VLOOKUP(F41,'Airport Mapping'!$C$5:$D$39,2,FALSE)</f>
        <v xml:space="preserve"> </v>
      </c>
      <c r="H41" s="496">
        <f>SUMIFS('Data Entry'!H:H,'Data Entry'!F:F,F41)/2</f>
        <v>0</v>
      </c>
      <c r="I41" s="473" t="str">
        <f t="shared" si="2"/>
        <v>-</v>
      </c>
      <c r="K41" s="493"/>
      <c r="L41" s="494"/>
      <c r="M41" s="397"/>
      <c r="N41" s="450" t="s">
        <v>98</v>
      </c>
      <c r="O41" s="495" t="str">
        <f>VLOOKUP(N41,'Airport Mapping'!$C$5:$D$39,2,FALSE)</f>
        <v xml:space="preserve"> </v>
      </c>
      <c r="P41" s="496">
        <f ca="1">'Summary Tables'!N40</f>
        <v>0</v>
      </c>
      <c r="Q41" s="473" t="str">
        <f t="shared" ca="1" si="3"/>
        <v>-</v>
      </c>
      <c r="S41" s="493"/>
      <c r="T41" s="494"/>
      <c r="U41" s="397"/>
      <c r="V41" s="450" t="s">
        <v>98</v>
      </c>
      <c r="W41" s="495" t="str">
        <f>VLOOKUP(V41,'Airport Mapping'!$C$5:$D$39,2,FALSE)</f>
        <v xml:space="preserve"> </v>
      </c>
      <c r="X41" s="510">
        <f t="shared" ca="1" si="0"/>
        <v>0</v>
      </c>
      <c r="Y41" s="473" t="str">
        <f t="shared" ca="1" si="1"/>
        <v>-</v>
      </c>
    </row>
    <row r="42" spans="3:25" x14ac:dyDescent="0.3">
      <c r="C42" s="520"/>
      <c r="D42" s="521"/>
      <c r="E42" s="522"/>
      <c r="F42" s="450" t="s">
        <v>99</v>
      </c>
      <c r="G42" s="495" t="str">
        <f>VLOOKUP(F42,'Airport Mapping'!$C$5:$D$39,2,FALSE)</f>
        <v xml:space="preserve"> </v>
      </c>
      <c r="H42" s="496">
        <f>SUMIFS('Data Entry'!H:H,'Data Entry'!F:F,F42)/2</f>
        <v>0</v>
      </c>
      <c r="I42" s="473" t="str">
        <f t="shared" si="2"/>
        <v>-</v>
      </c>
      <c r="K42" s="520"/>
      <c r="L42" s="521"/>
      <c r="M42" s="522"/>
      <c r="N42" s="450" t="s">
        <v>99</v>
      </c>
      <c r="O42" s="495" t="str">
        <f>VLOOKUP(N42,'Airport Mapping'!$C$5:$D$39,2,FALSE)</f>
        <v xml:space="preserve"> </v>
      </c>
      <c r="P42" s="496">
        <f ca="1">'Summary Tables'!N41</f>
        <v>0</v>
      </c>
      <c r="Q42" s="473" t="str">
        <f t="shared" ca="1" si="3"/>
        <v>-</v>
      </c>
      <c r="S42" s="520"/>
      <c r="T42" s="521"/>
      <c r="U42" s="522"/>
      <c r="V42" s="450" t="s">
        <v>99</v>
      </c>
      <c r="W42" s="495" t="str">
        <f>VLOOKUP(V42,'Airport Mapping'!$C$5:$D$39,2,FALSE)</f>
        <v xml:space="preserve"> </v>
      </c>
      <c r="X42" s="510">
        <f t="shared" ca="1" si="0"/>
        <v>0</v>
      </c>
      <c r="Y42" s="473" t="str">
        <f t="shared" ca="1" si="1"/>
        <v>-</v>
      </c>
    </row>
    <row r="43" spans="3:25" ht="15" thickBot="1" x14ac:dyDescent="0.35">
      <c r="C43" s="500"/>
      <c r="D43" s="501"/>
      <c r="E43" s="452"/>
      <c r="F43" s="451" t="s">
        <v>100</v>
      </c>
      <c r="G43" s="502" t="str">
        <f>VLOOKUP(F43,'Airport Mapping'!$C$5:$D$39,2,FALSE)</f>
        <v xml:space="preserve"> </v>
      </c>
      <c r="H43" s="503">
        <f>SUMIFS('Data Entry'!H:H,'Data Entry'!F:F,F43)/2</f>
        <v>0</v>
      </c>
      <c r="I43" s="474" t="str">
        <f t="shared" si="2"/>
        <v>-</v>
      </c>
      <c r="K43" s="500"/>
      <c r="L43" s="501"/>
      <c r="M43" s="452"/>
      <c r="N43" s="451" t="s">
        <v>100</v>
      </c>
      <c r="O43" s="502" t="str">
        <f>VLOOKUP(N43,'Airport Mapping'!$C$5:$D$39,2,FALSE)</f>
        <v xml:space="preserve"> </v>
      </c>
      <c r="P43" s="503">
        <f ca="1">'Summary Tables'!N42</f>
        <v>0</v>
      </c>
      <c r="Q43" s="474" t="str">
        <f t="shared" ca="1" si="3"/>
        <v>-</v>
      </c>
      <c r="S43" s="500"/>
      <c r="T43" s="501"/>
      <c r="U43" s="452"/>
      <c r="V43" s="451" t="s">
        <v>100</v>
      </c>
      <c r="W43" s="502" t="str">
        <f>VLOOKUP(V43,'Airport Mapping'!$C$5:$D$39,2,FALSE)</f>
        <v xml:space="preserve"> </v>
      </c>
      <c r="X43" s="511">
        <f t="shared" ca="1" si="0"/>
        <v>0</v>
      </c>
      <c r="Y43" s="474" t="str">
        <f t="shared" ca="1" si="1"/>
        <v>-</v>
      </c>
    </row>
    <row r="44" spans="3:25" ht="15" thickBot="1" x14ac:dyDescent="0.35">
      <c r="C44" s="523" t="s">
        <v>417</v>
      </c>
      <c r="D44" s="513">
        <f>H44</f>
        <v>0</v>
      </c>
      <c r="E44" s="514" t="str">
        <f>IFERROR(D44/D$51,"-")</f>
        <v>-</v>
      </c>
      <c r="F44" s="524" t="s">
        <v>417</v>
      </c>
      <c r="G44" s="516" t="str">
        <f>VLOOKUP(F44,'Airport Mapping'!$C$5:$D$39,2,FALSE)</f>
        <v xml:space="preserve"> </v>
      </c>
      <c r="H44" s="517">
        <f>SUMIFS('Data Entry'!H:H,'Data Entry'!F:F,F44)/2</f>
        <v>0</v>
      </c>
      <c r="I44" s="475" t="str">
        <f t="shared" si="2"/>
        <v>-</v>
      </c>
      <c r="K44" s="523" t="s">
        <v>417</v>
      </c>
      <c r="L44" s="513">
        <f ca="1">SUM(P44)</f>
        <v>0</v>
      </c>
      <c r="M44" s="514" t="str">
        <f ca="1">IFERROR(L44/L$51,"-")</f>
        <v>-</v>
      </c>
      <c r="N44" s="524" t="s">
        <v>417</v>
      </c>
      <c r="O44" s="516" t="str">
        <f>VLOOKUP(N44,'Airport Mapping'!$C$5:$D$39,2,FALSE)</f>
        <v xml:space="preserve"> </v>
      </c>
      <c r="P44" s="517">
        <f ca="1">'Summary Tables'!N43</f>
        <v>0</v>
      </c>
      <c r="Q44" s="475" t="str">
        <f t="shared" ca="1" si="3"/>
        <v>-</v>
      </c>
      <c r="S44" s="523" t="s">
        <v>417</v>
      </c>
      <c r="T44" s="518">
        <f ca="1">IFERROR(L44-D44, "-")</f>
        <v>0</v>
      </c>
      <c r="U44" s="514" t="str">
        <f ca="1">IFERROR(T44/D44,"-")</f>
        <v>-</v>
      </c>
      <c r="V44" s="524" t="s">
        <v>417</v>
      </c>
      <c r="W44" s="516" t="str">
        <f>VLOOKUP(V44,'Airport Mapping'!$C$5:$D$39,2,FALSE)</f>
        <v xml:space="preserve"> </v>
      </c>
      <c r="X44" s="519">
        <f t="shared" ca="1" si="0"/>
        <v>0</v>
      </c>
      <c r="Y44" s="475" t="str">
        <f t="shared" ca="1" si="1"/>
        <v>-</v>
      </c>
    </row>
    <row r="45" spans="3:25" ht="15" thickBot="1" x14ac:dyDescent="0.35">
      <c r="C45" s="523" t="s">
        <v>419</v>
      </c>
      <c r="D45" s="513">
        <f>H45</f>
        <v>0</v>
      </c>
      <c r="E45" s="514" t="str">
        <f>IFERROR(D45/D$51,"-")</f>
        <v>-</v>
      </c>
      <c r="F45" s="524" t="s">
        <v>419</v>
      </c>
      <c r="G45" s="516" t="str">
        <f>VLOOKUP(F45,'Airport Mapping'!$C$5:$D$39,2,FALSE)</f>
        <v xml:space="preserve"> </v>
      </c>
      <c r="H45" s="517">
        <f>SUMIFS('Data Entry'!H:H,'Data Entry'!F:F,F45)/2</f>
        <v>0</v>
      </c>
      <c r="I45" s="475" t="str">
        <f t="shared" si="2"/>
        <v>-</v>
      </c>
      <c r="K45" s="523" t="s">
        <v>419</v>
      </c>
      <c r="L45" s="513">
        <f ca="1">SUM(P45)</f>
        <v>0</v>
      </c>
      <c r="M45" s="514" t="str">
        <f ca="1">IFERROR(L45/L$51,"-")</f>
        <v>-</v>
      </c>
      <c r="N45" s="524" t="s">
        <v>419</v>
      </c>
      <c r="O45" s="516" t="str">
        <f>VLOOKUP(N45,'Airport Mapping'!$C$5:$D$39,2,FALSE)</f>
        <v xml:space="preserve"> </v>
      </c>
      <c r="P45" s="517">
        <f ca="1">'Summary Tables'!N44</f>
        <v>0</v>
      </c>
      <c r="Q45" s="475" t="str">
        <f t="shared" ca="1" si="3"/>
        <v>-</v>
      </c>
      <c r="S45" s="523" t="s">
        <v>419</v>
      </c>
      <c r="T45" s="518">
        <f ca="1">IFERROR(L45-D45, "-")</f>
        <v>0</v>
      </c>
      <c r="U45" s="514" t="str">
        <f ca="1">IFERROR(T45/D45,"-")</f>
        <v>-</v>
      </c>
      <c r="V45" s="524" t="s">
        <v>419</v>
      </c>
      <c r="W45" s="516" t="str">
        <f>VLOOKUP(V45,'Airport Mapping'!$C$5:$D$39,2,FALSE)</f>
        <v xml:space="preserve"> </v>
      </c>
      <c r="X45" s="519">
        <f t="shared" ca="1" si="0"/>
        <v>0</v>
      </c>
      <c r="Y45" s="475" t="str">
        <f t="shared" ca="1" si="1"/>
        <v>-</v>
      </c>
    </row>
    <row r="46" spans="3:25" x14ac:dyDescent="0.3">
      <c r="C46" s="525" t="s">
        <v>471</v>
      </c>
      <c r="D46" s="526">
        <f>SUM(H46:H50)</f>
        <v>0</v>
      </c>
      <c r="E46" s="527" t="str">
        <f>IFERROR(D46/D$51,"-")</f>
        <v>-</v>
      </c>
      <c r="F46" s="528" t="s">
        <v>106</v>
      </c>
      <c r="G46" s="507" t="str">
        <f>VLOOKUP(F46,'Airport Mapping'!$C$5:$D$39,2,FALSE)</f>
        <v xml:space="preserve"> </v>
      </c>
      <c r="H46" s="487">
        <f>SUMIFS('Data Entry'!H:H,'Data Entry'!F:F,F46)/2</f>
        <v>0</v>
      </c>
      <c r="I46" s="472" t="str">
        <f t="shared" si="2"/>
        <v>-</v>
      </c>
      <c r="K46" s="525" t="s">
        <v>471</v>
      </c>
      <c r="L46" s="526">
        <f ca="1">SUM(P46:P50)</f>
        <v>0</v>
      </c>
      <c r="M46" s="527" t="str">
        <f ca="1">IFERROR(L46/L$51,"-")</f>
        <v>-</v>
      </c>
      <c r="N46" s="528" t="s">
        <v>106</v>
      </c>
      <c r="O46" s="507" t="str">
        <f>VLOOKUP(N46,'Airport Mapping'!$C$5:$D$39,2,FALSE)</f>
        <v xml:space="preserve"> </v>
      </c>
      <c r="P46" s="487">
        <f ca="1">'Summary Tables'!N45</f>
        <v>0</v>
      </c>
      <c r="Q46" s="472" t="str">
        <f t="shared" ca="1" si="3"/>
        <v>-</v>
      </c>
      <c r="S46" s="525" t="s">
        <v>471</v>
      </c>
      <c r="T46" s="529">
        <f ca="1">IFERROR(L46-D46, "-")</f>
        <v>0</v>
      </c>
      <c r="U46" s="527" t="str">
        <f ca="1">IFERROR(T46/D46,"-")</f>
        <v>-</v>
      </c>
      <c r="V46" s="528" t="s">
        <v>106</v>
      </c>
      <c r="W46" s="507" t="str">
        <f>VLOOKUP(V46,'Airport Mapping'!$C$5:$D$39,2,FALSE)</f>
        <v xml:space="preserve"> </v>
      </c>
      <c r="X46" s="509">
        <f t="shared" ca="1" si="0"/>
        <v>0</v>
      </c>
      <c r="Y46" s="472" t="str">
        <f t="shared" ca="1" si="1"/>
        <v>-</v>
      </c>
    </row>
    <row r="47" spans="3:25" x14ac:dyDescent="0.3">
      <c r="C47" s="493"/>
      <c r="D47" s="494"/>
      <c r="E47" s="397"/>
      <c r="F47" s="224" t="s">
        <v>107</v>
      </c>
      <c r="G47" s="495" t="str">
        <f>VLOOKUP(F47,'Airport Mapping'!$C$5:$D$39,2,FALSE)</f>
        <v xml:space="preserve"> </v>
      </c>
      <c r="H47" s="496">
        <f>SUMIFS('Data Entry'!H:H,'Data Entry'!F:F,F47)/2</f>
        <v>0</v>
      </c>
      <c r="I47" s="473" t="str">
        <f t="shared" si="2"/>
        <v>-</v>
      </c>
      <c r="K47" s="493"/>
      <c r="L47" s="494"/>
      <c r="M47" s="397"/>
      <c r="N47" s="224" t="s">
        <v>107</v>
      </c>
      <c r="O47" s="495" t="str">
        <f>VLOOKUP(N47,'Airport Mapping'!$C$5:$D$39,2,FALSE)</f>
        <v xml:space="preserve"> </v>
      </c>
      <c r="P47" s="496">
        <f ca="1">'Summary Tables'!N46</f>
        <v>0</v>
      </c>
      <c r="Q47" s="473" t="str">
        <f t="shared" ca="1" si="3"/>
        <v>-</v>
      </c>
      <c r="S47" s="493"/>
      <c r="T47" s="494"/>
      <c r="U47" s="397"/>
      <c r="V47" s="224" t="s">
        <v>107</v>
      </c>
      <c r="W47" s="495" t="str">
        <f>VLOOKUP(V47,'Airport Mapping'!$C$5:$D$39,2,FALSE)</f>
        <v xml:space="preserve"> </v>
      </c>
      <c r="X47" s="510">
        <f t="shared" ca="1" si="0"/>
        <v>0</v>
      </c>
      <c r="Y47" s="473" t="str">
        <f t="shared" ca="1" si="1"/>
        <v>-</v>
      </c>
    </row>
    <row r="48" spans="3:25" x14ac:dyDescent="0.3">
      <c r="C48" s="493"/>
      <c r="D48" s="494"/>
      <c r="E48" s="397"/>
      <c r="F48" s="224" t="s">
        <v>108</v>
      </c>
      <c r="G48" s="495" t="str">
        <f>VLOOKUP(F48,'Airport Mapping'!$C$5:$D$39,2,FALSE)</f>
        <v xml:space="preserve"> </v>
      </c>
      <c r="H48" s="496">
        <f>SUMIFS('Data Entry'!H:H,'Data Entry'!F:F,F48)/2</f>
        <v>0</v>
      </c>
      <c r="I48" s="473" t="str">
        <f t="shared" si="2"/>
        <v>-</v>
      </c>
      <c r="K48" s="493"/>
      <c r="L48" s="494"/>
      <c r="M48" s="397"/>
      <c r="N48" s="224" t="s">
        <v>108</v>
      </c>
      <c r="O48" s="495" t="str">
        <f>VLOOKUP(N48,'Airport Mapping'!$C$5:$D$39,2,FALSE)</f>
        <v xml:space="preserve"> </v>
      </c>
      <c r="P48" s="496">
        <f ca="1">'Summary Tables'!N47</f>
        <v>0</v>
      </c>
      <c r="Q48" s="473" t="str">
        <f t="shared" ca="1" si="3"/>
        <v>-</v>
      </c>
      <c r="S48" s="493"/>
      <c r="T48" s="494"/>
      <c r="U48" s="397"/>
      <c r="V48" s="224" t="s">
        <v>108</v>
      </c>
      <c r="W48" s="495" t="str">
        <f>VLOOKUP(V48,'Airport Mapping'!$C$5:$D$39,2,FALSE)</f>
        <v xml:space="preserve"> </v>
      </c>
      <c r="X48" s="510">
        <f t="shared" ca="1" si="0"/>
        <v>0</v>
      </c>
      <c r="Y48" s="473" t="str">
        <f t="shared" ca="1" si="1"/>
        <v>-</v>
      </c>
    </row>
    <row r="49" spans="3:25" x14ac:dyDescent="0.3">
      <c r="C49" s="493"/>
      <c r="D49" s="494"/>
      <c r="E49" s="397"/>
      <c r="F49" s="224" t="s">
        <v>109</v>
      </c>
      <c r="G49" s="495" t="str">
        <f>VLOOKUP(F49,'Airport Mapping'!$C$5:$D$39,2,FALSE)</f>
        <v xml:space="preserve"> </v>
      </c>
      <c r="H49" s="496">
        <f>SUMIFS('Data Entry'!H:H,'Data Entry'!F:F,F49)/2</f>
        <v>0</v>
      </c>
      <c r="I49" s="473" t="str">
        <f t="shared" si="2"/>
        <v>-</v>
      </c>
      <c r="K49" s="493"/>
      <c r="L49" s="494"/>
      <c r="M49" s="397"/>
      <c r="N49" s="224" t="s">
        <v>109</v>
      </c>
      <c r="O49" s="495" t="str">
        <f>VLOOKUP(N49,'Airport Mapping'!$C$5:$D$39,2,FALSE)</f>
        <v xml:space="preserve"> </v>
      </c>
      <c r="P49" s="496">
        <f ca="1">'Summary Tables'!N48</f>
        <v>0</v>
      </c>
      <c r="Q49" s="473" t="str">
        <f t="shared" ca="1" si="3"/>
        <v>-</v>
      </c>
      <c r="S49" s="493"/>
      <c r="T49" s="494"/>
      <c r="U49" s="397"/>
      <c r="V49" s="224" t="s">
        <v>109</v>
      </c>
      <c r="W49" s="495" t="str">
        <f>VLOOKUP(V49,'Airport Mapping'!$C$5:$D$39,2,FALSE)</f>
        <v xml:space="preserve"> </v>
      </c>
      <c r="X49" s="510">
        <f t="shared" ca="1" si="0"/>
        <v>0</v>
      </c>
      <c r="Y49" s="473" t="str">
        <f t="shared" ca="1" si="1"/>
        <v>-</v>
      </c>
    </row>
    <row r="50" spans="3:25" ht="15" thickBot="1" x14ac:dyDescent="0.35">
      <c r="C50" s="500"/>
      <c r="D50" s="501"/>
      <c r="E50" s="397"/>
      <c r="F50" s="224" t="s">
        <v>110</v>
      </c>
      <c r="G50" s="502" t="str">
        <f>VLOOKUP(F50,'Airport Mapping'!$C$5:$D$39,2,FALSE)</f>
        <v xml:space="preserve"> </v>
      </c>
      <c r="H50" s="503">
        <f>SUMIFS('Data Entry'!H:H,'Data Entry'!F:F,F50)/2</f>
        <v>0</v>
      </c>
      <c r="I50" s="474" t="str">
        <f t="shared" si="2"/>
        <v>-</v>
      </c>
      <c r="K50" s="500"/>
      <c r="L50" s="501"/>
      <c r="M50" s="397"/>
      <c r="N50" s="224" t="s">
        <v>110</v>
      </c>
      <c r="O50" s="502" t="str">
        <f>VLOOKUP(N50,'Airport Mapping'!$C$5:$D$39,2,FALSE)</f>
        <v xml:space="preserve"> </v>
      </c>
      <c r="P50" s="503">
        <f ca="1">'Summary Tables'!N49</f>
        <v>0</v>
      </c>
      <c r="Q50" s="474" t="str">
        <f t="shared" ca="1" si="3"/>
        <v>-</v>
      </c>
      <c r="S50" s="500"/>
      <c r="T50" s="501"/>
      <c r="U50" s="397"/>
      <c r="V50" s="224" t="s">
        <v>110</v>
      </c>
      <c r="W50" s="502" t="str">
        <f>VLOOKUP(V50,'Airport Mapping'!$C$5:$D$39,2,FALSE)</f>
        <v xml:space="preserve"> </v>
      </c>
      <c r="X50" s="511">
        <f t="shared" ca="1" si="0"/>
        <v>0</v>
      </c>
      <c r="Y50" s="474" t="str">
        <f t="shared" ca="1" si="1"/>
        <v>-</v>
      </c>
    </row>
    <row r="51" spans="3:25" s="2" customFormat="1" ht="15" thickBot="1" x14ac:dyDescent="0.35">
      <c r="C51" s="530" t="s">
        <v>46</v>
      </c>
      <c r="D51" s="476">
        <f>SUM(D16:D50)</f>
        <v>0</v>
      </c>
      <c r="E51" s="477">
        <f>SUM(E16:E50)</f>
        <v>0</v>
      </c>
      <c r="F51" s="478"/>
      <c r="G51" s="33"/>
      <c r="H51" s="476">
        <f>SUM(H16:H50)</f>
        <v>0</v>
      </c>
      <c r="I51" s="477">
        <f>SUM(I16:I50)</f>
        <v>0</v>
      </c>
      <c r="K51" s="531" t="s">
        <v>46</v>
      </c>
      <c r="L51" s="480">
        <f ca="1">SUM(L16:L50)</f>
        <v>0</v>
      </c>
      <c r="M51" s="481">
        <f ca="1">SUM(M16:M50)</f>
        <v>0</v>
      </c>
      <c r="N51" s="478"/>
      <c r="O51" s="33"/>
      <c r="P51" s="476">
        <f ca="1">SUM(P16:P50)</f>
        <v>0</v>
      </c>
      <c r="Q51" s="477">
        <f ca="1">SUM(Q16:Q50)</f>
        <v>0</v>
      </c>
      <c r="S51" s="530" t="s">
        <v>46</v>
      </c>
      <c r="T51" s="532">
        <f ca="1">IFERROR(L51-D51, "-")</f>
        <v>0</v>
      </c>
      <c r="U51" s="533" t="str">
        <f ca="1">IFERROR(T51/D51,"-")</f>
        <v>-</v>
      </c>
      <c r="V51" s="534"/>
      <c r="W51" s="33"/>
      <c r="X51" s="532">
        <f t="shared" ca="1" si="0"/>
        <v>0</v>
      </c>
      <c r="Y51" s="535" t="str">
        <f t="shared" ca="1" si="1"/>
        <v>-</v>
      </c>
    </row>
    <row r="52" spans="3:25" ht="15" thickBot="1" x14ac:dyDescent="0.35">
      <c r="C52" s="182"/>
      <c r="D52" s="104"/>
    </row>
    <row r="53" spans="3:25" x14ac:dyDescent="0.3">
      <c r="C53" s="1351" t="s">
        <v>376</v>
      </c>
      <c r="D53" s="1430">
        <f>'Data Entry'!G7</f>
        <v>0</v>
      </c>
    </row>
    <row r="54" spans="3:25" ht="15" thickBot="1" x14ac:dyDescent="0.35">
      <c r="C54" s="1355"/>
      <c r="D54" s="1431"/>
    </row>
  </sheetData>
  <sheetProtection algorithmName="SHA-512" hashValue="4DcQtJwX25oLOIufVI9zTiB80CEVZWOvd786sr+dQFEVYc8MRAerFNlvub+PEVucctMch+hW4Kfh7zox6LjZ2Q==" saltValue="rEMMpDFXeUg5AQ7wyY6gpg==" spinCount="100000" sheet="1" objects="1" scenarios="1"/>
  <mergeCells count="6">
    <mergeCell ref="S13:Y13"/>
    <mergeCell ref="C14:I14"/>
    <mergeCell ref="S14:Y14"/>
    <mergeCell ref="D53:D54"/>
    <mergeCell ref="C53:C54"/>
    <mergeCell ref="K14:Q14"/>
  </mergeCells>
  <conditionalFormatting sqref="T16:U51">
    <cfRule type="cellIs" dxfId="15" priority="3" operator="greaterThan">
      <formula>0</formula>
    </cfRule>
  </conditionalFormatting>
  <conditionalFormatting sqref="X16:Y51">
    <cfRule type="cellIs" dxfId="14" priority="2" operator="greaterThan">
      <formula>0</formula>
    </cfRule>
  </conditionalFormatting>
  <conditionalFormatting sqref="T16:Y51">
    <cfRule type="cellIs" dxfId="13" priority="1" operator="lessThan">
      <formula>0</formula>
    </cfRule>
  </conditionalFormatting>
  <printOptions headings="1"/>
  <pageMargins left="0.45" right="0.45" top="0.25" bottom="0.5" header="0.3" footer="0.3"/>
  <pageSetup scale="90" fitToWidth="3" orientation="portrait" r:id="rId1"/>
  <headerFooter>
    <oddHeader>&amp;C&amp;12&amp;F, &amp;A</oddHeader>
    <oddFooter>&amp;L&amp;F&amp;R&amp;10Page &amp;P</oddFooter>
  </headerFooter>
  <colBreaks count="1" manualBreakCount="1">
    <brk id="10" min="12" max="5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99"/>
  </sheetPr>
  <dimension ref="B1:W1358"/>
  <sheetViews>
    <sheetView showGridLines="0" zoomScaleNormal="100" workbookViewId="0">
      <pane ySplit="16" topLeftCell="A17" activePane="bottomLeft" state="frozen"/>
      <selection activeCell="C99" sqref="C99"/>
      <selection pane="bottomLeft" activeCell="A17" sqref="A17"/>
    </sheetView>
  </sheetViews>
  <sheetFormatPr defaultColWidth="8.88671875" defaultRowHeight="14.4" x14ac:dyDescent="0.3"/>
  <cols>
    <col min="1" max="1" width="1.88671875" style="13" customWidth="1"/>
    <col min="2" max="2" width="3.44140625" style="13" customWidth="1"/>
    <col min="3" max="3" width="29.33203125" style="13" customWidth="1"/>
    <col min="4" max="4" width="27.88671875" style="125" hidden="1" customWidth="1"/>
    <col min="5" max="5" width="27.33203125" style="125" hidden="1" customWidth="1"/>
    <col min="6" max="6" width="16.44140625" style="13" customWidth="1"/>
    <col min="7" max="7" width="26.6640625" style="125" hidden="1" customWidth="1"/>
    <col min="8" max="8" width="16.44140625" style="13" customWidth="1"/>
    <col min="9" max="9" width="18.88671875" style="125" hidden="1" customWidth="1"/>
    <col min="10" max="10" width="22.109375" style="13" customWidth="1"/>
    <col min="11" max="11" width="20.6640625" style="13" bestFit="1" customWidth="1"/>
    <col min="12" max="12" width="4.109375" style="13" customWidth="1"/>
    <col min="13" max="13" width="10.88671875" style="124" customWidth="1"/>
    <col min="14" max="14" width="20.6640625" style="13" customWidth="1"/>
    <col min="15" max="15" width="14.6640625" style="124" customWidth="1"/>
    <col min="16" max="16" width="12.6640625" style="124" customWidth="1"/>
    <col min="17" max="17" width="23.33203125" style="13" customWidth="1"/>
    <col min="18" max="18" width="15.33203125" style="13" bestFit="1" customWidth="1"/>
    <col min="19" max="19" width="13.33203125" style="13" bestFit="1" customWidth="1"/>
    <col min="20" max="20" width="27.33203125" style="125" hidden="1" customWidth="1"/>
    <col min="21" max="21" width="12" style="13" customWidth="1"/>
    <col min="22" max="23" width="12.33203125" style="13" bestFit="1" customWidth="1"/>
    <col min="24" max="16384" width="8.88671875" style="13"/>
  </cols>
  <sheetData>
    <row r="1" spans="2:23" ht="15" x14ac:dyDescent="0.25">
      <c r="B1" s="175" t="s">
        <v>51</v>
      </c>
      <c r="C1" s="176"/>
      <c r="D1" s="176"/>
      <c r="E1" s="176"/>
      <c r="F1" s="176"/>
      <c r="G1" s="176"/>
      <c r="H1" s="176"/>
      <c r="I1" s="176"/>
      <c r="J1" s="176"/>
      <c r="K1" s="176"/>
      <c r="L1" s="176"/>
      <c r="M1" s="177"/>
      <c r="N1" s="176"/>
    </row>
    <row r="2" spans="2:23" ht="15" x14ac:dyDescent="0.25">
      <c r="B2" s="176" t="s">
        <v>670</v>
      </c>
      <c r="C2" s="176"/>
      <c r="D2" s="176"/>
      <c r="E2" s="176"/>
      <c r="F2" s="176"/>
      <c r="G2" s="176"/>
      <c r="H2" s="176"/>
      <c r="I2" s="176"/>
      <c r="J2" s="176"/>
      <c r="K2" s="176"/>
      <c r="L2" s="176"/>
      <c r="M2" s="177"/>
      <c r="N2" s="176"/>
    </row>
    <row r="3" spans="2:23" ht="15" customHeight="1" x14ac:dyDescent="0.3">
      <c r="B3" s="177" t="s">
        <v>555</v>
      </c>
      <c r="C3" s="1357" t="s">
        <v>671</v>
      </c>
      <c r="D3" s="1357"/>
      <c r="E3" s="1357"/>
      <c r="F3" s="1357"/>
      <c r="G3" s="1357"/>
      <c r="H3" s="1357"/>
      <c r="I3" s="1357"/>
      <c r="J3" s="1357"/>
      <c r="K3" s="1357"/>
      <c r="L3" s="1357"/>
      <c r="M3" s="1357"/>
      <c r="N3" s="176"/>
    </row>
    <row r="4" spans="2:23" x14ac:dyDescent="0.3">
      <c r="B4" s="176"/>
      <c r="C4" s="1357"/>
      <c r="D4" s="1357"/>
      <c r="E4" s="1357"/>
      <c r="F4" s="1357"/>
      <c r="G4" s="1357"/>
      <c r="H4" s="1357"/>
      <c r="I4" s="1357"/>
      <c r="J4" s="1357"/>
      <c r="K4" s="1357"/>
      <c r="L4" s="1357"/>
      <c r="M4" s="1357"/>
      <c r="N4" s="176"/>
    </row>
    <row r="5" spans="2:23" ht="15" customHeight="1" x14ac:dyDescent="0.3">
      <c r="B5" s="177" t="s">
        <v>555</v>
      </c>
      <c r="C5" s="445" t="s">
        <v>672</v>
      </c>
      <c r="D5" s="542"/>
      <c r="E5" s="542"/>
      <c r="F5" s="542"/>
      <c r="G5" s="542"/>
      <c r="H5" s="542"/>
      <c r="I5" s="542"/>
      <c r="J5" s="542"/>
      <c r="K5" s="542"/>
      <c r="L5" s="542"/>
      <c r="M5" s="542"/>
      <c r="N5" s="176"/>
    </row>
    <row r="6" spans="2:23" ht="15" customHeight="1" x14ac:dyDescent="0.3">
      <c r="B6" s="177" t="s">
        <v>555</v>
      </c>
      <c r="C6" s="176" t="s">
        <v>704</v>
      </c>
      <c r="D6" s="542"/>
      <c r="E6" s="542"/>
      <c r="F6" s="542"/>
      <c r="G6" s="542"/>
      <c r="H6" s="542"/>
      <c r="I6" s="542"/>
      <c r="J6" s="542"/>
      <c r="K6" s="542"/>
      <c r="L6" s="542"/>
      <c r="M6" s="542"/>
      <c r="N6" s="176"/>
    </row>
    <row r="7" spans="2:23" ht="15" customHeight="1" x14ac:dyDescent="0.3">
      <c r="B7" s="177" t="s">
        <v>555</v>
      </c>
      <c r="C7" s="176" t="s">
        <v>516</v>
      </c>
      <c r="D7" s="542"/>
      <c r="E7" s="542"/>
      <c r="F7" s="542"/>
      <c r="G7" s="542"/>
      <c r="H7" s="542"/>
      <c r="I7" s="542"/>
      <c r="J7" s="542"/>
      <c r="K7" s="542"/>
      <c r="L7" s="542"/>
      <c r="M7" s="542"/>
      <c r="N7" s="176"/>
    </row>
    <row r="8" spans="2:23" x14ac:dyDescent="0.3">
      <c r="B8" s="177" t="s">
        <v>555</v>
      </c>
      <c r="C8" s="175" t="s">
        <v>619</v>
      </c>
      <c r="D8" s="176"/>
      <c r="E8" s="176"/>
      <c r="F8" s="176"/>
      <c r="G8" s="176"/>
      <c r="H8" s="176"/>
      <c r="I8" s="176"/>
      <c r="J8" s="176"/>
      <c r="K8" s="176"/>
      <c r="L8" s="176"/>
      <c r="M8" s="177"/>
      <c r="N8" s="176"/>
    </row>
    <row r="9" spans="2:23" ht="15" x14ac:dyDescent="0.25">
      <c r="B9" s="177"/>
      <c r="C9" s="176" t="s">
        <v>705</v>
      </c>
      <c r="D9" s="176"/>
      <c r="E9" s="176"/>
      <c r="F9" s="176"/>
      <c r="G9" s="176"/>
      <c r="H9" s="176"/>
      <c r="I9" s="176"/>
      <c r="J9" s="176"/>
      <c r="K9" s="176"/>
      <c r="L9" s="176"/>
      <c r="M9" s="177"/>
      <c r="N9" s="176"/>
    </row>
    <row r="10" spans="2:23" ht="15" x14ac:dyDescent="0.25">
      <c r="B10" s="177"/>
      <c r="C10" s="176" t="s">
        <v>706</v>
      </c>
      <c r="D10" s="176"/>
      <c r="E10" s="176"/>
      <c r="F10" s="176"/>
      <c r="G10" s="176"/>
      <c r="H10" s="176"/>
      <c r="I10" s="176"/>
      <c r="J10" s="176"/>
      <c r="K10" s="176"/>
      <c r="L10" s="176"/>
      <c r="M10" s="177"/>
      <c r="N10" s="176"/>
    </row>
    <row r="11" spans="2:23" ht="15" x14ac:dyDescent="0.25">
      <c r="B11" s="177"/>
      <c r="C11" s="176" t="s">
        <v>707</v>
      </c>
      <c r="D11" s="176"/>
      <c r="E11" s="176"/>
      <c r="F11" s="176"/>
      <c r="G11" s="176"/>
      <c r="H11" s="176"/>
      <c r="I11" s="176"/>
      <c r="J11" s="176"/>
      <c r="K11" s="176"/>
      <c r="L11" s="176"/>
      <c r="M11" s="177"/>
      <c r="N11" s="176"/>
    </row>
    <row r="12" spans="2:23" ht="14.4" customHeight="1" x14ac:dyDescent="0.25">
      <c r="B12" s="176"/>
      <c r="C12" s="176" t="s">
        <v>708</v>
      </c>
      <c r="D12" s="176"/>
      <c r="E12" s="176"/>
      <c r="F12" s="176"/>
      <c r="G12" s="176"/>
      <c r="H12" s="176"/>
      <c r="I12" s="176"/>
      <c r="J12" s="176"/>
      <c r="K12" s="176"/>
      <c r="L12" s="176"/>
      <c r="M12" s="177"/>
      <c r="N12" s="176"/>
      <c r="U12" s="124"/>
    </row>
    <row r="13" spans="2:23" ht="14.4" customHeight="1" thickBot="1" x14ac:dyDescent="0.3">
      <c r="U13" s="124"/>
    </row>
    <row r="14" spans="2:23" ht="14.4" customHeight="1" thickBot="1" x14ac:dyDescent="0.35">
      <c r="B14" s="124"/>
      <c r="C14" s="2"/>
      <c r="L14" s="1372" t="s">
        <v>238</v>
      </c>
      <c r="M14" s="1436"/>
      <c r="N14" s="110"/>
      <c r="O14" s="1434" t="s">
        <v>211</v>
      </c>
      <c r="P14" s="1434" t="s">
        <v>239</v>
      </c>
      <c r="U14" s="1434" t="s">
        <v>621</v>
      </c>
    </row>
    <row r="15" spans="2:23" ht="13.95" customHeight="1" thickBot="1" x14ac:dyDescent="0.35">
      <c r="D15" s="1016" t="s">
        <v>291</v>
      </c>
      <c r="E15" s="1016" t="s">
        <v>291</v>
      </c>
      <c r="G15" s="1016" t="s">
        <v>291</v>
      </c>
      <c r="I15" s="1016" t="s">
        <v>291</v>
      </c>
      <c r="L15" s="1374"/>
      <c r="M15" s="1437"/>
      <c r="N15" s="288"/>
      <c r="O15" s="1435"/>
      <c r="P15" s="1435"/>
      <c r="R15" s="1432" t="s">
        <v>371</v>
      </c>
      <c r="S15" s="1433"/>
      <c r="T15" s="1016" t="s">
        <v>291</v>
      </c>
      <c r="U15" s="1374"/>
      <c r="V15" s="1432" t="s">
        <v>372</v>
      </c>
      <c r="W15" s="1433"/>
    </row>
    <row r="16" spans="2:23" ht="43.95" customHeight="1" thickBot="1" x14ac:dyDescent="0.3">
      <c r="B16" s="698"/>
      <c r="C16" s="1017" t="s">
        <v>105</v>
      </c>
      <c r="D16" s="1018" t="s">
        <v>105</v>
      </c>
      <c r="E16" s="1019" t="s">
        <v>104</v>
      </c>
      <c r="F16" s="1020" t="s">
        <v>104</v>
      </c>
      <c r="G16" s="1019" t="s">
        <v>104</v>
      </c>
      <c r="H16" s="287" t="s">
        <v>40</v>
      </c>
      <c r="I16" s="1021" t="s">
        <v>40</v>
      </c>
      <c r="J16" s="286" t="s">
        <v>0</v>
      </c>
      <c r="K16" s="1022" t="s">
        <v>30</v>
      </c>
      <c r="L16" s="1390" t="s">
        <v>59</v>
      </c>
      <c r="M16" s="1392"/>
      <c r="N16" s="1023" t="s">
        <v>60</v>
      </c>
      <c r="O16" s="1024" t="s">
        <v>515</v>
      </c>
      <c r="P16" s="1025" t="s">
        <v>61</v>
      </c>
      <c r="Q16" s="1026" t="s">
        <v>62</v>
      </c>
      <c r="R16" s="1024" t="s">
        <v>673</v>
      </c>
      <c r="S16" s="1024" t="s">
        <v>674</v>
      </c>
      <c r="T16" s="1027"/>
      <c r="U16" s="98" t="s">
        <v>366</v>
      </c>
      <c r="V16" s="1024" t="s">
        <v>673</v>
      </c>
      <c r="W16" s="1024" t="s">
        <v>674</v>
      </c>
    </row>
    <row r="17" spans="2:23" ht="15" x14ac:dyDescent="0.25">
      <c r="B17" s="182"/>
      <c r="C17" s="651" t="str">
        <f>D17</f>
        <v>Terminals</v>
      </c>
      <c r="D17" s="619" t="s">
        <v>1</v>
      </c>
      <c r="E17" s="619" t="str">
        <f>G17</f>
        <v>Terminal A</v>
      </c>
      <c r="F17" s="565" t="str">
        <f>VLOOKUP(E17,'Airport Mapping'!$C$5:$D$39,2,FALSE)</f>
        <v xml:space="preserve"> </v>
      </c>
      <c r="G17" s="566" t="s">
        <v>84</v>
      </c>
      <c r="H17" s="651" t="str">
        <f>I17</f>
        <v>Restrooms</v>
      </c>
      <c r="I17" s="454" t="s">
        <v>37</v>
      </c>
      <c r="J17" s="567" t="s">
        <v>2</v>
      </c>
      <c r="K17" s="567" t="s">
        <v>3</v>
      </c>
      <c r="L17" s="1028" t="s">
        <v>64</v>
      </c>
      <c r="M17" s="1029">
        <f>SUMIFS('Level of Efficiency Assumptions'!$J:$J,'Level of Efficiency Assumptions'!$D:$D,I17,'Level of Efficiency Assumptions'!$F:$F,J17,'Level of Efficiency Assumptions'!$I:$I,'Water Use Calcs'!L17)</f>
        <v>3.5</v>
      </c>
      <c r="N17" s="482" t="s">
        <v>68</v>
      </c>
      <c r="O17" s="1030">
        <f>SUMIFS('Detailed Fixture Data'!O:O,'Detailed Fixture Data'!C:C,G17,'Detailed Fixture Data'!E:E,I17,'Detailed Fixture Data'!F:F,J17,'Detailed Fixture Data'!L:L,L17)</f>
        <v>0</v>
      </c>
      <c r="P17" s="1031">
        <f>SUMIFS('Intensity of Use Assumptions'!$J:$J,'Intensity of Use Assumptions'!$D:$D,I17,'Intensity of Use Assumptions'!$G:$G,J17,'Intensity of Use Assumptions'!H:H,K17)</f>
        <v>0.625</v>
      </c>
      <c r="Q17" s="567" t="s">
        <v>67</v>
      </c>
      <c r="R17" s="1032">
        <f>(SUMPRODUCT(M17:M19,O17:O19)*P17)</f>
        <v>0</v>
      </c>
      <c r="S17" s="1033">
        <f>IF(R17=0,0,M19*P17)</f>
        <v>0</v>
      </c>
      <c r="T17" s="225" t="str">
        <f>G17&amp;"-"&amp;J17</f>
        <v>Terminal A-Toilets</v>
      </c>
      <c r="U17" s="1034">
        <f ca="1">IF(ISNA(VLOOKUP(T17,list!$AV$3:$AW$130,2,FALSE)),1,(VLOOKUP(T17,list!$AV$3:$AW$130,2,FALSE)))</f>
        <v>1</v>
      </c>
      <c r="V17" s="1033">
        <f ca="1">R17*U17</f>
        <v>0</v>
      </c>
      <c r="W17" s="1033">
        <f ca="1">S17*U17</f>
        <v>0</v>
      </c>
    </row>
    <row r="18" spans="2:23" ht="15" x14ac:dyDescent="0.25">
      <c r="B18" s="182"/>
      <c r="C18" s="577"/>
      <c r="D18" s="521" t="s">
        <v>1</v>
      </c>
      <c r="E18" s="521"/>
      <c r="F18" s="45"/>
      <c r="G18" s="494" t="s">
        <v>84</v>
      </c>
      <c r="H18" s="577"/>
      <c r="I18" s="450" t="s">
        <v>37</v>
      </c>
      <c r="J18" s="577" t="s">
        <v>2</v>
      </c>
      <c r="K18" s="577"/>
      <c r="L18" s="1035" t="s">
        <v>65</v>
      </c>
      <c r="M18" s="1036">
        <f>SUMIFS('Level of Efficiency Assumptions'!$J:$J,'Level of Efficiency Assumptions'!$D:$D,I18,'Level of Efficiency Assumptions'!$F:$F,J18,'Level of Efficiency Assumptions'!$I:$I,'Water Use Calcs'!L18)</f>
        <v>1.6</v>
      </c>
      <c r="N18" s="885"/>
      <c r="O18" s="1037">
        <f>SUMIFS('Detailed Fixture Data'!O:O,'Detailed Fixture Data'!C:C,G18,'Detailed Fixture Data'!E:E,I18,'Detailed Fixture Data'!F:F,J18,'Detailed Fixture Data'!L:L,L18)</f>
        <v>0</v>
      </c>
      <c r="P18" s="1038"/>
      <c r="Q18" s="577" t="s">
        <v>74</v>
      </c>
      <c r="R18" s="1039"/>
      <c r="S18" s="521"/>
      <c r="T18" s="225"/>
      <c r="U18" s="521"/>
      <c r="V18" s="1040"/>
      <c r="W18" s="1041"/>
    </row>
    <row r="19" spans="2:23" ht="15.75" thickBot="1" x14ac:dyDescent="0.3">
      <c r="B19" s="182"/>
      <c r="C19" s="577"/>
      <c r="D19" s="521" t="s">
        <v>1</v>
      </c>
      <c r="E19" s="521"/>
      <c r="F19" s="45"/>
      <c r="G19" s="494" t="s">
        <v>84</v>
      </c>
      <c r="H19" s="577"/>
      <c r="I19" s="450" t="s">
        <v>37</v>
      </c>
      <c r="J19" s="116" t="s">
        <v>2</v>
      </c>
      <c r="K19" s="116"/>
      <c r="L19" s="1042" t="s">
        <v>66</v>
      </c>
      <c r="M19" s="1043">
        <f>SUMIFS('Level of Efficiency Assumptions'!$J:$J,'Level of Efficiency Assumptions'!$D:$D,I19,'Level of Efficiency Assumptions'!$F:$F,J19,'Level of Efficiency Assumptions'!$I:$I,'Water Use Calcs'!L19)</f>
        <v>1.28</v>
      </c>
      <c r="N19" s="885"/>
      <c r="O19" s="1044">
        <f>SUMIFS('Detailed Fixture Data'!O:O,'Detailed Fixture Data'!C:C,G19,'Detailed Fixture Data'!E:E,I19,'Detailed Fixture Data'!F:F,J19,'Detailed Fixture Data'!L:L,L19)</f>
        <v>0</v>
      </c>
      <c r="P19" s="1038"/>
      <c r="Q19" s="577" t="s">
        <v>75</v>
      </c>
      <c r="R19" s="1039"/>
      <c r="S19" s="618"/>
      <c r="T19" s="225"/>
      <c r="U19" s="618"/>
      <c r="V19" s="1045"/>
      <c r="W19" s="1046"/>
    </row>
    <row r="20" spans="2:23" ht="15" x14ac:dyDescent="0.25">
      <c r="B20" s="182"/>
      <c r="C20" s="577"/>
      <c r="D20" s="521" t="s">
        <v>1</v>
      </c>
      <c r="E20" s="521"/>
      <c r="F20" s="45"/>
      <c r="G20" s="494" t="s">
        <v>84</v>
      </c>
      <c r="H20" s="577"/>
      <c r="I20" s="450" t="s">
        <v>37</v>
      </c>
      <c r="J20" s="577" t="s">
        <v>4</v>
      </c>
      <c r="K20" s="577" t="s">
        <v>3</v>
      </c>
      <c r="L20" s="1047" t="s">
        <v>64</v>
      </c>
      <c r="M20" s="1036">
        <f>SUMIFS('Level of Efficiency Assumptions'!$J:$J,'Level of Efficiency Assumptions'!$D:$D,I20,'Level of Efficiency Assumptions'!$F:$F,J20,'Level of Efficiency Assumptions'!$I:$I,'Water Use Calcs'!L20)</f>
        <v>2</v>
      </c>
      <c r="N20" s="567" t="s">
        <v>68</v>
      </c>
      <c r="O20" s="1048">
        <f>SUMIFS('Detailed Fixture Data'!O:O,'Detailed Fixture Data'!C:C,G20,'Detailed Fixture Data'!E:E,I20,'Detailed Fixture Data'!F:F,J20,'Detailed Fixture Data'!L:L,L20)</f>
        <v>0</v>
      </c>
      <c r="P20" s="1030">
        <f>SUMIFS('Intensity of Use Assumptions'!$J:$J,'Intensity of Use Assumptions'!$D:$D,I20,'Intensity of Use Assumptions'!$G:$G,J20,'Intensity of Use Assumptions'!H:H,K20)</f>
        <v>0.375</v>
      </c>
      <c r="Q20" s="567" t="s">
        <v>67</v>
      </c>
      <c r="R20" s="1032">
        <f>(SUMPRODUCT(M20:M22,O20:O22)*P20)</f>
        <v>0</v>
      </c>
      <c r="S20" s="1033">
        <f>IF(R20=0,0,M22*P20)</f>
        <v>0</v>
      </c>
      <c r="T20" s="225" t="str">
        <f>G20&amp;"-"&amp;J20</f>
        <v>Terminal A-Urinals</v>
      </c>
      <c r="U20" s="1034">
        <f ca="1">IF(ISNA(VLOOKUP(T20,list!$AV$3:$AW$130,2,FALSE)),1,(VLOOKUP(T20,list!$AV$3:$AW$130,2,FALSE)))</f>
        <v>1</v>
      </c>
      <c r="V20" s="1033">
        <f ca="1">R20*U20</f>
        <v>0</v>
      </c>
      <c r="W20" s="1033">
        <f ca="1">S20*U20</f>
        <v>0</v>
      </c>
    </row>
    <row r="21" spans="2:23" ht="15" x14ac:dyDescent="0.25">
      <c r="B21" s="182"/>
      <c r="C21" s="577"/>
      <c r="D21" s="521" t="s">
        <v>1</v>
      </c>
      <c r="E21" s="521"/>
      <c r="F21" s="45"/>
      <c r="G21" s="494" t="s">
        <v>84</v>
      </c>
      <c r="H21" s="577"/>
      <c r="I21" s="450" t="s">
        <v>37</v>
      </c>
      <c r="J21" s="577" t="s">
        <v>4</v>
      </c>
      <c r="K21" s="577"/>
      <c r="L21" s="1035" t="s">
        <v>65</v>
      </c>
      <c r="M21" s="1036">
        <f>SUMIFS('Level of Efficiency Assumptions'!$J:$J,'Level of Efficiency Assumptions'!$D:$D,I21,'Level of Efficiency Assumptions'!$F:$F,J21,'Level of Efficiency Assumptions'!$I:$I,'Water Use Calcs'!L21)</f>
        <v>1</v>
      </c>
      <c r="N21" s="577"/>
      <c r="O21" s="1048">
        <f>SUMIFS('Detailed Fixture Data'!O:O,'Detailed Fixture Data'!C:C,G21,'Detailed Fixture Data'!E:E,I21,'Detailed Fixture Data'!F:F,J21,'Detailed Fixture Data'!L:L,L21)</f>
        <v>0</v>
      </c>
      <c r="P21" s="1049"/>
      <c r="Q21" s="577" t="s">
        <v>76</v>
      </c>
      <c r="R21" s="1039"/>
      <c r="S21" s="521"/>
      <c r="T21" s="225"/>
      <c r="U21" s="521"/>
      <c r="V21" s="1040"/>
      <c r="W21" s="1041"/>
    </row>
    <row r="22" spans="2:23" ht="15.75" thickBot="1" x14ac:dyDescent="0.3">
      <c r="B22" s="182"/>
      <c r="C22" s="577"/>
      <c r="D22" s="521" t="s">
        <v>1</v>
      </c>
      <c r="E22" s="521"/>
      <c r="F22" s="45"/>
      <c r="G22" s="494" t="s">
        <v>84</v>
      </c>
      <c r="H22" s="577"/>
      <c r="I22" s="450" t="s">
        <v>37</v>
      </c>
      <c r="J22" s="116" t="s">
        <v>4</v>
      </c>
      <c r="K22" s="116"/>
      <c r="L22" s="1042" t="s">
        <v>66</v>
      </c>
      <c r="M22" s="1043">
        <f>SUMIFS('Level of Efficiency Assumptions'!$J:$J,'Level of Efficiency Assumptions'!$D:$D,I22,'Level of Efficiency Assumptions'!$F:$F,J22,'Level of Efficiency Assumptions'!$I:$I,'Water Use Calcs'!L22)</f>
        <v>0.125</v>
      </c>
      <c r="N22" s="577"/>
      <c r="O22" s="1048">
        <f>SUMIFS('Detailed Fixture Data'!O:O,'Detailed Fixture Data'!C:C,G22,'Detailed Fixture Data'!E:E,I22,'Detailed Fixture Data'!F:F,J22,'Detailed Fixture Data'!L:L,L22)</f>
        <v>0</v>
      </c>
      <c r="P22" s="1049"/>
      <c r="Q22" s="577"/>
      <c r="R22" s="1039"/>
      <c r="S22" s="618"/>
      <c r="T22" s="225"/>
      <c r="U22" s="618"/>
      <c r="V22" s="1045"/>
      <c r="W22" s="1046"/>
    </row>
    <row r="23" spans="2:23" ht="15" x14ac:dyDescent="0.25">
      <c r="B23" s="182"/>
      <c r="C23" s="577"/>
      <c r="D23" s="521" t="s">
        <v>1</v>
      </c>
      <c r="E23" s="521"/>
      <c r="F23" s="45"/>
      <c r="G23" s="494" t="s">
        <v>84</v>
      </c>
      <c r="H23" s="577"/>
      <c r="I23" s="450" t="s">
        <v>37</v>
      </c>
      <c r="J23" s="577" t="s">
        <v>33</v>
      </c>
      <c r="K23" s="577" t="s">
        <v>3</v>
      </c>
      <c r="L23" s="1047" t="s">
        <v>64</v>
      </c>
      <c r="M23" s="1036">
        <f>SUMIFS('Level of Efficiency Assumptions'!$J:$J,'Level of Efficiency Assumptions'!$D:$D,I23,'Level of Efficiency Assumptions'!$F:$F,J23,'Level of Efficiency Assumptions'!$I:$I,'Water Use Calcs'!L23)</f>
        <v>2</v>
      </c>
      <c r="N23" s="567" t="s">
        <v>78</v>
      </c>
      <c r="O23" s="1048">
        <f>SUMIFS('Detailed Fixture Data'!O:O,'Detailed Fixture Data'!C:C,G23,'Detailed Fixture Data'!E:E,I23,'Detailed Fixture Data'!F:F,J23,'Detailed Fixture Data'!L:L,L23)</f>
        <v>0</v>
      </c>
      <c r="P23" s="1030">
        <f>SUMIFS('Intensity of Use Assumptions'!$J:$J,'Intensity of Use Assumptions'!$D:$D,I23,'Intensity of Use Assumptions'!$G:$G,J23,'Intensity of Use Assumptions'!H:H,K23)</f>
        <v>0.16666666666666666</v>
      </c>
      <c r="Q23" s="567" t="s">
        <v>133</v>
      </c>
      <c r="R23" s="1032">
        <f>(SUMPRODUCT(M23:M25,O23:O25)*P23)</f>
        <v>0</v>
      </c>
      <c r="S23" s="1033">
        <f>IF(R23=0,0,M25*P23)</f>
        <v>0</v>
      </c>
      <c r="T23" s="225" t="str">
        <f>G23&amp;"-"&amp;J23</f>
        <v>Terminal A-Faucets</v>
      </c>
      <c r="U23" s="1034">
        <f ca="1">IF(ISNA(VLOOKUP(T23,list!$AV$3:$AW$130,2,FALSE)),1,(VLOOKUP(T23,list!$AV$3:$AW$130,2,FALSE)))</f>
        <v>1</v>
      </c>
      <c r="V23" s="1033">
        <f ca="1">R23*U23</f>
        <v>0</v>
      </c>
      <c r="W23" s="1033">
        <f ca="1">S23*U23</f>
        <v>0</v>
      </c>
    </row>
    <row r="24" spans="2:23" ht="15" x14ac:dyDescent="0.25">
      <c r="B24" s="182"/>
      <c r="C24" s="577"/>
      <c r="D24" s="521" t="s">
        <v>1</v>
      </c>
      <c r="E24" s="521"/>
      <c r="F24" s="45"/>
      <c r="G24" s="494" t="s">
        <v>84</v>
      </c>
      <c r="H24" s="577"/>
      <c r="I24" s="450" t="s">
        <v>37</v>
      </c>
      <c r="J24" s="577" t="s">
        <v>33</v>
      </c>
      <c r="K24" s="577"/>
      <c r="L24" s="1035" t="s">
        <v>65</v>
      </c>
      <c r="M24" s="1036">
        <f>SUMIFS('Level of Efficiency Assumptions'!$J:$J,'Level of Efficiency Assumptions'!$D:$D,I24,'Level of Efficiency Assumptions'!$F:$F,J24,'Level of Efficiency Assumptions'!$I:$I,'Water Use Calcs'!L24)</f>
        <v>1</v>
      </c>
      <c r="N24" s="577"/>
      <c r="O24" s="1048">
        <f>SUMIFS('Detailed Fixture Data'!O:O,'Detailed Fixture Data'!C:C,G24,'Detailed Fixture Data'!E:E,I24,'Detailed Fixture Data'!F:F,J24,'Detailed Fixture Data'!L:L,L24)</f>
        <v>0</v>
      </c>
      <c r="P24" s="1049"/>
      <c r="Q24" s="577" t="s">
        <v>79</v>
      </c>
      <c r="R24" s="1039"/>
      <c r="S24" s="521"/>
      <c r="T24" s="225"/>
      <c r="U24" s="521"/>
      <c r="V24" s="1040"/>
      <c r="W24" s="1041"/>
    </row>
    <row r="25" spans="2:23" ht="15.75" thickBot="1" x14ac:dyDescent="0.3">
      <c r="B25" s="182"/>
      <c r="C25" s="577"/>
      <c r="D25" s="521" t="s">
        <v>1</v>
      </c>
      <c r="E25" s="521"/>
      <c r="F25" s="45"/>
      <c r="G25" s="494" t="s">
        <v>84</v>
      </c>
      <c r="H25" s="116"/>
      <c r="I25" s="451" t="s">
        <v>37</v>
      </c>
      <c r="J25" s="116" t="s">
        <v>33</v>
      </c>
      <c r="K25" s="116"/>
      <c r="L25" s="1042" t="s">
        <v>66</v>
      </c>
      <c r="M25" s="1043">
        <f>SUMIFS('Level of Efficiency Assumptions'!$J:$J,'Level of Efficiency Assumptions'!$D:$D,I25,'Level of Efficiency Assumptions'!$F:$F,J25,'Level of Efficiency Assumptions'!$I:$I,'Water Use Calcs'!L25)</f>
        <v>0.5</v>
      </c>
      <c r="N25" s="577"/>
      <c r="O25" s="1048">
        <f>SUMIFS('Detailed Fixture Data'!O:O,'Detailed Fixture Data'!C:C,G25,'Detailed Fixture Data'!E:E,I25,'Detailed Fixture Data'!F:F,J25,'Detailed Fixture Data'!L:L,L25)</f>
        <v>0</v>
      </c>
      <c r="P25" s="1049"/>
      <c r="Q25" s="577"/>
      <c r="R25" s="1039"/>
      <c r="S25" s="618"/>
      <c r="T25" s="225"/>
      <c r="U25" s="618"/>
      <c r="V25" s="1045"/>
      <c r="W25" s="1046"/>
    </row>
    <row r="26" spans="2:23" ht="15" x14ac:dyDescent="0.25">
      <c r="B26" s="182"/>
      <c r="C26" s="577"/>
      <c r="D26" s="521" t="s">
        <v>1</v>
      </c>
      <c r="E26" s="521"/>
      <c r="F26" s="45"/>
      <c r="G26" s="494" t="s">
        <v>84</v>
      </c>
      <c r="H26" s="651" t="str">
        <f>I26</f>
        <v>Food Service</v>
      </c>
      <c r="I26" s="450" t="s">
        <v>38</v>
      </c>
      <c r="J26" s="577" t="s">
        <v>114</v>
      </c>
      <c r="K26" s="577" t="s">
        <v>118</v>
      </c>
      <c r="L26" s="1047" t="s">
        <v>64</v>
      </c>
      <c r="M26" s="1036">
        <f>SUMIFS('Level of Efficiency Assumptions'!$J:$J,'Level of Efficiency Assumptions'!$D:$D,I26,'Level of Efficiency Assumptions'!$F:$F,J26,'Level of Efficiency Assumptions'!$I:$I,'Water Use Calcs'!L26)</f>
        <v>2</v>
      </c>
      <c r="N26" s="567" t="s">
        <v>78</v>
      </c>
      <c r="O26" s="1048">
        <f>SUMIFS('Detailed Fixture Data'!O:O,'Detailed Fixture Data'!C:C,G26,'Detailed Fixture Data'!E:E,I26,'Detailed Fixture Data'!F:F,J26,'Detailed Fixture Data'!L:L,L26)</f>
        <v>0</v>
      </c>
      <c r="P26" s="1030">
        <f>SUMIFS('Intensity of Use Assumptions'!$J:$J,'Intensity of Use Assumptions'!$D:$D,I26,'Intensity of Use Assumptions'!$G:$G,J26,'Intensity of Use Assumptions'!H:H,K26)</f>
        <v>1</v>
      </c>
      <c r="Q26" s="567" t="s">
        <v>133</v>
      </c>
      <c r="R26" s="1032">
        <f>(SUMPRODUCT(M26:M28,O26:O28)*P26)</f>
        <v>0</v>
      </c>
      <c r="S26" s="1033">
        <f>IF(R26=0,0,M28*P26)</f>
        <v>0</v>
      </c>
      <c r="T26" s="225" t="str">
        <f>G26&amp;"-"&amp;J26</f>
        <v>Terminal A-Kitchen faucets</v>
      </c>
      <c r="U26" s="1034">
        <f ca="1">IF(ISNA(VLOOKUP(T26,list!$AV$3:$AW$130,2,FALSE)),1,(VLOOKUP(T26,list!$AV$3:$AW$130,2,FALSE)))</f>
        <v>1</v>
      </c>
      <c r="V26" s="1033">
        <f ca="1">R26*U26</f>
        <v>0</v>
      </c>
      <c r="W26" s="1033">
        <f ca="1">S26*U26</f>
        <v>0</v>
      </c>
    </row>
    <row r="27" spans="2:23" ht="15" x14ac:dyDescent="0.25">
      <c r="B27" s="182"/>
      <c r="C27" s="577"/>
      <c r="D27" s="521" t="s">
        <v>1</v>
      </c>
      <c r="E27" s="521"/>
      <c r="F27" s="45"/>
      <c r="G27" s="494" t="s">
        <v>84</v>
      </c>
      <c r="H27" s="577"/>
      <c r="I27" s="450" t="s">
        <v>38</v>
      </c>
      <c r="J27" s="577" t="s">
        <v>114</v>
      </c>
      <c r="K27" s="577"/>
      <c r="L27" s="1035" t="s">
        <v>65</v>
      </c>
      <c r="M27" s="1036">
        <f>SUMIFS('Level of Efficiency Assumptions'!$J:$J,'Level of Efficiency Assumptions'!$D:$D,I27,'Level of Efficiency Assumptions'!$F:$F,J27,'Level of Efficiency Assumptions'!$I:$I,'Water Use Calcs'!L27)</f>
        <v>1</v>
      </c>
      <c r="N27" s="577"/>
      <c r="O27" s="1048">
        <f>SUMIFS('Detailed Fixture Data'!O:O,'Detailed Fixture Data'!C:C,G27,'Detailed Fixture Data'!E:E,I27,'Detailed Fixture Data'!F:F,J27,'Detailed Fixture Data'!L:L,L27)</f>
        <v>0</v>
      </c>
      <c r="P27" s="1049"/>
      <c r="Q27" s="577"/>
      <c r="R27" s="1039"/>
      <c r="S27" s="521"/>
      <c r="T27" s="225"/>
      <c r="U27" s="521"/>
      <c r="V27" s="1040"/>
      <c r="W27" s="1041"/>
    </row>
    <row r="28" spans="2:23" ht="15.75" thickBot="1" x14ac:dyDescent="0.3">
      <c r="B28" s="182"/>
      <c r="C28" s="577"/>
      <c r="D28" s="521" t="s">
        <v>1</v>
      </c>
      <c r="E28" s="521"/>
      <c r="F28" s="45"/>
      <c r="G28" s="494" t="s">
        <v>84</v>
      </c>
      <c r="H28" s="577"/>
      <c r="I28" s="450" t="s">
        <v>38</v>
      </c>
      <c r="J28" s="116" t="s">
        <v>114</v>
      </c>
      <c r="K28" s="116"/>
      <c r="L28" s="1042" t="s">
        <v>66</v>
      </c>
      <c r="M28" s="1043">
        <f>SUMIFS('Level of Efficiency Assumptions'!$J:$J,'Level of Efficiency Assumptions'!$D:$D,I28,'Level of Efficiency Assumptions'!$F:$F,J28,'Level of Efficiency Assumptions'!$I:$I,'Water Use Calcs'!L28)</f>
        <v>0.5</v>
      </c>
      <c r="N28" s="116"/>
      <c r="O28" s="1048">
        <f>SUMIFS('Detailed Fixture Data'!O:O,'Detailed Fixture Data'!C:C,G28,'Detailed Fixture Data'!E:E,I28,'Detailed Fixture Data'!F:F,J28,'Detailed Fixture Data'!L:L,L28)</f>
        <v>0</v>
      </c>
      <c r="P28" s="1049"/>
      <c r="Q28" s="116"/>
      <c r="R28" s="1045"/>
      <c r="S28" s="618"/>
      <c r="T28" s="225"/>
      <c r="U28" s="618"/>
      <c r="V28" s="1045"/>
      <c r="W28" s="1046"/>
    </row>
    <row r="29" spans="2:23" ht="15" x14ac:dyDescent="0.25">
      <c r="B29" s="182"/>
      <c r="C29" s="577"/>
      <c r="D29" s="521" t="s">
        <v>1</v>
      </c>
      <c r="E29" s="521"/>
      <c r="F29" s="180"/>
      <c r="G29" s="521" t="s">
        <v>84</v>
      </c>
      <c r="H29" s="577"/>
      <c r="I29" s="450" t="s">
        <v>38</v>
      </c>
      <c r="J29" s="577" t="s">
        <v>127</v>
      </c>
      <c r="K29" s="577" t="s">
        <v>118</v>
      </c>
      <c r="L29" s="1047" t="s">
        <v>64</v>
      </c>
      <c r="M29" s="1036">
        <f>SUMIFS('Level of Efficiency Assumptions'!$J:$J,'Level of Efficiency Assumptions'!$D:$D,I29,'Level of Efficiency Assumptions'!$F:$F,J29,'Level of Efficiency Assumptions'!$I:$I,'Water Use Calcs'!L29)</f>
        <v>3</v>
      </c>
      <c r="N29" s="567" t="s">
        <v>78</v>
      </c>
      <c r="O29" s="1048">
        <f>SUMIFS('Detailed Fixture Data'!O:O,'Detailed Fixture Data'!C:C,G29,'Detailed Fixture Data'!E:E,I29,'Detailed Fixture Data'!F:F,J29,'Detailed Fixture Data'!L:L,L29)</f>
        <v>0</v>
      </c>
      <c r="P29" s="1030">
        <f>SUMIFS('Intensity of Use Assumptions'!$J:$J,'Intensity of Use Assumptions'!$D:$D,I29,'Intensity of Use Assumptions'!$G:$G,J29,'Intensity of Use Assumptions'!H:H,K29)</f>
        <v>0.02</v>
      </c>
      <c r="Q29" s="577" t="s">
        <v>133</v>
      </c>
      <c r="R29" s="1032">
        <f>(SUMPRODUCT(M29:M31,O29:O31)*P29)</f>
        <v>0</v>
      </c>
      <c r="S29" s="1033">
        <f>IF(R29=0,0,M31*P29)</f>
        <v>0</v>
      </c>
      <c r="T29" s="225" t="str">
        <f>G29&amp;"-"&amp;J29</f>
        <v>Terminal A-Pre-rinse spray valves</v>
      </c>
      <c r="U29" s="1034">
        <f ca="1">IF(ISNA(VLOOKUP(T29,list!$AV$3:$AW$130,2,FALSE)),1,(VLOOKUP(T29,list!$AV$3:$AW$130,2,FALSE)))</f>
        <v>1</v>
      </c>
      <c r="V29" s="1033">
        <f ca="1">R29*U29</f>
        <v>0</v>
      </c>
      <c r="W29" s="1033">
        <f ca="1">S29*U29</f>
        <v>0</v>
      </c>
    </row>
    <row r="30" spans="2:23" ht="15" x14ac:dyDescent="0.25">
      <c r="B30" s="182"/>
      <c r="C30" s="577"/>
      <c r="D30" s="521" t="s">
        <v>1</v>
      </c>
      <c r="E30" s="521"/>
      <c r="F30" s="180"/>
      <c r="G30" s="521" t="s">
        <v>84</v>
      </c>
      <c r="H30" s="577"/>
      <c r="I30" s="450" t="s">
        <v>38</v>
      </c>
      <c r="J30" s="577" t="s">
        <v>127</v>
      </c>
      <c r="K30" s="577"/>
      <c r="L30" s="1035" t="s">
        <v>65</v>
      </c>
      <c r="M30" s="1036">
        <f>SUMIFS('Level of Efficiency Assumptions'!$J:$J,'Level of Efficiency Assumptions'!$D:$D,I30,'Level of Efficiency Assumptions'!$F:$F,J30,'Level of Efficiency Assumptions'!$I:$I,'Water Use Calcs'!L30)</f>
        <v>2</v>
      </c>
      <c r="N30" s="577"/>
      <c r="O30" s="1048">
        <f>SUMIFS('Detailed Fixture Data'!O:O,'Detailed Fixture Data'!C:C,G30,'Detailed Fixture Data'!E:E,I30,'Detailed Fixture Data'!F:F,J30,'Detailed Fixture Data'!L:L,L30)</f>
        <v>0</v>
      </c>
      <c r="P30" s="1049"/>
      <c r="Q30" s="577"/>
      <c r="R30" s="1039"/>
      <c r="S30" s="521"/>
      <c r="T30" s="225"/>
      <c r="U30" s="521"/>
      <c r="V30" s="1040"/>
      <c r="W30" s="1041"/>
    </row>
    <row r="31" spans="2:23" ht="15.75" thickBot="1" x14ac:dyDescent="0.3">
      <c r="B31" s="182"/>
      <c r="C31" s="577"/>
      <c r="D31" s="521" t="s">
        <v>1</v>
      </c>
      <c r="E31" s="521"/>
      <c r="F31" s="180"/>
      <c r="G31" s="521" t="s">
        <v>84</v>
      </c>
      <c r="H31" s="577"/>
      <c r="I31" s="450" t="s">
        <v>38</v>
      </c>
      <c r="J31" s="116" t="s">
        <v>127</v>
      </c>
      <c r="K31" s="116"/>
      <c r="L31" s="1042" t="s">
        <v>66</v>
      </c>
      <c r="M31" s="1043">
        <f>SUMIFS('Level of Efficiency Assumptions'!$J:$J,'Level of Efficiency Assumptions'!$D:$D,I31,'Level of Efficiency Assumptions'!$F:$F,J31,'Level of Efficiency Assumptions'!$I:$I,'Water Use Calcs'!L31)</f>
        <v>1.28</v>
      </c>
      <c r="N31" s="116"/>
      <c r="O31" s="1048">
        <f>SUMIFS('Detailed Fixture Data'!O:O,'Detailed Fixture Data'!C:C,G31,'Detailed Fixture Data'!E:E,I31,'Detailed Fixture Data'!F:F,J31,'Detailed Fixture Data'!L:L,L31)</f>
        <v>0</v>
      </c>
      <c r="P31" s="1049"/>
      <c r="Q31" s="577"/>
      <c r="R31" s="1039"/>
      <c r="S31" s="618"/>
      <c r="T31" s="225"/>
      <c r="U31" s="618"/>
      <c r="V31" s="1045"/>
      <c r="W31" s="1046"/>
    </row>
    <row r="32" spans="2:23" ht="15" x14ac:dyDescent="0.25">
      <c r="B32" s="182"/>
      <c r="C32" s="577"/>
      <c r="D32" s="521" t="s">
        <v>1</v>
      </c>
      <c r="E32" s="521"/>
      <c r="F32" s="45"/>
      <c r="G32" s="494" t="s">
        <v>84</v>
      </c>
      <c r="H32" s="577"/>
      <c r="I32" s="450" t="s">
        <v>38</v>
      </c>
      <c r="J32" s="577" t="s">
        <v>41</v>
      </c>
      <c r="K32" s="577" t="s">
        <v>118</v>
      </c>
      <c r="L32" s="1047" t="s">
        <v>64</v>
      </c>
      <c r="M32" s="1036">
        <f>SUMIFS('Level of Efficiency Assumptions'!$J:$J,'Level of Efficiency Assumptions'!$D:$D,I32,'Level of Efficiency Assumptions'!$F:$F,J32,'Level of Efficiency Assumptions'!$I:$I,'Water Use Calcs'!L32)</f>
        <v>4.5</v>
      </c>
      <c r="N32" s="567" t="s">
        <v>223</v>
      </c>
      <c r="O32" s="1048">
        <f>SUMIFS('Detailed Fixture Data'!O:O,'Detailed Fixture Data'!C:C,G32,'Detailed Fixture Data'!E:E,I32,'Detailed Fixture Data'!F:F,J32,'Detailed Fixture Data'!L:L,L32)</f>
        <v>0</v>
      </c>
      <c r="P32" s="1030">
        <f>SUMIFS('Intensity of Use Assumptions'!$J:$J,'Intensity of Use Assumptions'!$D:$D,I32,'Intensity of Use Assumptions'!$G:$G,J32,'Intensity of Use Assumptions'!H:H,K32)</f>
        <v>0.05</v>
      </c>
      <c r="Q32" s="567" t="s">
        <v>224</v>
      </c>
      <c r="R32" s="1032">
        <f>(SUMPRODUCT(M32:M34,O32:O34)*P32)</f>
        <v>0</v>
      </c>
      <c r="S32" s="1033">
        <f>IF(R32=0,0,M34*P32)</f>
        <v>0</v>
      </c>
      <c r="T32" s="225" t="str">
        <f>G32&amp;"-"&amp;J32</f>
        <v>Terminal A-Dishwashers</v>
      </c>
      <c r="U32" s="1034">
        <f ca="1">IF(ISNA(VLOOKUP(T32,list!$AV$3:$AW$130,2,FALSE)),1,(VLOOKUP(T32,list!$AV$3:$AW$130,2,FALSE)))</f>
        <v>1</v>
      </c>
      <c r="V32" s="1033">
        <f ca="1">R32*U32</f>
        <v>0</v>
      </c>
      <c r="W32" s="1033">
        <f ca="1">S32*U32</f>
        <v>0</v>
      </c>
    </row>
    <row r="33" spans="2:23" ht="15" x14ac:dyDescent="0.25">
      <c r="B33" s="182"/>
      <c r="C33" s="577"/>
      <c r="D33" s="521" t="s">
        <v>1</v>
      </c>
      <c r="E33" s="521"/>
      <c r="F33" s="45"/>
      <c r="G33" s="494" t="s">
        <v>84</v>
      </c>
      <c r="H33" s="577"/>
      <c r="I33" s="450" t="s">
        <v>38</v>
      </c>
      <c r="J33" s="577" t="s">
        <v>41</v>
      </c>
      <c r="K33" s="577"/>
      <c r="L33" s="1035" t="s">
        <v>65</v>
      </c>
      <c r="M33" s="1036">
        <f>SUMIFS('Level of Efficiency Assumptions'!$J:$J,'Level of Efficiency Assumptions'!$D:$D,I33,'Level of Efficiency Assumptions'!$F:$F,J33,'Level of Efficiency Assumptions'!$I:$I,'Water Use Calcs'!L33)</f>
        <v>2.5</v>
      </c>
      <c r="N33" s="577"/>
      <c r="O33" s="1048">
        <f>SUMIFS('Detailed Fixture Data'!O:O,'Detailed Fixture Data'!C:C,G33,'Detailed Fixture Data'!E:E,I33,'Detailed Fixture Data'!F:F,J33,'Detailed Fixture Data'!L:L,L33)</f>
        <v>0</v>
      </c>
      <c r="P33" s="1049"/>
      <c r="Q33" s="576" t="s">
        <v>80</v>
      </c>
      <c r="R33" s="1039"/>
      <c r="S33" s="521"/>
      <c r="T33" s="225"/>
      <c r="U33" s="521"/>
      <c r="V33" s="1040"/>
      <c r="W33" s="1041"/>
    </row>
    <row r="34" spans="2:23" ht="15.75" thickBot="1" x14ac:dyDescent="0.3">
      <c r="B34" s="182"/>
      <c r="C34" s="577"/>
      <c r="D34" s="521" t="s">
        <v>1</v>
      </c>
      <c r="E34" s="521"/>
      <c r="F34" s="45"/>
      <c r="G34" s="494" t="s">
        <v>84</v>
      </c>
      <c r="H34" s="577"/>
      <c r="I34" s="450" t="s">
        <v>38</v>
      </c>
      <c r="J34" s="116" t="s">
        <v>41</v>
      </c>
      <c r="K34" s="116"/>
      <c r="L34" s="1042" t="s">
        <v>66</v>
      </c>
      <c r="M34" s="1043">
        <f>SUMIFS('Level of Efficiency Assumptions'!$J:$J,'Level of Efficiency Assumptions'!$D:$D,I34,'Level of Efficiency Assumptions'!$F:$F,J34,'Level of Efficiency Assumptions'!$I:$I,'Water Use Calcs'!L34)</f>
        <v>1</v>
      </c>
      <c r="N34" s="577"/>
      <c r="O34" s="1048">
        <f>SUMIFS('Detailed Fixture Data'!O:O,'Detailed Fixture Data'!C:C,G34,'Detailed Fixture Data'!E:E,I34,'Detailed Fixture Data'!F:F,J34,'Detailed Fixture Data'!L:L,L34)</f>
        <v>0</v>
      </c>
      <c r="P34" s="1049"/>
      <c r="Q34" s="577"/>
      <c r="R34" s="1039"/>
      <c r="S34" s="618"/>
      <c r="T34" s="225"/>
      <c r="U34" s="618"/>
      <c r="V34" s="1045"/>
      <c r="W34" s="1046"/>
    </row>
    <row r="35" spans="2:23" ht="15" x14ac:dyDescent="0.25">
      <c r="B35" s="182"/>
      <c r="C35" s="577"/>
      <c r="D35" s="521" t="s">
        <v>1</v>
      </c>
      <c r="E35" s="521"/>
      <c r="F35" s="45"/>
      <c r="G35" s="494" t="s">
        <v>84</v>
      </c>
      <c r="H35" s="577"/>
      <c r="I35" s="450" t="s">
        <v>38</v>
      </c>
      <c r="J35" s="577" t="s">
        <v>20</v>
      </c>
      <c r="K35" s="577" t="s">
        <v>118</v>
      </c>
      <c r="L35" s="1047" t="s">
        <v>64</v>
      </c>
      <c r="M35" s="1036">
        <f>SUMIFS('Level of Efficiency Assumptions'!$J:$J,'Level of Efficiency Assumptions'!$D:$D,I35,'Level of Efficiency Assumptions'!$F:$F,J35,'Level of Efficiency Assumptions'!$I:$I,'Water Use Calcs'!L35)</f>
        <v>1.5</v>
      </c>
      <c r="N35" s="567" t="s">
        <v>222</v>
      </c>
      <c r="O35" s="1030">
        <f>SUMIFS('Detailed Fixture Data'!O:O,'Detailed Fixture Data'!C:C,G35,'Detailed Fixture Data'!E:E,I35,'Detailed Fixture Data'!F:F,J35,'Detailed Fixture Data'!L:L,L35)</f>
        <v>0</v>
      </c>
      <c r="P35" s="1030">
        <f>SUMIFS('Intensity of Use Assumptions'!$J:$J,'Intensity of Use Assumptions'!$D:$D,I35,'Intensity of Use Assumptions'!$G:$G,J35,'Intensity of Use Assumptions'!H:H,K35)</f>
        <v>0.5</v>
      </c>
      <c r="Q35" s="567" t="s">
        <v>221</v>
      </c>
      <c r="R35" s="1032">
        <f>(SUMPRODUCT(M35:M37,O35:O37)*P35)</f>
        <v>0</v>
      </c>
      <c r="S35" s="1033">
        <f>IF(R35=0,0,M37*P35)</f>
        <v>0</v>
      </c>
      <c r="T35" s="225" t="str">
        <f>G35&amp;"-"&amp;J35</f>
        <v>Terminal A-Ice machines</v>
      </c>
      <c r="U35" s="1034">
        <f ca="1">IF(ISNA(VLOOKUP(T35,list!$AV$3:$AW$130,2,FALSE)),1,(VLOOKUP(T35,list!$AV$3:$AW$130,2,FALSE)))</f>
        <v>1</v>
      </c>
      <c r="V35" s="1033">
        <f ca="1">R35*U35</f>
        <v>0</v>
      </c>
      <c r="W35" s="1033">
        <f ca="1">S35*U35</f>
        <v>0</v>
      </c>
    </row>
    <row r="36" spans="2:23" ht="15" x14ac:dyDescent="0.25">
      <c r="B36" s="182"/>
      <c r="C36" s="577"/>
      <c r="D36" s="521" t="s">
        <v>1</v>
      </c>
      <c r="E36" s="521"/>
      <c r="F36" s="45"/>
      <c r="G36" s="494" t="s">
        <v>84</v>
      </c>
      <c r="H36" s="577"/>
      <c r="I36" s="450" t="s">
        <v>38</v>
      </c>
      <c r="J36" s="577" t="s">
        <v>20</v>
      </c>
      <c r="K36" s="577"/>
      <c r="L36" s="1035" t="s">
        <v>65</v>
      </c>
      <c r="M36" s="1036">
        <f>SUMIFS('Level of Efficiency Assumptions'!$J:$J,'Level of Efficiency Assumptions'!$D:$D,I36,'Level of Efficiency Assumptions'!$F:$F,J36,'Level of Efficiency Assumptions'!$I:$I,'Water Use Calcs'!L36)</f>
        <v>0.25</v>
      </c>
      <c r="N36" s="577"/>
      <c r="O36" s="1037">
        <f>SUMIFS('Detailed Fixture Data'!O:O,'Detailed Fixture Data'!C:C,G36,'Detailed Fixture Data'!E:E,I36,'Detailed Fixture Data'!F:F,J36,'Detailed Fixture Data'!L:L,L36)</f>
        <v>0</v>
      </c>
      <c r="P36" s="1049"/>
      <c r="Q36" s="577"/>
      <c r="R36" s="1039"/>
      <c r="S36" s="521"/>
      <c r="T36" s="225"/>
      <c r="U36" s="521"/>
      <c r="V36" s="1040"/>
      <c r="W36" s="1041"/>
    </row>
    <row r="37" spans="2:23" ht="15" thickBot="1" x14ac:dyDescent="0.35">
      <c r="B37" s="182"/>
      <c r="C37" s="577"/>
      <c r="D37" s="521" t="s">
        <v>1</v>
      </c>
      <c r="E37" s="521"/>
      <c r="F37" s="45"/>
      <c r="G37" s="494" t="s">
        <v>84</v>
      </c>
      <c r="H37" s="116"/>
      <c r="I37" s="451" t="s">
        <v>38</v>
      </c>
      <c r="J37" s="116" t="s">
        <v>20</v>
      </c>
      <c r="K37" s="116"/>
      <c r="L37" s="1042" t="s">
        <v>66</v>
      </c>
      <c r="M37" s="1043">
        <f>SUMIFS('Level of Efficiency Assumptions'!$J:$J,'Level of Efficiency Assumptions'!$D:$D,I37,'Level of Efficiency Assumptions'!$F:$F,J37,'Level of Efficiency Assumptions'!$I:$I,'Water Use Calcs'!L37)</f>
        <v>0.12</v>
      </c>
      <c r="N37" s="577"/>
      <c r="O37" s="1044">
        <f>SUMIFS('Detailed Fixture Data'!O:O,'Detailed Fixture Data'!C:C,G37,'Detailed Fixture Data'!E:E,I37,'Detailed Fixture Data'!F:F,J37,'Detailed Fixture Data'!L:L,L37)</f>
        <v>0</v>
      </c>
      <c r="P37" s="1049"/>
      <c r="Q37" s="577"/>
      <c r="R37" s="1039"/>
      <c r="S37" s="618"/>
      <c r="T37" s="225"/>
      <c r="U37" s="618"/>
      <c r="V37" s="1045"/>
      <c r="W37" s="1046"/>
    </row>
    <row r="38" spans="2:23" x14ac:dyDescent="0.3">
      <c r="B38" s="182"/>
      <c r="C38" s="577"/>
      <c r="D38" s="521" t="s">
        <v>1</v>
      </c>
      <c r="E38" s="521"/>
      <c r="F38" s="45"/>
      <c r="G38" s="494" t="s">
        <v>84</v>
      </c>
      <c r="H38" s="651" t="str">
        <f>I38</f>
        <v>Landscaping</v>
      </c>
      <c r="I38" s="450" t="s">
        <v>39</v>
      </c>
      <c r="J38" s="577" t="s">
        <v>42</v>
      </c>
      <c r="K38" s="577" t="s">
        <v>32</v>
      </c>
      <c r="L38" s="1047" t="s">
        <v>64</v>
      </c>
      <c r="M38" s="1284">
        <f>SUMIFS('Level of Efficiency Assumptions'!$J:$J,'Level of Efficiency Assumptions'!$D:$D,I38,'Level of Efficiency Assumptions'!$F:$F,J38,'Level of Efficiency Assumptions'!$I:$I,'Water Use Calcs'!L38)</f>
        <v>28.6</v>
      </c>
      <c r="N38" s="567" t="s">
        <v>816</v>
      </c>
      <c r="O38" s="1030">
        <f>SUMIFS('Detailed Fixture Data'!O:O,'Detailed Fixture Data'!C:C,G38,'Detailed Fixture Data'!E:E,I38,'Detailed Fixture Data'!F:F,J38,'Detailed Fixture Data'!L:L,L38)</f>
        <v>0</v>
      </c>
      <c r="P38" s="1030">
        <f>SUMIFS('Intensity of Use Assumptions'!$J:$J,'Intensity of Use Assumptions'!$D:$D,I38,'Intensity of Use Assumptions'!$G:$G,J38,'Intensity of Use Assumptions'!H:H,K38,'Intensity of Use Assumptions'!F:F,D38)</f>
        <v>2.7397260273972603E-3</v>
      </c>
      <c r="Q38" s="567" t="s">
        <v>815</v>
      </c>
      <c r="R38" s="1032">
        <f>(SUMPRODUCT(M38:M40,O38:O40)*P38)</f>
        <v>0</v>
      </c>
      <c r="S38" s="1033">
        <f>IF(R38=0,0,M40*P38)</f>
        <v>0</v>
      </c>
      <c r="T38" s="225" t="str">
        <f>G38&amp;"-"&amp;J38</f>
        <v>Terminal A-Outdoor irrigation</v>
      </c>
      <c r="U38" s="1034">
        <f ca="1">IF(ISNA(VLOOKUP(T38,list!$AV$3:$AW$130,2,FALSE)),1,(VLOOKUP(T38,list!$AV$3:$AW$130,2,FALSE)))</f>
        <v>1</v>
      </c>
      <c r="V38" s="1033">
        <f ca="1">R38*U38</f>
        <v>0</v>
      </c>
      <c r="W38" s="1033">
        <f ca="1">S38*U38</f>
        <v>0</v>
      </c>
    </row>
    <row r="39" spans="2:23" x14ac:dyDescent="0.3">
      <c r="B39" s="182"/>
      <c r="C39" s="577"/>
      <c r="D39" s="521" t="s">
        <v>1</v>
      </c>
      <c r="E39" s="521"/>
      <c r="F39" s="45"/>
      <c r="G39" s="494" t="s">
        <v>84</v>
      </c>
      <c r="H39" s="577"/>
      <c r="I39" s="450" t="s">
        <v>39</v>
      </c>
      <c r="J39" s="577" t="s">
        <v>42</v>
      </c>
      <c r="K39" s="577"/>
      <c r="L39" s="1035" t="s">
        <v>65</v>
      </c>
      <c r="M39" s="1284">
        <f>SUMIFS('Level of Efficiency Assumptions'!$J:$J,'Level of Efficiency Assumptions'!$D:$D,I39,'Level of Efficiency Assumptions'!$F:$F,J39,'Level of Efficiency Assumptions'!$I:$I,'Water Use Calcs'!L39)</f>
        <v>13.980821518350929</v>
      </c>
      <c r="N39" s="577"/>
      <c r="O39" s="1037">
        <f>SUMIFS('Detailed Fixture Data'!O:O,'Detailed Fixture Data'!C:C,G39,'Detailed Fixture Data'!E:E,I39,'Detailed Fixture Data'!F:F,J39,'Detailed Fixture Data'!L:L,L39)</f>
        <v>0</v>
      </c>
      <c r="P39" s="1049"/>
      <c r="Q39" s="577"/>
      <c r="R39" s="1039"/>
      <c r="S39" s="521"/>
      <c r="T39" s="225"/>
      <c r="U39" s="521"/>
      <c r="V39" s="1040"/>
      <c r="W39" s="1041"/>
    </row>
    <row r="40" spans="2:23" ht="15" thickBot="1" x14ac:dyDescent="0.35">
      <c r="B40" s="182"/>
      <c r="C40" s="577"/>
      <c r="D40" s="521" t="s">
        <v>1</v>
      </c>
      <c r="E40" s="521"/>
      <c r="F40" s="45"/>
      <c r="G40" s="494" t="s">
        <v>84</v>
      </c>
      <c r="H40" s="116"/>
      <c r="I40" s="451" t="s">
        <v>39</v>
      </c>
      <c r="J40" s="116" t="s">
        <v>42</v>
      </c>
      <c r="K40" s="116"/>
      <c r="L40" s="1042" t="s">
        <v>66</v>
      </c>
      <c r="M40" s="1285">
        <f>SUMIFS('Level of Efficiency Assumptions'!$J:$J,'Level of Efficiency Assumptions'!$D:$D,I40,'Level of Efficiency Assumptions'!$F:$F,J40,'Level of Efficiency Assumptions'!$I:$I,'Water Use Calcs'!L40)</f>
        <v>0.59137254901960778</v>
      </c>
      <c r="N40" s="577"/>
      <c r="O40" s="1044">
        <f>SUMIFS('Detailed Fixture Data'!O:O,'Detailed Fixture Data'!C:C,G40,'Detailed Fixture Data'!E:E,I40,'Detailed Fixture Data'!F:F,J40,'Detailed Fixture Data'!L:L,L40)</f>
        <v>0</v>
      </c>
      <c r="P40" s="1049"/>
      <c r="Q40" s="577"/>
      <c r="R40" s="1039"/>
      <c r="S40" s="618"/>
      <c r="T40" s="225"/>
      <c r="U40" s="618"/>
      <c r="V40" s="1045"/>
      <c r="W40" s="1046"/>
    </row>
    <row r="41" spans="2:23" x14ac:dyDescent="0.3">
      <c r="B41" s="182"/>
      <c r="C41" s="577"/>
      <c r="D41" s="521" t="s">
        <v>1</v>
      </c>
      <c r="E41" s="521"/>
      <c r="F41" s="45"/>
      <c r="G41" s="494" t="s">
        <v>84</v>
      </c>
      <c r="H41" s="651" t="str">
        <f>I41</f>
        <v>Maintenance</v>
      </c>
      <c r="I41" s="450" t="s">
        <v>43</v>
      </c>
      <c r="J41" s="577" t="s">
        <v>111</v>
      </c>
      <c r="K41" s="217" t="s">
        <v>424</v>
      </c>
      <c r="L41" s="1047" t="s">
        <v>64</v>
      </c>
      <c r="M41" s="1036">
        <f>SUMIFS('Level of Efficiency Assumptions'!$J:$J,'Level of Efficiency Assumptions'!$D:$D,I41,'Level of Efficiency Assumptions'!$F:$F,J41,'Level of Efficiency Assumptions'!$I:$I,'Water Use Calcs'!L41)</f>
        <v>100</v>
      </c>
      <c r="N41" s="567" t="s">
        <v>659</v>
      </c>
      <c r="O41" s="1048">
        <f>SUMIFS('Detailed Fixture Data'!O:O,'Detailed Fixture Data'!C:C,G41,'Detailed Fixture Data'!E:E,I41,'Detailed Fixture Data'!F:F,J41,'Detailed Fixture Data'!L:L,L41)</f>
        <v>0</v>
      </c>
      <c r="P41" s="1030">
        <f>SUMIFS('Intensity of Use Assumptions'!$J:$J,'Intensity of Use Assumptions'!$D:$D,I41,'Intensity of Use Assumptions'!$G:$G,J41,'Intensity of Use Assumptions'!H:H,K41)</f>
        <v>1</v>
      </c>
      <c r="Q41" s="567" t="s">
        <v>67</v>
      </c>
      <c r="R41" s="1032">
        <f>(SUMPRODUCT(M41:M43,O41:O43)*P41)</f>
        <v>0</v>
      </c>
      <c r="S41" s="1033">
        <f>IF(R41=0,0,M43*P41)</f>
        <v>0</v>
      </c>
      <c r="T41" s="225" t="str">
        <f>G41&amp;"-"&amp;J41</f>
        <v>Terminal A-Boiler</v>
      </c>
      <c r="U41" s="1034">
        <f ca="1">IF(ISNA(VLOOKUP(T41,list!$AV$3:$AW$130,2,FALSE)),1,(VLOOKUP(T41,list!$AV$3:$AW$130,2,FALSE)))</f>
        <v>1</v>
      </c>
      <c r="V41" s="1033">
        <f ca="1">R41*U41</f>
        <v>0</v>
      </c>
      <c r="W41" s="1033">
        <f ca="1">S41*U41</f>
        <v>0</v>
      </c>
    </row>
    <row r="42" spans="2:23" x14ac:dyDescent="0.3">
      <c r="B42" s="182"/>
      <c r="C42" s="577"/>
      <c r="D42" s="521" t="s">
        <v>1</v>
      </c>
      <c r="E42" s="521"/>
      <c r="F42" s="45"/>
      <c r="G42" s="494" t="s">
        <v>84</v>
      </c>
      <c r="H42" s="577"/>
      <c r="I42" s="450" t="s">
        <v>43</v>
      </c>
      <c r="J42" s="577" t="s">
        <v>111</v>
      </c>
      <c r="K42" s="382"/>
      <c r="L42" s="1035" t="s">
        <v>65</v>
      </c>
      <c r="M42" s="1036">
        <f>SUMIFS('Level of Efficiency Assumptions'!$J:$J,'Level of Efficiency Assumptions'!$D:$D,I42,'Level of Efficiency Assumptions'!$F:$F,J42,'Level of Efficiency Assumptions'!$I:$I,'Water Use Calcs'!L42)</f>
        <v>75</v>
      </c>
      <c r="N42" s="577"/>
      <c r="O42" s="1048">
        <f>SUMIFS('Detailed Fixture Data'!O:O,'Detailed Fixture Data'!C:C,G42,'Detailed Fixture Data'!E:E,I42,'Detailed Fixture Data'!F:F,J42,'Detailed Fixture Data'!L:L,L42)</f>
        <v>0</v>
      </c>
      <c r="P42" s="1049"/>
      <c r="Q42" s="577"/>
      <c r="R42" s="1039"/>
      <c r="S42" s="521"/>
      <c r="T42" s="225"/>
      <c r="U42" s="521"/>
      <c r="V42" s="1040"/>
      <c r="W42" s="1041"/>
    </row>
    <row r="43" spans="2:23" ht="15" thickBot="1" x14ac:dyDescent="0.35">
      <c r="B43" s="182"/>
      <c r="C43" s="577"/>
      <c r="D43" s="521" t="s">
        <v>1</v>
      </c>
      <c r="E43" s="521"/>
      <c r="F43" s="45"/>
      <c r="G43" s="494" t="s">
        <v>84</v>
      </c>
      <c r="H43" s="577"/>
      <c r="I43" s="450" t="s">
        <v>43</v>
      </c>
      <c r="J43" s="116" t="s">
        <v>111</v>
      </c>
      <c r="K43" s="116"/>
      <c r="L43" s="1042" t="s">
        <v>66</v>
      </c>
      <c r="M43" s="1043">
        <f>SUMIFS('Level of Efficiency Assumptions'!$J:$J,'Level of Efficiency Assumptions'!$D:$D,I43,'Level of Efficiency Assumptions'!$F:$F,J43,'Level of Efficiency Assumptions'!$I:$I,'Water Use Calcs'!L43)</f>
        <v>50</v>
      </c>
      <c r="N43" s="577"/>
      <c r="O43" s="1048">
        <f>SUMIFS('Detailed Fixture Data'!O:O,'Detailed Fixture Data'!C:C,G43,'Detailed Fixture Data'!E:E,I43,'Detailed Fixture Data'!F:F,J43,'Detailed Fixture Data'!L:L,L43)</f>
        <v>0</v>
      </c>
      <c r="P43" s="1049"/>
      <c r="Q43" s="577"/>
      <c r="R43" s="1039"/>
      <c r="S43" s="618"/>
      <c r="T43" s="225"/>
      <c r="U43" s="618"/>
      <c r="V43" s="1045"/>
      <c r="W43" s="1046"/>
    </row>
    <row r="44" spans="2:23" x14ac:dyDescent="0.3">
      <c r="B44" s="182"/>
      <c r="C44" s="577"/>
      <c r="D44" s="521" t="s">
        <v>1</v>
      </c>
      <c r="E44" s="521"/>
      <c r="F44" s="45"/>
      <c r="G44" s="494" t="s">
        <v>84</v>
      </c>
      <c r="H44" s="577"/>
      <c r="I44" s="450" t="s">
        <v>43</v>
      </c>
      <c r="J44" s="577" t="s">
        <v>7</v>
      </c>
      <c r="K44" s="215" t="s">
        <v>365</v>
      </c>
      <c r="L44" s="1012" t="s">
        <v>257</v>
      </c>
      <c r="M44" s="1050"/>
      <c r="N44" s="1050"/>
      <c r="O44" s="1050"/>
      <c r="P44" s="1051"/>
      <c r="Q44" s="981"/>
      <c r="R44" s="1052">
        <f>SUMIFS('Cooling Data'!H:H,'Cooling Data'!$C:$C,$G44,'Cooling Data'!$E:$E,$I44,'Cooling Data'!$F:$F,$J44)</f>
        <v>0</v>
      </c>
      <c r="S44" s="1052">
        <f>SUMIFS('Cooling Data'!J:J,'Cooling Data'!$C:$C,$G44,'Cooling Data'!$E:$E,$I44,'Cooling Data'!$F:$F,$J44)</f>
        <v>0</v>
      </c>
      <c r="T44" s="225" t="str">
        <f>G44&amp;"-"&amp;J44</f>
        <v>Terminal A-Cooling</v>
      </c>
      <c r="U44" s="1034">
        <f ca="1">IF(ISNA(VLOOKUP(T44,list!$AV$3:$AW$130,2,FALSE)),1,(VLOOKUP(T44,list!$AV$3:$AW$130,2,FALSE)))</f>
        <v>1</v>
      </c>
      <c r="V44" s="1033">
        <f ca="1">R44*U44</f>
        <v>0</v>
      </c>
      <c r="W44" s="1033">
        <f ca="1">S44*U44</f>
        <v>0</v>
      </c>
    </row>
    <row r="45" spans="2:23" x14ac:dyDescent="0.3">
      <c r="B45" s="182"/>
      <c r="C45" s="577"/>
      <c r="D45" s="521" t="s">
        <v>1</v>
      </c>
      <c r="E45" s="521"/>
      <c r="F45" s="45"/>
      <c r="G45" s="494" t="s">
        <v>84</v>
      </c>
      <c r="H45" s="577"/>
      <c r="I45" s="450" t="s">
        <v>43</v>
      </c>
      <c r="J45" s="577" t="s">
        <v>7</v>
      </c>
      <c r="K45" s="577"/>
      <c r="L45" s="206"/>
      <c r="M45" s="181"/>
      <c r="N45" s="181"/>
      <c r="O45" s="181"/>
      <c r="P45" s="1053"/>
      <c r="Q45" s="439"/>
      <c r="R45" s="1039"/>
      <c r="S45" s="521"/>
      <c r="T45" s="225"/>
      <c r="U45" s="521"/>
      <c r="V45" s="1040"/>
      <c r="W45" s="1041"/>
    </row>
    <row r="46" spans="2:23" ht="15" thickBot="1" x14ac:dyDescent="0.35">
      <c r="B46" s="182"/>
      <c r="C46" s="577"/>
      <c r="D46" s="521" t="s">
        <v>1</v>
      </c>
      <c r="E46" s="521"/>
      <c r="F46" s="45"/>
      <c r="G46" s="494" t="s">
        <v>84</v>
      </c>
      <c r="H46" s="577"/>
      <c r="I46" s="450" t="s">
        <v>43</v>
      </c>
      <c r="J46" s="116" t="s">
        <v>7</v>
      </c>
      <c r="K46" s="116"/>
      <c r="L46" s="207"/>
      <c r="M46" s="924"/>
      <c r="N46" s="924"/>
      <c r="O46" s="924"/>
      <c r="P46" s="1054"/>
      <c r="Q46" s="606"/>
      <c r="R46" s="1039"/>
      <c r="S46" s="618"/>
      <c r="T46" s="225"/>
      <c r="U46" s="618"/>
      <c r="V46" s="1045"/>
      <c r="W46" s="1046"/>
    </row>
    <row r="47" spans="2:23" x14ac:dyDescent="0.3">
      <c r="B47" s="182"/>
      <c r="C47" s="577"/>
      <c r="D47" s="521" t="s">
        <v>1</v>
      </c>
      <c r="E47" s="521"/>
      <c r="F47" s="45"/>
      <c r="G47" s="494" t="s">
        <v>84</v>
      </c>
      <c r="H47" s="577"/>
      <c r="I47" s="450" t="s">
        <v>43</v>
      </c>
      <c r="J47" s="577" t="s">
        <v>426</v>
      </c>
      <c r="K47" s="577" t="s">
        <v>3</v>
      </c>
      <c r="L47" s="1047" t="s">
        <v>64</v>
      </c>
      <c r="M47" s="1036">
        <f>SUMIFS('Level of Efficiency Assumptions'!$J:$J,'Level of Efficiency Assumptions'!$D:$D,I47,'Level of Efficiency Assumptions'!$F:$F,J47,'Level of Efficiency Assumptions'!$I:$I,'Water Use Calcs'!L47)</f>
        <v>10</v>
      </c>
      <c r="N47" s="567" t="s">
        <v>660</v>
      </c>
      <c r="O47" s="1048">
        <f>SUMIFS('Detailed Fixture Data'!O:O,'Detailed Fixture Data'!C:C,G47,'Detailed Fixture Data'!E:E,I47,'Detailed Fixture Data'!F:F,J47,'Detailed Fixture Data'!L:L,L47)</f>
        <v>0</v>
      </c>
      <c r="P47" s="1030">
        <f>SUMIFS('Intensity of Use Assumptions'!$J:$J,'Intensity of Use Assumptions'!$D:$D,I47,'Intensity of Use Assumptions'!$G:$G,J47,'Intensity of Use Assumptions'!H:H,K47)</f>
        <v>1E-3</v>
      </c>
      <c r="Q47" s="567" t="s">
        <v>67</v>
      </c>
      <c r="R47" s="1032">
        <f>(SUMPRODUCT(M47:M49,O47:O49)*P47)</f>
        <v>0</v>
      </c>
      <c r="S47" s="1033">
        <f>IF(R47=0,0,M49*P47)</f>
        <v>0</v>
      </c>
      <c r="T47" s="225" t="str">
        <f>G47&amp;"-"&amp;J47</f>
        <v>Terminal A-Pavement cleaning</v>
      </c>
      <c r="U47" s="1034">
        <f ca="1">IF(ISNA(VLOOKUP(T47,list!$AV$3:$AW$130,2,FALSE)),1,(VLOOKUP(T47,list!$AV$3:$AW$130,2,FALSE)))</f>
        <v>1</v>
      </c>
      <c r="V47" s="1033">
        <f ca="1">R47*U47</f>
        <v>0</v>
      </c>
      <c r="W47" s="1033">
        <f ca="1">S47*U47</f>
        <v>0</v>
      </c>
    </row>
    <row r="48" spans="2:23" x14ac:dyDescent="0.3">
      <c r="B48" s="182"/>
      <c r="C48" s="577"/>
      <c r="D48" s="521" t="s">
        <v>1</v>
      </c>
      <c r="E48" s="521"/>
      <c r="F48" s="45"/>
      <c r="G48" s="494" t="s">
        <v>84</v>
      </c>
      <c r="H48" s="577"/>
      <c r="I48" s="450" t="s">
        <v>43</v>
      </c>
      <c r="J48" s="577" t="s">
        <v>426</v>
      </c>
      <c r="K48" s="577"/>
      <c r="L48" s="1035" t="s">
        <v>65</v>
      </c>
      <c r="M48" s="1036">
        <f>SUMIFS('Level of Efficiency Assumptions'!$J:$J,'Level of Efficiency Assumptions'!$D:$D,I48,'Level of Efficiency Assumptions'!$F:$F,J48,'Level of Efficiency Assumptions'!$I:$I,'Water Use Calcs'!L48)</f>
        <v>7.5</v>
      </c>
      <c r="N48" s="577"/>
      <c r="O48" s="1048">
        <f>SUMIFS('Detailed Fixture Data'!O:O,'Detailed Fixture Data'!C:C,G48,'Detailed Fixture Data'!E:E,I48,'Detailed Fixture Data'!F:F,J48,'Detailed Fixture Data'!L:L,L48)</f>
        <v>0</v>
      </c>
      <c r="P48" s="1049"/>
      <c r="Q48" s="577"/>
      <c r="R48" s="1039"/>
      <c r="S48" s="521"/>
      <c r="T48" s="225"/>
      <c r="U48" s="521"/>
      <c r="V48" s="1040"/>
      <c r="W48" s="1041"/>
    </row>
    <row r="49" spans="2:23" ht="15" thickBot="1" x14ac:dyDescent="0.35">
      <c r="B49" s="182"/>
      <c r="C49" s="577"/>
      <c r="D49" s="521" t="s">
        <v>1</v>
      </c>
      <c r="E49" s="521"/>
      <c r="F49" s="45"/>
      <c r="G49" s="494" t="s">
        <v>84</v>
      </c>
      <c r="H49" s="116"/>
      <c r="I49" s="451" t="s">
        <v>43</v>
      </c>
      <c r="J49" s="116" t="s">
        <v>426</v>
      </c>
      <c r="K49" s="116"/>
      <c r="L49" s="1042" t="s">
        <v>66</v>
      </c>
      <c r="M49" s="1043">
        <f>SUMIFS('Level of Efficiency Assumptions'!$J:$J,'Level of Efficiency Assumptions'!$D:$D,I49,'Level of Efficiency Assumptions'!$F:$F,J49,'Level of Efficiency Assumptions'!$I:$I,'Water Use Calcs'!L49)</f>
        <v>5</v>
      </c>
      <c r="N49" s="577"/>
      <c r="O49" s="1048">
        <f>SUMIFS('Detailed Fixture Data'!O:O,'Detailed Fixture Data'!C:C,G49,'Detailed Fixture Data'!E:E,I49,'Detailed Fixture Data'!F:F,J49,'Detailed Fixture Data'!L:L,L49)</f>
        <v>0</v>
      </c>
      <c r="P49" s="1049"/>
      <c r="Q49" s="577"/>
      <c r="R49" s="1039"/>
      <c r="S49" s="618"/>
      <c r="T49" s="225"/>
      <c r="U49" s="618"/>
      <c r="V49" s="1045"/>
      <c r="W49" s="1046"/>
    </row>
    <row r="50" spans="2:23" x14ac:dyDescent="0.3">
      <c r="B50" s="182"/>
      <c r="C50" s="577"/>
      <c r="D50" s="521" t="s">
        <v>1</v>
      </c>
      <c r="E50" s="521"/>
      <c r="F50" s="45"/>
      <c r="G50" s="494" t="s">
        <v>84</v>
      </c>
      <c r="H50" s="651" t="str">
        <f>I50</f>
        <v>Other</v>
      </c>
      <c r="I50" s="450" t="s">
        <v>8</v>
      </c>
      <c r="J50" s="577" t="s">
        <v>52</v>
      </c>
      <c r="K50" s="387" t="s">
        <v>362</v>
      </c>
      <c r="L50" s="1047" t="s">
        <v>64</v>
      </c>
      <c r="M50" s="1036">
        <f>SUMIFS('Level of Efficiency Assumptions'!$J:$J,'Level of Efficiency Assumptions'!$D:$D,I50,'Level of Efficiency Assumptions'!$F:$F,J50,'Level of Efficiency Assumptions'!$I:$I,'Water Use Calcs'!L50)</f>
        <v>10</v>
      </c>
      <c r="N50" s="567" t="s">
        <v>660</v>
      </c>
      <c r="O50" s="1048">
        <f>SUMIFS('Detailed Fixture Data'!O:O,'Detailed Fixture Data'!C:C,G50,'Detailed Fixture Data'!E:E,I50,'Detailed Fixture Data'!F:F,J50,'Detailed Fixture Data'!L:L,L50)</f>
        <v>0</v>
      </c>
      <c r="P50" s="1030">
        <f>SUMIFS('Intensity of Use Assumptions'!$J:$J,'Intensity of Use Assumptions'!$D:$D,I50,'Intensity of Use Assumptions'!$G:$G,J50,'Intensity of Use Assumptions'!H:H,K50)</f>
        <v>1</v>
      </c>
      <c r="Q50" s="567" t="s">
        <v>67</v>
      </c>
      <c r="R50" s="1032">
        <f>(SUMPRODUCT(M50:M52,O50:O52)*P50)</f>
        <v>0</v>
      </c>
      <c r="S50" s="1033">
        <f>IF(R50=0,0,M52*P50)</f>
        <v>0</v>
      </c>
      <c r="T50" s="225" t="str">
        <f>G50&amp;"-"&amp;J50</f>
        <v>Terminal A-Other 1</v>
      </c>
      <c r="U50" s="1034">
        <f ca="1">IF(ISNA(VLOOKUP(T50,list!$AV$3:$AW$130,2,FALSE)),1,(VLOOKUP(T50,list!$AV$3:$AW$130,2,FALSE)))</f>
        <v>1</v>
      </c>
      <c r="V50" s="1033">
        <f ca="1">R50*U50</f>
        <v>0</v>
      </c>
      <c r="W50" s="1033">
        <f ca="1">S50*U50</f>
        <v>0</v>
      </c>
    </row>
    <row r="51" spans="2:23" x14ac:dyDescent="0.3">
      <c r="B51" s="182"/>
      <c r="C51" s="577"/>
      <c r="D51" s="521" t="s">
        <v>1</v>
      </c>
      <c r="E51" s="521"/>
      <c r="F51" s="45"/>
      <c r="G51" s="494" t="s">
        <v>84</v>
      </c>
      <c r="H51" s="577"/>
      <c r="I51" s="450" t="s">
        <v>8</v>
      </c>
      <c r="J51" s="577" t="s">
        <v>52</v>
      </c>
      <c r="K51" s="382"/>
      <c r="L51" s="1035" t="s">
        <v>65</v>
      </c>
      <c r="M51" s="1036">
        <f>SUMIFS('Level of Efficiency Assumptions'!$J:$J,'Level of Efficiency Assumptions'!$D:$D,I51,'Level of Efficiency Assumptions'!$F:$F,J51,'Level of Efficiency Assumptions'!$I:$I,'Water Use Calcs'!L51)</f>
        <v>7.5</v>
      </c>
      <c r="N51" s="577"/>
      <c r="O51" s="1048">
        <f>SUMIFS('Detailed Fixture Data'!O:O,'Detailed Fixture Data'!C:C,G51,'Detailed Fixture Data'!E:E,I51,'Detailed Fixture Data'!F:F,J51,'Detailed Fixture Data'!L:L,L51)</f>
        <v>0</v>
      </c>
      <c r="P51" s="1049"/>
      <c r="Q51" s="577"/>
      <c r="R51" s="1039"/>
      <c r="S51" s="521"/>
      <c r="T51" s="225"/>
      <c r="U51" s="521"/>
      <c r="V51" s="1040"/>
      <c r="W51" s="1041"/>
    </row>
    <row r="52" spans="2:23" ht="15" thickBot="1" x14ac:dyDescent="0.35">
      <c r="B52" s="182"/>
      <c r="C52" s="577"/>
      <c r="D52" s="521" t="s">
        <v>1</v>
      </c>
      <c r="E52" s="521"/>
      <c r="F52" s="45"/>
      <c r="G52" s="494" t="s">
        <v>84</v>
      </c>
      <c r="H52" s="577"/>
      <c r="I52" s="450" t="s">
        <v>8</v>
      </c>
      <c r="J52" s="116" t="s">
        <v>52</v>
      </c>
      <c r="K52" s="382"/>
      <c r="L52" s="1042" t="s">
        <v>66</v>
      </c>
      <c r="M52" s="1043">
        <f>SUMIFS('Level of Efficiency Assumptions'!$J:$J,'Level of Efficiency Assumptions'!$D:$D,I52,'Level of Efficiency Assumptions'!$F:$F,J52,'Level of Efficiency Assumptions'!$I:$I,'Water Use Calcs'!L52)</f>
        <v>5</v>
      </c>
      <c r="N52" s="577"/>
      <c r="O52" s="1048">
        <f>SUMIFS('Detailed Fixture Data'!O:O,'Detailed Fixture Data'!C:C,G52,'Detailed Fixture Data'!E:E,I52,'Detailed Fixture Data'!F:F,J52,'Detailed Fixture Data'!L:L,L52)</f>
        <v>0</v>
      </c>
      <c r="P52" s="1049"/>
      <c r="Q52" s="577"/>
      <c r="R52" s="1039"/>
      <c r="S52" s="618"/>
      <c r="T52" s="225"/>
      <c r="U52" s="618"/>
      <c r="V52" s="1045"/>
      <c r="W52" s="1046"/>
    </row>
    <row r="53" spans="2:23" x14ac:dyDescent="0.3">
      <c r="B53" s="182"/>
      <c r="C53" s="577"/>
      <c r="D53" s="521" t="s">
        <v>1</v>
      </c>
      <c r="E53" s="521"/>
      <c r="F53" s="45"/>
      <c r="G53" s="494" t="s">
        <v>84</v>
      </c>
      <c r="H53" s="577"/>
      <c r="I53" s="450" t="s">
        <v>8</v>
      </c>
      <c r="J53" s="577" t="s">
        <v>53</v>
      </c>
      <c r="K53" s="1055" t="s">
        <v>363</v>
      </c>
      <c r="L53" s="1047" t="s">
        <v>64</v>
      </c>
      <c r="M53" s="1036">
        <f>SUMIFS('Level of Efficiency Assumptions'!$J:$J,'Level of Efficiency Assumptions'!$D:$D,I53,'Level of Efficiency Assumptions'!$F:$F,J53,'Level of Efficiency Assumptions'!$I:$I,'Water Use Calcs'!L53)</f>
        <v>10</v>
      </c>
      <c r="N53" s="567" t="s">
        <v>660</v>
      </c>
      <c r="O53" s="1048">
        <f>SUMIFS('Detailed Fixture Data'!O:O,'Detailed Fixture Data'!C:C,G53,'Detailed Fixture Data'!E:E,I53,'Detailed Fixture Data'!F:F,J53,'Detailed Fixture Data'!L:L,L53)</f>
        <v>0</v>
      </c>
      <c r="P53" s="1030">
        <f>SUMIFS('Intensity of Use Assumptions'!$J:$J,'Intensity of Use Assumptions'!$D:$D,I53,'Intensity of Use Assumptions'!$G:$G,J53,'Intensity of Use Assumptions'!H:H,K53)</f>
        <v>1</v>
      </c>
      <c r="Q53" s="567" t="s">
        <v>67</v>
      </c>
      <c r="R53" s="1032">
        <f>(SUMPRODUCT(M53:M55,O53:O55)*P53)</f>
        <v>0</v>
      </c>
      <c r="S53" s="1033">
        <f>IF(R53=0,0,M55*P53)</f>
        <v>0</v>
      </c>
      <c r="T53" s="225" t="str">
        <f>G53&amp;"-"&amp;J53</f>
        <v>Terminal A-Other 2</v>
      </c>
      <c r="U53" s="1034">
        <f ca="1">IF(ISNA(VLOOKUP(T53,list!$AV$3:$AW$130,2,FALSE)),1,(VLOOKUP(T53,list!$AV$3:$AW$130,2,FALSE)))</f>
        <v>1</v>
      </c>
      <c r="V53" s="1033">
        <f ca="1">R53*U53</f>
        <v>0</v>
      </c>
      <c r="W53" s="1033">
        <f ca="1">S53*U53</f>
        <v>0</v>
      </c>
    </row>
    <row r="54" spans="2:23" x14ac:dyDescent="0.3">
      <c r="B54" s="182"/>
      <c r="C54" s="577"/>
      <c r="D54" s="521" t="s">
        <v>1</v>
      </c>
      <c r="E54" s="521"/>
      <c r="F54" s="45"/>
      <c r="G54" s="494" t="s">
        <v>84</v>
      </c>
      <c r="H54" s="577"/>
      <c r="I54" s="450" t="s">
        <v>8</v>
      </c>
      <c r="J54" s="577" t="s">
        <v>53</v>
      </c>
      <c r="K54" s="577"/>
      <c r="L54" s="1035" t="s">
        <v>65</v>
      </c>
      <c r="M54" s="1036">
        <f>SUMIFS('Level of Efficiency Assumptions'!$J:$J,'Level of Efficiency Assumptions'!$D:$D,I54,'Level of Efficiency Assumptions'!$F:$F,J54,'Level of Efficiency Assumptions'!$I:$I,'Water Use Calcs'!L54)</f>
        <v>7.5</v>
      </c>
      <c r="N54" s="577"/>
      <c r="O54" s="1048">
        <f>SUMIFS('Detailed Fixture Data'!O:O,'Detailed Fixture Data'!C:C,G54,'Detailed Fixture Data'!E:E,I54,'Detailed Fixture Data'!F:F,J54,'Detailed Fixture Data'!L:L,L54)</f>
        <v>0</v>
      </c>
      <c r="P54" s="1049"/>
      <c r="Q54" s="577"/>
      <c r="R54" s="1039"/>
      <c r="S54" s="521"/>
      <c r="T54" s="225"/>
      <c r="U54" s="521"/>
      <c r="V54" s="1040"/>
      <c r="W54" s="1041"/>
    </row>
    <row r="55" spans="2:23" ht="15" thickBot="1" x14ac:dyDescent="0.35">
      <c r="B55" s="182"/>
      <c r="C55" s="577"/>
      <c r="D55" s="521" t="s">
        <v>1</v>
      </c>
      <c r="E55" s="521"/>
      <c r="F55" s="45"/>
      <c r="G55" s="494" t="s">
        <v>84</v>
      </c>
      <c r="H55" s="577"/>
      <c r="I55" s="450" t="s">
        <v>8</v>
      </c>
      <c r="J55" s="116" t="s">
        <v>53</v>
      </c>
      <c r="K55" s="116"/>
      <c r="L55" s="1042" t="s">
        <v>66</v>
      </c>
      <c r="M55" s="1043">
        <f>SUMIFS('Level of Efficiency Assumptions'!$J:$J,'Level of Efficiency Assumptions'!$D:$D,I55,'Level of Efficiency Assumptions'!$F:$F,J55,'Level of Efficiency Assumptions'!$I:$I,'Water Use Calcs'!L55)</f>
        <v>5</v>
      </c>
      <c r="N55" s="577"/>
      <c r="O55" s="1048">
        <f>SUMIFS('Detailed Fixture Data'!O:O,'Detailed Fixture Data'!C:C,G55,'Detailed Fixture Data'!E:E,I55,'Detailed Fixture Data'!F:F,J55,'Detailed Fixture Data'!L:L,L55)</f>
        <v>0</v>
      </c>
      <c r="P55" s="1049"/>
      <c r="Q55" s="577"/>
      <c r="R55" s="1039"/>
      <c r="S55" s="618"/>
      <c r="T55" s="225"/>
      <c r="U55" s="618"/>
      <c r="V55" s="1045"/>
      <c r="W55" s="1046"/>
    </row>
    <row r="56" spans="2:23" x14ac:dyDescent="0.3">
      <c r="B56" s="182"/>
      <c r="C56" s="577"/>
      <c r="D56" s="521" t="s">
        <v>1</v>
      </c>
      <c r="E56" s="521"/>
      <c r="F56" s="45"/>
      <c r="G56" s="494" t="s">
        <v>84</v>
      </c>
      <c r="H56" s="577"/>
      <c r="I56" s="450" t="s">
        <v>8</v>
      </c>
      <c r="J56" s="577" t="s">
        <v>54</v>
      </c>
      <c r="K56" s="379" t="s">
        <v>364</v>
      </c>
      <c r="L56" s="1047" t="s">
        <v>64</v>
      </c>
      <c r="M56" s="1036">
        <f>SUMIFS('Level of Efficiency Assumptions'!$J:$J,'Level of Efficiency Assumptions'!$D:$D,I56,'Level of Efficiency Assumptions'!$F:$F,J56,'Level of Efficiency Assumptions'!$I:$I,'Water Use Calcs'!L56)</f>
        <v>10</v>
      </c>
      <c r="N56" s="567" t="s">
        <v>660</v>
      </c>
      <c r="O56" s="1048">
        <f>SUMIFS('Detailed Fixture Data'!O:O,'Detailed Fixture Data'!C:C,G56,'Detailed Fixture Data'!E:E,I56,'Detailed Fixture Data'!F:F,J56,'Detailed Fixture Data'!L:L,L56)</f>
        <v>0</v>
      </c>
      <c r="P56" s="1030">
        <f>SUMIFS('Intensity of Use Assumptions'!$J:$J,'Intensity of Use Assumptions'!$D:$D,I56,'Intensity of Use Assumptions'!$G:$G,J56,'Intensity of Use Assumptions'!H:H,K56)</f>
        <v>1</v>
      </c>
      <c r="Q56" s="567" t="s">
        <v>67</v>
      </c>
      <c r="R56" s="1032">
        <f>(SUMPRODUCT(M56:M58,O56:O58)*P56)</f>
        <v>0</v>
      </c>
      <c r="S56" s="1033">
        <f>IF(R56=0,0,M58*P56)</f>
        <v>0</v>
      </c>
      <c r="T56" s="225" t="str">
        <f>G56&amp;"-"&amp;J56</f>
        <v>Terminal A-Other 3</v>
      </c>
      <c r="U56" s="1034">
        <f ca="1">IF(ISNA(VLOOKUP(T56,list!$AV$3:$AW$130,2,FALSE)),1,(VLOOKUP(T56,list!$AV$3:$AW$130,2,FALSE)))</f>
        <v>1</v>
      </c>
      <c r="V56" s="1033">
        <f ca="1">R56*U56</f>
        <v>0</v>
      </c>
      <c r="W56" s="1033">
        <f ca="1">S56*U56</f>
        <v>0</v>
      </c>
    </row>
    <row r="57" spans="2:23" x14ac:dyDescent="0.3">
      <c r="B57" s="182"/>
      <c r="C57" s="577"/>
      <c r="D57" s="521" t="s">
        <v>1</v>
      </c>
      <c r="E57" s="521"/>
      <c r="F57" s="45"/>
      <c r="G57" s="494" t="s">
        <v>84</v>
      </c>
      <c r="H57" s="577"/>
      <c r="I57" s="450" t="s">
        <v>8</v>
      </c>
      <c r="J57" s="577" t="s">
        <v>54</v>
      </c>
      <c r="K57" s="577"/>
      <c r="L57" s="1035" t="s">
        <v>65</v>
      </c>
      <c r="M57" s="1036">
        <f>SUMIFS('Level of Efficiency Assumptions'!$J:$J,'Level of Efficiency Assumptions'!$D:$D,I57,'Level of Efficiency Assumptions'!$F:$F,J57,'Level of Efficiency Assumptions'!$I:$I,'Water Use Calcs'!L57)</f>
        <v>7.5</v>
      </c>
      <c r="N57" s="577"/>
      <c r="O57" s="1048">
        <f>SUMIFS('Detailed Fixture Data'!O:O,'Detailed Fixture Data'!C:C,G57,'Detailed Fixture Data'!E:E,I57,'Detailed Fixture Data'!F:F,J57,'Detailed Fixture Data'!L:L,L57)</f>
        <v>0</v>
      </c>
      <c r="P57" s="1049"/>
      <c r="Q57" s="577"/>
      <c r="R57" s="1039"/>
      <c r="S57" s="521"/>
      <c r="T57" s="225"/>
      <c r="U57" s="521"/>
      <c r="V57" s="1040"/>
      <c r="W57" s="1041"/>
    </row>
    <row r="58" spans="2:23" ht="15" thickBot="1" x14ac:dyDescent="0.35">
      <c r="B58" s="182"/>
      <c r="C58" s="577"/>
      <c r="D58" s="521" t="s">
        <v>1</v>
      </c>
      <c r="E58" s="521"/>
      <c r="F58" s="45"/>
      <c r="G58" s="501" t="s">
        <v>84</v>
      </c>
      <c r="H58" s="116"/>
      <c r="I58" s="451" t="s">
        <v>8</v>
      </c>
      <c r="J58" s="116" t="s">
        <v>54</v>
      </c>
      <c r="K58" s="116"/>
      <c r="L58" s="1056" t="s">
        <v>66</v>
      </c>
      <c r="M58" s="1043">
        <f>SUMIFS('Level of Efficiency Assumptions'!$J:$J,'Level of Efficiency Assumptions'!$D:$D,I58,'Level of Efficiency Assumptions'!$F:$F,J58,'Level of Efficiency Assumptions'!$I:$I,'Water Use Calcs'!L58)</f>
        <v>5</v>
      </c>
      <c r="N58" s="577"/>
      <c r="O58" s="1048">
        <f>SUMIFS('Detailed Fixture Data'!O:O,'Detailed Fixture Data'!C:C,G58,'Detailed Fixture Data'!E:E,I58,'Detailed Fixture Data'!F:F,J58,'Detailed Fixture Data'!L:L,L58)</f>
        <v>0</v>
      </c>
      <c r="P58" s="1049"/>
      <c r="Q58" s="577"/>
      <c r="R58" s="1039"/>
      <c r="S58" s="618"/>
      <c r="T58" s="225"/>
      <c r="U58" s="618"/>
      <c r="V58" s="1045"/>
      <c r="W58" s="1046"/>
    </row>
    <row r="59" spans="2:23" x14ac:dyDescent="0.3">
      <c r="B59" s="182"/>
      <c r="C59" s="577"/>
      <c r="D59" s="521" t="s">
        <v>1</v>
      </c>
      <c r="E59" s="619" t="str">
        <f>G59</f>
        <v>Terminal B</v>
      </c>
      <c r="F59" s="565" t="str">
        <f>VLOOKUP(E59,'Airport Mapping'!$C$5:$D$39,2,FALSE)</f>
        <v xml:space="preserve"> </v>
      </c>
      <c r="G59" s="494" t="s">
        <v>85</v>
      </c>
      <c r="H59" s="651" t="str">
        <f>I59</f>
        <v>Restrooms</v>
      </c>
      <c r="I59" s="450" t="s">
        <v>37</v>
      </c>
      <c r="J59" s="577" t="s">
        <v>2</v>
      </c>
      <c r="K59" s="567" t="s">
        <v>3</v>
      </c>
      <c r="L59" s="1028" t="s">
        <v>64</v>
      </c>
      <c r="M59" s="1036">
        <f>SUMIFS('Level of Efficiency Assumptions'!$J:$J,'Level of Efficiency Assumptions'!$D:$D,I59,'Level of Efficiency Assumptions'!$F:$F,J59,'Level of Efficiency Assumptions'!$I:$I,'Water Use Calcs'!L59)</f>
        <v>3.5</v>
      </c>
      <c r="N59" s="567" t="s">
        <v>68</v>
      </c>
      <c r="O59" s="1048">
        <f>SUMIFS('Detailed Fixture Data'!O:O,'Detailed Fixture Data'!C:C,G59,'Detailed Fixture Data'!E:E,I59,'Detailed Fixture Data'!F:F,J59,'Detailed Fixture Data'!L:L,L59)</f>
        <v>0</v>
      </c>
      <c r="P59" s="1030">
        <f>SUMIFS('Intensity of Use Assumptions'!$J:$J,'Intensity of Use Assumptions'!$D:$D,I59,'Intensity of Use Assumptions'!$G:$G,J59,'Intensity of Use Assumptions'!H:H,K59)</f>
        <v>0.625</v>
      </c>
      <c r="Q59" s="567" t="s">
        <v>67</v>
      </c>
      <c r="R59" s="1032">
        <f>(SUMPRODUCT(M59:M61,O59:O61)*P59)</f>
        <v>0</v>
      </c>
      <c r="S59" s="1033">
        <f>IF(R59=0,0,M61*P59)</f>
        <v>0</v>
      </c>
      <c r="T59" s="225" t="str">
        <f>G59&amp;"-"&amp;J59</f>
        <v>Terminal B-Toilets</v>
      </c>
      <c r="U59" s="1034">
        <f ca="1">IF(ISNA(VLOOKUP(T59,list!$AV$3:$AW$130,2,FALSE)),1,(VLOOKUP(T59,list!$AV$3:$AW$130,2,FALSE)))</f>
        <v>1</v>
      </c>
      <c r="V59" s="1033">
        <f ca="1">R59*U59</f>
        <v>0</v>
      </c>
      <c r="W59" s="1033">
        <f ca="1">S59*U59</f>
        <v>0</v>
      </c>
    </row>
    <row r="60" spans="2:23" x14ac:dyDescent="0.3">
      <c r="B60" s="182"/>
      <c r="C60" s="577"/>
      <c r="D60" s="521" t="s">
        <v>1</v>
      </c>
      <c r="E60" s="521"/>
      <c r="F60" s="45"/>
      <c r="G60" s="494" t="s">
        <v>85</v>
      </c>
      <c r="H60" s="577"/>
      <c r="I60" s="450" t="s">
        <v>37</v>
      </c>
      <c r="J60" s="577" t="s">
        <v>2</v>
      </c>
      <c r="K60" s="577"/>
      <c r="L60" s="1035" t="s">
        <v>65</v>
      </c>
      <c r="M60" s="1036">
        <f>SUMIFS('Level of Efficiency Assumptions'!$J:$J,'Level of Efficiency Assumptions'!$D:$D,I60,'Level of Efficiency Assumptions'!$F:$F,J60,'Level of Efficiency Assumptions'!$I:$I,'Water Use Calcs'!L60)</f>
        <v>1.6</v>
      </c>
      <c r="N60" s="577"/>
      <c r="O60" s="1048">
        <f>SUMIFS('Detailed Fixture Data'!O:O,'Detailed Fixture Data'!C:C,G60,'Detailed Fixture Data'!E:E,I60,'Detailed Fixture Data'!F:F,J60,'Detailed Fixture Data'!L:L,L60)</f>
        <v>0</v>
      </c>
      <c r="P60" s="1049"/>
      <c r="Q60" s="577" t="s">
        <v>74</v>
      </c>
      <c r="R60" s="1039"/>
      <c r="S60" s="521"/>
      <c r="T60" s="225"/>
      <c r="U60" s="521"/>
      <c r="V60" s="1040"/>
      <c r="W60" s="1041"/>
    </row>
    <row r="61" spans="2:23" ht="15" thickBot="1" x14ac:dyDescent="0.35">
      <c r="B61" s="182"/>
      <c r="C61" s="577"/>
      <c r="D61" s="521" t="s">
        <v>1</v>
      </c>
      <c r="E61" s="521"/>
      <c r="F61" s="45"/>
      <c r="G61" s="494" t="s">
        <v>85</v>
      </c>
      <c r="H61" s="577"/>
      <c r="I61" s="450" t="s">
        <v>37</v>
      </c>
      <c r="J61" s="116" t="s">
        <v>2</v>
      </c>
      <c r="K61" s="116"/>
      <c r="L61" s="1042" t="s">
        <v>66</v>
      </c>
      <c r="M61" s="1043">
        <f>SUMIFS('Level of Efficiency Assumptions'!$J:$J,'Level of Efficiency Assumptions'!$D:$D,I61,'Level of Efficiency Assumptions'!$F:$F,J61,'Level of Efficiency Assumptions'!$I:$I,'Water Use Calcs'!L61)</f>
        <v>1.28</v>
      </c>
      <c r="N61" s="577"/>
      <c r="O61" s="1048">
        <f>SUMIFS('Detailed Fixture Data'!O:O,'Detailed Fixture Data'!C:C,G61,'Detailed Fixture Data'!E:E,I61,'Detailed Fixture Data'!F:F,J61,'Detailed Fixture Data'!L:L,L61)</f>
        <v>0</v>
      </c>
      <c r="P61" s="1049"/>
      <c r="Q61" s="577" t="s">
        <v>75</v>
      </c>
      <c r="R61" s="1039"/>
      <c r="S61" s="618"/>
      <c r="T61" s="225"/>
      <c r="U61" s="618"/>
      <c r="V61" s="1045"/>
      <c r="W61" s="1046"/>
    </row>
    <row r="62" spans="2:23" x14ac:dyDescent="0.3">
      <c r="B62" s="182"/>
      <c r="C62" s="577"/>
      <c r="D62" s="521" t="s">
        <v>1</v>
      </c>
      <c r="E62" s="521"/>
      <c r="F62" s="45"/>
      <c r="G62" s="494" t="s">
        <v>85</v>
      </c>
      <c r="H62" s="577"/>
      <c r="I62" s="450" t="s">
        <v>37</v>
      </c>
      <c r="J62" s="577" t="s">
        <v>4</v>
      </c>
      <c r="K62" s="577" t="s">
        <v>3</v>
      </c>
      <c r="L62" s="1047" t="s">
        <v>64</v>
      </c>
      <c r="M62" s="1036">
        <f>SUMIFS('Level of Efficiency Assumptions'!$J:$J,'Level of Efficiency Assumptions'!$D:$D,I62,'Level of Efficiency Assumptions'!$F:$F,J62,'Level of Efficiency Assumptions'!$I:$I,'Water Use Calcs'!L62)</f>
        <v>2</v>
      </c>
      <c r="N62" s="567" t="s">
        <v>68</v>
      </c>
      <c r="O62" s="1048">
        <f>SUMIFS('Detailed Fixture Data'!O:O,'Detailed Fixture Data'!C:C,G62,'Detailed Fixture Data'!E:E,I62,'Detailed Fixture Data'!F:F,J62,'Detailed Fixture Data'!L:L,L62)</f>
        <v>0</v>
      </c>
      <c r="P62" s="1030">
        <f>SUMIFS('Intensity of Use Assumptions'!$J:$J,'Intensity of Use Assumptions'!$D:$D,I62,'Intensity of Use Assumptions'!$G:$G,J62,'Intensity of Use Assumptions'!H:H,K62)</f>
        <v>0.375</v>
      </c>
      <c r="Q62" s="567" t="s">
        <v>67</v>
      </c>
      <c r="R62" s="1032">
        <f>(SUMPRODUCT(M62:M64,O62:O64)*P62)</f>
        <v>0</v>
      </c>
      <c r="S62" s="1033">
        <f>IF(R62=0,0,M64*P62)</f>
        <v>0</v>
      </c>
      <c r="T62" s="225" t="str">
        <f>G62&amp;"-"&amp;J62</f>
        <v>Terminal B-Urinals</v>
      </c>
      <c r="U62" s="1034">
        <f ca="1">IF(ISNA(VLOOKUP(T62,list!$AV$3:$AW$130,2,FALSE)),1,(VLOOKUP(T62,list!$AV$3:$AW$130,2,FALSE)))</f>
        <v>1</v>
      </c>
      <c r="V62" s="1033">
        <f ca="1">R62*U62</f>
        <v>0</v>
      </c>
      <c r="W62" s="1033">
        <f ca="1">S62*U62</f>
        <v>0</v>
      </c>
    </row>
    <row r="63" spans="2:23" x14ac:dyDescent="0.3">
      <c r="B63" s="182"/>
      <c r="C63" s="577"/>
      <c r="D63" s="521" t="s">
        <v>1</v>
      </c>
      <c r="E63" s="521"/>
      <c r="F63" s="45"/>
      <c r="G63" s="494" t="s">
        <v>85</v>
      </c>
      <c r="H63" s="577"/>
      <c r="I63" s="450" t="s">
        <v>37</v>
      </c>
      <c r="J63" s="577" t="s">
        <v>4</v>
      </c>
      <c r="K63" s="577"/>
      <c r="L63" s="1035" t="s">
        <v>65</v>
      </c>
      <c r="M63" s="1036">
        <f>SUMIFS('Level of Efficiency Assumptions'!$J:$J,'Level of Efficiency Assumptions'!$D:$D,I63,'Level of Efficiency Assumptions'!$F:$F,J63,'Level of Efficiency Assumptions'!$I:$I,'Water Use Calcs'!L63)</f>
        <v>1</v>
      </c>
      <c r="N63" s="577"/>
      <c r="O63" s="1048">
        <f>SUMIFS('Detailed Fixture Data'!O:O,'Detailed Fixture Data'!C:C,G63,'Detailed Fixture Data'!E:E,I63,'Detailed Fixture Data'!F:F,J63,'Detailed Fixture Data'!L:L,L63)</f>
        <v>0</v>
      </c>
      <c r="P63" s="1049"/>
      <c r="Q63" s="577" t="s">
        <v>76</v>
      </c>
      <c r="R63" s="1039"/>
      <c r="S63" s="521"/>
      <c r="T63" s="225"/>
      <c r="U63" s="521"/>
      <c r="V63" s="1040"/>
      <c r="W63" s="1041"/>
    </row>
    <row r="64" spans="2:23" ht="15" thickBot="1" x14ac:dyDescent="0.35">
      <c r="B64" s="182"/>
      <c r="C64" s="577"/>
      <c r="D64" s="521" t="s">
        <v>1</v>
      </c>
      <c r="E64" s="521"/>
      <c r="F64" s="45"/>
      <c r="G64" s="494" t="s">
        <v>85</v>
      </c>
      <c r="H64" s="577"/>
      <c r="I64" s="450" t="s">
        <v>37</v>
      </c>
      <c r="J64" s="116" t="s">
        <v>4</v>
      </c>
      <c r="K64" s="116"/>
      <c r="L64" s="1042" t="s">
        <v>66</v>
      </c>
      <c r="M64" s="1043">
        <f>SUMIFS('Level of Efficiency Assumptions'!$J:$J,'Level of Efficiency Assumptions'!$D:$D,I64,'Level of Efficiency Assumptions'!$F:$F,J64,'Level of Efficiency Assumptions'!$I:$I,'Water Use Calcs'!L64)</f>
        <v>0.125</v>
      </c>
      <c r="N64" s="577"/>
      <c r="O64" s="1048">
        <f>SUMIFS('Detailed Fixture Data'!O:O,'Detailed Fixture Data'!C:C,G64,'Detailed Fixture Data'!E:E,I64,'Detailed Fixture Data'!F:F,J64,'Detailed Fixture Data'!L:L,L64)</f>
        <v>0</v>
      </c>
      <c r="P64" s="1049"/>
      <c r="Q64" s="577"/>
      <c r="R64" s="1039"/>
      <c r="S64" s="618"/>
      <c r="T64" s="225"/>
      <c r="U64" s="618"/>
      <c r="V64" s="1045"/>
      <c r="W64" s="1046"/>
    </row>
    <row r="65" spans="2:23" x14ac:dyDescent="0.3">
      <c r="B65" s="182"/>
      <c r="C65" s="577"/>
      <c r="D65" s="521" t="s">
        <v>1</v>
      </c>
      <c r="E65" s="521"/>
      <c r="F65" s="45"/>
      <c r="G65" s="494" t="s">
        <v>85</v>
      </c>
      <c r="H65" s="577"/>
      <c r="I65" s="450" t="s">
        <v>37</v>
      </c>
      <c r="J65" s="577" t="s">
        <v>33</v>
      </c>
      <c r="K65" s="577" t="s">
        <v>3</v>
      </c>
      <c r="L65" s="1047" t="s">
        <v>64</v>
      </c>
      <c r="M65" s="1036">
        <f>SUMIFS('Level of Efficiency Assumptions'!$J:$J,'Level of Efficiency Assumptions'!$D:$D,I65,'Level of Efficiency Assumptions'!$F:$F,J65,'Level of Efficiency Assumptions'!$I:$I,'Water Use Calcs'!L65)</f>
        <v>2</v>
      </c>
      <c r="N65" s="567" t="s">
        <v>78</v>
      </c>
      <c r="O65" s="1048">
        <f>SUMIFS('Detailed Fixture Data'!O:O,'Detailed Fixture Data'!C:C,G65,'Detailed Fixture Data'!E:E,I65,'Detailed Fixture Data'!F:F,J65,'Detailed Fixture Data'!L:L,L65)</f>
        <v>0</v>
      </c>
      <c r="P65" s="1030">
        <f>SUMIFS('Intensity of Use Assumptions'!$J:$J,'Intensity of Use Assumptions'!$D:$D,I65,'Intensity of Use Assumptions'!$G:$G,J65,'Intensity of Use Assumptions'!H:H,K65)</f>
        <v>0.16666666666666666</v>
      </c>
      <c r="Q65" s="567" t="s">
        <v>133</v>
      </c>
      <c r="R65" s="1032">
        <f>(SUMPRODUCT(M65:M67,O65:O67)*P65)</f>
        <v>0</v>
      </c>
      <c r="S65" s="1033">
        <f>IF(R65=0,0,M67*P65)</f>
        <v>0</v>
      </c>
      <c r="T65" s="225" t="str">
        <f>G65&amp;"-"&amp;J65</f>
        <v>Terminal B-Faucets</v>
      </c>
      <c r="U65" s="1034">
        <f ca="1">IF(ISNA(VLOOKUP(T65,list!$AV$3:$AW$130,2,FALSE)),1,(VLOOKUP(T65,list!$AV$3:$AW$130,2,FALSE)))</f>
        <v>1</v>
      </c>
      <c r="V65" s="1033">
        <f ca="1">R65*U65</f>
        <v>0</v>
      </c>
      <c r="W65" s="1033">
        <f ca="1">S65*U65</f>
        <v>0</v>
      </c>
    </row>
    <row r="66" spans="2:23" x14ac:dyDescent="0.3">
      <c r="B66" s="182"/>
      <c r="C66" s="577"/>
      <c r="D66" s="521" t="s">
        <v>1</v>
      </c>
      <c r="E66" s="521"/>
      <c r="F66" s="45"/>
      <c r="G66" s="494" t="s">
        <v>85</v>
      </c>
      <c r="H66" s="577"/>
      <c r="I66" s="450" t="s">
        <v>37</v>
      </c>
      <c r="J66" s="577" t="s">
        <v>33</v>
      </c>
      <c r="K66" s="577"/>
      <c r="L66" s="1035" t="s">
        <v>65</v>
      </c>
      <c r="M66" s="1036">
        <f>SUMIFS('Level of Efficiency Assumptions'!$J:$J,'Level of Efficiency Assumptions'!$D:$D,I66,'Level of Efficiency Assumptions'!$F:$F,J66,'Level of Efficiency Assumptions'!$I:$I,'Water Use Calcs'!L66)</f>
        <v>1</v>
      </c>
      <c r="N66" s="577"/>
      <c r="O66" s="1048">
        <f>SUMIFS('Detailed Fixture Data'!O:O,'Detailed Fixture Data'!C:C,G66,'Detailed Fixture Data'!E:E,I66,'Detailed Fixture Data'!F:F,J66,'Detailed Fixture Data'!L:L,L66)</f>
        <v>0</v>
      </c>
      <c r="P66" s="1049"/>
      <c r="Q66" s="577" t="s">
        <v>79</v>
      </c>
      <c r="R66" s="1039"/>
      <c r="S66" s="521"/>
      <c r="T66" s="225"/>
      <c r="U66" s="521"/>
      <c r="V66" s="1040"/>
      <c r="W66" s="1041"/>
    </row>
    <row r="67" spans="2:23" ht="15" thickBot="1" x14ac:dyDescent="0.35">
      <c r="B67" s="182"/>
      <c r="C67" s="577"/>
      <c r="D67" s="521" t="s">
        <v>1</v>
      </c>
      <c r="E67" s="521"/>
      <c r="F67" s="45"/>
      <c r="G67" s="494" t="s">
        <v>85</v>
      </c>
      <c r="H67" s="116"/>
      <c r="I67" s="451" t="s">
        <v>37</v>
      </c>
      <c r="J67" s="116" t="s">
        <v>33</v>
      </c>
      <c r="K67" s="116"/>
      <c r="L67" s="1042" t="s">
        <v>66</v>
      </c>
      <c r="M67" s="1043">
        <f>SUMIFS('Level of Efficiency Assumptions'!$J:$J,'Level of Efficiency Assumptions'!$D:$D,I67,'Level of Efficiency Assumptions'!$F:$F,J67,'Level of Efficiency Assumptions'!$I:$I,'Water Use Calcs'!L67)</f>
        <v>0.5</v>
      </c>
      <c r="N67" s="577"/>
      <c r="O67" s="1048">
        <f>SUMIFS('Detailed Fixture Data'!O:O,'Detailed Fixture Data'!C:C,G67,'Detailed Fixture Data'!E:E,I67,'Detailed Fixture Data'!F:F,J67,'Detailed Fixture Data'!L:L,L67)</f>
        <v>0</v>
      </c>
      <c r="P67" s="1049"/>
      <c r="Q67" s="577"/>
      <c r="R67" s="1039"/>
      <c r="S67" s="618"/>
      <c r="T67" s="225"/>
      <c r="U67" s="618"/>
      <c r="V67" s="1045"/>
      <c r="W67" s="1046"/>
    </row>
    <row r="68" spans="2:23" x14ac:dyDescent="0.3">
      <c r="B68" s="182"/>
      <c r="C68" s="577"/>
      <c r="D68" s="521" t="s">
        <v>1</v>
      </c>
      <c r="E68" s="521"/>
      <c r="F68" s="45"/>
      <c r="G68" s="494" t="s">
        <v>85</v>
      </c>
      <c r="H68" s="651" t="str">
        <f>I68</f>
        <v>Food Service</v>
      </c>
      <c r="I68" s="450" t="s">
        <v>38</v>
      </c>
      <c r="J68" s="577" t="s">
        <v>114</v>
      </c>
      <c r="K68" s="577" t="s">
        <v>118</v>
      </c>
      <c r="L68" s="1047" t="s">
        <v>64</v>
      </c>
      <c r="M68" s="1036">
        <f>SUMIFS('Level of Efficiency Assumptions'!$J:$J,'Level of Efficiency Assumptions'!$D:$D,I68,'Level of Efficiency Assumptions'!$F:$F,J68,'Level of Efficiency Assumptions'!$I:$I,'Water Use Calcs'!L68)</f>
        <v>2</v>
      </c>
      <c r="N68" s="567" t="s">
        <v>78</v>
      </c>
      <c r="O68" s="1048">
        <f>SUMIFS('Detailed Fixture Data'!O:O,'Detailed Fixture Data'!C:C,G68,'Detailed Fixture Data'!E:E,I68,'Detailed Fixture Data'!F:F,J68,'Detailed Fixture Data'!L:L,L68)</f>
        <v>0</v>
      </c>
      <c r="P68" s="1030">
        <f>SUMIFS('Intensity of Use Assumptions'!$J:$J,'Intensity of Use Assumptions'!$D:$D,I68,'Intensity of Use Assumptions'!$G:$G,J68,'Intensity of Use Assumptions'!H:H,K68)</f>
        <v>1</v>
      </c>
      <c r="Q68" s="567" t="s">
        <v>133</v>
      </c>
      <c r="R68" s="1032">
        <f>(SUMPRODUCT(M68:M70,O68:O70)*P68)</f>
        <v>0</v>
      </c>
      <c r="S68" s="1033">
        <f>IF(R68=0,0,M70*P68)</f>
        <v>0</v>
      </c>
      <c r="T68" s="225" t="str">
        <f>G68&amp;"-"&amp;J68</f>
        <v>Terminal B-Kitchen faucets</v>
      </c>
      <c r="U68" s="1034">
        <f ca="1">IF(ISNA(VLOOKUP(T68,list!$AV$3:$AW$130,2,FALSE)),1,(VLOOKUP(T68,list!$AV$3:$AW$130,2,FALSE)))</f>
        <v>1</v>
      </c>
      <c r="V68" s="1033">
        <f ca="1">R68*U68</f>
        <v>0</v>
      </c>
      <c r="W68" s="1033">
        <f ca="1">S68*U68</f>
        <v>0</v>
      </c>
    </row>
    <row r="69" spans="2:23" x14ac:dyDescent="0.3">
      <c r="B69" s="182"/>
      <c r="C69" s="577"/>
      <c r="D69" s="521" t="s">
        <v>1</v>
      </c>
      <c r="E69" s="521"/>
      <c r="F69" s="45"/>
      <c r="G69" s="494" t="s">
        <v>85</v>
      </c>
      <c r="H69" s="577"/>
      <c r="I69" s="450" t="s">
        <v>38</v>
      </c>
      <c r="J69" s="577" t="s">
        <v>114</v>
      </c>
      <c r="K69" s="577"/>
      <c r="L69" s="1035" t="s">
        <v>65</v>
      </c>
      <c r="M69" s="1036">
        <f>SUMIFS('Level of Efficiency Assumptions'!$J:$J,'Level of Efficiency Assumptions'!$D:$D,I69,'Level of Efficiency Assumptions'!$F:$F,J69,'Level of Efficiency Assumptions'!$I:$I,'Water Use Calcs'!L69)</f>
        <v>1</v>
      </c>
      <c r="N69" s="577"/>
      <c r="O69" s="1048">
        <f>SUMIFS('Detailed Fixture Data'!O:O,'Detailed Fixture Data'!C:C,G69,'Detailed Fixture Data'!E:E,I69,'Detailed Fixture Data'!F:F,J69,'Detailed Fixture Data'!L:L,L69)</f>
        <v>0</v>
      </c>
      <c r="P69" s="1049"/>
      <c r="Q69" s="577"/>
      <c r="R69" s="1039"/>
      <c r="S69" s="521"/>
      <c r="T69" s="225"/>
      <c r="U69" s="521"/>
      <c r="V69" s="1040"/>
      <c r="W69" s="1041"/>
    </row>
    <row r="70" spans="2:23" ht="15" thickBot="1" x14ac:dyDescent="0.35">
      <c r="B70" s="182"/>
      <c r="C70" s="577"/>
      <c r="D70" s="521" t="s">
        <v>1</v>
      </c>
      <c r="E70" s="521"/>
      <c r="F70" s="45"/>
      <c r="G70" s="494" t="s">
        <v>85</v>
      </c>
      <c r="H70" s="577"/>
      <c r="I70" s="450" t="s">
        <v>38</v>
      </c>
      <c r="J70" s="116" t="s">
        <v>114</v>
      </c>
      <c r="K70" s="116"/>
      <c r="L70" s="1042" t="s">
        <v>66</v>
      </c>
      <c r="M70" s="1043">
        <f>SUMIFS('Level of Efficiency Assumptions'!$J:$J,'Level of Efficiency Assumptions'!$D:$D,I70,'Level of Efficiency Assumptions'!$F:$F,J70,'Level of Efficiency Assumptions'!$I:$I,'Water Use Calcs'!L70)</f>
        <v>0.5</v>
      </c>
      <c r="N70" s="577"/>
      <c r="O70" s="1048">
        <f>SUMIFS('Detailed Fixture Data'!O:O,'Detailed Fixture Data'!C:C,G70,'Detailed Fixture Data'!E:E,I70,'Detailed Fixture Data'!F:F,J70,'Detailed Fixture Data'!L:L,L70)</f>
        <v>0</v>
      </c>
      <c r="P70" s="1049"/>
      <c r="Q70" s="116"/>
      <c r="R70" s="1039"/>
      <c r="S70" s="618"/>
      <c r="T70" s="225"/>
      <c r="U70" s="618"/>
      <c r="V70" s="1045"/>
      <c r="W70" s="1046"/>
    </row>
    <row r="71" spans="2:23" x14ac:dyDescent="0.3">
      <c r="B71" s="182"/>
      <c r="C71" s="577"/>
      <c r="D71" s="521" t="s">
        <v>1</v>
      </c>
      <c r="E71" s="521"/>
      <c r="F71" s="180"/>
      <c r="G71" s="521" t="s">
        <v>85</v>
      </c>
      <c r="H71" s="577"/>
      <c r="I71" s="450" t="s">
        <v>38</v>
      </c>
      <c r="J71" s="577" t="s">
        <v>127</v>
      </c>
      <c r="K71" s="577" t="s">
        <v>118</v>
      </c>
      <c r="L71" s="1047" t="s">
        <v>64</v>
      </c>
      <c r="M71" s="1036">
        <f>SUMIFS('Level of Efficiency Assumptions'!$J:$J,'Level of Efficiency Assumptions'!$D:$D,I71,'Level of Efficiency Assumptions'!$F:$F,J71,'Level of Efficiency Assumptions'!$I:$I,'Water Use Calcs'!L71)</f>
        <v>3</v>
      </c>
      <c r="N71" s="567" t="s">
        <v>78</v>
      </c>
      <c r="O71" s="1048">
        <f>SUMIFS('Detailed Fixture Data'!O:O,'Detailed Fixture Data'!C:C,G71,'Detailed Fixture Data'!E:E,I71,'Detailed Fixture Data'!F:F,J71,'Detailed Fixture Data'!L:L,L71)</f>
        <v>0</v>
      </c>
      <c r="P71" s="1030">
        <f>SUMIFS('Intensity of Use Assumptions'!$J:$J,'Intensity of Use Assumptions'!$D:$D,I71,'Intensity of Use Assumptions'!$G:$G,J71,'Intensity of Use Assumptions'!H:H,K71)</f>
        <v>0.02</v>
      </c>
      <c r="Q71" s="577" t="s">
        <v>133</v>
      </c>
      <c r="R71" s="1032">
        <f>(SUMPRODUCT(M71:M73,O71:O73)*P71)</f>
        <v>0</v>
      </c>
      <c r="S71" s="1033">
        <f>IF(R71=0,0,M73*P71)</f>
        <v>0</v>
      </c>
      <c r="T71" s="225" t="str">
        <f>G71&amp;"-"&amp;J71</f>
        <v>Terminal B-Pre-rinse spray valves</v>
      </c>
      <c r="U71" s="1034">
        <f ca="1">IF(ISNA(VLOOKUP(T71,list!$AV$3:$AW$130,2,FALSE)),1,(VLOOKUP(T71,list!$AV$3:$AW$130,2,FALSE)))</f>
        <v>1</v>
      </c>
      <c r="V71" s="1033">
        <f ca="1">R71*U71</f>
        <v>0</v>
      </c>
      <c r="W71" s="1033">
        <f ca="1">S71*U71</f>
        <v>0</v>
      </c>
    </row>
    <row r="72" spans="2:23" x14ac:dyDescent="0.3">
      <c r="B72" s="182"/>
      <c r="C72" s="577"/>
      <c r="D72" s="521" t="s">
        <v>1</v>
      </c>
      <c r="E72" s="521"/>
      <c r="F72" s="180"/>
      <c r="G72" s="521" t="s">
        <v>85</v>
      </c>
      <c r="H72" s="577"/>
      <c r="I72" s="450" t="s">
        <v>38</v>
      </c>
      <c r="J72" s="577" t="s">
        <v>127</v>
      </c>
      <c r="K72" s="577"/>
      <c r="L72" s="1035" t="s">
        <v>65</v>
      </c>
      <c r="M72" s="1036">
        <f>SUMIFS('Level of Efficiency Assumptions'!$J:$J,'Level of Efficiency Assumptions'!$D:$D,I72,'Level of Efficiency Assumptions'!$F:$F,J72,'Level of Efficiency Assumptions'!$I:$I,'Water Use Calcs'!L72)</f>
        <v>2</v>
      </c>
      <c r="N72" s="577"/>
      <c r="O72" s="1048">
        <f>SUMIFS('Detailed Fixture Data'!O:O,'Detailed Fixture Data'!C:C,G72,'Detailed Fixture Data'!E:E,I72,'Detailed Fixture Data'!F:F,J72,'Detailed Fixture Data'!L:L,L72)</f>
        <v>0</v>
      </c>
      <c r="P72" s="1049"/>
      <c r="Q72" s="577"/>
      <c r="R72" s="1039"/>
      <c r="S72" s="521"/>
      <c r="T72" s="225"/>
      <c r="U72" s="521"/>
      <c r="V72" s="1040"/>
      <c r="W72" s="1041"/>
    </row>
    <row r="73" spans="2:23" ht="15" thickBot="1" x14ac:dyDescent="0.35">
      <c r="B73" s="182"/>
      <c r="C73" s="577"/>
      <c r="D73" s="521" t="s">
        <v>1</v>
      </c>
      <c r="E73" s="521"/>
      <c r="F73" s="180"/>
      <c r="G73" s="521" t="s">
        <v>85</v>
      </c>
      <c r="H73" s="577"/>
      <c r="I73" s="450" t="s">
        <v>38</v>
      </c>
      <c r="J73" s="116" t="s">
        <v>127</v>
      </c>
      <c r="K73" s="116"/>
      <c r="L73" s="1042" t="s">
        <v>66</v>
      </c>
      <c r="M73" s="1043">
        <f>SUMIFS('Level of Efficiency Assumptions'!$J:$J,'Level of Efficiency Assumptions'!$D:$D,I73,'Level of Efficiency Assumptions'!$F:$F,J73,'Level of Efficiency Assumptions'!$I:$I,'Water Use Calcs'!L73)</f>
        <v>1.28</v>
      </c>
      <c r="N73" s="116"/>
      <c r="O73" s="1048">
        <f>SUMIFS('Detailed Fixture Data'!O:O,'Detailed Fixture Data'!C:C,G73,'Detailed Fixture Data'!E:E,I73,'Detailed Fixture Data'!F:F,J73,'Detailed Fixture Data'!L:L,L73)</f>
        <v>0</v>
      </c>
      <c r="P73" s="1049"/>
      <c r="Q73" s="577"/>
      <c r="R73" s="1039"/>
      <c r="S73" s="618"/>
      <c r="T73" s="225"/>
      <c r="U73" s="618"/>
      <c r="V73" s="1045"/>
      <c r="W73" s="1046"/>
    </row>
    <row r="74" spans="2:23" x14ac:dyDescent="0.3">
      <c r="B74" s="182"/>
      <c r="C74" s="577"/>
      <c r="D74" s="521" t="s">
        <v>1</v>
      </c>
      <c r="E74" s="521"/>
      <c r="F74" s="45"/>
      <c r="G74" s="494" t="s">
        <v>85</v>
      </c>
      <c r="H74" s="577"/>
      <c r="I74" s="450" t="s">
        <v>38</v>
      </c>
      <c r="J74" s="577" t="s">
        <v>41</v>
      </c>
      <c r="K74" s="577" t="s">
        <v>118</v>
      </c>
      <c r="L74" s="1047" t="s">
        <v>64</v>
      </c>
      <c r="M74" s="1036">
        <f>SUMIFS('Level of Efficiency Assumptions'!$J:$J,'Level of Efficiency Assumptions'!$D:$D,I74,'Level of Efficiency Assumptions'!$F:$F,J74,'Level of Efficiency Assumptions'!$I:$I,'Water Use Calcs'!L74)</f>
        <v>4.5</v>
      </c>
      <c r="N74" s="567" t="s">
        <v>223</v>
      </c>
      <c r="O74" s="1048">
        <f>SUMIFS('Detailed Fixture Data'!O:O,'Detailed Fixture Data'!C:C,G74,'Detailed Fixture Data'!E:E,I74,'Detailed Fixture Data'!F:F,J74,'Detailed Fixture Data'!L:L,L74)</f>
        <v>0</v>
      </c>
      <c r="P74" s="1030">
        <f>SUMIFS('Intensity of Use Assumptions'!$J:$J,'Intensity of Use Assumptions'!$D:$D,I74,'Intensity of Use Assumptions'!$G:$G,J74,'Intensity of Use Assumptions'!H:H,K74)</f>
        <v>0.05</v>
      </c>
      <c r="Q74" s="567" t="s">
        <v>224</v>
      </c>
      <c r="R74" s="1032">
        <f>(SUMPRODUCT(M74:M76,O74:O76)*P74)</f>
        <v>0</v>
      </c>
      <c r="S74" s="1033">
        <f>IF(R74=0,0,M76*P74)</f>
        <v>0</v>
      </c>
      <c r="T74" s="225" t="str">
        <f>G74&amp;"-"&amp;J74</f>
        <v>Terminal B-Dishwashers</v>
      </c>
      <c r="U74" s="1034">
        <f ca="1">IF(ISNA(VLOOKUP(T74,list!$AV$3:$AW$130,2,FALSE)),1,(VLOOKUP(T74,list!$AV$3:$AW$130,2,FALSE)))</f>
        <v>1</v>
      </c>
      <c r="V74" s="1033">
        <f ca="1">R74*U74</f>
        <v>0</v>
      </c>
      <c r="W74" s="1033">
        <f ca="1">S74*U74</f>
        <v>0</v>
      </c>
    </row>
    <row r="75" spans="2:23" x14ac:dyDescent="0.3">
      <c r="B75" s="182"/>
      <c r="C75" s="577"/>
      <c r="D75" s="521" t="s">
        <v>1</v>
      </c>
      <c r="E75" s="521"/>
      <c r="F75" s="45"/>
      <c r="G75" s="494" t="s">
        <v>85</v>
      </c>
      <c r="H75" s="577"/>
      <c r="I75" s="450" t="s">
        <v>38</v>
      </c>
      <c r="J75" s="577" t="s">
        <v>41</v>
      </c>
      <c r="K75" s="577"/>
      <c r="L75" s="1035" t="s">
        <v>65</v>
      </c>
      <c r="M75" s="1036">
        <f>SUMIFS('Level of Efficiency Assumptions'!$J:$J,'Level of Efficiency Assumptions'!$D:$D,I75,'Level of Efficiency Assumptions'!$F:$F,J75,'Level of Efficiency Assumptions'!$I:$I,'Water Use Calcs'!L75)</f>
        <v>2.5</v>
      </c>
      <c r="N75" s="577"/>
      <c r="O75" s="1048">
        <f>SUMIFS('Detailed Fixture Data'!O:O,'Detailed Fixture Data'!C:C,G75,'Detailed Fixture Data'!E:E,I75,'Detailed Fixture Data'!F:F,J75,'Detailed Fixture Data'!L:L,L75)</f>
        <v>0</v>
      </c>
      <c r="P75" s="1049"/>
      <c r="Q75" s="576" t="s">
        <v>80</v>
      </c>
      <c r="R75" s="1039"/>
      <c r="S75" s="521"/>
      <c r="T75" s="225"/>
      <c r="U75" s="521"/>
      <c r="V75" s="1040"/>
      <c r="W75" s="1041"/>
    </row>
    <row r="76" spans="2:23" ht="15" thickBot="1" x14ac:dyDescent="0.35">
      <c r="B76" s="182"/>
      <c r="C76" s="577"/>
      <c r="D76" s="521" t="s">
        <v>1</v>
      </c>
      <c r="E76" s="521"/>
      <c r="F76" s="45"/>
      <c r="G76" s="494" t="s">
        <v>85</v>
      </c>
      <c r="H76" s="577"/>
      <c r="I76" s="450" t="s">
        <v>38</v>
      </c>
      <c r="J76" s="116" t="s">
        <v>41</v>
      </c>
      <c r="K76" s="116"/>
      <c r="L76" s="1042" t="s">
        <v>66</v>
      </c>
      <c r="M76" s="1043">
        <f>SUMIFS('Level of Efficiency Assumptions'!$J:$J,'Level of Efficiency Assumptions'!$D:$D,I76,'Level of Efficiency Assumptions'!$F:$F,J76,'Level of Efficiency Assumptions'!$I:$I,'Water Use Calcs'!L76)</f>
        <v>1</v>
      </c>
      <c r="N76" s="577"/>
      <c r="O76" s="1048">
        <f>SUMIFS('Detailed Fixture Data'!O:O,'Detailed Fixture Data'!C:C,G76,'Detailed Fixture Data'!E:E,I76,'Detailed Fixture Data'!F:F,J76,'Detailed Fixture Data'!L:L,L76)</f>
        <v>0</v>
      </c>
      <c r="P76" s="1049"/>
      <c r="Q76" s="577"/>
      <c r="R76" s="1039"/>
      <c r="S76" s="618"/>
      <c r="T76" s="225"/>
      <c r="U76" s="618"/>
      <c r="V76" s="1045"/>
      <c r="W76" s="1046"/>
    </row>
    <row r="77" spans="2:23" x14ac:dyDescent="0.3">
      <c r="B77" s="182"/>
      <c r="C77" s="577"/>
      <c r="D77" s="521" t="s">
        <v>1</v>
      </c>
      <c r="E77" s="521"/>
      <c r="F77" s="45"/>
      <c r="G77" s="494" t="s">
        <v>85</v>
      </c>
      <c r="H77" s="577"/>
      <c r="I77" s="450" t="s">
        <v>38</v>
      </c>
      <c r="J77" s="577" t="s">
        <v>20</v>
      </c>
      <c r="K77" s="577" t="s">
        <v>118</v>
      </c>
      <c r="L77" s="1047" t="s">
        <v>64</v>
      </c>
      <c r="M77" s="1036">
        <f>SUMIFS('Level of Efficiency Assumptions'!$J:$J,'Level of Efficiency Assumptions'!$D:$D,I77,'Level of Efficiency Assumptions'!$F:$F,J77,'Level of Efficiency Assumptions'!$I:$I,'Water Use Calcs'!L77)</f>
        <v>1.5</v>
      </c>
      <c r="N77" s="567" t="s">
        <v>222</v>
      </c>
      <c r="O77" s="1048">
        <f>SUMIFS('Detailed Fixture Data'!O:O,'Detailed Fixture Data'!C:C,G77,'Detailed Fixture Data'!E:E,I77,'Detailed Fixture Data'!F:F,J77,'Detailed Fixture Data'!L:L,L77)</f>
        <v>0</v>
      </c>
      <c r="P77" s="1030">
        <f>SUMIFS('Intensity of Use Assumptions'!$J:$J,'Intensity of Use Assumptions'!$D:$D,I77,'Intensity of Use Assumptions'!$G:$G,J77,'Intensity of Use Assumptions'!H:H,K77)</f>
        <v>0.5</v>
      </c>
      <c r="Q77" s="567" t="s">
        <v>221</v>
      </c>
      <c r="R77" s="1032">
        <f>(SUMPRODUCT(M77:M79,O77:O79)*P77)</f>
        <v>0</v>
      </c>
      <c r="S77" s="1033">
        <f>IF(R77=0,0,M79*P77)</f>
        <v>0</v>
      </c>
      <c r="T77" s="225" t="str">
        <f>G77&amp;"-"&amp;J77</f>
        <v>Terminal B-Ice machines</v>
      </c>
      <c r="U77" s="1034">
        <f ca="1">IF(ISNA(VLOOKUP(T77,list!$AV$3:$AW$130,2,FALSE)),1,(VLOOKUP(T77,list!$AV$3:$AW$130,2,FALSE)))</f>
        <v>1</v>
      </c>
      <c r="V77" s="1033">
        <f ca="1">R77*U77</f>
        <v>0</v>
      </c>
      <c r="W77" s="1033">
        <f ca="1">S77*U77</f>
        <v>0</v>
      </c>
    </row>
    <row r="78" spans="2:23" x14ac:dyDescent="0.3">
      <c r="B78" s="182"/>
      <c r="C78" s="577"/>
      <c r="D78" s="521" t="s">
        <v>1</v>
      </c>
      <c r="E78" s="521"/>
      <c r="F78" s="45"/>
      <c r="G78" s="494" t="s">
        <v>85</v>
      </c>
      <c r="H78" s="577"/>
      <c r="I78" s="450" t="s">
        <v>38</v>
      </c>
      <c r="J78" s="577" t="s">
        <v>20</v>
      </c>
      <c r="K78" s="577"/>
      <c r="L78" s="1035" t="s">
        <v>65</v>
      </c>
      <c r="M78" s="1036">
        <f>SUMIFS('Level of Efficiency Assumptions'!$J:$J,'Level of Efficiency Assumptions'!$D:$D,I78,'Level of Efficiency Assumptions'!$F:$F,J78,'Level of Efficiency Assumptions'!$I:$I,'Water Use Calcs'!L78)</f>
        <v>0.25</v>
      </c>
      <c r="N78" s="577"/>
      <c r="O78" s="1048">
        <f>SUMIFS('Detailed Fixture Data'!O:O,'Detailed Fixture Data'!C:C,G78,'Detailed Fixture Data'!E:E,I78,'Detailed Fixture Data'!F:F,J78,'Detailed Fixture Data'!L:L,L78)</f>
        <v>0</v>
      </c>
      <c r="P78" s="1049"/>
      <c r="Q78" s="577"/>
      <c r="R78" s="1039"/>
      <c r="S78" s="521"/>
      <c r="T78" s="225"/>
      <c r="U78" s="521"/>
      <c r="V78" s="1040"/>
      <c r="W78" s="1041"/>
    </row>
    <row r="79" spans="2:23" ht="15" thickBot="1" x14ac:dyDescent="0.35">
      <c r="B79" s="182"/>
      <c r="C79" s="577"/>
      <c r="D79" s="521" t="s">
        <v>1</v>
      </c>
      <c r="E79" s="521"/>
      <c r="F79" s="45"/>
      <c r="G79" s="494" t="s">
        <v>85</v>
      </c>
      <c r="H79" s="116"/>
      <c r="I79" s="451" t="s">
        <v>38</v>
      </c>
      <c r="J79" s="116" t="s">
        <v>20</v>
      </c>
      <c r="K79" s="116"/>
      <c r="L79" s="1042" t="s">
        <v>66</v>
      </c>
      <c r="M79" s="1043">
        <f>SUMIFS('Level of Efficiency Assumptions'!$J:$J,'Level of Efficiency Assumptions'!$D:$D,I79,'Level of Efficiency Assumptions'!$F:$F,J79,'Level of Efficiency Assumptions'!$I:$I,'Water Use Calcs'!L79)</f>
        <v>0.12</v>
      </c>
      <c r="N79" s="577"/>
      <c r="O79" s="1048">
        <f>SUMIFS('Detailed Fixture Data'!O:O,'Detailed Fixture Data'!C:C,G79,'Detailed Fixture Data'!E:E,I79,'Detailed Fixture Data'!F:F,J79,'Detailed Fixture Data'!L:L,L79)</f>
        <v>0</v>
      </c>
      <c r="P79" s="1049"/>
      <c r="Q79" s="577"/>
      <c r="R79" s="1039"/>
      <c r="S79" s="618"/>
      <c r="T79" s="225"/>
      <c r="U79" s="618"/>
      <c r="V79" s="1045"/>
      <c r="W79" s="1046"/>
    </row>
    <row r="80" spans="2:23" x14ac:dyDescent="0.3">
      <c r="B80" s="182"/>
      <c r="C80" s="577"/>
      <c r="D80" s="521" t="s">
        <v>1</v>
      </c>
      <c r="E80" s="521"/>
      <c r="F80" s="45"/>
      <c r="G80" s="494" t="s">
        <v>85</v>
      </c>
      <c r="H80" s="651" t="str">
        <f>I80</f>
        <v>Landscaping</v>
      </c>
      <c r="I80" s="450" t="s">
        <v>39</v>
      </c>
      <c r="J80" s="577" t="s">
        <v>42</v>
      </c>
      <c r="K80" s="577" t="s">
        <v>32</v>
      </c>
      <c r="L80" s="1047" t="s">
        <v>64</v>
      </c>
      <c r="M80" s="1036">
        <f>SUMIFS('Level of Efficiency Assumptions'!$J:$J,'Level of Efficiency Assumptions'!$D:$D,I80,'Level of Efficiency Assumptions'!$F:$F,J80,'Level of Efficiency Assumptions'!$I:$I,'Water Use Calcs'!L80)</f>
        <v>28.6</v>
      </c>
      <c r="N80" s="567" t="s">
        <v>816</v>
      </c>
      <c r="O80" s="1048">
        <f>SUMIFS('Detailed Fixture Data'!O:O,'Detailed Fixture Data'!C:C,G80,'Detailed Fixture Data'!E:E,I80,'Detailed Fixture Data'!F:F,J80,'Detailed Fixture Data'!L:L,L80)</f>
        <v>0</v>
      </c>
      <c r="P80" s="1030">
        <f>SUMIFS('Intensity of Use Assumptions'!$J:$J,'Intensity of Use Assumptions'!$D:$D,I80,'Intensity of Use Assumptions'!$G:$G,J80,'Intensity of Use Assumptions'!H:H,K80,'Intensity of Use Assumptions'!F:F,D80)</f>
        <v>2.7397260273972603E-3</v>
      </c>
      <c r="Q80" s="567" t="s">
        <v>815</v>
      </c>
      <c r="R80" s="1032">
        <f>(SUMPRODUCT(M80:M82,O80:O82)*P80)</f>
        <v>0</v>
      </c>
      <c r="S80" s="1033">
        <f>IF(R80=0,0,M82*P80)</f>
        <v>0</v>
      </c>
      <c r="T80" s="225" t="str">
        <f>G80&amp;"-"&amp;J80</f>
        <v>Terminal B-Outdoor irrigation</v>
      </c>
      <c r="U80" s="1034">
        <f ca="1">IF(ISNA(VLOOKUP(T80,list!$AV$3:$AW$130,2,FALSE)),1,(VLOOKUP(T80,list!$AV$3:$AW$130,2,FALSE)))</f>
        <v>1</v>
      </c>
      <c r="V80" s="1033">
        <f ca="1">R80*U80</f>
        <v>0</v>
      </c>
      <c r="W80" s="1033">
        <f ca="1">S80*U80</f>
        <v>0</v>
      </c>
    </row>
    <row r="81" spans="2:23" x14ac:dyDescent="0.3">
      <c r="B81" s="182"/>
      <c r="C81" s="577"/>
      <c r="D81" s="521" t="s">
        <v>1</v>
      </c>
      <c r="E81" s="521"/>
      <c r="F81" s="45"/>
      <c r="G81" s="494" t="s">
        <v>85</v>
      </c>
      <c r="H81" s="577"/>
      <c r="I81" s="450" t="s">
        <v>39</v>
      </c>
      <c r="J81" s="577" t="s">
        <v>42</v>
      </c>
      <c r="K81" s="577"/>
      <c r="L81" s="1035" t="s">
        <v>65</v>
      </c>
      <c r="M81" s="1036">
        <f>SUMIFS('Level of Efficiency Assumptions'!$J:$J,'Level of Efficiency Assumptions'!$D:$D,I81,'Level of Efficiency Assumptions'!$F:$F,J81,'Level of Efficiency Assumptions'!$I:$I,'Water Use Calcs'!L81)</f>
        <v>13.980821518350929</v>
      </c>
      <c r="N81" s="577"/>
      <c r="O81" s="1048">
        <f>SUMIFS('Detailed Fixture Data'!O:O,'Detailed Fixture Data'!C:C,G81,'Detailed Fixture Data'!E:E,I81,'Detailed Fixture Data'!F:F,J81,'Detailed Fixture Data'!L:L,L81)</f>
        <v>0</v>
      </c>
      <c r="P81" s="1049"/>
      <c r="Q81" s="577"/>
      <c r="R81" s="1039"/>
      <c r="S81" s="521"/>
      <c r="T81" s="225"/>
      <c r="U81" s="521"/>
      <c r="V81" s="1040"/>
      <c r="W81" s="1041"/>
    </row>
    <row r="82" spans="2:23" ht="15" thickBot="1" x14ac:dyDescent="0.35">
      <c r="B82" s="182"/>
      <c r="C82" s="577"/>
      <c r="D82" s="521" t="s">
        <v>1</v>
      </c>
      <c r="E82" s="521"/>
      <c r="F82" s="45"/>
      <c r="G82" s="494" t="s">
        <v>85</v>
      </c>
      <c r="H82" s="116"/>
      <c r="I82" s="451" t="s">
        <v>39</v>
      </c>
      <c r="J82" s="116" t="s">
        <v>42</v>
      </c>
      <c r="K82" s="116"/>
      <c r="L82" s="1042" t="s">
        <v>66</v>
      </c>
      <c r="M82" s="1043">
        <f>SUMIFS('Level of Efficiency Assumptions'!$J:$J,'Level of Efficiency Assumptions'!$D:$D,I82,'Level of Efficiency Assumptions'!$F:$F,J82,'Level of Efficiency Assumptions'!$I:$I,'Water Use Calcs'!L82)</f>
        <v>0.59137254901960778</v>
      </c>
      <c r="N82" s="577"/>
      <c r="O82" s="1048">
        <f>SUMIFS('Detailed Fixture Data'!O:O,'Detailed Fixture Data'!C:C,G82,'Detailed Fixture Data'!E:E,I82,'Detailed Fixture Data'!F:F,J82,'Detailed Fixture Data'!L:L,L82)</f>
        <v>0</v>
      </c>
      <c r="P82" s="1049"/>
      <c r="Q82" s="577"/>
      <c r="R82" s="1039"/>
      <c r="S82" s="618"/>
      <c r="T82" s="225"/>
      <c r="U82" s="618"/>
      <c r="V82" s="1045"/>
      <c r="W82" s="1046"/>
    </row>
    <row r="83" spans="2:23" x14ac:dyDescent="0.3">
      <c r="B83" s="182"/>
      <c r="C83" s="577"/>
      <c r="D83" s="521" t="s">
        <v>1</v>
      </c>
      <c r="E83" s="521"/>
      <c r="F83" s="45"/>
      <c r="G83" s="494" t="s">
        <v>85</v>
      </c>
      <c r="H83" s="651" t="str">
        <f>I83</f>
        <v>Maintenance</v>
      </c>
      <c r="I83" s="450" t="s">
        <v>43</v>
      </c>
      <c r="J83" s="577" t="s">
        <v>111</v>
      </c>
      <c r="K83" s="217" t="s">
        <v>424</v>
      </c>
      <c r="L83" s="1047" t="s">
        <v>64</v>
      </c>
      <c r="M83" s="1036">
        <f>SUMIFS('Level of Efficiency Assumptions'!$J:$J,'Level of Efficiency Assumptions'!$D:$D,I83,'Level of Efficiency Assumptions'!$F:$F,J83,'Level of Efficiency Assumptions'!$I:$I,'Water Use Calcs'!L83)</f>
        <v>100</v>
      </c>
      <c r="N83" s="567" t="s">
        <v>659</v>
      </c>
      <c r="O83" s="1048">
        <f>SUMIFS('Detailed Fixture Data'!O:O,'Detailed Fixture Data'!C:C,G83,'Detailed Fixture Data'!E:E,I83,'Detailed Fixture Data'!F:F,J83,'Detailed Fixture Data'!L:L,L83)</f>
        <v>0</v>
      </c>
      <c r="P83" s="1030">
        <f>SUMIFS('Intensity of Use Assumptions'!$J:$J,'Intensity of Use Assumptions'!$D:$D,I83,'Intensity of Use Assumptions'!$G:$G,J83,'Intensity of Use Assumptions'!H:H,K83)</f>
        <v>1</v>
      </c>
      <c r="Q83" s="567" t="s">
        <v>67</v>
      </c>
      <c r="R83" s="1032">
        <f>(SUMPRODUCT(M83:M85,O83:O85)*P83)</f>
        <v>0</v>
      </c>
      <c r="S83" s="1033">
        <f>IF(R83=0,0,M85*P83)</f>
        <v>0</v>
      </c>
      <c r="T83" s="225" t="str">
        <f>G83&amp;"-"&amp;J83</f>
        <v>Terminal B-Boiler</v>
      </c>
      <c r="U83" s="1034">
        <f ca="1">IF(ISNA(VLOOKUP(T83,list!$AV$3:$AW$130,2,FALSE)),1,(VLOOKUP(T83,list!$AV$3:$AW$130,2,FALSE)))</f>
        <v>1</v>
      </c>
      <c r="V83" s="1033">
        <f ca="1">R83*U83</f>
        <v>0</v>
      </c>
      <c r="W83" s="1033">
        <f ca="1">S83*U83</f>
        <v>0</v>
      </c>
    </row>
    <row r="84" spans="2:23" x14ac:dyDescent="0.3">
      <c r="B84" s="182"/>
      <c r="C84" s="577"/>
      <c r="D84" s="521" t="s">
        <v>1</v>
      </c>
      <c r="E84" s="521"/>
      <c r="F84" s="45"/>
      <c r="G84" s="494" t="s">
        <v>85</v>
      </c>
      <c r="H84" s="577"/>
      <c r="I84" s="450" t="s">
        <v>43</v>
      </c>
      <c r="J84" s="577" t="s">
        <v>111</v>
      </c>
      <c r="K84" s="382"/>
      <c r="L84" s="1035" t="s">
        <v>65</v>
      </c>
      <c r="M84" s="1036">
        <f>SUMIFS('Level of Efficiency Assumptions'!$J:$J,'Level of Efficiency Assumptions'!$D:$D,I84,'Level of Efficiency Assumptions'!$F:$F,J84,'Level of Efficiency Assumptions'!$I:$I,'Water Use Calcs'!L84)</f>
        <v>75</v>
      </c>
      <c r="N84" s="577"/>
      <c r="O84" s="1048">
        <f>SUMIFS('Detailed Fixture Data'!O:O,'Detailed Fixture Data'!C:C,G84,'Detailed Fixture Data'!E:E,I84,'Detailed Fixture Data'!F:F,J84,'Detailed Fixture Data'!L:L,L84)</f>
        <v>0</v>
      </c>
      <c r="P84" s="1049"/>
      <c r="Q84" s="577"/>
      <c r="R84" s="1039"/>
      <c r="S84" s="521"/>
      <c r="T84" s="225"/>
      <c r="U84" s="521"/>
      <c r="V84" s="1040"/>
      <c r="W84" s="1041"/>
    </row>
    <row r="85" spans="2:23" ht="15" thickBot="1" x14ac:dyDescent="0.35">
      <c r="B85" s="182"/>
      <c r="C85" s="577"/>
      <c r="D85" s="521" t="s">
        <v>1</v>
      </c>
      <c r="E85" s="521"/>
      <c r="F85" s="45"/>
      <c r="G85" s="494" t="s">
        <v>85</v>
      </c>
      <c r="H85" s="577"/>
      <c r="I85" s="450" t="s">
        <v>43</v>
      </c>
      <c r="J85" s="116" t="s">
        <v>111</v>
      </c>
      <c r="K85" s="116"/>
      <c r="L85" s="1042" t="s">
        <v>66</v>
      </c>
      <c r="M85" s="1043">
        <f>SUMIFS('Level of Efficiency Assumptions'!$J:$J,'Level of Efficiency Assumptions'!$D:$D,I85,'Level of Efficiency Assumptions'!$F:$F,J85,'Level of Efficiency Assumptions'!$I:$I,'Water Use Calcs'!L85)</f>
        <v>50</v>
      </c>
      <c r="N85" s="577"/>
      <c r="O85" s="1048">
        <f>SUMIFS('Detailed Fixture Data'!O:O,'Detailed Fixture Data'!C:C,G85,'Detailed Fixture Data'!E:E,I85,'Detailed Fixture Data'!F:F,J85,'Detailed Fixture Data'!L:L,L85)</f>
        <v>0</v>
      </c>
      <c r="P85" s="1049"/>
      <c r="Q85" s="577"/>
      <c r="R85" s="1039"/>
      <c r="S85" s="618"/>
      <c r="T85" s="225"/>
      <c r="U85" s="618"/>
      <c r="V85" s="1045"/>
      <c r="W85" s="1046"/>
    </row>
    <row r="86" spans="2:23" x14ac:dyDescent="0.3">
      <c r="B86" s="182"/>
      <c r="C86" s="577"/>
      <c r="D86" s="521" t="s">
        <v>1</v>
      </c>
      <c r="E86" s="521"/>
      <c r="F86" s="45"/>
      <c r="G86" s="494" t="s">
        <v>85</v>
      </c>
      <c r="H86" s="577"/>
      <c r="I86" s="450" t="s">
        <v>43</v>
      </c>
      <c r="J86" s="577" t="s">
        <v>7</v>
      </c>
      <c r="K86" s="215" t="s">
        <v>365</v>
      </c>
      <c r="L86" s="1012" t="s">
        <v>257</v>
      </c>
      <c r="M86" s="1050"/>
      <c r="N86" s="1050"/>
      <c r="O86" s="1050"/>
      <c r="P86" s="1051"/>
      <c r="Q86" s="981"/>
      <c r="R86" s="1052">
        <f>SUMIFS('Cooling Data'!H:H,'Cooling Data'!$C:$C,$G86,'Cooling Data'!$E:$E,$I86,'Cooling Data'!$F:$F,$J86)</f>
        <v>0</v>
      </c>
      <c r="S86" s="1052">
        <f>SUMIFS('Cooling Data'!J:J,'Cooling Data'!$C:$C,$G86,'Cooling Data'!$E:$E,$I86,'Cooling Data'!$F:$F,$J86)</f>
        <v>0</v>
      </c>
      <c r="T86" s="225" t="str">
        <f>G86&amp;"-"&amp;J86</f>
        <v>Terminal B-Cooling</v>
      </c>
      <c r="U86" s="1034">
        <f ca="1">IF(ISNA(VLOOKUP(T86,list!$AV$3:$AW$130,2,FALSE)),1,(VLOOKUP(T86,list!$AV$3:$AW$130,2,FALSE)))</f>
        <v>1</v>
      </c>
      <c r="V86" s="1033">
        <f ca="1">R86*U86</f>
        <v>0</v>
      </c>
      <c r="W86" s="1033">
        <f ca="1">S86*U86</f>
        <v>0</v>
      </c>
    </row>
    <row r="87" spans="2:23" x14ac:dyDescent="0.3">
      <c r="B87" s="182"/>
      <c r="C87" s="577"/>
      <c r="D87" s="521" t="s">
        <v>1</v>
      </c>
      <c r="E87" s="521"/>
      <c r="F87" s="45"/>
      <c r="G87" s="494" t="s">
        <v>85</v>
      </c>
      <c r="H87" s="577"/>
      <c r="I87" s="450" t="s">
        <v>43</v>
      </c>
      <c r="J87" s="577" t="s">
        <v>7</v>
      </c>
      <c r="K87" s="577"/>
      <c r="L87" s="206"/>
      <c r="M87" s="181"/>
      <c r="N87" s="181"/>
      <c r="O87" s="181"/>
      <c r="P87" s="1053"/>
      <c r="Q87" s="439"/>
      <c r="R87" s="1039"/>
      <c r="S87" s="521"/>
      <c r="T87" s="225"/>
      <c r="U87" s="521"/>
      <c r="V87" s="1040"/>
      <c r="W87" s="1041"/>
    </row>
    <row r="88" spans="2:23" ht="15" thickBot="1" x14ac:dyDescent="0.35">
      <c r="B88" s="182"/>
      <c r="C88" s="577"/>
      <c r="D88" s="521" t="s">
        <v>1</v>
      </c>
      <c r="E88" s="521"/>
      <c r="F88" s="45"/>
      <c r="G88" s="494" t="s">
        <v>85</v>
      </c>
      <c r="H88" s="577"/>
      <c r="I88" s="450" t="s">
        <v>43</v>
      </c>
      <c r="J88" s="116" t="s">
        <v>7</v>
      </c>
      <c r="K88" s="116"/>
      <c r="L88" s="207"/>
      <c r="M88" s="924"/>
      <c r="N88" s="924"/>
      <c r="O88" s="924"/>
      <c r="P88" s="1054"/>
      <c r="Q88" s="606"/>
      <c r="R88" s="1039"/>
      <c r="S88" s="618"/>
      <c r="T88" s="225"/>
      <c r="U88" s="618"/>
      <c r="V88" s="1045"/>
      <c r="W88" s="1046"/>
    </row>
    <row r="89" spans="2:23" x14ac:dyDescent="0.3">
      <c r="B89" s="182"/>
      <c r="C89" s="577"/>
      <c r="D89" s="521" t="s">
        <v>1</v>
      </c>
      <c r="E89" s="521"/>
      <c r="F89" s="45"/>
      <c r="G89" s="494" t="s">
        <v>85</v>
      </c>
      <c r="H89" s="577"/>
      <c r="I89" s="450" t="s">
        <v>43</v>
      </c>
      <c r="J89" s="577" t="s">
        <v>426</v>
      </c>
      <c r="K89" s="577" t="s">
        <v>3</v>
      </c>
      <c r="L89" s="1047" t="s">
        <v>64</v>
      </c>
      <c r="M89" s="1036">
        <f>SUMIFS('Level of Efficiency Assumptions'!$J:$J,'Level of Efficiency Assumptions'!$D:$D,I89,'Level of Efficiency Assumptions'!$F:$F,J89,'Level of Efficiency Assumptions'!$I:$I,'Water Use Calcs'!L89)</f>
        <v>10</v>
      </c>
      <c r="N89" s="567" t="s">
        <v>588</v>
      </c>
      <c r="O89" s="1048">
        <f>SUMIFS('Detailed Fixture Data'!O:O,'Detailed Fixture Data'!C:C,G89,'Detailed Fixture Data'!E:E,I89,'Detailed Fixture Data'!F:F,J89,'Detailed Fixture Data'!L:L,L89)</f>
        <v>0</v>
      </c>
      <c r="P89" s="1030">
        <f>SUMIFS('Intensity of Use Assumptions'!$J:$J,'Intensity of Use Assumptions'!$D:$D,I89,'Intensity of Use Assumptions'!$G:$G,J89,'Intensity of Use Assumptions'!H:H,K89)</f>
        <v>1E-3</v>
      </c>
      <c r="Q89" s="567" t="s">
        <v>67</v>
      </c>
      <c r="R89" s="1032">
        <f>(SUMPRODUCT(M89:M91,O89:O91)*P89)</f>
        <v>0</v>
      </c>
      <c r="S89" s="1033">
        <f>IF(R89=0,0,M91*P89)</f>
        <v>0</v>
      </c>
      <c r="T89" s="225" t="str">
        <f>G89&amp;"-"&amp;J89</f>
        <v>Terminal B-Pavement cleaning</v>
      </c>
      <c r="U89" s="1034">
        <f ca="1">IF(ISNA(VLOOKUP(T89,list!$AV$3:$AW$130,2,FALSE)),1,(VLOOKUP(T89,list!$AV$3:$AW$130,2,FALSE)))</f>
        <v>1</v>
      </c>
      <c r="V89" s="1033">
        <f ca="1">R89*U89</f>
        <v>0</v>
      </c>
      <c r="W89" s="1033">
        <f ca="1">S89*U89</f>
        <v>0</v>
      </c>
    </row>
    <row r="90" spans="2:23" x14ac:dyDescent="0.3">
      <c r="B90" s="182"/>
      <c r="C90" s="577"/>
      <c r="D90" s="521" t="s">
        <v>1</v>
      </c>
      <c r="E90" s="521"/>
      <c r="F90" s="45"/>
      <c r="G90" s="494" t="s">
        <v>85</v>
      </c>
      <c r="H90" s="577"/>
      <c r="I90" s="450" t="s">
        <v>43</v>
      </c>
      <c r="J90" s="577" t="s">
        <v>426</v>
      </c>
      <c r="K90" s="577"/>
      <c r="L90" s="1035" t="s">
        <v>65</v>
      </c>
      <c r="M90" s="1036">
        <f>SUMIFS('Level of Efficiency Assumptions'!$J:$J,'Level of Efficiency Assumptions'!$D:$D,I90,'Level of Efficiency Assumptions'!$F:$F,J90,'Level of Efficiency Assumptions'!$I:$I,'Water Use Calcs'!L90)</f>
        <v>7.5</v>
      </c>
      <c r="N90" s="577"/>
      <c r="O90" s="1048">
        <f>SUMIFS('Detailed Fixture Data'!O:O,'Detailed Fixture Data'!C:C,G90,'Detailed Fixture Data'!E:E,I90,'Detailed Fixture Data'!F:F,J90,'Detailed Fixture Data'!L:L,L90)</f>
        <v>0</v>
      </c>
      <c r="P90" s="1049"/>
      <c r="Q90" s="577"/>
      <c r="R90" s="1039"/>
      <c r="S90" s="521"/>
      <c r="T90" s="225"/>
      <c r="U90" s="521"/>
      <c r="V90" s="1040"/>
      <c r="W90" s="1041"/>
    </row>
    <row r="91" spans="2:23" ht="15" thickBot="1" x14ac:dyDescent="0.35">
      <c r="B91" s="182"/>
      <c r="C91" s="577"/>
      <c r="D91" s="521" t="s">
        <v>1</v>
      </c>
      <c r="E91" s="521"/>
      <c r="F91" s="45"/>
      <c r="G91" s="494" t="s">
        <v>85</v>
      </c>
      <c r="H91" s="116"/>
      <c r="I91" s="451" t="s">
        <v>43</v>
      </c>
      <c r="J91" s="116" t="s">
        <v>426</v>
      </c>
      <c r="K91" s="116"/>
      <c r="L91" s="1042" t="s">
        <v>66</v>
      </c>
      <c r="M91" s="1043">
        <f>SUMIFS('Level of Efficiency Assumptions'!$J:$J,'Level of Efficiency Assumptions'!$D:$D,I91,'Level of Efficiency Assumptions'!$F:$F,J91,'Level of Efficiency Assumptions'!$I:$I,'Water Use Calcs'!L91)</f>
        <v>5</v>
      </c>
      <c r="N91" s="577"/>
      <c r="O91" s="1048">
        <f>SUMIFS('Detailed Fixture Data'!O:O,'Detailed Fixture Data'!C:C,G91,'Detailed Fixture Data'!E:E,I91,'Detailed Fixture Data'!F:F,J91,'Detailed Fixture Data'!L:L,L91)</f>
        <v>0</v>
      </c>
      <c r="P91" s="1049"/>
      <c r="Q91" s="577"/>
      <c r="R91" s="1039"/>
      <c r="S91" s="618"/>
      <c r="T91" s="225"/>
      <c r="U91" s="618"/>
      <c r="V91" s="1045"/>
      <c r="W91" s="1046"/>
    </row>
    <row r="92" spans="2:23" x14ac:dyDescent="0.3">
      <c r="B92" s="182"/>
      <c r="C92" s="577"/>
      <c r="D92" s="521" t="s">
        <v>1</v>
      </c>
      <c r="E92" s="521"/>
      <c r="F92" s="45"/>
      <c r="G92" s="494" t="s">
        <v>85</v>
      </c>
      <c r="H92" s="651" t="str">
        <f>I92</f>
        <v>Other</v>
      </c>
      <c r="I92" s="450" t="s">
        <v>8</v>
      </c>
      <c r="J92" s="577" t="s">
        <v>52</v>
      </c>
      <c r="K92" s="387" t="s">
        <v>362</v>
      </c>
      <c r="L92" s="1047" t="s">
        <v>64</v>
      </c>
      <c r="M92" s="1036">
        <f>SUMIFS('Level of Efficiency Assumptions'!$J:$J,'Level of Efficiency Assumptions'!$D:$D,I92,'Level of Efficiency Assumptions'!$F:$F,J92,'Level of Efficiency Assumptions'!$I:$I,'Water Use Calcs'!L92)</f>
        <v>10</v>
      </c>
      <c r="N92" s="567" t="s">
        <v>660</v>
      </c>
      <c r="O92" s="1048">
        <f>SUMIFS('Detailed Fixture Data'!O:O,'Detailed Fixture Data'!C:C,G92,'Detailed Fixture Data'!E:E,I92,'Detailed Fixture Data'!F:F,J92,'Detailed Fixture Data'!L:L,L92)</f>
        <v>0</v>
      </c>
      <c r="P92" s="1030">
        <f>SUMIFS('Intensity of Use Assumptions'!$J:$J,'Intensity of Use Assumptions'!$D:$D,I92,'Intensity of Use Assumptions'!$G:$G,J92,'Intensity of Use Assumptions'!H:H,K92)</f>
        <v>1</v>
      </c>
      <c r="Q92" s="567" t="s">
        <v>67</v>
      </c>
      <c r="R92" s="1032">
        <f>(SUMPRODUCT(M92:M94,O92:O94)*P92)</f>
        <v>0</v>
      </c>
      <c r="S92" s="1033">
        <f>IF(R92=0,0,M94*P92)</f>
        <v>0</v>
      </c>
      <c r="T92" s="225" t="str">
        <f>G92&amp;"-"&amp;J92</f>
        <v>Terminal B-Other 1</v>
      </c>
      <c r="U92" s="1034">
        <f ca="1">IF(ISNA(VLOOKUP(T92,list!$AV$3:$AW$130,2,FALSE)),1,(VLOOKUP(T92,list!$AV$3:$AW$130,2,FALSE)))</f>
        <v>1</v>
      </c>
      <c r="V92" s="1033">
        <f ca="1">R92*U92</f>
        <v>0</v>
      </c>
      <c r="W92" s="1033">
        <f ca="1">S92*U92</f>
        <v>0</v>
      </c>
    </row>
    <row r="93" spans="2:23" x14ac:dyDescent="0.3">
      <c r="B93" s="182"/>
      <c r="C93" s="577"/>
      <c r="D93" s="521" t="s">
        <v>1</v>
      </c>
      <c r="E93" s="521"/>
      <c r="F93" s="45"/>
      <c r="G93" s="494" t="s">
        <v>85</v>
      </c>
      <c r="H93" s="577"/>
      <c r="I93" s="450" t="s">
        <v>8</v>
      </c>
      <c r="J93" s="577" t="s">
        <v>52</v>
      </c>
      <c r="K93" s="382"/>
      <c r="L93" s="1035" t="s">
        <v>65</v>
      </c>
      <c r="M93" s="1036">
        <f>SUMIFS('Level of Efficiency Assumptions'!$J:$J,'Level of Efficiency Assumptions'!$D:$D,I93,'Level of Efficiency Assumptions'!$F:$F,J93,'Level of Efficiency Assumptions'!$I:$I,'Water Use Calcs'!L93)</f>
        <v>7.5</v>
      </c>
      <c r="N93" s="577"/>
      <c r="O93" s="1048">
        <f>SUMIFS('Detailed Fixture Data'!O:O,'Detailed Fixture Data'!C:C,G93,'Detailed Fixture Data'!E:E,I93,'Detailed Fixture Data'!F:F,J93,'Detailed Fixture Data'!L:L,L93)</f>
        <v>0</v>
      </c>
      <c r="P93" s="1049"/>
      <c r="Q93" s="577"/>
      <c r="R93" s="1039"/>
      <c r="S93" s="521"/>
      <c r="T93" s="225"/>
      <c r="U93" s="521"/>
      <c r="V93" s="1040"/>
      <c r="W93" s="1041"/>
    </row>
    <row r="94" spans="2:23" ht="15" thickBot="1" x14ac:dyDescent="0.35">
      <c r="B94" s="182"/>
      <c r="C94" s="577"/>
      <c r="D94" s="521" t="s">
        <v>1</v>
      </c>
      <c r="E94" s="521"/>
      <c r="F94" s="45"/>
      <c r="G94" s="494" t="s">
        <v>85</v>
      </c>
      <c r="H94" s="577"/>
      <c r="I94" s="450" t="s">
        <v>8</v>
      </c>
      <c r="J94" s="116" t="s">
        <v>52</v>
      </c>
      <c r="K94" s="382"/>
      <c r="L94" s="1042" t="s">
        <v>66</v>
      </c>
      <c r="M94" s="1043">
        <f>SUMIFS('Level of Efficiency Assumptions'!$J:$J,'Level of Efficiency Assumptions'!$D:$D,I94,'Level of Efficiency Assumptions'!$F:$F,J94,'Level of Efficiency Assumptions'!$I:$I,'Water Use Calcs'!L94)</f>
        <v>5</v>
      </c>
      <c r="N94" s="577"/>
      <c r="O94" s="1048">
        <f>SUMIFS('Detailed Fixture Data'!O:O,'Detailed Fixture Data'!C:C,G94,'Detailed Fixture Data'!E:E,I94,'Detailed Fixture Data'!F:F,J94,'Detailed Fixture Data'!L:L,L94)</f>
        <v>0</v>
      </c>
      <c r="P94" s="1049"/>
      <c r="Q94" s="577"/>
      <c r="R94" s="1039"/>
      <c r="S94" s="618"/>
      <c r="T94" s="225"/>
      <c r="U94" s="618"/>
      <c r="V94" s="1045"/>
      <c r="W94" s="1046"/>
    </row>
    <row r="95" spans="2:23" x14ac:dyDescent="0.3">
      <c r="B95" s="182"/>
      <c r="C95" s="577"/>
      <c r="D95" s="521" t="s">
        <v>1</v>
      </c>
      <c r="E95" s="521"/>
      <c r="F95" s="45"/>
      <c r="G95" s="494" t="s">
        <v>85</v>
      </c>
      <c r="H95" s="577"/>
      <c r="I95" s="450" t="s">
        <v>8</v>
      </c>
      <c r="J95" s="577" t="s">
        <v>53</v>
      </c>
      <c r="K95" s="1055" t="s">
        <v>363</v>
      </c>
      <c r="L95" s="1047" t="s">
        <v>64</v>
      </c>
      <c r="M95" s="1036">
        <f>SUMIFS('Level of Efficiency Assumptions'!$J:$J,'Level of Efficiency Assumptions'!$D:$D,I95,'Level of Efficiency Assumptions'!$F:$F,J95,'Level of Efficiency Assumptions'!$I:$I,'Water Use Calcs'!L95)</f>
        <v>10</v>
      </c>
      <c r="N95" s="567" t="s">
        <v>660</v>
      </c>
      <c r="O95" s="1048">
        <f>SUMIFS('Detailed Fixture Data'!O:O,'Detailed Fixture Data'!C:C,G95,'Detailed Fixture Data'!E:E,I95,'Detailed Fixture Data'!F:F,J95,'Detailed Fixture Data'!L:L,L95)</f>
        <v>0</v>
      </c>
      <c r="P95" s="1030">
        <f>SUMIFS('Intensity of Use Assumptions'!$J:$J,'Intensity of Use Assumptions'!$D:$D,I95,'Intensity of Use Assumptions'!$G:$G,J95,'Intensity of Use Assumptions'!H:H,K95)</f>
        <v>1</v>
      </c>
      <c r="Q95" s="567" t="s">
        <v>67</v>
      </c>
      <c r="R95" s="1032">
        <f>(SUMPRODUCT(M95:M97,O95:O97)*P95)</f>
        <v>0</v>
      </c>
      <c r="S95" s="1033">
        <f>IF(R95=0,0,M97*P95)</f>
        <v>0</v>
      </c>
      <c r="T95" s="225" t="str">
        <f>G95&amp;"-"&amp;J95</f>
        <v>Terminal B-Other 2</v>
      </c>
      <c r="U95" s="1034">
        <f ca="1">IF(ISNA(VLOOKUP(T95,list!$AV$3:$AW$130,2,FALSE)),1,(VLOOKUP(T95,list!$AV$3:$AW$130,2,FALSE)))</f>
        <v>1</v>
      </c>
      <c r="V95" s="1033">
        <f ca="1">R95*U95</f>
        <v>0</v>
      </c>
      <c r="W95" s="1033">
        <f ca="1">S95*U95</f>
        <v>0</v>
      </c>
    </row>
    <row r="96" spans="2:23" x14ac:dyDescent="0.3">
      <c r="B96" s="182"/>
      <c r="C96" s="577"/>
      <c r="D96" s="521" t="s">
        <v>1</v>
      </c>
      <c r="E96" s="521"/>
      <c r="F96" s="45"/>
      <c r="G96" s="494" t="s">
        <v>85</v>
      </c>
      <c r="H96" s="577"/>
      <c r="I96" s="450" t="s">
        <v>8</v>
      </c>
      <c r="J96" s="577" t="s">
        <v>53</v>
      </c>
      <c r="K96" s="577"/>
      <c r="L96" s="1035" t="s">
        <v>65</v>
      </c>
      <c r="M96" s="1036">
        <f>SUMIFS('Level of Efficiency Assumptions'!$J:$J,'Level of Efficiency Assumptions'!$D:$D,I96,'Level of Efficiency Assumptions'!$F:$F,J96,'Level of Efficiency Assumptions'!$I:$I,'Water Use Calcs'!L96)</f>
        <v>7.5</v>
      </c>
      <c r="N96" s="577"/>
      <c r="O96" s="1048">
        <f>SUMIFS('Detailed Fixture Data'!O:O,'Detailed Fixture Data'!C:C,G96,'Detailed Fixture Data'!E:E,I96,'Detailed Fixture Data'!F:F,J96,'Detailed Fixture Data'!L:L,L96)</f>
        <v>0</v>
      </c>
      <c r="P96" s="1049"/>
      <c r="Q96" s="577"/>
      <c r="R96" s="1039"/>
      <c r="S96" s="521"/>
      <c r="T96" s="225"/>
      <c r="U96" s="521"/>
      <c r="V96" s="1040"/>
      <c r="W96" s="1041"/>
    </row>
    <row r="97" spans="2:23" ht="15" thickBot="1" x14ac:dyDescent="0.35">
      <c r="B97" s="182"/>
      <c r="C97" s="577"/>
      <c r="D97" s="521" t="s">
        <v>1</v>
      </c>
      <c r="E97" s="521"/>
      <c r="F97" s="45"/>
      <c r="G97" s="494" t="s">
        <v>85</v>
      </c>
      <c r="H97" s="577"/>
      <c r="I97" s="450" t="s">
        <v>8</v>
      </c>
      <c r="J97" s="116" t="s">
        <v>53</v>
      </c>
      <c r="K97" s="116"/>
      <c r="L97" s="1042" t="s">
        <v>66</v>
      </c>
      <c r="M97" s="1043">
        <f>SUMIFS('Level of Efficiency Assumptions'!$J:$J,'Level of Efficiency Assumptions'!$D:$D,I97,'Level of Efficiency Assumptions'!$F:$F,J97,'Level of Efficiency Assumptions'!$I:$I,'Water Use Calcs'!L97)</f>
        <v>5</v>
      </c>
      <c r="N97" s="577"/>
      <c r="O97" s="1048">
        <f>SUMIFS('Detailed Fixture Data'!O:O,'Detailed Fixture Data'!C:C,G97,'Detailed Fixture Data'!E:E,I97,'Detailed Fixture Data'!F:F,J97,'Detailed Fixture Data'!L:L,L97)</f>
        <v>0</v>
      </c>
      <c r="P97" s="1049"/>
      <c r="Q97" s="577"/>
      <c r="R97" s="1039"/>
      <c r="S97" s="618"/>
      <c r="T97" s="225"/>
      <c r="U97" s="618"/>
      <c r="V97" s="1045"/>
      <c r="W97" s="1046"/>
    </row>
    <row r="98" spans="2:23" x14ac:dyDescent="0.3">
      <c r="B98" s="182"/>
      <c r="C98" s="577"/>
      <c r="D98" s="521" t="s">
        <v>1</v>
      </c>
      <c r="E98" s="521"/>
      <c r="F98" s="45"/>
      <c r="G98" s="494" t="s">
        <v>85</v>
      </c>
      <c r="H98" s="577"/>
      <c r="I98" s="450" t="s">
        <v>8</v>
      </c>
      <c r="J98" s="577" t="s">
        <v>54</v>
      </c>
      <c r="K98" s="379" t="s">
        <v>364</v>
      </c>
      <c r="L98" s="1047" t="s">
        <v>64</v>
      </c>
      <c r="M98" s="1036">
        <f>SUMIFS('Level of Efficiency Assumptions'!$J:$J,'Level of Efficiency Assumptions'!$D:$D,I98,'Level of Efficiency Assumptions'!$F:$F,J98,'Level of Efficiency Assumptions'!$I:$I,'Water Use Calcs'!L98)</f>
        <v>10</v>
      </c>
      <c r="N98" s="567" t="s">
        <v>660</v>
      </c>
      <c r="O98" s="1048">
        <f>SUMIFS('Detailed Fixture Data'!O:O,'Detailed Fixture Data'!C:C,G98,'Detailed Fixture Data'!E:E,I98,'Detailed Fixture Data'!F:F,J98,'Detailed Fixture Data'!L:L,L98)</f>
        <v>0</v>
      </c>
      <c r="P98" s="1030">
        <f>SUMIFS('Intensity of Use Assumptions'!$J:$J,'Intensity of Use Assumptions'!$D:$D,I98,'Intensity of Use Assumptions'!$G:$G,J98,'Intensity of Use Assumptions'!H:H,K98)</f>
        <v>1</v>
      </c>
      <c r="Q98" s="567" t="s">
        <v>67</v>
      </c>
      <c r="R98" s="1032">
        <f>(SUMPRODUCT(M98:M100,O98:O100)*P98)</f>
        <v>0</v>
      </c>
      <c r="S98" s="1033">
        <f>IF(R98=0,0,M100*P98)</f>
        <v>0</v>
      </c>
      <c r="T98" s="225" t="str">
        <f>G98&amp;"-"&amp;J98</f>
        <v>Terminal B-Other 3</v>
      </c>
      <c r="U98" s="1034">
        <f ca="1">IF(ISNA(VLOOKUP(T98,list!$AV$3:$AW$130,2,FALSE)),1,(VLOOKUP(T98,list!$AV$3:$AW$130,2,FALSE)))</f>
        <v>1</v>
      </c>
      <c r="V98" s="1033">
        <f ca="1">R98*U98</f>
        <v>0</v>
      </c>
      <c r="W98" s="1033">
        <f ca="1">S98*U98</f>
        <v>0</v>
      </c>
    </row>
    <row r="99" spans="2:23" x14ac:dyDescent="0.3">
      <c r="B99" s="182"/>
      <c r="C99" s="577"/>
      <c r="D99" s="521" t="s">
        <v>1</v>
      </c>
      <c r="E99" s="521"/>
      <c r="F99" s="45"/>
      <c r="G99" s="494" t="s">
        <v>85</v>
      </c>
      <c r="H99" s="577"/>
      <c r="I99" s="450" t="s">
        <v>8</v>
      </c>
      <c r="J99" s="577" t="s">
        <v>54</v>
      </c>
      <c r="K99" s="577"/>
      <c r="L99" s="1035" t="s">
        <v>65</v>
      </c>
      <c r="M99" s="1036">
        <f>SUMIFS('Level of Efficiency Assumptions'!$J:$J,'Level of Efficiency Assumptions'!$D:$D,I99,'Level of Efficiency Assumptions'!$F:$F,J99,'Level of Efficiency Assumptions'!$I:$I,'Water Use Calcs'!L99)</f>
        <v>7.5</v>
      </c>
      <c r="N99" s="577"/>
      <c r="O99" s="1048">
        <f>SUMIFS('Detailed Fixture Data'!O:O,'Detailed Fixture Data'!C:C,G99,'Detailed Fixture Data'!E:E,I99,'Detailed Fixture Data'!F:F,J99,'Detailed Fixture Data'!L:L,L99)</f>
        <v>0</v>
      </c>
      <c r="P99" s="1049"/>
      <c r="Q99" s="577"/>
      <c r="R99" s="1039"/>
      <c r="S99" s="521"/>
      <c r="T99" s="225"/>
      <c r="U99" s="521"/>
      <c r="V99" s="1040"/>
      <c r="W99" s="1041"/>
    </row>
    <row r="100" spans="2:23" ht="15" thickBot="1" x14ac:dyDescent="0.35">
      <c r="B100" s="182"/>
      <c r="C100" s="577"/>
      <c r="D100" s="521" t="s">
        <v>1</v>
      </c>
      <c r="E100" s="521"/>
      <c r="F100" s="45"/>
      <c r="G100" s="501" t="s">
        <v>85</v>
      </c>
      <c r="H100" s="116"/>
      <c r="I100" s="451" t="s">
        <v>8</v>
      </c>
      <c r="J100" s="116" t="s">
        <v>54</v>
      </c>
      <c r="K100" s="116"/>
      <c r="L100" s="1056" t="s">
        <v>66</v>
      </c>
      <c r="M100" s="1043">
        <f>SUMIFS('Level of Efficiency Assumptions'!$J:$J,'Level of Efficiency Assumptions'!$D:$D,I100,'Level of Efficiency Assumptions'!$F:$F,J100,'Level of Efficiency Assumptions'!$I:$I,'Water Use Calcs'!L100)</f>
        <v>5</v>
      </c>
      <c r="N100" s="577"/>
      <c r="O100" s="1048">
        <f>SUMIFS('Detailed Fixture Data'!O:O,'Detailed Fixture Data'!C:C,G100,'Detailed Fixture Data'!E:E,I100,'Detailed Fixture Data'!F:F,J100,'Detailed Fixture Data'!L:L,L100)</f>
        <v>0</v>
      </c>
      <c r="P100" s="1049"/>
      <c r="Q100" s="577"/>
      <c r="R100" s="1039"/>
      <c r="S100" s="618"/>
      <c r="T100" s="225"/>
      <c r="U100" s="618"/>
      <c r="V100" s="1045"/>
      <c r="W100" s="1046"/>
    </row>
    <row r="101" spans="2:23" x14ac:dyDescent="0.3">
      <c r="B101" s="182"/>
      <c r="C101" s="577"/>
      <c r="D101" s="521" t="s">
        <v>1</v>
      </c>
      <c r="E101" s="619" t="str">
        <f>G101</f>
        <v>Terminal C</v>
      </c>
      <c r="F101" s="565" t="str">
        <f>VLOOKUP(E101,'Airport Mapping'!$C$5:$D$39,2,FALSE)</f>
        <v xml:space="preserve"> </v>
      </c>
      <c r="G101" s="494" t="s">
        <v>86</v>
      </c>
      <c r="H101" s="651" t="str">
        <f>I101</f>
        <v>Restrooms</v>
      </c>
      <c r="I101" s="450" t="s">
        <v>37</v>
      </c>
      <c r="J101" s="577" t="s">
        <v>2</v>
      </c>
      <c r="K101" s="567" t="s">
        <v>3</v>
      </c>
      <c r="L101" s="1028" t="s">
        <v>64</v>
      </c>
      <c r="M101" s="1036">
        <f>SUMIFS('Level of Efficiency Assumptions'!$J:$J,'Level of Efficiency Assumptions'!$D:$D,I101,'Level of Efficiency Assumptions'!$F:$F,J101,'Level of Efficiency Assumptions'!$I:$I,'Water Use Calcs'!L101)</f>
        <v>3.5</v>
      </c>
      <c r="N101" s="567" t="s">
        <v>68</v>
      </c>
      <c r="O101" s="1048">
        <f>SUMIFS('Detailed Fixture Data'!O:O,'Detailed Fixture Data'!C:C,G101,'Detailed Fixture Data'!E:E,I101,'Detailed Fixture Data'!F:F,J101,'Detailed Fixture Data'!L:L,L101)</f>
        <v>0</v>
      </c>
      <c r="P101" s="1030">
        <f>SUMIFS('Intensity of Use Assumptions'!$J:$J,'Intensity of Use Assumptions'!$D:$D,I101,'Intensity of Use Assumptions'!$G:$G,J101,'Intensity of Use Assumptions'!H:H,K101)</f>
        <v>0.625</v>
      </c>
      <c r="Q101" s="567" t="s">
        <v>67</v>
      </c>
      <c r="R101" s="1032">
        <f>(SUMPRODUCT(M101:M103,O101:O103)*P101)</f>
        <v>0</v>
      </c>
      <c r="S101" s="1033">
        <f>IF(R101=0,0,M103*P101)</f>
        <v>0</v>
      </c>
      <c r="T101" s="225" t="str">
        <f>G101&amp;"-"&amp;J101</f>
        <v>Terminal C-Toilets</v>
      </c>
      <c r="U101" s="1034">
        <f ca="1">IF(ISNA(VLOOKUP(T101,list!$AV$3:$AW$130,2,FALSE)),1,(VLOOKUP(T101,list!$AV$3:$AW$130,2,FALSE)))</f>
        <v>1</v>
      </c>
      <c r="V101" s="1033">
        <f ca="1">R101*U101</f>
        <v>0</v>
      </c>
      <c r="W101" s="1033">
        <f ca="1">S101*U101</f>
        <v>0</v>
      </c>
    </row>
    <row r="102" spans="2:23" x14ac:dyDescent="0.3">
      <c r="B102" s="182"/>
      <c r="C102" s="577"/>
      <c r="D102" s="521" t="s">
        <v>1</v>
      </c>
      <c r="E102" s="521"/>
      <c r="F102" s="45"/>
      <c r="G102" s="494" t="s">
        <v>86</v>
      </c>
      <c r="H102" s="577"/>
      <c r="I102" s="450" t="s">
        <v>37</v>
      </c>
      <c r="J102" s="577" t="s">
        <v>2</v>
      </c>
      <c r="K102" s="577"/>
      <c r="L102" s="1035" t="s">
        <v>65</v>
      </c>
      <c r="M102" s="1036">
        <f>SUMIFS('Level of Efficiency Assumptions'!$J:$J,'Level of Efficiency Assumptions'!$D:$D,I102,'Level of Efficiency Assumptions'!$F:$F,J102,'Level of Efficiency Assumptions'!$I:$I,'Water Use Calcs'!L102)</f>
        <v>1.6</v>
      </c>
      <c r="N102" s="577"/>
      <c r="O102" s="1048">
        <f>SUMIFS('Detailed Fixture Data'!O:O,'Detailed Fixture Data'!C:C,G102,'Detailed Fixture Data'!E:E,I102,'Detailed Fixture Data'!F:F,J102,'Detailed Fixture Data'!L:L,L102)</f>
        <v>0</v>
      </c>
      <c r="P102" s="1049"/>
      <c r="Q102" s="577" t="s">
        <v>74</v>
      </c>
      <c r="R102" s="1039"/>
      <c r="S102" s="521"/>
      <c r="T102" s="225"/>
      <c r="U102" s="521"/>
      <c r="V102" s="1040"/>
      <c r="W102" s="1041"/>
    </row>
    <row r="103" spans="2:23" ht="15" thickBot="1" x14ac:dyDescent="0.35">
      <c r="B103" s="182"/>
      <c r="C103" s="577"/>
      <c r="D103" s="521" t="s">
        <v>1</v>
      </c>
      <c r="E103" s="521"/>
      <c r="F103" s="45"/>
      <c r="G103" s="494" t="s">
        <v>86</v>
      </c>
      <c r="H103" s="577"/>
      <c r="I103" s="450" t="s">
        <v>37</v>
      </c>
      <c r="J103" s="116" t="s">
        <v>2</v>
      </c>
      <c r="K103" s="116"/>
      <c r="L103" s="1042" t="s">
        <v>66</v>
      </c>
      <c r="M103" s="1043">
        <f>SUMIFS('Level of Efficiency Assumptions'!$J:$J,'Level of Efficiency Assumptions'!$D:$D,I103,'Level of Efficiency Assumptions'!$F:$F,J103,'Level of Efficiency Assumptions'!$I:$I,'Water Use Calcs'!L103)</f>
        <v>1.28</v>
      </c>
      <c r="N103" s="577"/>
      <c r="O103" s="1048">
        <f>SUMIFS('Detailed Fixture Data'!O:O,'Detailed Fixture Data'!C:C,G103,'Detailed Fixture Data'!E:E,I103,'Detailed Fixture Data'!F:F,J103,'Detailed Fixture Data'!L:L,L103)</f>
        <v>0</v>
      </c>
      <c r="P103" s="1049"/>
      <c r="Q103" s="577" t="s">
        <v>75</v>
      </c>
      <c r="R103" s="1039"/>
      <c r="S103" s="618"/>
      <c r="T103" s="225"/>
      <c r="U103" s="618"/>
      <c r="V103" s="1045"/>
      <c r="W103" s="1046"/>
    </row>
    <row r="104" spans="2:23" x14ac:dyDescent="0.3">
      <c r="B104" s="182"/>
      <c r="C104" s="577"/>
      <c r="D104" s="521" t="s">
        <v>1</v>
      </c>
      <c r="E104" s="521"/>
      <c r="F104" s="45"/>
      <c r="G104" s="494" t="s">
        <v>86</v>
      </c>
      <c r="H104" s="577"/>
      <c r="I104" s="450" t="s">
        <v>37</v>
      </c>
      <c r="J104" s="577" t="s">
        <v>4</v>
      </c>
      <c r="K104" s="577" t="s">
        <v>3</v>
      </c>
      <c r="L104" s="1047" t="s">
        <v>64</v>
      </c>
      <c r="M104" s="1036">
        <f>SUMIFS('Level of Efficiency Assumptions'!$J:$J,'Level of Efficiency Assumptions'!$D:$D,I104,'Level of Efficiency Assumptions'!$F:$F,J104,'Level of Efficiency Assumptions'!$I:$I,'Water Use Calcs'!L104)</f>
        <v>2</v>
      </c>
      <c r="N104" s="567" t="s">
        <v>68</v>
      </c>
      <c r="O104" s="1048">
        <f>SUMIFS('Detailed Fixture Data'!O:O,'Detailed Fixture Data'!C:C,G104,'Detailed Fixture Data'!E:E,I104,'Detailed Fixture Data'!F:F,J104,'Detailed Fixture Data'!L:L,L104)</f>
        <v>0</v>
      </c>
      <c r="P104" s="1030">
        <f>SUMIFS('Intensity of Use Assumptions'!$J:$J,'Intensity of Use Assumptions'!$D:$D,I104,'Intensity of Use Assumptions'!$G:$G,J104,'Intensity of Use Assumptions'!H:H,K104)</f>
        <v>0.375</v>
      </c>
      <c r="Q104" s="567" t="s">
        <v>67</v>
      </c>
      <c r="R104" s="1032">
        <f>(SUMPRODUCT(M104:M106,O104:O106)*P104)</f>
        <v>0</v>
      </c>
      <c r="S104" s="1033">
        <f>IF(R104=0,0,M106*P104)</f>
        <v>0</v>
      </c>
      <c r="T104" s="225" t="str">
        <f>G104&amp;"-"&amp;J104</f>
        <v>Terminal C-Urinals</v>
      </c>
      <c r="U104" s="1034">
        <f ca="1">IF(ISNA(VLOOKUP(T104,list!$AV$3:$AW$130,2,FALSE)),1,(VLOOKUP(T104,list!$AV$3:$AW$130,2,FALSE)))</f>
        <v>1</v>
      </c>
      <c r="V104" s="1033">
        <f ca="1">R104*U104</f>
        <v>0</v>
      </c>
      <c r="W104" s="1033">
        <f ca="1">S104*U104</f>
        <v>0</v>
      </c>
    </row>
    <row r="105" spans="2:23" x14ac:dyDescent="0.3">
      <c r="B105" s="182"/>
      <c r="C105" s="577"/>
      <c r="D105" s="521" t="s">
        <v>1</v>
      </c>
      <c r="E105" s="521"/>
      <c r="F105" s="45"/>
      <c r="G105" s="494" t="s">
        <v>86</v>
      </c>
      <c r="H105" s="577"/>
      <c r="I105" s="450" t="s">
        <v>37</v>
      </c>
      <c r="J105" s="577" t="s">
        <v>4</v>
      </c>
      <c r="K105" s="577"/>
      <c r="L105" s="1035" t="s">
        <v>65</v>
      </c>
      <c r="M105" s="1036">
        <f>SUMIFS('Level of Efficiency Assumptions'!$J:$J,'Level of Efficiency Assumptions'!$D:$D,I105,'Level of Efficiency Assumptions'!$F:$F,J105,'Level of Efficiency Assumptions'!$I:$I,'Water Use Calcs'!L105)</f>
        <v>1</v>
      </c>
      <c r="N105" s="577"/>
      <c r="O105" s="1048">
        <f>SUMIFS('Detailed Fixture Data'!O:O,'Detailed Fixture Data'!C:C,G105,'Detailed Fixture Data'!E:E,I105,'Detailed Fixture Data'!F:F,J105,'Detailed Fixture Data'!L:L,L105)</f>
        <v>0</v>
      </c>
      <c r="P105" s="1049"/>
      <c r="Q105" s="577" t="s">
        <v>76</v>
      </c>
      <c r="R105" s="1039"/>
      <c r="S105" s="521"/>
      <c r="T105" s="225"/>
      <c r="U105" s="521"/>
      <c r="V105" s="1040"/>
      <c r="W105" s="1041"/>
    </row>
    <row r="106" spans="2:23" ht="15" thickBot="1" x14ac:dyDescent="0.35">
      <c r="B106" s="182"/>
      <c r="C106" s="577"/>
      <c r="D106" s="521" t="s">
        <v>1</v>
      </c>
      <c r="E106" s="521"/>
      <c r="F106" s="45"/>
      <c r="G106" s="494" t="s">
        <v>86</v>
      </c>
      <c r="H106" s="577"/>
      <c r="I106" s="450" t="s">
        <v>37</v>
      </c>
      <c r="J106" s="116" t="s">
        <v>4</v>
      </c>
      <c r="K106" s="116"/>
      <c r="L106" s="1042" t="s">
        <v>66</v>
      </c>
      <c r="M106" s="1043">
        <f>SUMIFS('Level of Efficiency Assumptions'!$J:$J,'Level of Efficiency Assumptions'!$D:$D,I106,'Level of Efficiency Assumptions'!$F:$F,J106,'Level of Efficiency Assumptions'!$I:$I,'Water Use Calcs'!L106)</f>
        <v>0.125</v>
      </c>
      <c r="N106" s="577"/>
      <c r="O106" s="1048">
        <f>SUMIFS('Detailed Fixture Data'!O:O,'Detailed Fixture Data'!C:C,G106,'Detailed Fixture Data'!E:E,I106,'Detailed Fixture Data'!F:F,J106,'Detailed Fixture Data'!L:L,L106)</f>
        <v>0</v>
      </c>
      <c r="P106" s="1049"/>
      <c r="Q106" s="577"/>
      <c r="R106" s="1039"/>
      <c r="S106" s="618"/>
      <c r="T106" s="225"/>
      <c r="U106" s="618"/>
      <c r="V106" s="1045"/>
      <c r="W106" s="1046"/>
    </row>
    <row r="107" spans="2:23" x14ac:dyDescent="0.3">
      <c r="B107" s="182"/>
      <c r="C107" s="577"/>
      <c r="D107" s="521" t="s">
        <v>1</v>
      </c>
      <c r="E107" s="521"/>
      <c r="F107" s="45"/>
      <c r="G107" s="494" t="s">
        <v>86</v>
      </c>
      <c r="H107" s="577"/>
      <c r="I107" s="450" t="s">
        <v>37</v>
      </c>
      <c r="J107" s="577" t="s">
        <v>33</v>
      </c>
      <c r="K107" s="577" t="s">
        <v>3</v>
      </c>
      <c r="L107" s="1047" t="s">
        <v>64</v>
      </c>
      <c r="M107" s="1036">
        <f>SUMIFS('Level of Efficiency Assumptions'!$J:$J,'Level of Efficiency Assumptions'!$D:$D,I107,'Level of Efficiency Assumptions'!$F:$F,J107,'Level of Efficiency Assumptions'!$I:$I,'Water Use Calcs'!L107)</f>
        <v>2</v>
      </c>
      <c r="N107" s="567" t="s">
        <v>78</v>
      </c>
      <c r="O107" s="1048">
        <f>SUMIFS('Detailed Fixture Data'!O:O,'Detailed Fixture Data'!C:C,G107,'Detailed Fixture Data'!E:E,I107,'Detailed Fixture Data'!F:F,J107,'Detailed Fixture Data'!L:L,L107)</f>
        <v>0</v>
      </c>
      <c r="P107" s="1030">
        <f>SUMIFS('Intensity of Use Assumptions'!$J:$J,'Intensity of Use Assumptions'!$D:$D,I107,'Intensity of Use Assumptions'!$G:$G,J107,'Intensity of Use Assumptions'!H:H,K107)</f>
        <v>0.16666666666666666</v>
      </c>
      <c r="Q107" s="567" t="s">
        <v>133</v>
      </c>
      <c r="R107" s="1032">
        <f>(SUMPRODUCT(M107:M109,O107:O109)*P107)</f>
        <v>0</v>
      </c>
      <c r="S107" s="1033">
        <f>IF(R107=0,0,M109*P107)</f>
        <v>0</v>
      </c>
      <c r="T107" s="225" t="str">
        <f>G107&amp;"-"&amp;J107</f>
        <v>Terminal C-Faucets</v>
      </c>
      <c r="U107" s="1034">
        <f ca="1">IF(ISNA(VLOOKUP(T107,list!$AV$3:$AW$130,2,FALSE)),1,(VLOOKUP(T107,list!$AV$3:$AW$130,2,FALSE)))</f>
        <v>1</v>
      </c>
      <c r="V107" s="1033">
        <f ca="1">R107*U107</f>
        <v>0</v>
      </c>
      <c r="W107" s="1033">
        <f ca="1">S107*U107</f>
        <v>0</v>
      </c>
    </row>
    <row r="108" spans="2:23" x14ac:dyDescent="0.3">
      <c r="B108" s="182"/>
      <c r="C108" s="577"/>
      <c r="D108" s="521" t="s">
        <v>1</v>
      </c>
      <c r="E108" s="521"/>
      <c r="F108" s="45"/>
      <c r="G108" s="494" t="s">
        <v>86</v>
      </c>
      <c r="H108" s="577"/>
      <c r="I108" s="450" t="s">
        <v>37</v>
      </c>
      <c r="J108" s="577" t="s">
        <v>33</v>
      </c>
      <c r="K108" s="577"/>
      <c r="L108" s="1035" t="s">
        <v>65</v>
      </c>
      <c r="M108" s="1036">
        <f>SUMIFS('Level of Efficiency Assumptions'!$J:$J,'Level of Efficiency Assumptions'!$D:$D,I108,'Level of Efficiency Assumptions'!$F:$F,J108,'Level of Efficiency Assumptions'!$I:$I,'Water Use Calcs'!L108)</f>
        <v>1</v>
      </c>
      <c r="N108" s="577"/>
      <c r="O108" s="1048">
        <f>SUMIFS('Detailed Fixture Data'!O:O,'Detailed Fixture Data'!C:C,G108,'Detailed Fixture Data'!E:E,I108,'Detailed Fixture Data'!F:F,J108,'Detailed Fixture Data'!L:L,L108)</f>
        <v>0</v>
      </c>
      <c r="P108" s="1049"/>
      <c r="Q108" s="577" t="s">
        <v>79</v>
      </c>
      <c r="R108" s="1039"/>
      <c r="S108" s="521"/>
      <c r="T108" s="225"/>
      <c r="U108" s="521"/>
      <c r="V108" s="1040"/>
      <c r="W108" s="1041"/>
    </row>
    <row r="109" spans="2:23" ht="15" thickBot="1" x14ac:dyDescent="0.35">
      <c r="B109" s="182"/>
      <c r="C109" s="577"/>
      <c r="D109" s="521" t="s">
        <v>1</v>
      </c>
      <c r="E109" s="521"/>
      <c r="F109" s="45"/>
      <c r="G109" s="494" t="s">
        <v>86</v>
      </c>
      <c r="H109" s="116"/>
      <c r="I109" s="451" t="s">
        <v>37</v>
      </c>
      <c r="J109" s="116" t="s">
        <v>33</v>
      </c>
      <c r="K109" s="116"/>
      <c r="L109" s="1042" t="s">
        <v>66</v>
      </c>
      <c r="M109" s="1043">
        <f>SUMIFS('Level of Efficiency Assumptions'!$J:$J,'Level of Efficiency Assumptions'!$D:$D,I109,'Level of Efficiency Assumptions'!$F:$F,J109,'Level of Efficiency Assumptions'!$I:$I,'Water Use Calcs'!L109)</f>
        <v>0.5</v>
      </c>
      <c r="N109" s="577"/>
      <c r="O109" s="1048">
        <f>SUMIFS('Detailed Fixture Data'!O:O,'Detailed Fixture Data'!C:C,G109,'Detailed Fixture Data'!E:E,I109,'Detailed Fixture Data'!F:F,J109,'Detailed Fixture Data'!L:L,L109)</f>
        <v>0</v>
      </c>
      <c r="P109" s="1049"/>
      <c r="Q109" s="577"/>
      <c r="R109" s="1039"/>
      <c r="S109" s="618"/>
      <c r="T109" s="225"/>
      <c r="U109" s="618"/>
      <c r="V109" s="1045"/>
      <c r="W109" s="1046"/>
    </row>
    <row r="110" spans="2:23" x14ac:dyDescent="0.3">
      <c r="B110" s="182"/>
      <c r="C110" s="577"/>
      <c r="D110" s="521" t="s">
        <v>1</v>
      </c>
      <c r="E110" s="521"/>
      <c r="F110" s="45"/>
      <c r="G110" s="494" t="s">
        <v>86</v>
      </c>
      <c r="H110" s="651" t="str">
        <f>I110</f>
        <v>Food Service</v>
      </c>
      <c r="I110" s="450" t="s">
        <v>38</v>
      </c>
      <c r="J110" s="577" t="s">
        <v>114</v>
      </c>
      <c r="K110" s="577" t="s">
        <v>118</v>
      </c>
      <c r="L110" s="1047" t="s">
        <v>64</v>
      </c>
      <c r="M110" s="1036">
        <f>SUMIFS('Level of Efficiency Assumptions'!$J:$J,'Level of Efficiency Assumptions'!$D:$D,I110,'Level of Efficiency Assumptions'!$F:$F,J110,'Level of Efficiency Assumptions'!$I:$I,'Water Use Calcs'!L110)</f>
        <v>2</v>
      </c>
      <c r="N110" s="567" t="s">
        <v>78</v>
      </c>
      <c r="O110" s="1048">
        <f>SUMIFS('Detailed Fixture Data'!O:O,'Detailed Fixture Data'!C:C,G110,'Detailed Fixture Data'!E:E,I110,'Detailed Fixture Data'!F:F,J110,'Detailed Fixture Data'!L:L,L110)</f>
        <v>0</v>
      </c>
      <c r="P110" s="1030">
        <f>SUMIFS('Intensity of Use Assumptions'!$J:$J,'Intensity of Use Assumptions'!$D:$D,I110,'Intensity of Use Assumptions'!$G:$G,J110,'Intensity of Use Assumptions'!H:H,K110)</f>
        <v>1</v>
      </c>
      <c r="Q110" s="567" t="s">
        <v>133</v>
      </c>
      <c r="R110" s="1032">
        <f>(SUMPRODUCT(M110:M112,O110:O112)*P110)</f>
        <v>0</v>
      </c>
      <c r="S110" s="1033">
        <f>IF(R110=0,0,M112*P110)</f>
        <v>0</v>
      </c>
      <c r="T110" s="225" t="str">
        <f>G110&amp;"-"&amp;J110</f>
        <v>Terminal C-Kitchen faucets</v>
      </c>
      <c r="U110" s="1034">
        <f ca="1">IF(ISNA(VLOOKUP(T110,list!$AV$3:$AW$130,2,FALSE)),1,(VLOOKUP(T110,list!$AV$3:$AW$130,2,FALSE)))</f>
        <v>1</v>
      </c>
      <c r="V110" s="1033">
        <f ca="1">R110*U110</f>
        <v>0</v>
      </c>
      <c r="W110" s="1033">
        <f ca="1">S110*U110</f>
        <v>0</v>
      </c>
    </row>
    <row r="111" spans="2:23" x14ac:dyDescent="0.3">
      <c r="B111" s="182"/>
      <c r="C111" s="577"/>
      <c r="D111" s="521" t="s">
        <v>1</v>
      </c>
      <c r="E111" s="521"/>
      <c r="F111" s="45"/>
      <c r="G111" s="494" t="s">
        <v>86</v>
      </c>
      <c r="H111" s="577"/>
      <c r="I111" s="450" t="s">
        <v>38</v>
      </c>
      <c r="J111" s="577" t="s">
        <v>114</v>
      </c>
      <c r="K111" s="577"/>
      <c r="L111" s="1035" t="s">
        <v>65</v>
      </c>
      <c r="M111" s="1036">
        <f>SUMIFS('Level of Efficiency Assumptions'!$J:$J,'Level of Efficiency Assumptions'!$D:$D,I111,'Level of Efficiency Assumptions'!$F:$F,J111,'Level of Efficiency Assumptions'!$I:$I,'Water Use Calcs'!L111)</f>
        <v>1</v>
      </c>
      <c r="N111" s="577"/>
      <c r="O111" s="1048">
        <f>SUMIFS('Detailed Fixture Data'!O:O,'Detailed Fixture Data'!C:C,G111,'Detailed Fixture Data'!E:E,I111,'Detailed Fixture Data'!F:F,J111,'Detailed Fixture Data'!L:L,L111)</f>
        <v>0</v>
      </c>
      <c r="P111" s="1049"/>
      <c r="Q111" s="577"/>
      <c r="R111" s="1039"/>
      <c r="S111" s="521"/>
      <c r="T111" s="225"/>
      <c r="U111" s="521"/>
      <c r="V111" s="1040"/>
      <c r="W111" s="1041"/>
    </row>
    <row r="112" spans="2:23" ht="15" thickBot="1" x14ac:dyDescent="0.35">
      <c r="B112" s="182"/>
      <c r="C112" s="577"/>
      <c r="D112" s="521" t="s">
        <v>1</v>
      </c>
      <c r="E112" s="521"/>
      <c r="F112" s="45"/>
      <c r="G112" s="494" t="s">
        <v>86</v>
      </c>
      <c r="H112" s="577"/>
      <c r="I112" s="450" t="s">
        <v>38</v>
      </c>
      <c r="J112" s="116" t="s">
        <v>114</v>
      </c>
      <c r="K112" s="116"/>
      <c r="L112" s="1042" t="s">
        <v>66</v>
      </c>
      <c r="M112" s="1043">
        <f>SUMIFS('Level of Efficiency Assumptions'!$J:$J,'Level of Efficiency Assumptions'!$D:$D,I112,'Level of Efficiency Assumptions'!$F:$F,J112,'Level of Efficiency Assumptions'!$I:$I,'Water Use Calcs'!L112)</f>
        <v>0.5</v>
      </c>
      <c r="N112" s="577"/>
      <c r="O112" s="1048">
        <f>SUMIFS('Detailed Fixture Data'!O:O,'Detailed Fixture Data'!C:C,G112,'Detailed Fixture Data'!E:E,I112,'Detailed Fixture Data'!F:F,J112,'Detailed Fixture Data'!L:L,L112)</f>
        <v>0</v>
      </c>
      <c r="P112" s="1049"/>
      <c r="Q112" s="116"/>
      <c r="R112" s="1039"/>
      <c r="S112" s="618"/>
      <c r="T112" s="225"/>
      <c r="U112" s="618"/>
      <c r="V112" s="1045"/>
      <c r="W112" s="1046"/>
    </row>
    <row r="113" spans="2:23" x14ac:dyDescent="0.3">
      <c r="B113" s="182"/>
      <c r="C113" s="577"/>
      <c r="D113" s="521" t="s">
        <v>1</v>
      </c>
      <c r="E113" s="521"/>
      <c r="F113" s="180"/>
      <c r="G113" s="521" t="s">
        <v>86</v>
      </c>
      <c r="H113" s="577"/>
      <c r="I113" s="450" t="s">
        <v>38</v>
      </c>
      <c r="J113" s="577" t="s">
        <v>127</v>
      </c>
      <c r="K113" s="577" t="s">
        <v>118</v>
      </c>
      <c r="L113" s="1047" t="s">
        <v>64</v>
      </c>
      <c r="M113" s="1036">
        <f>SUMIFS('Level of Efficiency Assumptions'!$J:$J,'Level of Efficiency Assumptions'!$D:$D,I113,'Level of Efficiency Assumptions'!$F:$F,J113,'Level of Efficiency Assumptions'!$I:$I,'Water Use Calcs'!L113)</f>
        <v>3</v>
      </c>
      <c r="N113" s="567" t="s">
        <v>78</v>
      </c>
      <c r="O113" s="1048">
        <f>SUMIFS('Detailed Fixture Data'!O:O,'Detailed Fixture Data'!C:C,G113,'Detailed Fixture Data'!E:E,I113,'Detailed Fixture Data'!F:F,J113,'Detailed Fixture Data'!L:L,L113)</f>
        <v>0</v>
      </c>
      <c r="P113" s="1030">
        <f>SUMIFS('Intensity of Use Assumptions'!$J:$J,'Intensity of Use Assumptions'!$D:$D,I113,'Intensity of Use Assumptions'!$G:$G,J113,'Intensity of Use Assumptions'!H:H,K113)</f>
        <v>0.02</v>
      </c>
      <c r="Q113" s="577" t="s">
        <v>133</v>
      </c>
      <c r="R113" s="1032">
        <f>(SUMPRODUCT(M113:M115,O113:O115)*P113)</f>
        <v>0</v>
      </c>
      <c r="S113" s="1033">
        <f>IF(R113=0,0,M115*P113)</f>
        <v>0</v>
      </c>
      <c r="T113" s="225" t="str">
        <f>G113&amp;"-"&amp;J113</f>
        <v>Terminal C-Pre-rinse spray valves</v>
      </c>
      <c r="U113" s="1034">
        <f ca="1">IF(ISNA(VLOOKUP(T113,list!$AV$3:$AW$130,2,FALSE)),1,(VLOOKUP(T113,list!$AV$3:$AW$130,2,FALSE)))</f>
        <v>1</v>
      </c>
      <c r="V113" s="1033">
        <f ca="1">R113*U113</f>
        <v>0</v>
      </c>
      <c r="W113" s="1033">
        <f ca="1">S113*U113</f>
        <v>0</v>
      </c>
    </row>
    <row r="114" spans="2:23" x14ac:dyDescent="0.3">
      <c r="B114" s="182"/>
      <c r="C114" s="577"/>
      <c r="D114" s="521" t="s">
        <v>1</v>
      </c>
      <c r="E114" s="521"/>
      <c r="F114" s="180"/>
      <c r="G114" s="521" t="s">
        <v>86</v>
      </c>
      <c r="H114" s="577"/>
      <c r="I114" s="450" t="s">
        <v>38</v>
      </c>
      <c r="J114" s="577" t="s">
        <v>127</v>
      </c>
      <c r="K114" s="577"/>
      <c r="L114" s="1035" t="s">
        <v>65</v>
      </c>
      <c r="M114" s="1036">
        <f>SUMIFS('Level of Efficiency Assumptions'!$J:$J,'Level of Efficiency Assumptions'!$D:$D,I114,'Level of Efficiency Assumptions'!$F:$F,J114,'Level of Efficiency Assumptions'!$I:$I,'Water Use Calcs'!L114)</f>
        <v>2</v>
      </c>
      <c r="N114" s="577"/>
      <c r="O114" s="1048">
        <f>SUMIFS('Detailed Fixture Data'!O:O,'Detailed Fixture Data'!C:C,G114,'Detailed Fixture Data'!E:E,I114,'Detailed Fixture Data'!F:F,J114,'Detailed Fixture Data'!L:L,L114)</f>
        <v>0</v>
      </c>
      <c r="P114" s="1049"/>
      <c r="Q114" s="577"/>
      <c r="R114" s="1039"/>
      <c r="S114" s="521"/>
      <c r="T114" s="225"/>
      <c r="U114" s="521"/>
      <c r="V114" s="1040"/>
      <c r="W114" s="1041"/>
    </row>
    <row r="115" spans="2:23" ht="15" thickBot="1" x14ac:dyDescent="0.35">
      <c r="B115" s="182"/>
      <c r="C115" s="577"/>
      <c r="D115" s="521" t="s">
        <v>1</v>
      </c>
      <c r="E115" s="521"/>
      <c r="F115" s="180"/>
      <c r="G115" s="521" t="s">
        <v>86</v>
      </c>
      <c r="H115" s="577"/>
      <c r="I115" s="450" t="s">
        <v>38</v>
      </c>
      <c r="J115" s="116" t="s">
        <v>127</v>
      </c>
      <c r="K115" s="116"/>
      <c r="L115" s="1042" t="s">
        <v>66</v>
      </c>
      <c r="M115" s="1043">
        <f>SUMIFS('Level of Efficiency Assumptions'!$J:$J,'Level of Efficiency Assumptions'!$D:$D,I115,'Level of Efficiency Assumptions'!$F:$F,J115,'Level of Efficiency Assumptions'!$I:$I,'Water Use Calcs'!L115)</f>
        <v>1.28</v>
      </c>
      <c r="N115" s="116"/>
      <c r="O115" s="1048">
        <f>SUMIFS('Detailed Fixture Data'!O:O,'Detailed Fixture Data'!C:C,G115,'Detailed Fixture Data'!E:E,I115,'Detailed Fixture Data'!F:F,J115,'Detailed Fixture Data'!L:L,L115)</f>
        <v>0</v>
      </c>
      <c r="P115" s="1049"/>
      <c r="Q115" s="577"/>
      <c r="R115" s="1039"/>
      <c r="S115" s="618"/>
      <c r="T115" s="225"/>
      <c r="U115" s="618"/>
      <c r="V115" s="1045"/>
      <c r="W115" s="1046"/>
    </row>
    <row r="116" spans="2:23" x14ac:dyDescent="0.3">
      <c r="B116" s="182"/>
      <c r="C116" s="577"/>
      <c r="D116" s="521" t="s">
        <v>1</v>
      </c>
      <c r="E116" s="521"/>
      <c r="F116" s="45"/>
      <c r="G116" s="494" t="s">
        <v>86</v>
      </c>
      <c r="H116" s="577"/>
      <c r="I116" s="450" t="s">
        <v>38</v>
      </c>
      <c r="J116" s="577" t="s">
        <v>41</v>
      </c>
      <c r="K116" s="577" t="s">
        <v>118</v>
      </c>
      <c r="L116" s="1047" t="s">
        <v>64</v>
      </c>
      <c r="M116" s="1036">
        <f>SUMIFS('Level of Efficiency Assumptions'!$J:$J,'Level of Efficiency Assumptions'!$D:$D,I116,'Level of Efficiency Assumptions'!$F:$F,J116,'Level of Efficiency Assumptions'!$I:$I,'Water Use Calcs'!L116)</f>
        <v>4.5</v>
      </c>
      <c r="N116" s="567" t="s">
        <v>223</v>
      </c>
      <c r="O116" s="1048">
        <f>SUMIFS('Detailed Fixture Data'!O:O,'Detailed Fixture Data'!C:C,G116,'Detailed Fixture Data'!E:E,I116,'Detailed Fixture Data'!F:F,J116,'Detailed Fixture Data'!L:L,L116)</f>
        <v>0</v>
      </c>
      <c r="P116" s="1030">
        <f>SUMIFS('Intensity of Use Assumptions'!$J:$J,'Intensity of Use Assumptions'!$D:$D,I116,'Intensity of Use Assumptions'!$G:$G,J116,'Intensity of Use Assumptions'!H:H,K116)</f>
        <v>0.05</v>
      </c>
      <c r="Q116" s="567" t="s">
        <v>224</v>
      </c>
      <c r="R116" s="1032">
        <f>(SUMPRODUCT(M116:M118,O116:O118)*P116)</f>
        <v>0</v>
      </c>
      <c r="S116" s="1033">
        <f>IF(R116=0,0,M118*P116)</f>
        <v>0</v>
      </c>
      <c r="T116" s="225" t="str">
        <f>G116&amp;"-"&amp;J116</f>
        <v>Terminal C-Dishwashers</v>
      </c>
      <c r="U116" s="1034">
        <f ca="1">IF(ISNA(VLOOKUP(T116,list!$AV$3:$AW$130,2,FALSE)),1,(VLOOKUP(T116,list!$AV$3:$AW$130,2,FALSE)))</f>
        <v>1</v>
      </c>
      <c r="V116" s="1033">
        <f ca="1">R116*U116</f>
        <v>0</v>
      </c>
      <c r="W116" s="1033">
        <f ca="1">S116*U116</f>
        <v>0</v>
      </c>
    </row>
    <row r="117" spans="2:23" x14ac:dyDescent="0.3">
      <c r="B117" s="182"/>
      <c r="C117" s="577"/>
      <c r="D117" s="521" t="s">
        <v>1</v>
      </c>
      <c r="E117" s="521"/>
      <c r="F117" s="45"/>
      <c r="G117" s="494" t="s">
        <v>86</v>
      </c>
      <c r="H117" s="577"/>
      <c r="I117" s="450" t="s">
        <v>38</v>
      </c>
      <c r="J117" s="577" t="s">
        <v>41</v>
      </c>
      <c r="K117" s="577"/>
      <c r="L117" s="1035" t="s">
        <v>65</v>
      </c>
      <c r="M117" s="1036">
        <f>SUMIFS('Level of Efficiency Assumptions'!$J:$J,'Level of Efficiency Assumptions'!$D:$D,I117,'Level of Efficiency Assumptions'!$F:$F,J117,'Level of Efficiency Assumptions'!$I:$I,'Water Use Calcs'!L117)</f>
        <v>2.5</v>
      </c>
      <c r="N117" s="577"/>
      <c r="O117" s="1048">
        <f>SUMIFS('Detailed Fixture Data'!O:O,'Detailed Fixture Data'!C:C,G117,'Detailed Fixture Data'!E:E,I117,'Detailed Fixture Data'!F:F,J117,'Detailed Fixture Data'!L:L,L117)</f>
        <v>0</v>
      </c>
      <c r="P117" s="1049"/>
      <c r="Q117" s="576" t="s">
        <v>80</v>
      </c>
      <c r="R117" s="1039"/>
      <c r="S117" s="521"/>
      <c r="T117" s="225"/>
      <c r="U117" s="521"/>
      <c r="V117" s="1040"/>
      <c r="W117" s="1041"/>
    </row>
    <row r="118" spans="2:23" ht="15" thickBot="1" x14ac:dyDescent="0.35">
      <c r="B118" s="182"/>
      <c r="C118" s="577"/>
      <c r="D118" s="521" t="s">
        <v>1</v>
      </c>
      <c r="E118" s="521"/>
      <c r="F118" s="45"/>
      <c r="G118" s="494" t="s">
        <v>86</v>
      </c>
      <c r="H118" s="577"/>
      <c r="I118" s="450" t="s">
        <v>38</v>
      </c>
      <c r="J118" s="116" t="s">
        <v>41</v>
      </c>
      <c r="K118" s="116"/>
      <c r="L118" s="1042" t="s">
        <v>66</v>
      </c>
      <c r="M118" s="1043">
        <f>SUMIFS('Level of Efficiency Assumptions'!$J:$J,'Level of Efficiency Assumptions'!$D:$D,I118,'Level of Efficiency Assumptions'!$F:$F,J118,'Level of Efficiency Assumptions'!$I:$I,'Water Use Calcs'!L118)</f>
        <v>1</v>
      </c>
      <c r="N118" s="577"/>
      <c r="O118" s="1048">
        <f>SUMIFS('Detailed Fixture Data'!O:O,'Detailed Fixture Data'!C:C,G118,'Detailed Fixture Data'!E:E,I118,'Detailed Fixture Data'!F:F,J118,'Detailed Fixture Data'!L:L,L118)</f>
        <v>0</v>
      </c>
      <c r="P118" s="1049"/>
      <c r="Q118" s="577"/>
      <c r="R118" s="1039"/>
      <c r="S118" s="618"/>
      <c r="T118" s="225"/>
      <c r="U118" s="618"/>
      <c r="V118" s="1045"/>
      <c r="W118" s="1046"/>
    </row>
    <row r="119" spans="2:23" x14ac:dyDescent="0.3">
      <c r="B119" s="182"/>
      <c r="C119" s="577"/>
      <c r="D119" s="521" t="s">
        <v>1</v>
      </c>
      <c r="E119" s="521"/>
      <c r="F119" s="45"/>
      <c r="G119" s="494" t="s">
        <v>86</v>
      </c>
      <c r="H119" s="577"/>
      <c r="I119" s="450" t="s">
        <v>38</v>
      </c>
      <c r="J119" s="577" t="s">
        <v>20</v>
      </c>
      <c r="K119" s="577" t="s">
        <v>118</v>
      </c>
      <c r="L119" s="1047" t="s">
        <v>64</v>
      </c>
      <c r="M119" s="1036">
        <f>SUMIFS('Level of Efficiency Assumptions'!$J:$J,'Level of Efficiency Assumptions'!$D:$D,I119,'Level of Efficiency Assumptions'!$F:$F,J119,'Level of Efficiency Assumptions'!$I:$I,'Water Use Calcs'!L119)</f>
        <v>1.5</v>
      </c>
      <c r="N119" s="567" t="s">
        <v>222</v>
      </c>
      <c r="O119" s="1048">
        <f>SUMIFS('Detailed Fixture Data'!O:O,'Detailed Fixture Data'!C:C,G119,'Detailed Fixture Data'!E:E,I119,'Detailed Fixture Data'!F:F,J119,'Detailed Fixture Data'!L:L,L119)</f>
        <v>0</v>
      </c>
      <c r="P119" s="1030">
        <f>SUMIFS('Intensity of Use Assumptions'!$J:$J,'Intensity of Use Assumptions'!$D:$D,I119,'Intensity of Use Assumptions'!$G:$G,J119,'Intensity of Use Assumptions'!H:H,K119)</f>
        <v>0.5</v>
      </c>
      <c r="Q119" s="567" t="s">
        <v>221</v>
      </c>
      <c r="R119" s="1032">
        <f>(SUMPRODUCT(M119:M121,O119:O121)*P119)</f>
        <v>0</v>
      </c>
      <c r="S119" s="1033">
        <f>IF(R119=0,0,M121*P119)</f>
        <v>0</v>
      </c>
      <c r="T119" s="225" t="str">
        <f>G119&amp;"-"&amp;J119</f>
        <v>Terminal C-Ice machines</v>
      </c>
      <c r="U119" s="1034">
        <f ca="1">IF(ISNA(VLOOKUP(T119,list!$AV$3:$AW$130,2,FALSE)),1,(VLOOKUP(T119,list!$AV$3:$AW$130,2,FALSE)))</f>
        <v>1</v>
      </c>
      <c r="V119" s="1033">
        <f ca="1">R119*U119</f>
        <v>0</v>
      </c>
      <c r="W119" s="1033">
        <f ca="1">S119*U119</f>
        <v>0</v>
      </c>
    </row>
    <row r="120" spans="2:23" x14ac:dyDescent="0.3">
      <c r="B120" s="182"/>
      <c r="C120" s="577"/>
      <c r="D120" s="521" t="s">
        <v>1</v>
      </c>
      <c r="E120" s="521"/>
      <c r="F120" s="45"/>
      <c r="G120" s="494" t="s">
        <v>86</v>
      </c>
      <c r="H120" s="577"/>
      <c r="I120" s="450" t="s">
        <v>38</v>
      </c>
      <c r="J120" s="577" t="s">
        <v>20</v>
      </c>
      <c r="K120" s="577"/>
      <c r="L120" s="1035" t="s">
        <v>65</v>
      </c>
      <c r="M120" s="1036">
        <f>SUMIFS('Level of Efficiency Assumptions'!$J:$J,'Level of Efficiency Assumptions'!$D:$D,I120,'Level of Efficiency Assumptions'!$F:$F,J120,'Level of Efficiency Assumptions'!$I:$I,'Water Use Calcs'!L120)</f>
        <v>0.25</v>
      </c>
      <c r="N120" s="577"/>
      <c r="O120" s="1048">
        <f>SUMIFS('Detailed Fixture Data'!O:O,'Detailed Fixture Data'!C:C,G120,'Detailed Fixture Data'!E:E,I120,'Detailed Fixture Data'!F:F,J120,'Detailed Fixture Data'!L:L,L120)</f>
        <v>0</v>
      </c>
      <c r="P120" s="1049"/>
      <c r="Q120" s="577"/>
      <c r="R120" s="1039"/>
      <c r="S120" s="521"/>
      <c r="T120" s="225"/>
      <c r="U120" s="521"/>
      <c r="V120" s="1040"/>
      <c r="W120" s="1041"/>
    </row>
    <row r="121" spans="2:23" ht="15" thickBot="1" x14ac:dyDescent="0.35">
      <c r="B121" s="182"/>
      <c r="C121" s="577"/>
      <c r="D121" s="521" t="s">
        <v>1</v>
      </c>
      <c r="E121" s="521"/>
      <c r="F121" s="45"/>
      <c r="G121" s="494" t="s">
        <v>86</v>
      </c>
      <c r="H121" s="116"/>
      <c r="I121" s="451" t="s">
        <v>38</v>
      </c>
      <c r="J121" s="116" t="s">
        <v>20</v>
      </c>
      <c r="K121" s="116"/>
      <c r="L121" s="1042" t="s">
        <v>66</v>
      </c>
      <c r="M121" s="1043">
        <f>SUMIFS('Level of Efficiency Assumptions'!$J:$J,'Level of Efficiency Assumptions'!$D:$D,I121,'Level of Efficiency Assumptions'!$F:$F,J121,'Level of Efficiency Assumptions'!$I:$I,'Water Use Calcs'!L121)</f>
        <v>0.12</v>
      </c>
      <c r="N121" s="577"/>
      <c r="O121" s="1048">
        <f>SUMIFS('Detailed Fixture Data'!O:O,'Detailed Fixture Data'!C:C,G121,'Detailed Fixture Data'!E:E,I121,'Detailed Fixture Data'!F:F,J121,'Detailed Fixture Data'!L:L,L121)</f>
        <v>0</v>
      </c>
      <c r="P121" s="1049"/>
      <c r="Q121" s="577"/>
      <c r="R121" s="1039"/>
      <c r="S121" s="618"/>
      <c r="T121" s="225"/>
      <c r="U121" s="618"/>
      <c r="V121" s="1045"/>
      <c r="W121" s="1046"/>
    </row>
    <row r="122" spans="2:23" x14ac:dyDescent="0.3">
      <c r="B122" s="182"/>
      <c r="C122" s="577"/>
      <c r="D122" s="521" t="s">
        <v>1</v>
      </c>
      <c r="E122" s="521"/>
      <c r="F122" s="45"/>
      <c r="G122" s="494" t="s">
        <v>86</v>
      </c>
      <c r="H122" s="651" t="str">
        <f>I122</f>
        <v>Landscaping</v>
      </c>
      <c r="I122" s="450" t="s">
        <v>39</v>
      </c>
      <c r="J122" s="577" t="s">
        <v>42</v>
      </c>
      <c r="K122" s="577" t="s">
        <v>32</v>
      </c>
      <c r="L122" s="1047" t="s">
        <v>64</v>
      </c>
      <c r="M122" s="1284">
        <f>SUMIFS('Level of Efficiency Assumptions'!$J:$J,'Level of Efficiency Assumptions'!$D:$D,I122,'Level of Efficiency Assumptions'!$F:$F,J122,'Level of Efficiency Assumptions'!$I:$I,'Water Use Calcs'!L122)</f>
        <v>28.6</v>
      </c>
      <c r="N122" s="567" t="s">
        <v>816</v>
      </c>
      <c r="O122" s="1048">
        <f>SUMIFS('Detailed Fixture Data'!O:O,'Detailed Fixture Data'!C:C,G122,'Detailed Fixture Data'!E:E,I122,'Detailed Fixture Data'!F:F,J122,'Detailed Fixture Data'!L:L,L122)</f>
        <v>0</v>
      </c>
      <c r="P122" s="1030">
        <f>SUMIFS('Intensity of Use Assumptions'!$J:$J,'Intensity of Use Assumptions'!$D:$D,I122,'Intensity of Use Assumptions'!$G:$G,J122,'Intensity of Use Assumptions'!H:H,K122,'Intensity of Use Assumptions'!F:F,D122)</f>
        <v>2.7397260273972603E-3</v>
      </c>
      <c r="Q122" s="567" t="s">
        <v>815</v>
      </c>
      <c r="R122" s="1032">
        <f>(SUMPRODUCT(M122:M124,O122:O124)*P122)</f>
        <v>0</v>
      </c>
      <c r="S122" s="1033">
        <f>IF(R122=0,0,M124*P122)</f>
        <v>0</v>
      </c>
      <c r="T122" s="225" t="str">
        <f>G122&amp;"-"&amp;J122</f>
        <v>Terminal C-Outdoor irrigation</v>
      </c>
      <c r="U122" s="1034">
        <f ca="1">IF(ISNA(VLOOKUP(T122,list!$AV$3:$AW$130,2,FALSE)),1,(VLOOKUP(T122,list!$AV$3:$AW$130,2,FALSE)))</f>
        <v>1</v>
      </c>
      <c r="V122" s="1033">
        <f ca="1">R122*U122</f>
        <v>0</v>
      </c>
      <c r="W122" s="1033">
        <f ca="1">S122*U122</f>
        <v>0</v>
      </c>
    </row>
    <row r="123" spans="2:23" x14ac:dyDescent="0.3">
      <c r="B123" s="182"/>
      <c r="C123" s="577"/>
      <c r="D123" s="521" t="s">
        <v>1</v>
      </c>
      <c r="E123" s="521"/>
      <c r="F123" s="45"/>
      <c r="G123" s="494" t="s">
        <v>86</v>
      </c>
      <c r="H123" s="577"/>
      <c r="I123" s="450" t="s">
        <v>39</v>
      </c>
      <c r="J123" s="577" t="s">
        <v>42</v>
      </c>
      <c r="K123" s="577"/>
      <c r="L123" s="1035" t="s">
        <v>65</v>
      </c>
      <c r="M123" s="1284">
        <f>SUMIFS('Level of Efficiency Assumptions'!$J:$J,'Level of Efficiency Assumptions'!$D:$D,I123,'Level of Efficiency Assumptions'!$F:$F,J123,'Level of Efficiency Assumptions'!$I:$I,'Water Use Calcs'!L123)</f>
        <v>13.980821518350929</v>
      </c>
      <c r="N123" s="577"/>
      <c r="O123" s="1048">
        <f>SUMIFS('Detailed Fixture Data'!O:O,'Detailed Fixture Data'!C:C,G123,'Detailed Fixture Data'!E:E,I123,'Detailed Fixture Data'!F:F,J123,'Detailed Fixture Data'!L:L,L123)</f>
        <v>0</v>
      </c>
      <c r="P123" s="1049"/>
      <c r="Q123" s="577"/>
      <c r="R123" s="1039"/>
      <c r="S123" s="521"/>
      <c r="T123" s="225"/>
      <c r="U123" s="521"/>
      <c r="V123" s="1040"/>
      <c r="W123" s="1041"/>
    </row>
    <row r="124" spans="2:23" ht="15" thickBot="1" x14ac:dyDescent="0.35">
      <c r="B124" s="182"/>
      <c r="C124" s="577"/>
      <c r="D124" s="521" t="s">
        <v>1</v>
      </c>
      <c r="E124" s="521"/>
      <c r="F124" s="45"/>
      <c r="G124" s="494" t="s">
        <v>86</v>
      </c>
      <c r="H124" s="116"/>
      <c r="I124" s="451" t="s">
        <v>39</v>
      </c>
      <c r="J124" s="116" t="s">
        <v>42</v>
      </c>
      <c r="K124" s="116"/>
      <c r="L124" s="1042" t="s">
        <v>66</v>
      </c>
      <c r="M124" s="1285">
        <f>SUMIFS('Level of Efficiency Assumptions'!$J:$J,'Level of Efficiency Assumptions'!$D:$D,I124,'Level of Efficiency Assumptions'!$F:$F,J124,'Level of Efficiency Assumptions'!$I:$I,'Water Use Calcs'!L124)</f>
        <v>0.59137254901960778</v>
      </c>
      <c r="N124" s="577"/>
      <c r="O124" s="1048">
        <f>SUMIFS('Detailed Fixture Data'!O:O,'Detailed Fixture Data'!C:C,G124,'Detailed Fixture Data'!E:E,I124,'Detailed Fixture Data'!F:F,J124,'Detailed Fixture Data'!L:L,L124)</f>
        <v>0</v>
      </c>
      <c r="P124" s="1049"/>
      <c r="Q124" s="577"/>
      <c r="R124" s="1039"/>
      <c r="S124" s="618"/>
      <c r="T124" s="225"/>
      <c r="U124" s="618"/>
      <c r="V124" s="1045"/>
      <c r="W124" s="1046"/>
    </row>
    <row r="125" spans="2:23" x14ac:dyDescent="0.3">
      <c r="B125" s="182"/>
      <c r="C125" s="577"/>
      <c r="D125" s="521" t="s">
        <v>1</v>
      </c>
      <c r="E125" s="521"/>
      <c r="F125" s="45"/>
      <c r="G125" s="494" t="s">
        <v>86</v>
      </c>
      <c r="H125" s="651" t="str">
        <f>I125</f>
        <v>Maintenance</v>
      </c>
      <c r="I125" s="450" t="s">
        <v>43</v>
      </c>
      <c r="J125" s="577" t="s">
        <v>111</v>
      </c>
      <c r="K125" s="217" t="s">
        <v>424</v>
      </c>
      <c r="L125" s="1047" t="s">
        <v>64</v>
      </c>
      <c r="M125" s="1036">
        <f>SUMIFS('Level of Efficiency Assumptions'!$J:$J,'Level of Efficiency Assumptions'!$D:$D,I125,'Level of Efficiency Assumptions'!$F:$F,J125,'Level of Efficiency Assumptions'!$I:$I,'Water Use Calcs'!L125)</f>
        <v>100</v>
      </c>
      <c r="N125" s="567" t="s">
        <v>659</v>
      </c>
      <c r="O125" s="1048">
        <f>SUMIFS('Detailed Fixture Data'!O:O,'Detailed Fixture Data'!C:C,G125,'Detailed Fixture Data'!E:E,I125,'Detailed Fixture Data'!F:F,J125,'Detailed Fixture Data'!L:L,L125)</f>
        <v>0</v>
      </c>
      <c r="P125" s="1030">
        <f>SUMIFS('Intensity of Use Assumptions'!$J:$J,'Intensity of Use Assumptions'!$D:$D,I125,'Intensity of Use Assumptions'!$G:$G,J125,'Intensity of Use Assumptions'!H:H,K125)</f>
        <v>1</v>
      </c>
      <c r="Q125" s="567" t="s">
        <v>67</v>
      </c>
      <c r="R125" s="1032">
        <f>(SUMPRODUCT(M125:M127,O125:O127)*P125)</f>
        <v>0</v>
      </c>
      <c r="S125" s="1033">
        <f>IF(R125=0,0,M127*P125)</f>
        <v>0</v>
      </c>
      <c r="T125" s="225" t="str">
        <f>G125&amp;"-"&amp;J125</f>
        <v>Terminal C-Boiler</v>
      </c>
      <c r="U125" s="1034">
        <f ca="1">IF(ISNA(VLOOKUP(T125,list!$AV$3:$AW$130,2,FALSE)),1,(VLOOKUP(T125,list!$AV$3:$AW$130,2,FALSE)))</f>
        <v>1</v>
      </c>
      <c r="V125" s="1033">
        <f ca="1">R125*U125</f>
        <v>0</v>
      </c>
      <c r="W125" s="1033">
        <f ca="1">S125*U125</f>
        <v>0</v>
      </c>
    </row>
    <row r="126" spans="2:23" x14ac:dyDescent="0.3">
      <c r="B126" s="182"/>
      <c r="C126" s="577"/>
      <c r="D126" s="521" t="s">
        <v>1</v>
      </c>
      <c r="E126" s="521"/>
      <c r="F126" s="45"/>
      <c r="G126" s="494" t="s">
        <v>86</v>
      </c>
      <c r="H126" s="577"/>
      <c r="I126" s="450" t="s">
        <v>43</v>
      </c>
      <c r="J126" s="577" t="s">
        <v>111</v>
      </c>
      <c r="K126" s="382"/>
      <c r="L126" s="1035" t="s">
        <v>65</v>
      </c>
      <c r="M126" s="1036">
        <f>SUMIFS('Level of Efficiency Assumptions'!$J:$J,'Level of Efficiency Assumptions'!$D:$D,I126,'Level of Efficiency Assumptions'!$F:$F,J126,'Level of Efficiency Assumptions'!$I:$I,'Water Use Calcs'!L126)</f>
        <v>75</v>
      </c>
      <c r="N126" s="577"/>
      <c r="O126" s="1048">
        <f>SUMIFS('Detailed Fixture Data'!O:O,'Detailed Fixture Data'!C:C,G126,'Detailed Fixture Data'!E:E,I126,'Detailed Fixture Data'!F:F,J126,'Detailed Fixture Data'!L:L,L126)</f>
        <v>0</v>
      </c>
      <c r="P126" s="1049"/>
      <c r="Q126" s="577"/>
      <c r="R126" s="1039"/>
      <c r="S126" s="521"/>
      <c r="T126" s="225"/>
      <c r="U126" s="521"/>
      <c r="V126" s="1040"/>
      <c r="W126" s="1041"/>
    </row>
    <row r="127" spans="2:23" ht="15" thickBot="1" x14ac:dyDescent="0.35">
      <c r="B127" s="182"/>
      <c r="C127" s="577"/>
      <c r="D127" s="521" t="s">
        <v>1</v>
      </c>
      <c r="E127" s="521"/>
      <c r="F127" s="45"/>
      <c r="G127" s="494" t="s">
        <v>86</v>
      </c>
      <c r="H127" s="577"/>
      <c r="I127" s="450" t="s">
        <v>43</v>
      </c>
      <c r="J127" s="116" t="s">
        <v>111</v>
      </c>
      <c r="K127" s="116"/>
      <c r="L127" s="1042" t="s">
        <v>66</v>
      </c>
      <c r="M127" s="1043">
        <f>SUMIFS('Level of Efficiency Assumptions'!$J:$J,'Level of Efficiency Assumptions'!$D:$D,I127,'Level of Efficiency Assumptions'!$F:$F,J127,'Level of Efficiency Assumptions'!$I:$I,'Water Use Calcs'!L127)</f>
        <v>50</v>
      </c>
      <c r="N127" s="577"/>
      <c r="O127" s="1048">
        <f>SUMIFS('Detailed Fixture Data'!O:O,'Detailed Fixture Data'!C:C,G127,'Detailed Fixture Data'!E:E,I127,'Detailed Fixture Data'!F:F,J127,'Detailed Fixture Data'!L:L,L127)</f>
        <v>0</v>
      </c>
      <c r="P127" s="1049"/>
      <c r="Q127" s="577"/>
      <c r="R127" s="1039"/>
      <c r="S127" s="618"/>
      <c r="T127" s="225"/>
      <c r="U127" s="618"/>
      <c r="V127" s="1045"/>
      <c r="W127" s="1046"/>
    </row>
    <row r="128" spans="2:23" x14ac:dyDescent="0.3">
      <c r="B128" s="182"/>
      <c r="C128" s="577"/>
      <c r="D128" s="521" t="s">
        <v>1</v>
      </c>
      <c r="E128" s="521"/>
      <c r="F128" s="45"/>
      <c r="G128" s="494" t="s">
        <v>86</v>
      </c>
      <c r="H128" s="577"/>
      <c r="I128" s="450" t="s">
        <v>43</v>
      </c>
      <c r="J128" s="577" t="s">
        <v>7</v>
      </c>
      <c r="K128" s="215" t="s">
        <v>365</v>
      </c>
      <c r="L128" s="1012" t="s">
        <v>257</v>
      </c>
      <c r="M128" s="1050"/>
      <c r="N128" s="1050"/>
      <c r="O128" s="1050"/>
      <c r="P128" s="1051"/>
      <c r="Q128" s="981"/>
      <c r="R128" s="1052">
        <f>SUMIFS('Cooling Data'!H:H,'Cooling Data'!$C:$C,$G128,'Cooling Data'!$E:$E,$I128,'Cooling Data'!$F:$F,$J128)</f>
        <v>0</v>
      </c>
      <c r="S128" s="1052">
        <f>SUMIFS('Cooling Data'!J:J,'Cooling Data'!$C:$C,$G128,'Cooling Data'!$E:$E,$I128,'Cooling Data'!$F:$F,$J128)</f>
        <v>0</v>
      </c>
      <c r="T128" s="225" t="str">
        <f>G128&amp;"-"&amp;J128</f>
        <v>Terminal C-Cooling</v>
      </c>
      <c r="U128" s="1034">
        <f ca="1">IF(ISNA(VLOOKUP(T128,list!$AV$3:$AW$130,2,FALSE)),1,(VLOOKUP(T128,list!$AV$3:$AW$130,2,FALSE)))</f>
        <v>1</v>
      </c>
      <c r="V128" s="1033">
        <f ca="1">R128*U128</f>
        <v>0</v>
      </c>
      <c r="W128" s="1033">
        <f ca="1">S128*U128</f>
        <v>0</v>
      </c>
    </row>
    <row r="129" spans="2:23" x14ac:dyDescent="0.3">
      <c r="B129" s="182"/>
      <c r="C129" s="577"/>
      <c r="D129" s="521" t="s">
        <v>1</v>
      </c>
      <c r="E129" s="521"/>
      <c r="F129" s="45"/>
      <c r="G129" s="494" t="s">
        <v>86</v>
      </c>
      <c r="H129" s="577"/>
      <c r="I129" s="450" t="s">
        <v>43</v>
      </c>
      <c r="J129" s="577" t="s">
        <v>7</v>
      </c>
      <c r="K129" s="577"/>
      <c r="L129" s="206"/>
      <c r="M129" s="181"/>
      <c r="N129" s="181"/>
      <c r="O129" s="181"/>
      <c r="P129" s="1053"/>
      <c r="Q129" s="439"/>
      <c r="R129" s="1039"/>
      <c r="S129" s="521"/>
      <c r="T129" s="225"/>
      <c r="U129" s="521"/>
      <c r="V129" s="1040"/>
      <c r="W129" s="1041"/>
    </row>
    <row r="130" spans="2:23" ht="15" thickBot="1" x14ac:dyDescent="0.35">
      <c r="B130" s="182"/>
      <c r="C130" s="577"/>
      <c r="D130" s="521" t="s">
        <v>1</v>
      </c>
      <c r="E130" s="521"/>
      <c r="F130" s="45"/>
      <c r="G130" s="494" t="s">
        <v>86</v>
      </c>
      <c r="H130" s="577"/>
      <c r="I130" s="450" t="s">
        <v>43</v>
      </c>
      <c r="J130" s="116" t="s">
        <v>7</v>
      </c>
      <c r="K130" s="116"/>
      <c r="L130" s="207"/>
      <c r="M130" s="924"/>
      <c r="N130" s="924"/>
      <c r="O130" s="924"/>
      <c r="P130" s="1054"/>
      <c r="Q130" s="606"/>
      <c r="R130" s="1039"/>
      <c r="S130" s="618"/>
      <c r="T130" s="225"/>
      <c r="U130" s="618"/>
      <c r="V130" s="1045"/>
      <c r="W130" s="1046"/>
    </row>
    <row r="131" spans="2:23" x14ac:dyDescent="0.3">
      <c r="B131" s="182"/>
      <c r="C131" s="577"/>
      <c r="D131" s="521" t="s">
        <v>1</v>
      </c>
      <c r="E131" s="521"/>
      <c r="F131" s="45"/>
      <c r="G131" s="494" t="s">
        <v>86</v>
      </c>
      <c r="H131" s="577"/>
      <c r="I131" s="450" t="s">
        <v>43</v>
      </c>
      <c r="J131" s="577" t="s">
        <v>426</v>
      </c>
      <c r="K131" s="577" t="s">
        <v>3</v>
      </c>
      <c r="L131" s="1047" t="s">
        <v>64</v>
      </c>
      <c r="M131" s="1036">
        <f>SUMIFS('Level of Efficiency Assumptions'!$J:$J,'Level of Efficiency Assumptions'!$D:$D,I131,'Level of Efficiency Assumptions'!$F:$F,J131,'Level of Efficiency Assumptions'!$I:$I,'Water Use Calcs'!L131)</f>
        <v>10</v>
      </c>
      <c r="N131" s="567" t="s">
        <v>588</v>
      </c>
      <c r="O131" s="1048">
        <f>SUMIFS('Detailed Fixture Data'!O:O,'Detailed Fixture Data'!C:C,G131,'Detailed Fixture Data'!E:E,I131,'Detailed Fixture Data'!F:F,J131,'Detailed Fixture Data'!L:L,L131)</f>
        <v>0</v>
      </c>
      <c r="P131" s="1030">
        <f>SUMIFS('Intensity of Use Assumptions'!$J:$J,'Intensity of Use Assumptions'!$D:$D,I131,'Intensity of Use Assumptions'!$G:$G,J131,'Intensity of Use Assumptions'!H:H,K131)</f>
        <v>1E-3</v>
      </c>
      <c r="Q131" s="567" t="s">
        <v>67</v>
      </c>
      <c r="R131" s="1032">
        <f>(SUMPRODUCT(M131:M133,O131:O133)*P131)</f>
        <v>0</v>
      </c>
      <c r="S131" s="1033">
        <f>IF(R131=0,0,M133*P131)</f>
        <v>0</v>
      </c>
      <c r="T131" s="225" t="str">
        <f>G131&amp;"-"&amp;J131</f>
        <v>Terminal C-Pavement cleaning</v>
      </c>
      <c r="U131" s="1034">
        <f ca="1">IF(ISNA(VLOOKUP(T131,list!$AV$3:$AW$130,2,FALSE)),1,(VLOOKUP(T131,list!$AV$3:$AW$130,2,FALSE)))</f>
        <v>1</v>
      </c>
      <c r="V131" s="1033">
        <f ca="1">R131*U131</f>
        <v>0</v>
      </c>
      <c r="W131" s="1033">
        <f ca="1">S131*U131</f>
        <v>0</v>
      </c>
    </row>
    <row r="132" spans="2:23" x14ac:dyDescent="0.3">
      <c r="B132" s="182"/>
      <c r="C132" s="577"/>
      <c r="D132" s="521" t="s">
        <v>1</v>
      </c>
      <c r="E132" s="521"/>
      <c r="F132" s="45"/>
      <c r="G132" s="494" t="s">
        <v>86</v>
      </c>
      <c r="H132" s="577"/>
      <c r="I132" s="450" t="s">
        <v>43</v>
      </c>
      <c r="J132" s="577" t="s">
        <v>426</v>
      </c>
      <c r="K132" s="577"/>
      <c r="L132" s="1035" t="s">
        <v>65</v>
      </c>
      <c r="M132" s="1036">
        <f>SUMIFS('Level of Efficiency Assumptions'!$J:$J,'Level of Efficiency Assumptions'!$D:$D,I132,'Level of Efficiency Assumptions'!$F:$F,J132,'Level of Efficiency Assumptions'!$I:$I,'Water Use Calcs'!L132)</f>
        <v>7.5</v>
      </c>
      <c r="N132" s="577"/>
      <c r="O132" s="1048">
        <f>SUMIFS('Detailed Fixture Data'!O:O,'Detailed Fixture Data'!C:C,G132,'Detailed Fixture Data'!E:E,I132,'Detailed Fixture Data'!F:F,J132,'Detailed Fixture Data'!L:L,L132)</f>
        <v>0</v>
      </c>
      <c r="P132" s="1049"/>
      <c r="Q132" s="577"/>
      <c r="R132" s="1039"/>
      <c r="S132" s="521"/>
      <c r="T132" s="225"/>
      <c r="U132" s="521"/>
      <c r="V132" s="1040"/>
      <c r="W132" s="1041"/>
    </row>
    <row r="133" spans="2:23" ht="15" thickBot="1" x14ac:dyDescent="0.35">
      <c r="B133" s="182"/>
      <c r="C133" s="577"/>
      <c r="D133" s="521" t="s">
        <v>1</v>
      </c>
      <c r="E133" s="521"/>
      <c r="F133" s="45"/>
      <c r="G133" s="494" t="s">
        <v>86</v>
      </c>
      <c r="H133" s="116"/>
      <c r="I133" s="451" t="s">
        <v>43</v>
      </c>
      <c r="J133" s="116" t="s">
        <v>426</v>
      </c>
      <c r="K133" s="116"/>
      <c r="L133" s="1042" t="s">
        <v>66</v>
      </c>
      <c r="M133" s="1043">
        <f>SUMIFS('Level of Efficiency Assumptions'!$J:$J,'Level of Efficiency Assumptions'!$D:$D,I133,'Level of Efficiency Assumptions'!$F:$F,J133,'Level of Efficiency Assumptions'!$I:$I,'Water Use Calcs'!L133)</f>
        <v>5</v>
      </c>
      <c r="N133" s="577"/>
      <c r="O133" s="1048">
        <f>SUMIFS('Detailed Fixture Data'!O:O,'Detailed Fixture Data'!C:C,G133,'Detailed Fixture Data'!E:E,I133,'Detailed Fixture Data'!F:F,J133,'Detailed Fixture Data'!L:L,L133)</f>
        <v>0</v>
      </c>
      <c r="P133" s="1049"/>
      <c r="Q133" s="577"/>
      <c r="R133" s="1039"/>
      <c r="S133" s="618"/>
      <c r="T133" s="225"/>
      <c r="U133" s="618"/>
      <c r="V133" s="1045"/>
      <c r="W133" s="1046"/>
    </row>
    <row r="134" spans="2:23" x14ac:dyDescent="0.3">
      <c r="B134" s="182"/>
      <c r="C134" s="577"/>
      <c r="D134" s="521" t="s">
        <v>1</v>
      </c>
      <c r="E134" s="521"/>
      <c r="F134" s="45"/>
      <c r="G134" s="494" t="s">
        <v>86</v>
      </c>
      <c r="H134" s="651" t="str">
        <f>I134</f>
        <v>Other</v>
      </c>
      <c r="I134" s="450" t="s">
        <v>8</v>
      </c>
      <c r="J134" s="577" t="s">
        <v>52</v>
      </c>
      <c r="K134" s="387" t="s">
        <v>362</v>
      </c>
      <c r="L134" s="1047" t="s">
        <v>64</v>
      </c>
      <c r="M134" s="1036">
        <f>SUMIFS('Level of Efficiency Assumptions'!$J:$J,'Level of Efficiency Assumptions'!$D:$D,I134,'Level of Efficiency Assumptions'!$F:$F,J134,'Level of Efficiency Assumptions'!$I:$I,'Water Use Calcs'!L134)</f>
        <v>10</v>
      </c>
      <c r="N134" s="567" t="s">
        <v>660</v>
      </c>
      <c r="O134" s="1048">
        <f>SUMIFS('Detailed Fixture Data'!O:O,'Detailed Fixture Data'!C:C,G134,'Detailed Fixture Data'!E:E,I134,'Detailed Fixture Data'!F:F,J134,'Detailed Fixture Data'!L:L,L134)</f>
        <v>0</v>
      </c>
      <c r="P134" s="1030">
        <f>SUMIFS('Intensity of Use Assumptions'!$J:$J,'Intensity of Use Assumptions'!$D:$D,I134,'Intensity of Use Assumptions'!$G:$G,J134,'Intensity of Use Assumptions'!H:H,K134)</f>
        <v>1</v>
      </c>
      <c r="Q134" s="567" t="s">
        <v>67</v>
      </c>
      <c r="R134" s="1032">
        <f>(SUMPRODUCT(M134:M136,O134:O136)*P134)</f>
        <v>0</v>
      </c>
      <c r="S134" s="1033">
        <f>IF(R134=0,0,M136*P134)</f>
        <v>0</v>
      </c>
      <c r="T134" s="225" t="str">
        <f>G134&amp;"-"&amp;J134</f>
        <v>Terminal C-Other 1</v>
      </c>
      <c r="U134" s="1034">
        <f ca="1">IF(ISNA(VLOOKUP(T134,list!$AV$3:$AW$130,2,FALSE)),1,(VLOOKUP(T134,list!$AV$3:$AW$130,2,FALSE)))</f>
        <v>1</v>
      </c>
      <c r="V134" s="1033">
        <f ca="1">R134*U134</f>
        <v>0</v>
      </c>
      <c r="W134" s="1033">
        <f ca="1">S134*U134</f>
        <v>0</v>
      </c>
    </row>
    <row r="135" spans="2:23" x14ac:dyDescent="0.3">
      <c r="B135" s="182"/>
      <c r="C135" s="577"/>
      <c r="D135" s="521" t="s">
        <v>1</v>
      </c>
      <c r="E135" s="521"/>
      <c r="F135" s="45"/>
      <c r="G135" s="494" t="s">
        <v>86</v>
      </c>
      <c r="H135" s="577"/>
      <c r="I135" s="450" t="s">
        <v>8</v>
      </c>
      <c r="J135" s="577" t="s">
        <v>52</v>
      </c>
      <c r="K135" s="382"/>
      <c r="L135" s="1035" t="s">
        <v>65</v>
      </c>
      <c r="M135" s="1036">
        <f>SUMIFS('Level of Efficiency Assumptions'!$J:$J,'Level of Efficiency Assumptions'!$D:$D,I135,'Level of Efficiency Assumptions'!$F:$F,J135,'Level of Efficiency Assumptions'!$I:$I,'Water Use Calcs'!L135)</f>
        <v>7.5</v>
      </c>
      <c r="N135" s="577"/>
      <c r="O135" s="1048">
        <f>SUMIFS('Detailed Fixture Data'!O:O,'Detailed Fixture Data'!C:C,G135,'Detailed Fixture Data'!E:E,I135,'Detailed Fixture Data'!F:F,J135,'Detailed Fixture Data'!L:L,L135)</f>
        <v>0</v>
      </c>
      <c r="P135" s="1049"/>
      <c r="Q135" s="577"/>
      <c r="R135" s="1039"/>
      <c r="S135" s="521"/>
      <c r="T135" s="225"/>
      <c r="U135" s="521"/>
      <c r="V135" s="1040"/>
      <c r="W135" s="1041"/>
    </row>
    <row r="136" spans="2:23" ht="15" thickBot="1" x14ac:dyDescent="0.35">
      <c r="B136" s="182"/>
      <c r="C136" s="577"/>
      <c r="D136" s="521" t="s">
        <v>1</v>
      </c>
      <c r="E136" s="521"/>
      <c r="F136" s="45"/>
      <c r="G136" s="494" t="s">
        <v>86</v>
      </c>
      <c r="H136" s="577"/>
      <c r="I136" s="450" t="s">
        <v>8</v>
      </c>
      <c r="J136" s="116" t="s">
        <v>52</v>
      </c>
      <c r="K136" s="382"/>
      <c r="L136" s="1042" t="s">
        <v>66</v>
      </c>
      <c r="M136" s="1043">
        <f>SUMIFS('Level of Efficiency Assumptions'!$J:$J,'Level of Efficiency Assumptions'!$D:$D,I136,'Level of Efficiency Assumptions'!$F:$F,J136,'Level of Efficiency Assumptions'!$I:$I,'Water Use Calcs'!L136)</f>
        <v>5</v>
      </c>
      <c r="N136" s="577"/>
      <c r="O136" s="1048">
        <f>SUMIFS('Detailed Fixture Data'!O:O,'Detailed Fixture Data'!C:C,G136,'Detailed Fixture Data'!E:E,I136,'Detailed Fixture Data'!F:F,J136,'Detailed Fixture Data'!L:L,L136)</f>
        <v>0</v>
      </c>
      <c r="P136" s="1049"/>
      <c r="Q136" s="577"/>
      <c r="R136" s="1039"/>
      <c r="S136" s="618"/>
      <c r="T136" s="225"/>
      <c r="U136" s="618"/>
      <c r="V136" s="1045"/>
      <c r="W136" s="1046"/>
    </row>
    <row r="137" spans="2:23" x14ac:dyDescent="0.3">
      <c r="B137" s="182"/>
      <c r="C137" s="577"/>
      <c r="D137" s="521" t="s">
        <v>1</v>
      </c>
      <c r="E137" s="521"/>
      <c r="F137" s="45"/>
      <c r="G137" s="494" t="s">
        <v>86</v>
      </c>
      <c r="H137" s="577"/>
      <c r="I137" s="450" t="s">
        <v>8</v>
      </c>
      <c r="J137" s="577" t="s">
        <v>53</v>
      </c>
      <c r="K137" s="1055" t="s">
        <v>363</v>
      </c>
      <c r="L137" s="1047" t="s">
        <v>64</v>
      </c>
      <c r="M137" s="1036">
        <f>SUMIFS('Level of Efficiency Assumptions'!$J:$J,'Level of Efficiency Assumptions'!$D:$D,I137,'Level of Efficiency Assumptions'!$F:$F,J137,'Level of Efficiency Assumptions'!$I:$I,'Water Use Calcs'!L137)</f>
        <v>10</v>
      </c>
      <c r="N137" s="567" t="s">
        <v>660</v>
      </c>
      <c r="O137" s="1048">
        <f>SUMIFS('Detailed Fixture Data'!O:O,'Detailed Fixture Data'!C:C,G137,'Detailed Fixture Data'!E:E,I137,'Detailed Fixture Data'!F:F,J137,'Detailed Fixture Data'!L:L,L137)</f>
        <v>0</v>
      </c>
      <c r="P137" s="1030">
        <f>SUMIFS('Intensity of Use Assumptions'!$J:$J,'Intensity of Use Assumptions'!$D:$D,I137,'Intensity of Use Assumptions'!$G:$G,J137,'Intensity of Use Assumptions'!H:H,K137)</f>
        <v>1</v>
      </c>
      <c r="Q137" s="567" t="s">
        <v>67</v>
      </c>
      <c r="R137" s="1032">
        <f>(SUMPRODUCT(M137:M139,O137:O139)*P137)</f>
        <v>0</v>
      </c>
      <c r="S137" s="1033">
        <f>IF(R137=0,0,M139*P137)</f>
        <v>0</v>
      </c>
      <c r="T137" s="225" t="str">
        <f>G137&amp;"-"&amp;J137</f>
        <v>Terminal C-Other 2</v>
      </c>
      <c r="U137" s="1034">
        <f ca="1">IF(ISNA(VLOOKUP(T137,list!$AV$3:$AW$130,2,FALSE)),1,(VLOOKUP(T137,list!$AV$3:$AW$130,2,FALSE)))</f>
        <v>1</v>
      </c>
      <c r="V137" s="1033">
        <f ca="1">R137*U137</f>
        <v>0</v>
      </c>
      <c r="W137" s="1033">
        <f ca="1">S137*U137</f>
        <v>0</v>
      </c>
    </row>
    <row r="138" spans="2:23" x14ac:dyDescent="0.3">
      <c r="B138" s="182"/>
      <c r="C138" s="577"/>
      <c r="D138" s="521" t="s">
        <v>1</v>
      </c>
      <c r="E138" s="521"/>
      <c r="F138" s="45"/>
      <c r="G138" s="494" t="s">
        <v>86</v>
      </c>
      <c r="H138" s="577"/>
      <c r="I138" s="450" t="s">
        <v>8</v>
      </c>
      <c r="J138" s="577" t="s">
        <v>53</v>
      </c>
      <c r="K138" s="577"/>
      <c r="L138" s="1035" t="s">
        <v>65</v>
      </c>
      <c r="M138" s="1036">
        <f>SUMIFS('Level of Efficiency Assumptions'!$J:$J,'Level of Efficiency Assumptions'!$D:$D,I138,'Level of Efficiency Assumptions'!$F:$F,J138,'Level of Efficiency Assumptions'!$I:$I,'Water Use Calcs'!L138)</f>
        <v>7.5</v>
      </c>
      <c r="N138" s="577"/>
      <c r="O138" s="1048">
        <f>SUMIFS('Detailed Fixture Data'!O:O,'Detailed Fixture Data'!C:C,G138,'Detailed Fixture Data'!E:E,I138,'Detailed Fixture Data'!F:F,J138,'Detailed Fixture Data'!L:L,L138)</f>
        <v>0</v>
      </c>
      <c r="P138" s="1049"/>
      <c r="Q138" s="577"/>
      <c r="R138" s="1039"/>
      <c r="S138" s="521"/>
      <c r="T138" s="225"/>
      <c r="U138" s="521"/>
      <c r="V138" s="1040"/>
      <c r="W138" s="1041"/>
    </row>
    <row r="139" spans="2:23" ht="15" thickBot="1" x14ac:dyDescent="0.35">
      <c r="B139" s="182"/>
      <c r="C139" s="577"/>
      <c r="D139" s="521" t="s">
        <v>1</v>
      </c>
      <c r="E139" s="521"/>
      <c r="F139" s="45"/>
      <c r="G139" s="494" t="s">
        <v>86</v>
      </c>
      <c r="H139" s="577"/>
      <c r="I139" s="450" t="s">
        <v>8</v>
      </c>
      <c r="J139" s="116" t="s">
        <v>53</v>
      </c>
      <c r="K139" s="116"/>
      <c r="L139" s="1042" t="s">
        <v>66</v>
      </c>
      <c r="M139" s="1043">
        <f>SUMIFS('Level of Efficiency Assumptions'!$J:$J,'Level of Efficiency Assumptions'!$D:$D,I139,'Level of Efficiency Assumptions'!$F:$F,J139,'Level of Efficiency Assumptions'!$I:$I,'Water Use Calcs'!L139)</f>
        <v>5</v>
      </c>
      <c r="N139" s="577"/>
      <c r="O139" s="1048">
        <f>SUMIFS('Detailed Fixture Data'!O:O,'Detailed Fixture Data'!C:C,G139,'Detailed Fixture Data'!E:E,I139,'Detailed Fixture Data'!F:F,J139,'Detailed Fixture Data'!L:L,L139)</f>
        <v>0</v>
      </c>
      <c r="P139" s="1049"/>
      <c r="Q139" s="577"/>
      <c r="R139" s="1039"/>
      <c r="S139" s="618"/>
      <c r="T139" s="225"/>
      <c r="U139" s="618"/>
      <c r="V139" s="1045"/>
      <c r="W139" s="1046"/>
    </row>
    <row r="140" spans="2:23" x14ac:dyDescent="0.3">
      <c r="B140" s="182"/>
      <c r="C140" s="577"/>
      <c r="D140" s="521" t="s">
        <v>1</v>
      </c>
      <c r="E140" s="521"/>
      <c r="F140" s="45"/>
      <c r="G140" s="494" t="s">
        <v>86</v>
      </c>
      <c r="H140" s="577"/>
      <c r="I140" s="450" t="s">
        <v>8</v>
      </c>
      <c r="J140" s="577" t="s">
        <v>54</v>
      </c>
      <c r="K140" s="379" t="s">
        <v>364</v>
      </c>
      <c r="L140" s="1047" t="s">
        <v>64</v>
      </c>
      <c r="M140" s="1036">
        <f>SUMIFS('Level of Efficiency Assumptions'!$J:$J,'Level of Efficiency Assumptions'!$D:$D,I140,'Level of Efficiency Assumptions'!$F:$F,J140,'Level of Efficiency Assumptions'!$I:$I,'Water Use Calcs'!L140)</f>
        <v>10</v>
      </c>
      <c r="N140" s="567" t="s">
        <v>660</v>
      </c>
      <c r="O140" s="1048">
        <f>SUMIFS('Detailed Fixture Data'!O:O,'Detailed Fixture Data'!C:C,G140,'Detailed Fixture Data'!E:E,I140,'Detailed Fixture Data'!F:F,J140,'Detailed Fixture Data'!L:L,L140)</f>
        <v>0</v>
      </c>
      <c r="P140" s="1030">
        <f>SUMIFS('Intensity of Use Assumptions'!$J:$J,'Intensity of Use Assumptions'!$D:$D,I140,'Intensity of Use Assumptions'!$G:$G,J140,'Intensity of Use Assumptions'!H:H,K140)</f>
        <v>1</v>
      </c>
      <c r="Q140" s="567" t="s">
        <v>67</v>
      </c>
      <c r="R140" s="1032">
        <f>(SUMPRODUCT(M140:M142,O140:O142)*P140)</f>
        <v>0</v>
      </c>
      <c r="S140" s="1033">
        <f>IF(R140=0,0,M142*P140)</f>
        <v>0</v>
      </c>
      <c r="T140" s="225" t="str">
        <f>G140&amp;"-"&amp;J140</f>
        <v>Terminal C-Other 3</v>
      </c>
      <c r="U140" s="1034">
        <f ca="1">IF(ISNA(VLOOKUP(T140,list!$AV$3:$AW$130,2,FALSE)),1,(VLOOKUP(T140,list!$AV$3:$AW$130,2,FALSE)))</f>
        <v>1</v>
      </c>
      <c r="V140" s="1033">
        <f ca="1">R140*U140</f>
        <v>0</v>
      </c>
      <c r="W140" s="1033">
        <f ca="1">S140*U140</f>
        <v>0</v>
      </c>
    </row>
    <row r="141" spans="2:23" x14ac:dyDescent="0.3">
      <c r="B141" s="182"/>
      <c r="C141" s="577"/>
      <c r="D141" s="521" t="s">
        <v>1</v>
      </c>
      <c r="E141" s="521"/>
      <c r="F141" s="45"/>
      <c r="G141" s="494" t="s">
        <v>86</v>
      </c>
      <c r="H141" s="577"/>
      <c r="I141" s="450" t="s">
        <v>8</v>
      </c>
      <c r="J141" s="577" t="s">
        <v>54</v>
      </c>
      <c r="K141" s="577"/>
      <c r="L141" s="1035" t="s">
        <v>65</v>
      </c>
      <c r="M141" s="1036">
        <f>SUMIFS('Level of Efficiency Assumptions'!$J:$J,'Level of Efficiency Assumptions'!$D:$D,I141,'Level of Efficiency Assumptions'!$F:$F,J141,'Level of Efficiency Assumptions'!$I:$I,'Water Use Calcs'!L141)</f>
        <v>7.5</v>
      </c>
      <c r="N141" s="577"/>
      <c r="O141" s="1048">
        <f>SUMIFS('Detailed Fixture Data'!O:O,'Detailed Fixture Data'!C:C,G141,'Detailed Fixture Data'!E:E,I141,'Detailed Fixture Data'!F:F,J141,'Detailed Fixture Data'!L:L,L141)</f>
        <v>0</v>
      </c>
      <c r="P141" s="1049"/>
      <c r="Q141" s="577"/>
      <c r="R141" s="1039"/>
      <c r="S141" s="521"/>
      <c r="T141" s="225"/>
      <c r="U141" s="521"/>
      <c r="V141" s="1040"/>
      <c r="W141" s="1041"/>
    </row>
    <row r="142" spans="2:23" ht="15" thickBot="1" x14ac:dyDescent="0.35">
      <c r="B142" s="182"/>
      <c r="C142" s="577"/>
      <c r="D142" s="521" t="s">
        <v>1</v>
      </c>
      <c r="E142" s="521"/>
      <c r="F142" s="45"/>
      <c r="G142" s="501" t="s">
        <v>86</v>
      </c>
      <c r="H142" s="116"/>
      <c r="I142" s="451" t="s">
        <v>8</v>
      </c>
      <c r="J142" s="116" t="s">
        <v>54</v>
      </c>
      <c r="K142" s="116"/>
      <c r="L142" s="1056" t="s">
        <v>66</v>
      </c>
      <c r="M142" s="1043">
        <f>SUMIFS('Level of Efficiency Assumptions'!$J:$J,'Level of Efficiency Assumptions'!$D:$D,I142,'Level of Efficiency Assumptions'!$F:$F,J142,'Level of Efficiency Assumptions'!$I:$I,'Water Use Calcs'!L142)</f>
        <v>5</v>
      </c>
      <c r="N142" s="577"/>
      <c r="O142" s="1048">
        <f>SUMIFS('Detailed Fixture Data'!O:O,'Detailed Fixture Data'!C:C,G142,'Detailed Fixture Data'!E:E,I142,'Detailed Fixture Data'!F:F,J142,'Detailed Fixture Data'!L:L,L142)</f>
        <v>0</v>
      </c>
      <c r="P142" s="1049"/>
      <c r="Q142" s="577"/>
      <c r="R142" s="1039"/>
      <c r="S142" s="618"/>
      <c r="T142" s="225"/>
      <c r="U142" s="618"/>
      <c r="V142" s="1045"/>
      <c r="W142" s="1046"/>
    </row>
    <row r="143" spans="2:23" x14ac:dyDescent="0.3">
      <c r="B143" s="182"/>
      <c r="C143" s="577"/>
      <c r="D143" s="521" t="s">
        <v>1</v>
      </c>
      <c r="E143" s="619" t="str">
        <f>G143</f>
        <v>Terminal D</v>
      </c>
      <c r="F143" s="565" t="str">
        <f>VLOOKUP(E143,'Airport Mapping'!$C$5:$D$39,2,FALSE)</f>
        <v xml:space="preserve"> </v>
      </c>
      <c r="G143" s="494" t="s">
        <v>87</v>
      </c>
      <c r="H143" s="651" t="str">
        <f>I143</f>
        <v>Restrooms</v>
      </c>
      <c r="I143" s="450" t="s">
        <v>37</v>
      </c>
      <c r="J143" s="577" t="s">
        <v>2</v>
      </c>
      <c r="K143" s="567" t="s">
        <v>3</v>
      </c>
      <c r="L143" s="1028" t="s">
        <v>64</v>
      </c>
      <c r="M143" s="1036">
        <f>SUMIFS('Level of Efficiency Assumptions'!$J:$J,'Level of Efficiency Assumptions'!$D:$D,I143,'Level of Efficiency Assumptions'!$F:$F,J143,'Level of Efficiency Assumptions'!$I:$I,'Water Use Calcs'!L143)</f>
        <v>3.5</v>
      </c>
      <c r="N143" s="567" t="s">
        <v>68</v>
      </c>
      <c r="O143" s="1048">
        <f>SUMIFS('Detailed Fixture Data'!O:O,'Detailed Fixture Data'!C:C,G143,'Detailed Fixture Data'!E:E,I143,'Detailed Fixture Data'!F:F,J143,'Detailed Fixture Data'!L:L,L143)</f>
        <v>0</v>
      </c>
      <c r="P143" s="1030">
        <f>SUMIFS('Intensity of Use Assumptions'!$J:$J,'Intensity of Use Assumptions'!$D:$D,I143,'Intensity of Use Assumptions'!$G:$G,J143,'Intensity of Use Assumptions'!H:H,K143)</f>
        <v>0.625</v>
      </c>
      <c r="Q143" s="567" t="s">
        <v>67</v>
      </c>
      <c r="R143" s="1032">
        <f>(SUMPRODUCT(M143:M145,O143:O145)*P143)</f>
        <v>0</v>
      </c>
      <c r="S143" s="1033">
        <f>IF(R143=0,0,M145*P143)</f>
        <v>0</v>
      </c>
      <c r="T143" s="225" t="str">
        <f>G143&amp;"-"&amp;J143</f>
        <v>Terminal D-Toilets</v>
      </c>
      <c r="U143" s="1034">
        <f ca="1">IF(ISNA(VLOOKUP(T143,list!$AV$3:$AW$130,2,FALSE)),1,(VLOOKUP(T143,list!$AV$3:$AW$130,2,FALSE)))</f>
        <v>1</v>
      </c>
      <c r="V143" s="1033">
        <f ca="1">R143*U143</f>
        <v>0</v>
      </c>
      <c r="W143" s="1033">
        <f ca="1">S143*U143</f>
        <v>0</v>
      </c>
    </row>
    <row r="144" spans="2:23" x14ac:dyDescent="0.3">
      <c r="B144" s="182"/>
      <c r="C144" s="577"/>
      <c r="D144" s="521" t="s">
        <v>1</v>
      </c>
      <c r="E144" s="521"/>
      <c r="F144" s="45"/>
      <c r="G144" s="494" t="s">
        <v>87</v>
      </c>
      <c r="H144" s="577"/>
      <c r="I144" s="450" t="s">
        <v>37</v>
      </c>
      <c r="J144" s="577" t="s">
        <v>2</v>
      </c>
      <c r="K144" s="577"/>
      <c r="L144" s="1035" t="s">
        <v>65</v>
      </c>
      <c r="M144" s="1036">
        <f>SUMIFS('Level of Efficiency Assumptions'!$J:$J,'Level of Efficiency Assumptions'!$D:$D,I144,'Level of Efficiency Assumptions'!$F:$F,J144,'Level of Efficiency Assumptions'!$I:$I,'Water Use Calcs'!L144)</f>
        <v>1.6</v>
      </c>
      <c r="N144" s="577"/>
      <c r="O144" s="1048">
        <f>SUMIFS('Detailed Fixture Data'!O:O,'Detailed Fixture Data'!C:C,G144,'Detailed Fixture Data'!E:E,I144,'Detailed Fixture Data'!F:F,J144,'Detailed Fixture Data'!L:L,L144)</f>
        <v>0</v>
      </c>
      <c r="P144" s="1049"/>
      <c r="Q144" s="577" t="s">
        <v>74</v>
      </c>
      <c r="R144" s="1039"/>
      <c r="S144" s="521"/>
      <c r="T144" s="225"/>
      <c r="U144" s="521"/>
      <c r="V144" s="1040"/>
      <c r="W144" s="1041"/>
    </row>
    <row r="145" spans="2:23" ht="15" thickBot="1" x14ac:dyDescent="0.35">
      <c r="B145" s="182"/>
      <c r="C145" s="577"/>
      <c r="D145" s="521" t="s">
        <v>1</v>
      </c>
      <c r="E145" s="521"/>
      <c r="F145" s="45"/>
      <c r="G145" s="494" t="s">
        <v>87</v>
      </c>
      <c r="H145" s="577"/>
      <c r="I145" s="450" t="s">
        <v>37</v>
      </c>
      <c r="J145" s="116" t="s">
        <v>2</v>
      </c>
      <c r="K145" s="116"/>
      <c r="L145" s="1042" t="s">
        <v>66</v>
      </c>
      <c r="M145" s="1043">
        <f>SUMIFS('Level of Efficiency Assumptions'!$J:$J,'Level of Efficiency Assumptions'!$D:$D,I145,'Level of Efficiency Assumptions'!$F:$F,J145,'Level of Efficiency Assumptions'!$I:$I,'Water Use Calcs'!L145)</f>
        <v>1.28</v>
      </c>
      <c r="N145" s="577"/>
      <c r="O145" s="1048">
        <f>SUMIFS('Detailed Fixture Data'!O:O,'Detailed Fixture Data'!C:C,G145,'Detailed Fixture Data'!E:E,I145,'Detailed Fixture Data'!F:F,J145,'Detailed Fixture Data'!L:L,L145)</f>
        <v>0</v>
      </c>
      <c r="P145" s="1049"/>
      <c r="Q145" s="577" t="s">
        <v>75</v>
      </c>
      <c r="R145" s="1039"/>
      <c r="S145" s="618"/>
      <c r="T145" s="225"/>
      <c r="U145" s="618"/>
      <c r="V145" s="1045"/>
      <c r="W145" s="1046"/>
    </row>
    <row r="146" spans="2:23" x14ac:dyDescent="0.3">
      <c r="B146" s="182"/>
      <c r="C146" s="577"/>
      <c r="D146" s="521" t="s">
        <v>1</v>
      </c>
      <c r="E146" s="521"/>
      <c r="F146" s="45"/>
      <c r="G146" s="494" t="s">
        <v>87</v>
      </c>
      <c r="H146" s="577"/>
      <c r="I146" s="450" t="s">
        <v>37</v>
      </c>
      <c r="J146" s="577" t="s">
        <v>4</v>
      </c>
      <c r="K146" s="577" t="s">
        <v>3</v>
      </c>
      <c r="L146" s="1047" t="s">
        <v>64</v>
      </c>
      <c r="M146" s="1036">
        <f>SUMIFS('Level of Efficiency Assumptions'!$J:$J,'Level of Efficiency Assumptions'!$D:$D,I146,'Level of Efficiency Assumptions'!$F:$F,J146,'Level of Efficiency Assumptions'!$I:$I,'Water Use Calcs'!L146)</f>
        <v>2</v>
      </c>
      <c r="N146" s="567" t="s">
        <v>68</v>
      </c>
      <c r="O146" s="1048">
        <f>SUMIFS('Detailed Fixture Data'!O:O,'Detailed Fixture Data'!C:C,G146,'Detailed Fixture Data'!E:E,I146,'Detailed Fixture Data'!F:F,J146,'Detailed Fixture Data'!L:L,L146)</f>
        <v>0</v>
      </c>
      <c r="P146" s="1030">
        <f>SUMIFS('Intensity of Use Assumptions'!$J:$J,'Intensity of Use Assumptions'!$D:$D,I146,'Intensity of Use Assumptions'!$G:$G,J146,'Intensity of Use Assumptions'!H:H,K146)</f>
        <v>0.375</v>
      </c>
      <c r="Q146" s="567" t="s">
        <v>67</v>
      </c>
      <c r="R146" s="1032">
        <f>(SUMPRODUCT(M146:M148,O146:O148)*P146)</f>
        <v>0</v>
      </c>
      <c r="S146" s="1033">
        <f>IF(R146=0,0,M148*P146)</f>
        <v>0</v>
      </c>
      <c r="T146" s="225" t="str">
        <f>G146&amp;"-"&amp;J146</f>
        <v>Terminal D-Urinals</v>
      </c>
      <c r="U146" s="1034">
        <f ca="1">IF(ISNA(VLOOKUP(T146,list!$AV$3:$AW$130,2,FALSE)),1,(VLOOKUP(T146,list!$AV$3:$AW$130,2,FALSE)))</f>
        <v>1</v>
      </c>
      <c r="V146" s="1033">
        <f ca="1">R146*U146</f>
        <v>0</v>
      </c>
      <c r="W146" s="1033">
        <f ca="1">S146*U146</f>
        <v>0</v>
      </c>
    </row>
    <row r="147" spans="2:23" x14ac:dyDescent="0.3">
      <c r="B147" s="182"/>
      <c r="C147" s="577"/>
      <c r="D147" s="521" t="s">
        <v>1</v>
      </c>
      <c r="E147" s="521"/>
      <c r="F147" s="45"/>
      <c r="G147" s="494" t="s">
        <v>87</v>
      </c>
      <c r="H147" s="577"/>
      <c r="I147" s="450" t="s">
        <v>37</v>
      </c>
      <c r="J147" s="577" t="s">
        <v>4</v>
      </c>
      <c r="K147" s="577"/>
      <c r="L147" s="1035" t="s">
        <v>65</v>
      </c>
      <c r="M147" s="1036">
        <f>SUMIFS('Level of Efficiency Assumptions'!$J:$J,'Level of Efficiency Assumptions'!$D:$D,I147,'Level of Efficiency Assumptions'!$F:$F,J147,'Level of Efficiency Assumptions'!$I:$I,'Water Use Calcs'!L147)</f>
        <v>1</v>
      </c>
      <c r="N147" s="577"/>
      <c r="O147" s="1048">
        <f>SUMIFS('Detailed Fixture Data'!O:O,'Detailed Fixture Data'!C:C,G147,'Detailed Fixture Data'!E:E,I147,'Detailed Fixture Data'!F:F,J147,'Detailed Fixture Data'!L:L,L147)</f>
        <v>0</v>
      </c>
      <c r="P147" s="1049"/>
      <c r="Q147" s="577" t="s">
        <v>76</v>
      </c>
      <c r="R147" s="1039"/>
      <c r="S147" s="521"/>
      <c r="T147" s="225"/>
      <c r="U147" s="521"/>
      <c r="V147" s="1040"/>
      <c r="W147" s="1041"/>
    </row>
    <row r="148" spans="2:23" ht="15" thickBot="1" x14ac:dyDescent="0.35">
      <c r="B148" s="182"/>
      <c r="C148" s="577"/>
      <c r="D148" s="521" t="s">
        <v>1</v>
      </c>
      <c r="E148" s="521"/>
      <c r="F148" s="45"/>
      <c r="G148" s="494" t="s">
        <v>87</v>
      </c>
      <c r="H148" s="577"/>
      <c r="I148" s="450" t="s">
        <v>37</v>
      </c>
      <c r="J148" s="116" t="s">
        <v>4</v>
      </c>
      <c r="K148" s="116"/>
      <c r="L148" s="1042" t="s">
        <v>66</v>
      </c>
      <c r="M148" s="1043">
        <f>SUMIFS('Level of Efficiency Assumptions'!$J:$J,'Level of Efficiency Assumptions'!$D:$D,I148,'Level of Efficiency Assumptions'!$F:$F,J148,'Level of Efficiency Assumptions'!$I:$I,'Water Use Calcs'!L148)</f>
        <v>0.125</v>
      </c>
      <c r="N148" s="577"/>
      <c r="O148" s="1048">
        <f>SUMIFS('Detailed Fixture Data'!O:O,'Detailed Fixture Data'!C:C,G148,'Detailed Fixture Data'!E:E,I148,'Detailed Fixture Data'!F:F,J148,'Detailed Fixture Data'!L:L,L148)</f>
        <v>0</v>
      </c>
      <c r="P148" s="1049"/>
      <c r="Q148" s="577"/>
      <c r="R148" s="1039"/>
      <c r="S148" s="618"/>
      <c r="T148" s="225"/>
      <c r="U148" s="618"/>
      <c r="V148" s="1045"/>
      <c r="W148" s="1046"/>
    </row>
    <row r="149" spans="2:23" x14ac:dyDescent="0.3">
      <c r="B149" s="182"/>
      <c r="C149" s="577"/>
      <c r="D149" s="521" t="s">
        <v>1</v>
      </c>
      <c r="E149" s="521"/>
      <c r="F149" s="45"/>
      <c r="G149" s="494" t="s">
        <v>87</v>
      </c>
      <c r="H149" s="577"/>
      <c r="I149" s="450" t="s">
        <v>37</v>
      </c>
      <c r="J149" s="577" t="s">
        <v>33</v>
      </c>
      <c r="K149" s="577" t="s">
        <v>3</v>
      </c>
      <c r="L149" s="1047" t="s">
        <v>64</v>
      </c>
      <c r="M149" s="1036">
        <f>SUMIFS('Level of Efficiency Assumptions'!$J:$J,'Level of Efficiency Assumptions'!$D:$D,I149,'Level of Efficiency Assumptions'!$F:$F,J149,'Level of Efficiency Assumptions'!$I:$I,'Water Use Calcs'!L149)</f>
        <v>2</v>
      </c>
      <c r="N149" s="567" t="s">
        <v>78</v>
      </c>
      <c r="O149" s="1048">
        <f>SUMIFS('Detailed Fixture Data'!O:O,'Detailed Fixture Data'!C:C,G149,'Detailed Fixture Data'!E:E,I149,'Detailed Fixture Data'!F:F,J149,'Detailed Fixture Data'!L:L,L149)</f>
        <v>0</v>
      </c>
      <c r="P149" s="1030">
        <f>SUMIFS('Intensity of Use Assumptions'!$J:$J,'Intensity of Use Assumptions'!$D:$D,I149,'Intensity of Use Assumptions'!$G:$G,J149,'Intensity of Use Assumptions'!H:H,K149)</f>
        <v>0.16666666666666666</v>
      </c>
      <c r="Q149" s="567" t="s">
        <v>133</v>
      </c>
      <c r="R149" s="1032">
        <f>(SUMPRODUCT(M149:M151,O149:O151)*P149)</f>
        <v>0</v>
      </c>
      <c r="S149" s="1033">
        <f>IF(R149=0,0,M151*P149)</f>
        <v>0</v>
      </c>
      <c r="T149" s="225" t="str">
        <f>G149&amp;"-"&amp;J149</f>
        <v>Terminal D-Faucets</v>
      </c>
      <c r="U149" s="1034">
        <f ca="1">IF(ISNA(VLOOKUP(T149,list!$AV$3:$AW$130,2,FALSE)),1,(VLOOKUP(T149,list!$AV$3:$AW$130,2,FALSE)))</f>
        <v>1</v>
      </c>
      <c r="V149" s="1033">
        <f ca="1">R149*U149</f>
        <v>0</v>
      </c>
      <c r="W149" s="1033">
        <f ca="1">S149*U149</f>
        <v>0</v>
      </c>
    </row>
    <row r="150" spans="2:23" x14ac:dyDescent="0.3">
      <c r="B150" s="182"/>
      <c r="C150" s="577"/>
      <c r="D150" s="521" t="s">
        <v>1</v>
      </c>
      <c r="E150" s="521"/>
      <c r="F150" s="45"/>
      <c r="G150" s="494" t="s">
        <v>87</v>
      </c>
      <c r="H150" s="577"/>
      <c r="I150" s="450" t="s">
        <v>37</v>
      </c>
      <c r="J150" s="577" t="s">
        <v>33</v>
      </c>
      <c r="K150" s="577"/>
      <c r="L150" s="1035" t="s">
        <v>65</v>
      </c>
      <c r="M150" s="1036">
        <f>SUMIFS('Level of Efficiency Assumptions'!$J:$J,'Level of Efficiency Assumptions'!$D:$D,I150,'Level of Efficiency Assumptions'!$F:$F,J150,'Level of Efficiency Assumptions'!$I:$I,'Water Use Calcs'!L150)</f>
        <v>1</v>
      </c>
      <c r="N150" s="577"/>
      <c r="O150" s="1048">
        <f>SUMIFS('Detailed Fixture Data'!O:O,'Detailed Fixture Data'!C:C,G150,'Detailed Fixture Data'!E:E,I150,'Detailed Fixture Data'!F:F,J150,'Detailed Fixture Data'!L:L,L150)</f>
        <v>0</v>
      </c>
      <c r="P150" s="1049"/>
      <c r="Q150" s="577" t="s">
        <v>79</v>
      </c>
      <c r="R150" s="1039"/>
      <c r="S150" s="521"/>
      <c r="T150" s="225"/>
      <c r="U150" s="521"/>
      <c r="V150" s="1040"/>
      <c r="W150" s="1041"/>
    </row>
    <row r="151" spans="2:23" ht="15" thickBot="1" x14ac:dyDescent="0.35">
      <c r="B151" s="182"/>
      <c r="C151" s="577"/>
      <c r="D151" s="521" t="s">
        <v>1</v>
      </c>
      <c r="E151" s="521"/>
      <c r="F151" s="45"/>
      <c r="G151" s="494" t="s">
        <v>87</v>
      </c>
      <c r="H151" s="116"/>
      <c r="I151" s="451" t="s">
        <v>37</v>
      </c>
      <c r="J151" s="116" t="s">
        <v>33</v>
      </c>
      <c r="K151" s="116"/>
      <c r="L151" s="1042" t="s">
        <v>66</v>
      </c>
      <c r="M151" s="1043">
        <f>SUMIFS('Level of Efficiency Assumptions'!$J:$J,'Level of Efficiency Assumptions'!$D:$D,I151,'Level of Efficiency Assumptions'!$F:$F,J151,'Level of Efficiency Assumptions'!$I:$I,'Water Use Calcs'!L151)</f>
        <v>0.5</v>
      </c>
      <c r="N151" s="577"/>
      <c r="O151" s="1048">
        <f>SUMIFS('Detailed Fixture Data'!O:O,'Detailed Fixture Data'!C:C,G151,'Detailed Fixture Data'!E:E,I151,'Detailed Fixture Data'!F:F,J151,'Detailed Fixture Data'!L:L,L151)</f>
        <v>0</v>
      </c>
      <c r="P151" s="1049"/>
      <c r="Q151" s="577"/>
      <c r="R151" s="1039"/>
      <c r="S151" s="618"/>
      <c r="T151" s="225"/>
      <c r="U151" s="618"/>
      <c r="V151" s="1045"/>
      <c r="W151" s="1046"/>
    </row>
    <row r="152" spans="2:23" x14ac:dyDescent="0.3">
      <c r="B152" s="182"/>
      <c r="C152" s="577"/>
      <c r="D152" s="521" t="s">
        <v>1</v>
      </c>
      <c r="E152" s="521"/>
      <c r="F152" s="45"/>
      <c r="G152" s="494" t="s">
        <v>87</v>
      </c>
      <c r="H152" s="651" t="str">
        <f>I152</f>
        <v>Food Service</v>
      </c>
      <c r="I152" s="450" t="s">
        <v>38</v>
      </c>
      <c r="J152" s="577" t="s">
        <v>114</v>
      </c>
      <c r="K152" s="577" t="s">
        <v>118</v>
      </c>
      <c r="L152" s="1047" t="s">
        <v>64</v>
      </c>
      <c r="M152" s="1036">
        <f>SUMIFS('Level of Efficiency Assumptions'!$J:$J,'Level of Efficiency Assumptions'!$D:$D,I152,'Level of Efficiency Assumptions'!$F:$F,J152,'Level of Efficiency Assumptions'!$I:$I,'Water Use Calcs'!L152)</f>
        <v>2</v>
      </c>
      <c r="N152" s="567" t="s">
        <v>78</v>
      </c>
      <c r="O152" s="1048">
        <f>SUMIFS('Detailed Fixture Data'!O:O,'Detailed Fixture Data'!C:C,G152,'Detailed Fixture Data'!E:E,I152,'Detailed Fixture Data'!F:F,J152,'Detailed Fixture Data'!L:L,L152)</f>
        <v>0</v>
      </c>
      <c r="P152" s="1030">
        <f>SUMIFS('Intensity of Use Assumptions'!$J:$J,'Intensity of Use Assumptions'!$D:$D,I152,'Intensity of Use Assumptions'!$G:$G,J152,'Intensity of Use Assumptions'!H:H,K152)</f>
        <v>1</v>
      </c>
      <c r="Q152" s="567" t="s">
        <v>133</v>
      </c>
      <c r="R152" s="1032">
        <f>(SUMPRODUCT(M152:M154,O152:O154)*P152)</f>
        <v>0</v>
      </c>
      <c r="S152" s="1033">
        <f>IF(R152=0,0,M154*P152)</f>
        <v>0</v>
      </c>
      <c r="T152" s="225" t="str">
        <f>G152&amp;"-"&amp;J152</f>
        <v>Terminal D-Kitchen faucets</v>
      </c>
      <c r="U152" s="1034">
        <f ca="1">IF(ISNA(VLOOKUP(T152,list!$AV$3:$AW$130,2,FALSE)),1,(VLOOKUP(T152,list!$AV$3:$AW$130,2,FALSE)))</f>
        <v>1</v>
      </c>
      <c r="V152" s="1033">
        <f ca="1">R152*U152</f>
        <v>0</v>
      </c>
      <c r="W152" s="1033">
        <f ca="1">S152*U152</f>
        <v>0</v>
      </c>
    </row>
    <row r="153" spans="2:23" x14ac:dyDescent="0.3">
      <c r="B153" s="182"/>
      <c r="C153" s="577"/>
      <c r="D153" s="521" t="s">
        <v>1</v>
      </c>
      <c r="E153" s="521"/>
      <c r="F153" s="45"/>
      <c r="G153" s="494" t="s">
        <v>87</v>
      </c>
      <c r="H153" s="577"/>
      <c r="I153" s="450" t="s">
        <v>38</v>
      </c>
      <c r="J153" s="577" t="s">
        <v>114</v>
      </c>
      <c r="K153" s="577"/>
      <c r="L153" s="1035" t="s">
        <v>65</v>
      </c>
      <c r="M153" s="1036">
        <f>SUMIFS('Level of Efficiency Assumptions'!$J:$J,'Level of Efficiency Assumptions'!$D:$D,I153,'Level of Efficiency Assumptions'!$F:$F,J153,'Level of Efficiency Assumptions'!$I:$I,'Water Use Calcs'!L153)</f>
        <v>1</v>
      </c>
      <c r="N153" s="577"/>
      <c r="O153" s="1048">
        <f>SUMIFS('Detailed Fixture Data'!O:O,'Detailed Fixture Data'!C:C,G153,'Detailed Fixture Data'!E:E,I153,'Detailed Fixture Data'!F:F,J153,'Detailed Fixture Data'!L:L,L153)</f>
        <v>0</v>
      </c>
      <c r="P153" s="1049"/>
      <c r="Q153" s="577"/>
      <c r="R153" s="1039"/>
      <c r="S153" s="521"/>
      <c r="T153" s="225"/>
      <c r="U153" s="521"/>
      <c r="V153" s="1040"/>
      <c r="W153" s="1041"/>
    </row>
    <row r="154" spans="2:23" ht="15" thickBot="1" x14ac:dyDescent="0.35">
      <c r="B154" s="182"/>
      <c r="C154" s="577"/>
      <c r="D154" s="521" t="s">
        <v>1</v>
      </c>
      <c r="E154" s="521"/>
      <c r="F154" s="45"/>
      <c r="G154" s="494" t="s">
        <v>87</v>
      </c>
      <c r="H154" s="577"/>
      <c r="I154" s="450" t="s">
        <v>38</v>
      </c>
      <c r="J154" s="116" t="s">
        <v>114</v>
      </c>
      <c r="K154" s="116"/>
      <c r="L154" s="1042" t="s">
        <v>66</v>
      </c>
      <c r="M154" s="1043">
        <f>SUMIFS('Level of Efficiency Assumptions'!$J:$J,'Level of Efficiency Assumptions'!$D:$D,I154,'Level of Efficiency Assumptions'!$F:$F,J154,'Level of Efficiency Assumptions'!$I:$I,'Water Use Calcs'!L154)</f>
        <v>0.5</v>
      </c>
      <c r="N154" s="577"/>
      <c r="O154" s="1048">
        <f>SUMIFS('Detailed Fixture Data'!O:O,'Detailed Fixture Data'!C:C,G154,'Detailed Fixture Data'!E:E,I154,'Detailed Fixture Data'!F:F,J154,'Detailed Fixture Data'!L:L,L154)</f>
        <v>0</v>
      </c>
      <c r="P154" s="1049"/>
      <c r="Q154" s="116"/>
      <c r="R154" s="1039"/>
      <c r="S154" s="618"/>
      <c r="T154" s="225"/>
      <c r="U154" s="618"/>
      <c r="V154" s="1045"/>
      <c r="W154" s="1046"/>
    </row>
    <row r="155" spans="2:23" x14ac:dyDescent="0.3">
      <c r="B155" s="182"/>
      <c r="C155" s="577"/>
      <c r="D155" s="521" t="s">
        <v>1</v>
      </c>
      <c r="E155" s="521"/>
      <c r="F155" s="180"/>
      <c r="G155" s="521" t="s">
        <v>87</v>
      </c>
      <c r="H155" s="577"/>
      <c r="I155" s="450" t="s">
        <v>38</v>
      </c>
      <c r="J155" s="577" t="s">
        <v>127</v>
      </c>
      <c r="K155" s="577" t="s">
        <v>118</v>
      </c>
      <c r="L155" s="1047" t="s">
        <v>64</v>
      </c>
      <c r="M155" s="1036">
        <f>SUMIFS('Level of Efficiency Assumptions'!$J:$J,'Level of Efficiency Assumptions'!$D:$D,I155,'Level of Efficiency Assumptions'!$F:$F,J155,'Level of Efficiency Assumptions'!$I:$I,'Water Use Calcs'!L155)</f>
        <v>3</v>
      </c>
      <c r="N155" s="567" t="s">
        <v>78</v>
      </c>
      <c r="O155" s="1048">
        <f>SUMIFS('Detailed Fixture Data'!O:O,'Detailed Fixture Data'!C:C,G155,'Detailed Fixture Data'!E:E,I155,'Detailed Fixture Data'!F:F,J155,'Detailed Fixture Data'!L:L,L155)</f>
        <v>0</v>
      </c>
      <c r="P155" s="1030">
        <f>SUMIFS('Intensity of Use Assumptions'!$J:$J,'Intensity of Use Assumptions'!$D:$D,I155,'Intensity of Use Assumptions'!$G:$G,J155,'Intensity of Use Assumptions'!H:H,K155)</f>
        <v>0.02</v>
      </c>
      <c r="Q155" s="577" t="s">
        <v>133</v>
      </c>
      <c r="R155" s="1032">
        <f>(SUMPRODUCT(M155:M157,O155:O157)*P155)</f>
        <v>0</v>
      </c>
      <c r="S155" s="1033">
        <f>IF(R155=0,0,M157*P155)</f>
        <v>0</v>
      </c>
      <c r="T155" s="225" t="str">
        <f>G155&amp;"-"&amp;J155</f>
        <v>Terminal D-Pre-rinse spray valves</v>
      </c>
      <c r="U155" s="1034">
        <f ca="1">IF(ISNA(VLOOKUP(T155,list!$AV$3:$AW$130,2,FALSE)),1,(VLOOKUP(T155,list!$AV$3:$AW$130,2,FALSE)))</f>
        <v>1</v>
      </c>
      <c r="V155" s="1033">
        <f ca="1">R155*U155</f>
        <v>0</v>
      </c>
      <c r="W155" s="1033">
        <f ca="1">S155*U155</f>
        <v>0</v>
      </c>
    </row>
    <row r="156" spans="2:23" x14ac:dyDescent="0.3">
      <c r="B156" s="182"/>
      <c r="C156" s="577"/>
      <c r="D156" s="521" t="s">
        <v>1</v>
      </c>
      <c r="E156" s="521"/>
      <c r="F156" s="180"/>
      <c r="G156" s="521" t="s">
        <v>87</v>
      </c>
      <c r="H156" s="577"/>
      <c r="I156" s="450" t="s">
        <v>38</v>
      </c>
      <c r="J156" s="577" t="s">
        <v>127</v>
      </c>
      <c r="K156" s="577"/>
      <c r="L156" s="1035" t="s">
        <v>65</v>
      </c>
      <c r="M156" s="1036">
        <f>SUMIFS('Level of Efficiency Assumptions'!$J:$J,'Level of Efficiency Assumptions'!$D:$D,I156,'Level of Efficiency Assumptions'!$F:$F,J156,'Level of Efficiency Assumptions'!$I:$I,'Water Use Calcs'!L156)</f>
        <v>2</v>
      </c>
      <c r="N156" s="577"/>
      <c r="O156" s="1048">
        <f>SUMIFS('Detailed Fixture Data'!O:O,'Detailed Fixture Data'!C:C,G156,'Detailed Fixture Data'!E:E,I156,'Detailed Fixture Data'!F:F,J156,'Detailed Fixture Data'!L:L,L156)</f>
        <v>0</v>
      </c>
      <c r="P156" s="1049"/>
      <c r="Q156" s="577"/>
      <c r="R156" s="1039"/>
      <c r="S156" s="521"/>
      <c r="T156" s="225"/>
      <c r="U156" s="521"/>
      <c r="V156" s="1040"/>
      <c r="W156" s="1041"/>
    </row>
    <row r="157" spans="2:23" ht="15" thickBot="1" x14ac:dyDescent="0.35">
      <c r="B157" s="182"/>
      <c r="C157" s="577"/>
      <c r="D157" s="521" t="s">
        <v>1</v>
      </c>
      <c r="E157" s="521"/>
      <c r="F157" s="180"/>
      <c r="G157" s="521" t="s">
        <v>87</v>
      </c>
      <c r="H157" s="577"/>
      <c r="I157" s="450" t="s">
        <v>38</v>
      </c>
      <c r="J157" s="116" t="s">
        <v>127</v>
      </c>
      <c r="K157" s="116"/>
      <c r="L157" s="1042" t="s">
        <v>66</v>
      </c>
      <c r="M157" s="1043">
        <f>SUMIFS('Level of Efficiency Assumptions'!$J:$J,'Level of Efficiency Assumptions'!$D:$D,I157,'Level of Efficiency Assumptions'!$F:$F,J157,'Level of Efficiency Assumptions'!$I:$I,'Water Use Calcs'!L157)</f>
        <v>1.28</v>
      </c>
      <c r="N157" s="116"/>
      <c r="O157" s="1048">
        <f>SUMIFS('Detailed Fixture Data'!O:O,'Detailed Fixture Data'!C:C,G157,'Detailed Fixture Data'!E:E,I157,'Detailed Fixture Data'!F:F,J157,'Detailed Fixture Data'!L:L,L157)</f>
        <v>0</v>
      </c>
      <c r="P157" s="1049"/>
      <c r="Q157" s="577"/>
      <c r="R157" s="1039"/>
      <c r="S157" s="618"/>
      <c r="T157" s="225"/>
      <c r="U157" s="618"/>
      <c r="V157" s="1045"/>
      <c r="W157" s="1046"/>
    </row>
    <row r="158" spans="2:23" x14ac:dyDescent="0.3">
      <c r="B158" s="182"/>
      <c r="C158" s="577"/>
      <c r="D158" s="521" t="s">
        <v>1</v>
      </c>
      <c r="E158" s="521"/>
      <c r="F158" s="45"/>
      <c r="G158" s="494" t="s">
        <v>87</v>
      </c>
      <c r="H158" s="577"/>
      <c r="I158" s="450" t="s">
        <v>38</v>
      </c>
      <c r="J158" s="577" t="s">
        <v>41</v>
      </c>
      <c r="K158" s="577" t="s">
        <v>118</v>
      </c>
      <c r="L158" s="1047" t="s">
        <v>64</v>
      </c>
      <c r="M158" s="1036">
        <f>SUMIFS('Level of Efficiency Assumptions'!$J:$J,'Level of Efficiency Assumptions'!$D:$D,I158,'Level of Efficiency Assumptions'!$F:$F,J158,'Level of Efficiency Assumptions'!$I:$I,'Water Use Calcs'!L158)</f>
        <v>4.5</v>
      </c>
      <c r="N158" s="567" t="s">
        <v>223</v>
      </c>
      <c r="O158" s="1048">
        <f>SUMIFS('Detailed Fixture Data'!O:O,'Detailed Fixture Data'!C:C,G158,'Detailed Fixture Data'!E:E,I158,'Detailed Fixture Data'!F:F,J158,'Detailed Fixture Data'!L:L,L158)</f>
        <v>0</v>
      </c>
      <c r="P158" s="1030">
        <f>SUMIFS('Intensity of Use Assumptions'!$J:$J,'Intensity of Use Assumptions'!$D:$D,I158,'Intensity of Use Assumptions'!$G:$G,J158,'Intensity of Use Assumptions'!H:H,K158)</f>
        <v>0.05</v>
      </c>
      <c r="Q158" s="567" t="s">
        <v>224</v>
      </c>
      <c r="R158" s="1032">
        <f>(SUMPRODUCT(M158:M160,O158:O160)*P158)</f>
        <v>0</v>
      </c>
      <c r="S158" s="1033">
        <f>IF(R158=0,0,M160*P158)</f>
        <v>0</v>
      </c>
      <c r="T158" s="225" t="str">
        <f>G158&amp;"-"&amp;J158</f>
        <v>Terminal D-Dishwashers</v>
      </c>
      <c r="U158" s="1034">
        <f ca="1">IF(ISNA(VLOOKUP(T158,list!$AV$3:$AW$130,2,FALSE)),1,(VLOOKUP(T158,list!$AV$3:$AW$130,2,FALSE)))</f>
        <v>1</v>
      </c>
      <c r="V158" s="1033">
        <f ca="1">R158*U158</f>
        <v>0</v>
      </c>
      <c r="W158" s="1033">
        <f ca="1">S158*U158</f>
        <v>0</v>
      </c>
    </row>
    <row r="159" spans="2:23" x14ac:dyDescent="0.3">
      <c r="B159" s="182"/>
      <c r="C159" s="577"/>
      <c r="D159" s="521" t="s">
        <v>1</v>
      </c>
      <c r="E159" s="521"/>
      <c r="F159" s="45"/>
      <c r="G159" s="494" t="s">
        <v>87</v>
      </c>
      <c r="H159" s="577"/>
      <c r="I159" s="450" t="s">
        <v>38</v>
      </c>
      <c r="J159" s="577" t="s">
        <v>41</v>
      </c>
      <c r="K159" s="577"/>
      <c r="L159" s="1035" t="s">
        <v>65</v>
      </c>
      <c r="M159" s="1036">
        <f>SUMIFS('Level of Efficiency Assumptions'!$J:$J,'Level of Efficiency Assumptions'!$D:$D,I159,'Level of Efficiency Assumptions'!$F:$F,J159,'Level of Efficiency Assumptions'!$I:$I,'Water Use Calcs'!L159)</f>
        <v>2.5</v>
      </c>
      <c r="N159" s="577"/>
      <c r="O159" s="1048">
        <f>SUMIFS('Detailed Fixture Data'!O:O,'Detailed Fixture Data'!C:C,G159,'Detailed Fixture Data'!E:E,I159,'Detailed Fixture Data'!F:F,J159,'Detailed Fixture Data'!L:L,L159)</f>
        <v>0</v>
      </c>
      <c r="P159" s="1049"/>
      <c r="Q159" s="576" t="s">
        <v>80</v>
      </c>
      <c r="R159" s="1039"/>
      <c r="S159" s="521"/>
      <c r="T159" s="225"/>
      <c r="U159" s="521"/>
      <c r="V159" s="1040"/>
      <c r="W159" s="1041"/>
    </row>
    <row r="160" spans="2:23" ht="15" thickBot="1" x14ac:dyDescent="0.35">
      <c r="B160" s="182"/>
      <c r="C160" s="577"/>
      <c r="D160" s="521" t="s">
        <v>1</v>
      </c>
      <c r="E160" s="521"/>
      <c r="F160" s="45"/>
      <c r="G160" s="494" t="s">
        <v>87</v>
      </c>
      <c r="H160" s="577"/>
      <c r="I160" s="450" t="s">
        <v>38</v>
      </c>
      <c r="J160" s="116" t="s">
        <v>41</v>
      </c>
      <c r="K160" s="116"/>
      <c r="L160" s="1042" t="s">
        <v>66</v>
      </c>
      <c r="M160" s="1043">
        <f>SUMIFS('Level of Efficiency Assumptions'!$J:$J,'Level of Efficiency Assumptions'!$D:$D,I160,'Level of Efficiency Assumptions'!$F:$F,J160,'Level of Efficiency Assumptions'!$I:$I,'Water Use Calcs'!L160)</f>
        <v>1</v>
      </c>
      <c r="N160" s="577"/>
      <c r="O160" s="1048">
        <f>SUMIFS('Detailed Fixture Data'!O:O,'Detailed Fixture Data'!C:C,G160,'Detailed Fixture Data'!E:E,I160,'Detailed Fixture Data'!F:F,J160,'Detailed Fixture Data'!L:L,L160)</f>
        <v>0</v>
      </c>
      <c r="P160" s="1049"/>
      <c r="Q160" s="577"/>
      <c r="R160" s="1039"/>
      <c r="S160" s="618"/>
      <c r="T160" s="225"/>
      <c r="U160" s="618"/>
      <c r="V160" s="1045"/>
      <c r="W160" s="1046"/>
    </row>
    <row r="161" spans="2:23" x14ac:dyDescent="0.3">
      <c r="B161" s="182"/>
      <c r="C161" s="577"/>
      <c r="D161" s="521" t="s">
        <v>1</v>
      </c>
      <c r="E161" s="521"/>
      <c r="F161" s="45"/>
      <c r="G161" s="494" t="s">
        <v>87</v>
      </c>
      <c r="H161" s="577"/>
      <c r="I161" s="450" t="s">
        <v>38</v>
      </c>
      <c r="J161" s="577" t="s">
        <v>20</v>
      </c>
      <c r="K161" s="577" t="s">
        <v>118</v>
      </c>
      <c r="L161" s="1047" t="s">
        <v>64</v>
      </c>
      <c r="M161" s="1036">
        <f>SUMIFS('Level of Efficiency Assumptions'!$J:$J,'Level of Efficiency Assumptions'!$D:$D,I161,'Level of Efficiency Assumptions'!$F:$F,J161,'Level of Efficiency Assumptions'!$I:$I,'Water Use Calcs'!L161)</f>
        <v>1.5</v>
      </c>
      <c r="N161" s="567" t="s">
        <v>222</v>
      </c>
      <c r="O161" s="1048">
        <f>SUMIFS('Detailed Fixture Data'!O:O,'Detailed Fixture Data'!C:C,G161,'Detailed Fixture Data'!E:E,I161,'Detailed Fixture Data'!F:F,J161,'Detailed Fixture Data'!L:L,L161)</f>
        <v>0</v>
      </c>
      <c r="P161" s="1030">
        <f>SUMIFS('Intensity of Use Assumptions'!$J:$J,'Intensity of Use Assumptions'!$D:$D,I161,'Intensity of Use Assumptions'!$G:$G,J161,'Intensity of Use Assumptions'!H:H,K161)</f>
        <v>0.5</v>
      </c>
      <c r="Q161" s="567" t="s">
        <v>221</v>
      </c>
      <c r="R161" s="1032">
        <f>(SUMPRODUCT(M161:M163,O161:O163)*P161)</f>
        <v>0</v>
      </c>
      <c r="S161" s="1033">
        <f>IF(R161=0,0,M163*P161)</f>
        <v>0</v>
      </c>
      <c r="T161" s="225" t="str">
        <f>G161&amp;"-"&amp;J161</f>
        <v>Terminal D-Ice machines</v>
      </c>
      <c r="U161" s="1034">
        <f ca="1">IF(ISNA(VLOOKUP(T161,list!$AV$3:$AW$130,2,FALSE)),1,(VLOOKUP(T161,list!$AV$3:$AW$130,2,FALSE)))</f>
        <v>1</v>
      </c>
      <c r="V161" s="1033">
        <f ca="1">R161*U161</f>
        <v>0</v>
      </c>
      <c r="W161" s="1033">
        <f ca="1">S161*U161</f>
        <v>0</v>
      </c>
    </row>
    <row r="162" spans="2:23" x14ac:dyDescent="0.3">
      <c r="B162" s="182"/>
      <c r="C162" s="577"/>
      <c r="D162" s="521" t="s">
        <v>1</v>
      </c>
      <c r="E162" s="521"/>
      <c r="F162" s="45"/>
      <c r="G162" s="494" t="s">
        <v>87</v>
      </c>
      <c r="H162" s="577"/>
      <c r="I162" s="450" t="s">
        <v>38</v>
      </c>
      <c r="J162" s="577" t="s">
        <v>20</v>
      </c>
      <c r="K162" s="577"/>
      <c r="L162" s="1035" t="s">
        <v>65</v>
      </c>
      <c r="M162" s="1036">
        <f>SUMIFS('Level of Efficiency Assumptions'!$J:$J,'Level of Efficiency Assumptions'!$D:$D,I162,'Level of Efficiency Assumptions'!$F:$F,J162,'Level of Efficiency Assumptions'!$I:$I,'Water Use Calcs'!L162)</f>
        <v>0.25</v>
      </c>
      <c r="N162" s="577"/>
      <c r="O162" s="1048">
        <f>SUMIFS('Detailed Fixture Data'!O:O,'Detailed Fixture Data'!C:C,G162,'Detailed Fixture Data'!E:E,I162,'Detailed Fixture Data'!F:F,J162,'Detailed Fixture Data'!L:L,L162)</f>
        <v>0</v>
      </c>
      <c r="P162" s="1049"/>
      <c r="Q162" s="577"/>
      <c r="R162" s="1039"/>
      <c r="S162" s="521"/>
      <c r="T162" s="225"/>
      <c r="U162" s="521"/>
      <c r="V162" s="1040"/>
      <c r="W162" s="1041"/>
    </row>
    <row r="163" spans="2:23" ht="15" thickBot="1" x14ac:dyDescent="0.35">
      <c r="B163" s="182"/>
      <c r="C163" s="577"/>
      <c r="D163" s="521" t="s">
        <v>1</v>
      </c>
      <c r="E163" s="521"/>
      <c r="F163" s="45"/>
      <c r="G163" s="494" t="s">
        <v>87</v>
      </c>
      <c r="H163" s="116"/>
      <c r="I163" s="451" t="s">
        <v>38</v>
      </c>
      <c r="J163" s="116" t="s">
        <v>20</v>
      </c>
      <c r="K163" s="116"/>
      <c r="L163" s="1042" t="s">
        <v>66</v>
      </c>
      <c r="M163" s="1043">
        <f>SUMIFS('Level of Efficiency Assumptions'!$J:$J,'Level of Efficiency Assumptions'!$D:$D,I163,'Level of Efficiency Assumptions'!$F:$F,J163,'Level of Efficiency Assumptions'!$I:$I,'Water Use Calcs'!L163)</f>
        <v>0.12</v>
      </c>
      <c r="N163" s="577"/>
      <c r="O163" s="1048">
        <f>SUMIFS('Detailed Fixture Data'!O:O,'Detailed Fixture Data'!C:C,G163,'Detailed Fixture Data'!E:E,I163,'Detailed Fixture Data'!F:F,J163,'Detailed Fixture Data'!L:L,L163)</f>
        <v>0</v>
      </c>
      <c r="P163" s="1049"/>
      <c r="Q163" s="577"/>
      <c r="R163" s="1039"/>
      <c r="S163" s="618"/>
      <c r="T163" s="225"/>
      <c r="U163" s="618"/>
      <c r="V163" s="1045"/>
      <c r="W163" s="1046"/>
    </row>
    <row r="164" spans="2:23" x14ac:dyDescent="0.3">
      <c r="B164" s="182"/>
      <c r="C164" s="577"/>
      <c r="D164" s="521" t="s">
        <v>1</v>
      </c>
      <c r="E164" s="521"/>
      <c r="F164" s="45"/>
      <c r="G164" s="494" t="s">
        <v>87</v>
      </c>
      <c r="H164" s="651" t="str">
        <f>I164</f>
        <v>Landscaping</v>
      </c>
      <c r="I164" s="450" t="s">
        <v>39</v>
      </c>
      <c r="J164" s="577" t="s">
        <v>42</v>
      </c>
      <c r="K164" s="577" t="s">
        <v>32</v>
      </c>
      <c r="L164" s="1047" t="s">
        <v>64</v>
      </c>
      <c r="M164" s="1036">
        <f>SUMIFS('Level of Efficiency Assumptions'!$J:$J,'Level of Efficiency Assumptions'!$D:$D,I164,'Level of Efficiency Assumptions'!$F:$F,J164,'Level of Efficiency Assumptions'!$I:$I,'Water Use Calcs'!L164)</f>
        <v>28.6</v>
      </c>
      <c r="N164" s="567" t="s">
        <v>816</v>
      </c>
      <c r="O164" s="1048">
        <f>SUMIFS('Detailed Fixture Data'!O:O,'Detailed Fixture Data'!C:C,G164,'Detailed Fixture Data'!E:E,I164,'Detailed Fixture Data'!F:F,J164,'Detailed Fixture Data'!L:L,L164)</f>
        <v>0</v>
      </c>
      <c r="P164" s="1030">
        <f>SUMIFS('Intensity of Use Assumptions'!$J:$J,'Intensity of Use Assumptions'!$D:$D,I164,'Intensity of Use Assumptions'!$G:$G,J164,'Intensity of Use Assumptions'!H:H,K164,'Intensity of Use Assumptions'!F:F,D164)</f>
        <v>2.7397260273972603E-3</v>
      </c>
      <c r="Q164" s="567" t="s">
        <v>815</v>
      </c>
      <c r="R164" s="1032">
        <f>(SUMPRODUCT(M164:M166,O164:O166)*P164)</f>
        <v>0</v>
      </c>
      <c r="S164" s="1033">
        <f>IF(R164=0,0,M166*P164)</f>
        <v>0</v>
      </c>
      <c r="T164" s="225" t="str">
        <f>G164&amp;"-"&amp;J164</f>
        <v>Terminal D-Outdoor irrigation</v>
      </c>
      <c r="U164" s="1034">
        <f ca="1">IF(ISNA(VLOOKUP(T164,list!$AV$3:$AW$130,2,FALSE)),1,(VLOOKUP(T164,list!$AV$3:$AW$130,2,FALSE)))</f>
        <v>1</v>
      </c>
      <c r="V164" s="1033">
        <f ca="1">R164*U164</f>
        <v>0</v>
      </c>
      <c r="W164" s="1033">
        <f ca="1">S164*U164</f>
        <v>0</v>
      </c>
    </row>
    <row r="165" spans="2:23" x14ac:dyDescent="0.3">
      <c r="B165" s="182"/>
      <c r="C165" s="577"/>
      <c r="D165" s="521" t="s">
        <v>1</v>
      </c>
      <c r="E165" s="521"/>
      <c r="F165" s="45"/>
      <c r="G165" s="494" t="s">
        <v>87</v>
      </c>
      <c r="H165" s="577"/>
      <c r="I165" s="450" t="s">
        <v>39</v>
      </c>
      <c r="J165" s="577" t="s">
        <v>42</v>
      </c>
      <c r="K165" s="577"/>
      <c r="L165" s="1035" t="s">
        <v>65</v>
      </c>
      <c r="M165" s="1036">
        <f>SUMIFS('Level of Efficiency Assumptions'!$J:$J,'Level of Efficiency Assumptions'!$D:$D,I165,'Level of Efficiency Assumptions'!$F:$F,J165,'Level of Efficiency Assumptions'!$I:$I,'Water Use Calcs'!L165)</f>
        <v>13.980821518350929</v>
      </c>
      <c r="N165" s="577"/>
      <c r="O165" s="1048">
        <f>SUMIFS('Detailed Fixture Data'!O:O,'Detailed Fixture Data'!C:C,G165,'Detailed Fixture Data'!E:E,I165,'Detailed Fixture Data'!F:F,J165,'Detailed Fixture Data'!L:L,L165)</f>
        <v>0</v>
      </c>
      <c r="P165" s="1049"/>
      <c r="Q165" s="577"/>
      <c r="R165" s="1039"/>
      <c r="S165" s="521"/>
      <c r="T165" s="225"/>
      <c r="U165" s="521"/>
      <c r="V165" s="1040"/>
      <c r="W165" s="1041"/>
    </row>
    <row r="166" spans="2:23" ht="15" thickBot="1" x14ac:dyDescent="0.35">
      <c r="B166" s="182"/>
      <c r="C166" s="577"/>
      <c r="D166" s="521" t="s">
        <v>1</v>
      </c>
      <c r="E166" s="521"/>
      <c r="F166" s="45"/>
      <c r="G166" s="494" t="s">
        <v>87</v>
      </c>
      <c r="H166" s="116"/>
      <c r="I166" s="451" t="s">
        <v>39</v>
      </c>
      <c r="J166" s="116" t="s">
        <v>42</v>
      </c>
      <c r="K166" s="116"/>
      <c r="L166" s="1042" t="s">
        <v>66</v>
      </c>
      <c r="M166" s="1043">
        <f>SUMIFS('Level of Efficiency Assumptions'!$J:$J,'Level of Efficiency Assumptions'!$D:$D,I166,'Level of Efficiency Assumptions'!$F:$F,J166,'Level of Efficiency Assumptions'!$I:$I,'Water Use Calcs'!L166)</f>
        <v>0.59137254901960778</v>
      </c>
      <c r="N166" s="577"/>
      <c r="O166" s="1048">
        <f>SUMIFS('Detailed Fixture Data'!O:O,'Detailed Fixture Data'!C:C,G166,'Detailed Fixture Data'!E:E,I166,'Detailed Fixture Data'!F:F,J166,'Detailed Fixture Data'!L:L,L166)</f>
        <v>0</v>
      </c>
      <c r="P166" s="1049"/>
      <c r="Q166" s="577"/>
      <c r="R166" s="1039"/>
      <c r="S166" s="618"/>
      <c r="T166" s="225"/>
      <c r="U166" s="618"/>
      <c r="V166" s="1045"/>
      <c r="W166" s="1046"/>
    </row>
    <row r="167" spans="2:23" x14ac:dyDescent="0.3">
      <c r="B167" s="182"/>
      <c r="C167" s="577"/>
      <c r="D167" s="521" t="s">
        <v>1</v>
      </c>
      <c r="E167" s="521"/>
      <c r="F167" s="45"/>
      <c r="G167" s="494" t="s">
        <v>87</v>
      </c>
      <c r="H167" s="651" t="str">
        <f>I167</f>
        <v>Maintenance</v>
      </c>
      <c r="I167" s="450" t="s">
        <v>43</v>
      </c>
      <c r="J167" s="577" t="s">
        <v>111</v>
      </c>
      <c r="K167" s="217" t="s">
        <v>424</v>
      </c>
      <c r="L167" s="1047" t="s">
        <v>64</v>
      </c>
      <c r="M167" s="1036">
        <f>SUMIFS('Level of Efficiency Assumptions'!$J:$J,'Level of Efficiency Assumptions'!$D:$D,I167,'Level of Efficiency Assumptions'!$F:$F,J167,'Level of Efficiency Assumptions'!$I:$I,'Water Use Calcs'!L167)</f>
        <v>100</v>
      </c>
      <c r="N167" s="567" t="s">
        <v>659</v>
      </c>
      <c r="O167" s="1048">
        <f>SUMIFS('Detailed Fixture Data'!O:O,'Detailed Fixture Data'!C:C,G167,'Detailed Fixture Data'!E:E,I167,'Detailed Fixture Data'!F:F,J167,'Detailed Fixture Data'!L:L,L167)</f>
        <v>0</v>
      </c>
      <c r="P167" s="1030">
        <f>SUMIFS('Intensity of Use Assumptions'!$J:$J,'Intensity of Use Assumptions'!$D:$D,I167,'Intensity of Use Assumptions'!$G:$G,J167,'Intensity of Use Assumptions'!H:H,K167)</f>
        <v>1</v>
      </c>
      <c r="Q167" s="567" t="s">
        <v>67</v>
      </c>
      <c r="R167" s="1057">
        <f>(SUMPRODUCT(M167:M169,O167:O169)*P167)</f>
        <v>0</v>
      </c>
      <c r="S167" s="1058">
        <f>IF(R167=0,0,M169*P167)</f>
        <v>0</v>
      </c>
      <c r="T167" s="225" t="str">
        <f>G167&amp;"-"&amp;J167</f>
        <v>Terminal D-Boiler</v>
      </c>
      <c r="U167" s="1034">
        <f ca="1">IF(ISNA(VLOOKUP(T167,list!$AV$3:$AW$130,2,FALSE)),1,(VLOOKUP(T167,list!$AV$3:$AW$130,2,FALSE)))</f>
        <v>1</v>
      </c>
      <c r="V167" s="1033">
        <f ca="1">R167*U167</f>
        <v>0</v>
      </c>
      <c r="W167" s="1033">
        <f ca="1">S167*U167</f>
        <v>0</v>
      </c>
    </row>
    <row r="168" spans="2:23" x14ac:dyDescent="0.3">
      <c r="B168" s="182"/>
      <c r="C168" s="577"/>
      <c r="D168" s="521" t="s">
        <v>1</v>
      </c>
      <c r="E168" s="521"/>
      <c r="F168" s="45"/>
      <c r="G168" s="494" t="s">
        <v>87</v>
      </c>
      <c r="H168" s="577"/>
      <c r="I168" s="450" t="s">
        <v>43</v>
      </c>
      <c r="J168" s="577" t="s">
        <v>111</v>
      </c>
      <c r="K168" s="382"/>
      <c r="L168" s="1035" t="s">
        <v>65</v>
      </c>
      <c r="M168" s="1036">
        <f>SUMIFS('Level of Efficiency Assumptions'!$J:$J,'Level of Efficiency Assumptions'!$D:$D,I168,'Level of Efficiency Assumptions'!$F:$F,J168,'Level of Efficiency Assumptions'!$I:$I,'Water Use Calcs'!L168)</f>
        <v>75</v>
      </c>
      <c r="N168" s="577"/>
      <c r="O168" s="1048">
        <f>SUMIFS('Detailed Fixture Data'!O:O,'Detailed Fixture Data'!C:C,G168,'Detailed Fixture Data'!E:E,I168,'Detailed Fixture Data'!F:F,J168,'Detailed Fixture Data'!L:L,L168)</f>
        <v>0</v>
      </c>
      <c r="P168" s="1049"/>
      <c r="Q168" s="577"/>
      <c r="R168" s="1039"/>
      <c r="S168" s="521"/>
      <c r="T168" s="225"/>
      <c r="U168" s="521"/>
      <c r="V168" s="1040"/>
      <c r="W168" s="1041"/>
    </row>
    <row r="169" spans="2:23" ht="15" thickBot="1" x14ac:dyDescent="0.35">
      <c r="B169" s="182"/>
      <c r="C169" s="577"/>
      <c r="D169" s="521" t="s">
        <v>1</v>
      </c>
      <c r="E169" s="521"/>
      <c r="F169" s="45"/>
      <c r="G169" s="494" t="s">
        <v>87</v>
      </c>
      <c r="H169" s="577"/>
      <c r="I169" s="450" t="s">
        <v>43</v>
      </c>
      <c r="J169" s="116" t="s">
        <v>111</v>
      </c>
      <c r="K169" s="116"/>
      <c r="L169" s="1042" t="s">
        <v>66</v>
      </c>
      <c r="M169" s="1043">
        <f>SUMIFS('Level of Efficiency Assumptions'!$J:$J,'Level of Efficiency Assumptions'!$D:$D,I169,'Level of Efficiency Assumptions'!$F:$F,J169,'Level of Efficiency Assumptions'!$I:$I,'Water Use Calcs'!L169)</f>
        <v>50</v>
      </c>
      <c r="N169" s="577"/>
      <c r="O169" s="1048">
        <f>SUMIFS('Detailed Fixture Data'!O:O,'Detailed Fixture Data'!C:C,G169,'Detailed Fixture Data'!E:E,I169,'Detailed Fixture Data'!F:F,J169,'Detailed Fixture Data'!L:L,L169)</f>
        <v>0</v>
      </c>
      <c r="P169" s="1049"/>
      <c r="Q169" s="577"/>
      <c r="R169" s="1039"/>
      <c r="S169" s="618"/>
      <c r="T169" s="225"/>
      <c r="U169" s="618"/>
      <c r="V169" s="1045"/>
      <c r="W169" s="1046"/>
    </row>
    <row r="170" spans="2:23" x14ac:dyDescent="0.3">
      <c r="B170" s="182"/>
      <c r="C170" s="577"/>
      <c r="D170" s="521" t="s">
        <v>1</v>
      </c>
      <c r="E170" s="521"/>
      <c r="F170" s="45"/>
      <c r="G170" s="494" t="s">
        <v>87</v>
      </c>
      <c r="H170" s="577"/>
      <c r="I170" s="450" t="s">
        <v>43</v>
      </c>
      <c r="J170" s="577" t="s">
        <v>7</v>
      </c>
      <c r="K170" s="215" t="s">
        <v>365</v>
      </c>
      <c r="L170" s="1012" t="s">
        <v>257</v>
      </c>
      <c r="M170" s="1050"/>
      <c r="N170" s="1050"/>
      <c r="O170" s="1050"/>
      <c r="P170" s="1051"/>
      <c r="Q170" s="981"/>
      <c r="R170" s="1052">
        <f>SUMIFS('Cooling Data'!H:H,'Cooling Data'!$C:$C,$G170,'Cooling Data'!$E:$E,$I170,'Cooling Data'!$F:$F,$J170)</f>
        <v>0</v>
      </c>
      <c r="S170" s="1052">
        <f>SUMIFS('Cooling Data'!J:J,'Cooling Data'!$C:$C,$G170,'Cooling Data'!$E:$E,$I170,'Cooling Data'!$F:$F,$J170)</f>
        <v>0</v>
      </c>
      <c r="T170" s="225" t="str">
        <f>G170&amp;"-"&amp;J170</f>
        <v>Terminal D-Cooling</v>
      </c>
      <c r="U170" s="1034">
        <f ca="1">IF(ISNA(VLOOKUP(T170,list!$AV$3:$AW$130,2,FALSE)),1,(VLOOKUP(T170,list!$AV$3:$AW$130,2,FALSE)))</f>
        <v>1</v>
      </c>
      <c r="V170" s="1033">
        <f ca="1">R170*U170</f>
        <v>0</v>
      </c>
      <c r="W170" s="1033">
        <f ca="1">S170*U170</f>
        <v>0</v>
      </c>
    </row>
    <row r="171" spans="2:23" x14ac:dyDescent="0.3">
      <c r="B171" s="182"/>
      <c r="C171" s="577"/>
      <c r="D171" s="521" t="s">
        <v>1</v>
      </c>
      <c r="E171" s="521"/>
      <c r="F171" s="45"/>
      <c r="G171" s="494" t="s">
        <v>87</v>
      </c>
      <c r="H171" s="577"/>
      <c r="I171" s="450" t="s">
        <v>43</v>
      </c>
      <c r="J171" s="577" t="s">
        <v>7</v>
      </c>
      <c r="K171" s="577"/>
      <c r="L171" s="206"/>
      <c r="M171" s="181"/>
      <c r="N171" s="181"/>
      <c r="O171" s="181"/>
      <c r="P171" s="1053"/>
      <c r="Q171" s="439"/>
      <c r="R171" s="1039"/>
      <c r="S171" s="521"/>
      <c r="T171" s="225"/>
      <c r="U171" s="521"/>
      <c r="V171" s="1040"/>
      <c r="W171" s="1041"/>
    </row>
    <row r="172" spans="2:23" ht="15" thickBot="1" x14ac:dyDescent="0.35">
      <c r="B172" s="182"/>
      <c r="C172" s="577"/>
      <c r="D172" s="521" t="s">
        <v>1</v>
      </c>
      <c r="E172" s="521"/>
      <c r="F172" s="45"/>
      <c r="G172" s="494" t="s">
        <v>87</v>
      </c>
      <c r="H172" s="577"/>
      <c r="I172" s="450" t="s">
        <v>43</v>
      </c>
      <c r="J172" s="116" t="s">
        <v>7</v>
      </c>
      <c r="K172" s="116"/>
      <c r="L172" s="207"/>
      <c r="M172" s="924"/>
      <c r="N172" s="924"/>
      <c r="O172" s="924"/>
      <c r="P172" s="1054"/>
      <c r="Q172" s="606"/>
      <c r="R172" s="1039"/>
      <c r="S172" s="618"/>
      <c r="T172" s="225"/>
      <c r="U172" s="618"/>
      <c r="V172" s="1045"/>
      <c r="W172" s="1046"/>
    </row>
    <row r="173" spans="2:23" x14ac:dyDescent="0.3">
      <c r="B173" s="182"/>
      <c r="C173" s="577"/>
      <c r="D173" s="521" t="s">
        <v>1</v>
      </c>
      <c r="E173" s="521"/>
      <c r="F173" s="45"/>
      <c r="G173" s="494" t="s">
        <v>87</v>
      </c>
      <c r="H173" s="577"/>
      <c r="I173" s="450" t="s">
        <v>43</v>
      </c>
      <c r="J173" s="577" t="s">
        <v>426</v>
      </c>
      <c r="K173" s="577" t="s">
        <v>3</v>
      </c>
      <c r="L173" s="1047" t="s">
        <v>64</v>
      </c>
      <c r="M173" s="1036">
        <f>SUMIFS('Level of Efficiency Assumptions'!$J:$J,'Level of Efficiency Assumptions'!$D:$D,I173,'Level of Efficiency Assumptions'!$F:$F,J173,'Level of Efficiency Assumptions'!$I:$I,'Water Use Calcs'!L173)</f>
        <v>10</v>
      </c>
      <c r="N173" s="567" t="s">
        <v>588</v>
      </c>
      <c r="O173" s="1048">
        <f>SUMIFS('Detailed Fixture Data'!O:O,'Detailed Fixture Data'!C:C,G173,'Detailed Fixture Data'!E:E,I173,'Detailed Fixture Data'!F:F,J173,'Detailed Fixture Data'!L:L,L173)</f>
        <v>0</v>
      </c>
      <c r="P173" s="1030">
        <f>SUMIFS('Intensity of Use Assumptions'!$J:$J,'Intensity of Use Assumptions'!$D:$D,I173,'Intensity of Use Assumptions'!$G:$G,J173,'Intensity of Use Assumptions'!H:H,K173)</f>
        <v>1E-3</v>
      </c>
      <c r="Q173" s="567" t="s">
        <v>67</v>
      </c>
      <c r="R173" s="1032">
        <f>(SUMPRODUCT(M173:M175,O173:O175)*P173)</f>
        <v>0</v>
      </c>
      <c r="S173" s="1033">
        <f>IF(R173=0,0,M175*P173)</f>
        <v>0</v>
      </c>
      <c r="T173" s="225" t="str">
        <f>G173&amp;"-"&amp;J173</f>
        <v>Terminal D-Pavement cleaning</v>
      </c>
      <c r="U173" s="1034">
        <f ca="1">IF(ISNA(VLOOKUP(T173,list!$AV$3:$AW$130,2,FALSE)),1,(VLOOKUP(T173,list!$AV$3:$AW$130,2,FALSE)))</f>
        <v>1</v>
      </c>
      <c r="V173" s="1033">
        <f ca="1">R173*U173</f>
        <v>0</v>
      </c>
      <c r="W173" s="1033">
        <f ca="1">S173*U173</f>
        <v>0</v>
      </c>
    </row>
    <row r="174" spans="2:23" x14ac:dyDescent="0.3">
      <c r="B174" s="182"/>
      <c r="C174" s="577"/>
      <c r="D174" s="521" t="s">
        <v>1</v>
      </c>
      <c r="E174" s="521"/>
      <c r="F174" s="45"/>
      <c r="G174" s="494" t="s">
        <v>87</v>
      </c>
      <c r="H174" s="577"/>
      <c r="I174" s="450" t="s">
        <v>43</v>
      </c>
      <c r="J174" s="577" t="s">
        <v>426</v>
      </c>
      <c r="K174" s="577"/>
      <c r="L174" s="1035" t="s">
        <v>65</v>
      </c>
      <c r="M174" s="1036">
        <f>SUMIFS('Level of Efficiency Assumptions'!$J:$J,'Level of Efficiency Assumptions'!$D:$D,I174,'Level of Efficiency Assumptions'!$F:$F,J174,'Level of Efficiency Assumptions'!$I:$I,'Water Use Calcs'!L174)</f>
        <v>7.5</v>
      </c>
      <c r="N174" s="577"/>
      <c r="O174" s="1048">
        <f>SUMIFS('Detailed Fixture Data'!O:O,'Detailed Fixture Data'!C:C,G174,'Detailed Fixture Data'!E:E,I174,'Detailed Fixture Data'!F:F,J174,'Detailed Fixture Data'!L:L,L174)</f>
        <v>0</v>
      </c>
      <c r="P174" s="1049"/>
      <c r="Q174" s="577"/>
      <c r="R174" s="1039"/>
      <c r="S174" s="521"/>
      <c r="T174" s="225"/>
      <c r="U174" s="521"/>
      <c r="V174" s="1040"/>
      <c r="W174" s="1041"/>
    </row>
    <row r="175" spans="2:23" ht="15" thickBot="1" x14ac:dyDescent="0.35">
      <c r="B175" s="182"/>
      <c r="C175" s="577"/>
      <c r="D175" s="521" t="s">
        <v>1</v>
      </c>
      <c r="E175" s="521"/>
      <c r="F175" s="45"/>
      <c r="G175" s="494" t="s">
        <v>87</v>
      </c>
      <c r="H175" s="116"/>
      <c r="I175" s="451" t="s">
        <v>43</v>
      </c>
      <c r="J175" s="116" t="s">
        <v>426</v>
      </c>
      <c r="K175" s="116"/>
      <c r="L175" s="1042" t="s">
        <v>66</v>
      </c>
      <c r="M175" s="1043">
        <f>SUMIFS('Level of Efficiency Assumptions'!$J:$J,'Level of Efficiency Assumptions'!$D:$D,I175,'Level of Efficiency Assumptions'!$F:$F,J175,'Level of Efficiency Assumptions'!$I:$I,'Water Use Calcs'!L175)</f>
        <v>5</v>
      </c>
      <c r="N175" s="577"/>
      <c r="O175" s="1048">
        <f>SUMIFS('Detailed Fixture Data'!O:O,'Detailed Fixture Data'!C:C,G175,'Detailed Fixture Data'!E:E,I175,'Detailed Fixture Data'!F:F,J175,'Detailed Fixture Data'!L:L,L175)</f>
        <v>0</v>
      </c>
      <c r="P175" s="1049"/>
      <c r="Q175" s="577"/>
      <c r="R175" s="1039"/>
      <c r="S175" s="618"/>
      <c r="T175" s="225"/>
      <c r="U175" s="618"/>
      <c r="V175" s="1045"/>
      <c r="W175" s="1046"/>
    </row>
    <row r="176" spans="2:23" x14ac:dyDescent="0.3">
      <c r="B176" s="182"/>
      <c r="C176" s="577"/>
      <c r="D176" s="521" t="s">
        <v>1</v>
      </c>
      <c r="E176" s="521"/>
      <c r="F176" s="45"/>
      <c r="G176" s="494" t="s">
        <v>87</v>
      </c>
      <c r="H176" s="651" t="str">
        <f>I176</f>
        <v>Other</v>
      </c>
      <c r="I176" s="450" t="s">
        <v>8</v>
      </c>
      <c r="J176" s="577" t="s">
        <v>52</v>
      </c>
      <c r="K176" s="387" t="s">
        <v>362</v>
      </c>
      <c r="L176" s="1047" t="s">
        <v>64</v>
      </c>
      <c r="M176" s="1036">
        <f>SUMIFS('Level of Efficiency Assumptions'!$J:$J,'Level of Efficiency Assumptions'!$D:$D,I176,'Level of Efficiency Assumptions'!$F:$F,J176,'Level of Efficiency Assumptions'!$I:$I,'Water Use Calcs'!L176)</f>
        <v>10</v>
      </c>
      <c r="N176" s="567" t="s">
        <v>660</v>
      </c>
      <c r="O176" s="1048">
        <f>SUMIFS('Detailed Fixture Data'!O:O,'Detailed Fixture Data'!C:C,G176,'Detailed Fixture Data'!E:E,I176,'Detailed Fixture Data'!F:F,J176,'Detailed Fixture Data'!L:L,L176)</f>
        <v>0</v>
      </c>
      <c r="P176" s="1030">
        <f>SUMIFS('Intensity of Use Assumptions'!$J:$J,'Intensity of Use Assumptions'!$D:$D,I176,'Intensity of Use Assumptions'!$G:$G,J176,'Intensity of Use Assumptions'!H:H,K176)</f>
        <v>1</v>
      </c>
      <c r="Q176" s="567" t="s">
        <v>67</v>
      </c>
      <c r="R176" s="1032">
        <f>(SUMPRODUCT(M176:M178,O176:O178)*P176)</f>
        <v>0</v>
      </c>
      <c r="S176" s="1033">
        <f>IF(R176=0,0,M178*P176)</f>
        <v>0</v>
      </c>
      <c r="T176" s="225" t="str">
        <f>G176&amp;"-"&amp;J176</f>
        <v>Terminal D-Other 1</v>
      </c>
      <c r="U176" s="1034">
        <f ca="1">IF(ISNA(VLOOKUP(T176,list!$AV$3:$AW$130,2,FALSE)),1,(VLOOKUP(T176,list!$AV$3:$AW$130,2,FALSE)))</f>
        <v>1</v>
      </c>
      <c r="V176" s="1033">
        <f ca="1">R176*U176</f>
        <v>0</v>
      </c>
      <c r="W176" s="1033">
        <f ca="1">S176*U176</f>
        <v>0</v>
      </c>
    </row>
    <row r="177" spans="2:23" x14ac:dyDescent="0.3">
      <c r="B177" s="182"/>
      <c r="C177" s="577"/>
      <c r="D177" s="521" t="s">
        <v>1</v>
      </c>
      <c r="E177" s="521"/>
      <c r="F177" s="45"/>
      <c r="G177" s="494" t="s">
        <v>87</v>
      </c>
      <c r="H177" s="577"/>
      <c r="I177" s="450" t="s">
        <v>8</v>
      </c>
      <c r="J177" s="577" t="s">
        <v>52</v>
      </c>
      <c r="K177" s="382"/>
      <c r="L177" s="1035" t="s">
        <v>65</v>
      </c>
      <c r="M177" s="1036">
        <f>SUMIFS('Level of Efficiency Assumptions'!$J:$J,'Level of Efficiency Assumptions'!$D:$D,I177,'Level of Efficiency Assumptions'!$F:$F,J177,'Level of Efficiency Assumptions'!$I:$I,'Water Use Calcs'!L177)</f>
        <v>7.5</v>
      </c>
      <c r="N177" s="577"/>
      <c r="O177" s="1048">
        <f>SUMIFS('Detailed Fixture Data'!O:O,'Detailed Fixture Data'!C:C,G177,'Detailed Fixture Data'!E:E,I177,'Detailed Fixture Data'!F:F,J177,'Detailed Fixture Data'!L:L,L177)</f>
        <v>0</v>
      </c>
      <c r="P177" s="1049"/>
      <c r="Q177" s="577"/>
      <c r="R177" s="1039"/>
      <c r="S177" s="521"/>
      <c r="T177" s="225"/>
      <c r="U177" s="521"/>
      <c r="V177" s="1040"/>
      <c r="W177" s="1041"/>
    </row>
    <row r="178" spans="2:23" ht="15" thickBot="1" x14ac:dyDescent="0.35">
      <c r="B178" s="182"/>
      <c r="C178" s="577"/>
      <c r="D178" s="521" t="s">
        <v>1</v>
      </c>
      <c r="E178" s="521"/>
      <c r="F178" s="45"/>
      <c r="G178" s="494" t="s">
        <v>87</v>
      </c>
      <c r="H178" s="577"/>
      <c r="I178" s="450" t="s">
        <v>8</v>
      </c>
      <c r="J178" s="116" t="s">
        <v>52</v>
      </c>
      <c r="K178" s="382"/>
      <c r="L178" s="1042" t="s">
        <v>66</v>
      </c>
      <c r="M178" s="1043">
        <f>SUMIFS('Level of Efficiency Assumptions'!$J:$J,'Level of Efficiency Assumptions'!$D:$D,I178,'Level of Efficiency Assumptions'!$F:$F,J178,'Level of Efficiency Assumptions'!$I:$I,'Water Use Calcs'!L178)</f>
        <v>5</v>
      </c>
      <c r="N178" s="577"/>
      <c r="O178" s="1048">
        <f>SUMIFS('Detailed Fixture Data'!O:O,'Detailed Fixture Data'!C:C,G178,'Detailed Fixture Data'!E:E,I178,'Detailed Fixture Data'!F:F,J178,'Detailed Fixture Data'!L:L,L178)</f>
        <v>0</v>
      </c>
      <c r="P178" s="1049"/>
      <c r="Q178" s="577"/>
      <c r="R178" s="1039"/>
      <c r="S178" s="618"/>
      <c r="T178" s="225"/>
      <c r="U178" s="618"/>
      <c r="V178" s="1045"/>
      <c r="W178" s="1046"/>
    </row>
    <row r="179" spans="2:23" x14ac:dyDescent="0.3">
      <c r="B179" s="182"/>
      <c r="C179" s="577"/>
      <c r="D179" s="521" t="s">
        <v>1</v>
      </c>
      <c r="E179" s="521"/>
      <c r="F179" s="45"/>
      <c r="G179" s="494" t="s">
        <v>87</v>
      </c>
      <c r="H179" s="577"/>
      <c r="I179" s="450" t="s">
        <v>8</v>
      </c>
      <c r="J179" s="577" t="s">
        <v>53</v>
      </c>
      <c r="K179" s="1055" t="s">
        <v>363</v>
      </c>
      <c r="L179" s="1047" t="s">
        <v>64</v>
      </c>
      <c r="M179" s="1036">
        <f>SUMIFS('Level of Efficiency Assumptions'!$J:$J,'Level of Efficiency Assumptions'!$D:$D,I179,'Level of Efficiency Assumptions'!$F:$F,J179,'Level of Efficiency Assumptions'!$I:$I,'Water Use Calcs'!L179)</f>
        <v>10</v>
      </c>
      <c r="N179" s="567" t="s">
        <v>660</v>
      </c>
      <c r="O179" s="1048">
        <f>SUMIFS('Detailed Fixture Data'!O:O,'Detailed Fixture Data'!C:C,G179,'Detailed Fixture Data'!E:E,I179,'Detailed Fixture Data'!F:F,J179,'Detailed Fixture Data'!L:L,L179)</f>
        <v>0</v>
      </c>
      <c r="P179" s="1030">
        <f>SUMIFS('Intensity of Use Assumptions'!$J:$J,'Intensity of Use Assumptions'!$D:$D,I179,'Intensity of Use Assumptions'!$G:$G,J179,'Intensity of Use Assumptions'!H:H,K179)</f>
        <v>1</v>
      </c>
      <c r="Q179" s="567" t="s">
        <v>67</v>
      </c>
      <c r="R179" s="1032">
        <f>(SUMPRODUCT(M179:M181,O179:O181)*P179)</f>
        <v>0</v>
      </c>
      <c r="S179" s="1033">
        <f>IF(R179=0,0,M181*P179)</f>
        <v>0</v>
      </c>
      <c r="T179" s="225" t="str">
        <f>G179&amp;"-"&amp;J179</f>
        <v>Terminal D-Other 2</v>
      </c>
      <c r="U179" s="1034">
        <f ca="1">IF(ISNA(VLOOKUP(T179,list!$AV$3:$AW$130,2,FALSE)),1,(VLOOKUP(T179,list!$AV$3:$AW$130,2,FALSE)))</f>
        <v>1</v>
      </c>
      <c r="V179" s="1033">
        <f ca="1">R179*U179</f>
        <v>0</v>
      </c>
      <c r="W179" s="1033">
        <f ca="1">S179*U179</f>
        <v>0</v>
      </c>
    </row>
    <row r="180" spans="2:23" x14ac:dyDescent="0.3">
      <c r="B180" s="182"/>
      <c r="C180" s="577"/>
      <c r="D180" s="521" t="s">
        <v>1</v>
      </c>
      <c r="E180" s="521"/>
      <c r="F180" s="45"/>
      <c r="G180" s="494" t="s">
        <v>87</v>
      </c>
      <c r="H180" s="577"/>
      <c r="I180" s="450" t="s">
        <v>8</v>
      </c>
      <c r="J180" s="577" t="s">
        <v>53</v>
      </c>
      <c r="K180" s="577"/>
      <c r="L180" s="1035" t="s">
        <v>65</v>
      </c>
      <c r="M180" s="1036">
        <f>SUMIFS('Level of Efficiency Assumptions'!$J:$J,'Level of Efficiency Assumptions'!$D:$D,I180,'Level of Efficiency Assumptions'!$F:$F,J180,'Level of Efficiency Assumptions'!$I:$I,'Water Use Calcs'!L180)</f>
        <v>7.5</v>
      </c>
      <c r="N180" s="577"/>
      <c r="O180" s="1048">
        <f>SUMIFS('Detailed Fixture Data'!O:O,'Detailed Fixture Data'!C:C,G180,'Detailed Fixture Data'!E:E,I180,'Detailed Fixture Data'!F:F,J180,'Detailed Fixture Data'!L:L,L180)</f>
        <v>0</v>
      </c>
      <c r="P180" s="1049"/>
      <c r="Q180" s="577"/>
      <c r="R180" s="1039"/>
      <c r="S180" s="521"/>
      <c r="T180" s="225"/>
      <c r="U180" s="521"/>
      <c r="V180" s="1040"/>
      <c r="W180" s="1041"/>
    </row>
    <row r="181" spans="2:23" ht="15" thickBot="1" x14ac:dyDescent="0.35">
      <c r="B181" s="182"/>
      <c r="C181" s="577"/>
      <c r="D181" s="521" t="s">
        <v>1</v>
      </c>
      <c r="E181" s="521"/>
      <c r="F181" s="45"/>
      <c r="G181" s="494" t="s">
        <v>87</v>
      </c>
      <c r="H181" s="577"/>
      <c r="I181" s="450" t="s">
        <v>8</v>
      </c>
      <c r="J181" s="116" t="s">
        <v>53</v>
      </c>
      <c r="K181" s="116"/>
      <c r="L181" s="1042" t="s">
        <v>66</v>
      </c>
      <c r="M181" s="1043">
        <f>SUMIFS('Level of Efficiency Assumptions'!$J:$J,'Level of Efficiency Assumptions'!$D:$D,I181,'Level of Efficiency Assumptions'!$F:$F,J181,'Level of Efficiency Assumptions'!$I:$I,'Water Use Calcs'!L181)</f>
        <v>5</v>
      </c>
      <c r="N181" s="577"/>
      <c r="O181" s="1048">
        <f>SUMIFS('Detailed Fixture Data'!O:O,'Detailed Fixture Data'!C:C,G181,'Detailed Fixture Data'!E:E,I181,'Detailed Fixture Data'!F:F,J181,'Detailed Fixture Data'!L:L,L181)</f>
        <v>0</v>
      </c>
      <c r="P181" s="1049"/>
      <c r="Q181" s="577"/>
      <c r="R181" s="1039"/>
      <c r="S181" s="618"/>
      <c r="T181" s="225"/>
      <c r="U181" s="618"/>
      <c r="V181" s="1045"/>
      <c r="W181" s="1046"/>
    </row>
    <row r="182" spans="2:23" x14ac:dyDescent="0.3">
      <c r="B182" s="182"/>
      <c r="C182" s="577"/>
      <c r="D182" s="521" t="s">
        <v>1</v>
      </c>
      <c r="E182" s="521"/>
      <c r="F182" s="45"/>
      <c r="G182" s="494" t="s">
        <v>87</v>
      </c>
      <c r="H182" s="577"/>
      <c r="I182" s="450" t="s">
        <v>8</v>
      </c>
      <c r="J182" s="577" t="s">
        <v>54</v>
      </c>
      <c r="K182" s="379" t="s">
        <v>364</v>
      </c>
      <c r="L182" s="1047" t="s">
        <v>64</v>
      </c>
      <c r="M182" s="1036">
        <f>SUMIFS('Level of Efficiency Assumptions'!$J:$J,'Level of Efficiency Assumptions'!$D:$D,I182,'Level of Efficiency Assumptions'!$F:$F,J182,'Level of Efficiency Assumptions'!$I:$I,'Water Use Calcs'!L182)</f>
        <v>10</v>
      </c>
      <c r="N182" s="567" t="s">
        <v>660</v>
      </c>
      <c r="O182" s="1048">
        <f>SUMIFS('Detailed Fixture Data'!O:O,'Detailed Fixture Data'!C:C,G182,'Detailed Fixture Data'!E:E,I182,'Detailed Fixture Data'!F:F,J182,'Detailed Fixture Data'!L:L,L182)</f>
        <v>0</v>
      </c>
      <c r="P182" s="1030">
        <f>SUMIFS('Intensity of Use Assumptions'!$J:$J,'Intensity of Use Assumptions'!$D:$D,I182,'Intensity of Use Assumptions'!$G:$G,J182,'Intensity of Use Assumptions'!H:H,K182)</f>
        <v>1</v>
      </c>
      <c r="Q182" s="567" t="s">
        <v>67</v>
      </c>
      <c r="R182" s="1032">
        <f>(SUMPRODUCT(M182:M184,O182:O184)*P182)</f>
        <v>0</v>
      </c>
      <c r="S182" s="1033">
        <f>IF(R182=0,0,M184*P182)</f>
        <v>0</v>
      </c>
      <c r="T182" s="225" t="str">
        <f>G182&amp;"-"&amp;J182</f>
        <v>Terminal D-Other 3</v>
      </c>
      <c r="U182" s="1034">
        <f ca="1">IF(ISNA(VLOOKUP(T182,list!$AV$3:$AW$130,2,FALSE)),1,(VLOOKUP(T182,list!$AV$3:$AW$130,2,FALSE)))</f>
        <v>1</v>
      </c>
      <c r="V182" s="1033">
        <f ca="1">R182*U182</f>
        <v>0</v>
      </c>
      <c r="W182" s="1033">
        <f ca="1">S182*U182</f>
        <v>0</v>
      </c>
    </row>
    <row r="183" spans="2:23" x14ac:dyDescent="0.3">
      <c r="B183" s="182"/>
      <c r="C183" s="577"/>
      <c r="D183" s="521" t="s">
        <v>1</v>
      </c>
      <c r="E183" s="521"/>
      <c r="F183" s="45"/>
      <c r="G183" s="494" t="s">
        <v>87</v>
      </c>
      <c r="H183" s="577"/>
      <c r="I183" s="450" t="s">
        <v>8</v>
      </c>
      <c r="J183" s="577" t="s">
        <v>54</v>
      </c>
      <c r="K183" s="577"/>
      <c r="L183" s="1035" t="s">
        <v>65</v>
      </c>
      <c r="M183" s="1036">
        <f>SUMIFS('Level of Efficiency Assumptions'!$J:$J,'Level of Efficiency Assumptions'!$D:$D,I183,'Level of Efficiency Assumptions'!$F:$F,J183,'Level of Efficiency Assumptions'!$I:$I,'Water Use Calcs'!L183)</f>
        <v>7.5</v>
      </c>
      <c r="N183" s="577"/>
      <c r="O183" s="1048">
        <f>SUMIFS('Detailed Fixture Data'!O:O,'Detailed Fixture Data'!C:C,G183,'Detailed Fixture Data'!E:E,I183,'Detailed Fixture Data'!F:F,J183,'Detailed Fixture Data'!L:L,L183)</f>
        <v>0</v>
      </c>
      <c r="P183" s="1049"/>
      <c r="Q183" s="577"/>
      <c r="R183" s="1039"/>
      <c r="S183" s="521"/>
      <c r="T183" s="225"/>
      <c r="U183" s="521"/>
      <c r="V183" s="1040"/>
      <c r="W183" s="1041"/>
    </row>
    <row r="184" spans="2:23" ht="15" thickBot="1" x14ac:dyDescent="0.35">
      <c r="B184" s="182"/>
      <c r="C184" s="577"/>
      <c r="D184" s="521" t="s">
        <v>1</v>
      </c>
      <c r="E184" s="521"/>
      <c r="F184" s="45"/>
      <c r="G184" s="501" t="s">
        <v>87</v>
      </c>
      <c r="H184" s="116"/>
      <c r="I184" s="451" t="s">
        <v>8</v>
      </c>
      <c r="J184" s="116" t="s">
        <v>54</v>
      </c>
      <c r="K184" s="116"/>
      <c r="L184" s="1056" t="s">
        <v>66</v>
      </c>
      <c r="M184" s="1043">
        <f>SUMIFS('Level of Efficiency Assumptions'!$J:$J,'Level of Efficiency Assumptions'!$D:$D,I184,'Level of Efficiency Assumptions'!$F:$F,J184,'Level of Efficiency Assumptions'!$I:$I,'Water Use Calcs'!L184)</f>
        <v>5</v>
      </c>
      <c r="N184" s="577"/>
      <c r="O184" s="1048">
        <f>SUMIFS('Detailed Fixture Data'!O:O,'Detailed Fixture Data'!C:C,G184,'Detailed Fixture Data'!E:E,I184,'Detailed Fixture Data'!F:F,J184,'Detailed Fixture Data'!L:L,L184)</f>
        <v>0</v>
      </c>
      <c r="P184" s="1049"/>
      <c r="Q184" s="577"/>
      <c r="R184" s="1039"/>
      <c r="S184" s="618"/>
      <c r="T184" s="225"/>
      <c r="U184" s="618"/>
      <c r="V184" s="1045"/>
      <c r="W184" s="1046"/>
    </row>
    <row r="185" spans="2:23" x14ac:dyDescent="0.3">
      <c r="B185" s="182"/>
      <c r="C185" s="577"/>
      <c r="D185" s="521" t="s">
        <v>1</v>
      </c>
      <c r="E185" s="619" t="str">
        <f>G185</f>
        <v>Terminal E</v>
      </c>
      <c r="F185" s="565" t="str">
        <f>VLOOKUP(E185,'Airport Mapping'!$C$5:$D$39,2,FALSE)</f>
        <v xml:space="preserve"> </v>
      </c>
      <c r="G185" s="494" t="s">
        <v>88</v>
      </c>
      <c r="H185" s="651" t="str">
        <f>I185</f>
        <v>Restrooms</v>
      </c>
      <c r="I185" s="450" t="s">
        <v>37</v>
      </c>
      <c r="J185" s="577" t="s">
        <v>2</v>
      </c>
      <c r="K185" s="567" t="s">
        <v>3</v>
      </c>
      <c r="L185" s="1028" t="s">
        <v>64</v>
      </c>
      <c r="M185" s="1036">
        <f>SUMIFS('Level of Efficiency Assumptions'!$J:$J,'Level of Efficiency Assumptions'!$D:$D,I185,'Level of Efficiency Assumptions'!$F:$F,J185,'Level of Efficiency Assumptions'!$I:$I,'Water Use Calcs'!L185)</f>
        <v>3.5</v>
      </c>
      <c r="N185" s="567" t="s">
        <v>68</v>
      </c>
      <c r="O185" s="1048">
        <f>SUMIFS('Detailed Fixture Data'!O:O,'Detailed Fixture Data'!C:C,G185,'Detailed Fixture Data'!E:E,I185,'Detailed Fixture Data'!F:F,J185,'Detailed Fixture Data'!L:L,L185)</f>
        <v>0</v>
      </c>
      <c r="P185" s="1030">
        <f>SUMIFS('Intensity of Use Assumptions'!$J:$J,'Intensity of Use Assumptions'!$D:$D,I185,'Intensity of Use Assumptions'!$G:$G,J185,'Intensity of Use Assumptions'!H:H,K185)</f>
        <v>0.625</v>
      </c>
      <c r="Q185" s="567" t="s">
        <v>67</v>
      </c>
      <c r="R185" s="1032">
        <f>(SUMPRODUCT(M185:M187,O185:O187)*P185)</f>
        <v>0</v>
      </c>
      <c r="S185" s="1033">
        <f>IF(R185=0,0,M187*P185)</f>
        <v>0</v>
      </c>
      <c r="T185" s="225" t="str">
        <f>G185&amp;"-"&amp;J185</f>
        <v>Terminal E-Toilets</v>
      </c>
      <c r="U185" s="1034">
        <f ca="1">IF(ISNA(VLOOKUP(T185,list!$AV$3:$AW$130,2,FALSE)),1,(VLOOKUP(T185,list!$AV$3:$AW$130,2,FALSE)))</f>
        <v>1</v>
      </c>
      <c r="V185" s="1033">
        <f ca="1">R185*U185</f>
        <v>0</v>
      </c>
      <c r="W185" s="1033">
        <f ca="1">S185*U185</f>
        <v>0</v>
      </c>
    </row>
    <row r="186" spans="2:23" x14ac:dyDescent="0.3">
      <c r="B186" s="182"/>
      <c r="C186" s="577"/>
      <c r="D186" s="521" t="s">
        <v>1</v>
      </c>
      <c r="E186" s="521"/>
      <c r="F186" s="45"/>
      <c r="G186" s="494" t="s">
        <v>88</v>
      </c>
      <c r="H186" s="577"/>
      <c r="I186" s="450" t="s">
        <v>37</v>
      </c>
      <c r="J186" s="577" t="s">
        <v>2</v>
      </c>
      <c r="K186" s="577"/>
      <c r="L186" s="1035" t="s">
        <v>65</v>
      </c>
      <c r="M186" s="1036">
        <f>SUMIFS('Level of Efficiency Assumptions'!$J:$J,'Level of Efficiency Assumptions'!$D:$D,I186,'Level of Efficiency Assumptions'!$F:$F,J186,'Level of Efficiency Assumptions'!$I:$I,'Water Use Calcs'!L186)</f>
        <v>1.6</v>
      </c>
      <c r="N186" s="577"/>
      <c r="O186" s="1048">
        <f>SUMIFS('Detailed Fixture Data'!O:O,'Detailed Fixture Data'!C:C,G186,'Detailed Fixture Data'!E:E,I186,'Detailed Fixture Data'!F:F,J186,'Detailed Fixture Data'!L:L,L186)</f>
        <v>0</v>
      </c>
      <c r="P186" s="1049"/>
      <c r="Q186" s="577" t="s">
        <v>74</v>
      </c>
      <c r="R186" s="1039"/>
      <c r="S186" s="521"/>
      <c r="T186" s="225"/>
      <c r="U186" s="521"/>
      <c r="V186" s="1040"/>
      <c r="W186" s="1041"/>
    </row>
    <row r="187" spans="2:23" ht="15" thickBot="1" x14ac:dyDescent="0.35">
      <c r="B187" s="182"/>
      <c r="C187" s="577"/>
      <c r="D187" s="521" t="s">
        <v>1</v>
      </c>
      <c r="E187" s="521"/>
      <c r="F187" s="45"/>
      <c r="G187" s="494" t="s">
        <v>88</v>
      </c>
      <c r="H187" s="577"/>
      <c r="I187" s="450" t="s">
        <v>37</v>
      </c>
      <c r="J187" s="116" t="s">
        <v>2</v>
      </c>
      <c r="K187" s="116"/>
      <c r="L187" s="1042" t="s">
        <v>66</v>
      </c>
      <c r="M187" s="1043">
        <f>SUMIFS('Level of Efficiency Assumptions'!$J:$J,'Level of Efficiency Assumptions'!$D:$D,I187,'Level of Efficiency Assumptions'!$F:$F,J187,'Level of Efficiency Assumptions'!$I:$I,'Water Use Calcs'!L187)</f>
        <v>1.28</v>
      </c>
      <c r="N187" s="577"/>
      <c r="O187" s="1048">
        <f>SUMIFS('Detailed Fixture Data'!O:O,'Detailed Fixture Data'!C:C,G187,'Detailed Fixture Data'!E:E,I187,'Detailed Fixture Data'!F:F,J187,'Detailed Fixture Data'!L:L,L187)</f>
        <v>0</v>
      </c>
      <c r="P187" s="1049"/>
      <c r="Q187" s="577" t="s">
        <v>75</v>
      </c>
      <c r="R187" s="1039"/>
      <c r="S187" s="618"/>
      <c r="T187" s="225"/>
      <c r="U187" s="618"/>
      <c r="V187" s="1045"/>
      <c r="W187" s="1046"/>
    </row>
    <row r="188" spans="2:23" x14ac:dyDescent="0.3">
      <c r="B188" s="182"/>
      <c r="C188" s="577"/>
      <c r="D188" s="521" t="s">
        <v>1</v>
      </c>
      <c r="E188" s="521"/>
      <c r="F188" s="45"/>
      <c r="G188" s="494" t="s">
        <v>88</v>
      </c>
      <c r="H188" s="577"/>
      <c r="I188" s="450" t="s">
        <v>37</v>
      </c>
      <c r="J188" s="577" t="s">
        <v>4</v>
      </c>
      <c r="K188" s="577" t="s">
        <v>3</v>
      </c>
      <c r="L188" s="1047" t="s">
        <v>64</v>
      </c>
      <c r="M188" s="1036">
        <f>SUMIFS('Level of Efficiency Assumptions'!$J:$J,'Level of Efficiency Assumptions'!$D:$D,I188,'Level of Efficiency Assumptions'!$F:$F,J188,'Level of Efficiency Assumptions'!$I:$I,'Water Use Calcs'!L188)</f>
        <v>2</v>
      </c>
      <c r="N188" s="567" t="s">
        <v>68</v>
      </c>
      <c r="O188" s="1048">
        <f>SUMIFS('Detailed Fixture Data'!O:O,'Detailed Fixture Data'!C:C,G188,'Detailed Fixture Data'!E:E,I188,'Detailed Fixture Data'!F:F,J188,'Detailed Fixture Data'!L:L,L188)</f>
        <v>0</v>
      </c>
      <c r="P188" s="1030">
        <f>SUMIFS('Intensity of Use Assumptions'!$J:$J,'Intensity of Use Assumptions'!$D:$D,I188,'Intensity of Use Assumptions'!$G:$G,J188,'Intensity of Use Assumptions'!H:H,K188)</f>
        <v>0.375</v>
      </c>
      <c r="Q188" s="567" t="s">
        <v>67</v>
      </c>
      <c r="R188" s="1032">
        <f>(SUMPRODUCT(M188:M190,O188:O190)*P188)</f>
        <v>0</v>
      </c>
      <c r="S188" s="1033">
        <f>IF(R188=0,0,M190*P188)</f>
        <v>0</v>
      </c>
      <c r="T188" s="225" t="str">
        <f>G188&amp;"-"&amp;J188</f>
        <v>Terminal E-Urinals</v>
      </c>
      <c r="U188" s="1034">
        <f ca="1">IF(ISNA(VLOOKUP(T188,list!$AV$3:$AW$130,2,FALSE)),1,(VLOOKUP(T188,list!$AV$3:$AW$130,2,FALSE)))</f>
        <v>1</v>
      </c>
      <c r="V188" s="1033">
        <f ca="1">R188*U188</f>
        <v>0</v>
      </c>
      <c r="W188" s="1033">
        <f ca="1">S188*U188</f>
        <v>0</v>
      </c>
    </row>
    <row r="189" spans="2:23" x14ac:dyDescent="0.3">
      <c r="B189" s="182"/>
      <c r="C189" s="577"/>
      <c r="D189" s="521" t="s">
        <v>1</v>
      </c>
      <c r="E189" s="521"/>
      <c r="F189" s="45"/>
      <c r="G189" s="494" t="s">
        <v>88</v>
      </c>
      <c r="H189" s="577"/>
      <c r="I189" s="450" t="s">
        <v>37</v>
      </c>
      <c r="J189" s="577" t="s">
        <v>4</v>
      </c>
      <c r="K189" s="577"/>
      <c r="L189" s="1035" t="s">
        <v>65</v>
      </c>
      <c r="M189" s="1036">
        <f>SUMIFS('Level of Efficiency Assumptions'!$J:$J,'Level of Efficiency Assumptions'!$D:$D,I189,'Level of Efficiency Assumptions'!$F:$F,J189,'Level of Efficiency Assumptions'!$I:$I,'Water Use Calcs'!L189)</f>
        <v>1</v>
      </c>
      <c r="N189" s="577"/>
      <c r="O189" s="1048">
        <f>SUMIFS('Detailed Fixture Data'!O:O,'Detailed Fixture Data'!C:C,G189,'Detailed Fixture Data'!E:E,I189,'Detailed Fixture Data'!F:F,J189,'Detailed Fixture Data'!L:L,L189)</f>
        <v>0</v>
      </c>
      <c r="P189" s="1049"/>
      <c r="Q189" s="577" t="s">
        <v>76</v>
      </c>
      <c r="R189" s="1039"/>
      <c r="S189" s="521"/>
      <c r="T189" s="225"/>
      <c r="U189" s="521"/>
      <c r="V189" s="1040"/>
      <c r="W189" s="1041"/>
    </row>
    <row r="190" spans="2:23" ht="15" thickBot="1" x14ac:dyDescent="0.35">
      <c r="B190" s="182"/>
      <c r="C190" s="577"/>
      <c r="D190" s="521" t="s">
        <v>1</v>
      </c>
      <c r="E190" s="521"/>
      <c r="F190" s="45"/>
      <c r="G190" s="494" t="s">
        <v>88</v>
      </c>
      <c r="H190" s="577"/>
      <c r="I190" s="450" t="s">
        <v>37</v>
      </c>
      <c r="J190" s="116" t="s">
        <v>4</v>
      </c>
      <c r="K190" s="116"/>
      <c r="L190" s="1042" t="s">
        <v>66</v>
      </c>
      <c r="M190" s="1043">
        <f>SUMIFS('Level of Efficiency Assumptions'!$J:$J,'Level of Efficiency Assumptions'!$D:$D,I190,'Level of Efficiency Assumptions'!$F:$F,J190,'Level of Efficiency Assumptions'!$I:$I,'Water Use Calcs'!L190)</f>
        <v>0.125</v>
      </c>
      <c r="N190" s="577"/>
      <c r="O190" s="1048">
        <f>SUMIFS('Detailed Fixture Data'!O:O,'Detailed Fixture Data'!C:C,G190,'Detailed Fixture Data'!E:E,I190,'Detailed Fixture Data'!F:F,J190,'Detailed Fixture Data'!L:L,L190)</f>
        <v>0</v>
      </c>
      <c r="P190" s="1049"/>
      <c r="Q190" s="577"/>
      <c r="R190" s="1039"/>
      <c r="S190" s="618"/>
      <c r="T190" s="225"/>
      <c r="U190" s="618"/>
      <c r="V190" s="1045"/>
      <c r="W190" s="1046"/>
    </row>
    <row r="191" spans="2:23" x14ac:dyDescent="0.3">
      <c r="B191" s="182"/>
      <c r="C191" s="577"/>
      <c r="D191" s="521" t="s">
        <v>1</v>
      </c>
      <c r="E191" s="521"/>
      <c r="F191" s="45"/>
      <c r="G191" s="494" t="s">
        <v>88</v>
      </c>
      <c r="H191" s="577"/>
      <c r="I191" s="450" t="s">
        <v>37</v>
      </c>
      <c r="J191" s="577" t="s">
        <v>33</v>
      </c>
      <c r="K191" s="577" t="s">
        <v>3</v>
      </c>
      <c r="L191" s="1047" t="s">
        <v>64</v>
      </c>
      <c r="M191" s="1036">
        <f>SUMIFS('Level of Efficiency Assumptions'!$J:$J,'Level of Efficiency Assumptions'!$D:$D,I191,'Level of Efficiency Assumptions'!$F:$F,J191,'Level of Efficiency Assumptions'!$I:$I,'Water Use Calcs'!L191)</f>
        <v>2</v>
      </c>
      <c r="N191" s="567" t="s">
        <v>78</v>
      </c>
      <c r="O191" s="1048">
        <f>SUMIFS('Detailed Fixture Data'!O:O,'Detailed Fixture Data'!C:C,G191,'Detailed Fixture Data'!E:E,I191,'Detailed Fixture Data'!F:F,J191,'Detailed Fixture Data'!L:L,L191)</f>
        <v>0</v>
      </c>
      <c r="P191" s="1030">
        <f>SUMIFS('Intensity of Use Assumptions'!$J:$J,'Intensity of Use Assumptions'!$D:$D,I191,'Intensity of Use Assumptions'!$G:$G,J191,'Intensity of Use Assumptions'!H:H,K191)</f>
        <v>0.16666666666666666</v>
      </c>
      <c r="Q191" s="567" t="s">
        <v>133</v>
      </c>
      <c r="R191" s="1032">
        <f>(SUMPRODUCT(M191:M193,O191:O193)*P191)</f>
        <v>0</v>
      </c>
      <c r="S191" s="1033">
        <f>IF(R191=0,0,M193*P191)</f>
        <v>0</v>
      </c>
      <c r="T191" s="225" t="str">
        <f>G191&amp;"-"&amp;J191</f>
        <v>Terminal E-Faucets</v>
      </c>
      <c r="U191" s="1034">
        <f ca="1">IF(ISNA(VLOOKUP(T191,list!$AV$3:$AW$130,2,FALSE)),1,(VLOOKUP(T191,list!$AV$3:$AW$130,2,FALSE)))</f>
        <v>1</v>
      </c>
      <c r="V191" s="1033">
        <f ca="1">R191*U191</f>
        <v>0</v>
      </c>
      <c r="W191" s="1033">
        <f ca="1">S191*U191</f>
        <v>0</v>
      </c>
    </row>
    <row r="192" spans="2:23" x14ac:dyDescent="0.3">
      <c r="B192" s="182"/>
      <c r="C192" s="577"/>
      <c r="D192" s="521" t="s">
        <v>1</v>
      </c>
      <c r="E192" s="521"/>
      <c r="F192" s="45"/>
      <c r="G192" s="494" t="s">
        <v>88</v>
      </c>
      <c r="H192" s="577"/>
      <c r="I192" s="450" t="s">
        <v>37</v>
      </c>
      <c r="J192" s="577" t="s">
        <v>33</v>
      </c>
      <c r="K192" s="577"/>
      <c r="L192" s="1035" t="s">
        <v>65</v>
      </c>
      <c r="M192" s="1036">
        <f>SUMIFS('Level of Efficiency Assumptions'!$J:$J,'Level of Efficiency Assumptions'!$D:$D,I192,'Level of Efficiency Assumptions'!$F:$F,J192,'Level of Efficiency Assumptions'!$I:$I,'Water Use Calcs'!L192)</f>
        <v>1</v>
      </c>
      <c r="N192" s="577"/>
      <c r="O192" s="1048">
        <f>SUMIFS('Detailed Fixture Data'!O:O,'Detailed Fixture Data'!C:C,G192,'Detailed Fixture Data'!E:E,I192,'Detailed Fixture Data'!F:F,J192,'Detailed Fixture Data'!L:L,L192)</f>
        <v>0</v>
      </c>
      <c r="P192" s="1049"/>
      <c r="Q192" s="577" t="s">
        <v>79</v>
      </c>
      <c r="R192" s="1039"/>
      <c r="S192" s="521"/>
      <c r="T192" s="225"/>
      <c r="U192" s="521"/>
      <c r="V192" s="1040"/>
      <c r="W192" s="1041"/>
    </row>
    <row r="193" spans="2:23" ht="15" thickBot="1" x14ac:dyDescent="0.35">
      <c r="B193" s="182"/>
      <c r="C193" s="577"/>
      <c r="D193" s="521" t="s">
        <v>1</v>
      </c>
      <c r="E193" s="521"/>
      <c r="F193" s="45"/>
      <c r="G193" s="494" t="s">
        <v>88</v>
      </c>
      <c r="H193" s="116"/>
      <c r="I193" s="451" t="s">
        <v>37</v>
      </c>
      <c r="J193" s="116" t="s">
        <v>33</v>
      </c>
      <c r="K193" s="116"/>
      <c r="L193" s="1042" t="s">
        <v>66</v>
      </c>
      <c r="M193" s="1043">
        <f>SUMIFS('Level of Efficiency Assumptions'!$J:$J,'Level of Efficiency Assumptions'!$D:$D,I193,'Level of Efficiency Assumptions'!$F:$F,J193,'Level of Efficiency Assumptions'!$I:$I,'Water Use Calcs'!L193)</f>
        <v>0.5</v>
      </c>
      <c r="N193" s="577"/>
      <c r="O193" s="1048">
        <f>SUMIFS('Detailed Fixture Data'!O:O,'Detailed Fixture Data'!C:C,G193,'Detailed Fixture Data'!E:E,I193,'Detailed Fixture Data'!F:F,J193,'Detailed Fixture Data'!L:L,L193)</f>
        <v>0</v>
      </c>
      <c r="P193" s="1049"/>
      <c r="Q193" s="577"/>
      <c r="R193" s="1039"/>
      <c r="S193" s="618"/>
      <c r="T193" s="225"/>
      <c r="U193" s="618"/>
      <c r="V193" s="1045"/>
      <c r="W193" s="1046"/>
    </row>
    <row r="194" spans="2:23" x14ac:dyDescent="0.3">
      <c r="B194" s="182"/>
      <c r="C194" s="577"/>
      <c r="D194" s="521" t="s">
        <v>1</v>
      </c>
      <c r="E194" s="521"/>
      <c r="F194" s="45"/>
      <c r="G194" s="494" t="s">
        <v>88</v>
      </c>
      <c r="H194" s="651" t="str">
        <f>I194</f>
        <v>Food Service</v>
      </c>
      <c r="I194" s="450" t="s">
        <v>38</v>
      </c>
      <c r="J194" s="577" t="s">
        <v>114</v>
      </c>
      <c r="K194" s="577" t="s">
        <v>118</v>
      </c>
      <c r="L194" s="1047" t="s">
        <v>64</v>
      </c>
      <c r="M194" s="1036">
        <f>SUMIFS('Level of Efficiency Assumptions'!$J:$J,'Level of Efficiency Assumptions'!$D:$D,I194,'Level of Efficiency Assumptions'!$F:$F,J194,'Level of Efficiency Assumptions'!$I:$I,'Water Use Calcs'!L194)</f>
        <v>2</v>
      </c>
      <c r="N194" s="567" t="s">
        <v>78</v>
      </c>
      <c r="O194" s="1048">
        <f>SUMIFS('Detailed Fixture Data'!O:O,'Detailed Fixture Data'!C:C,G194,'Detailed Fixture Data'!E:E,I194,'Detailed Fixture Data'!F:F,J194,'Detailed Fixture Data'!L:L,L194)</f>
        <v>0</v>
      </c>
      <c r="P194" s="1030">
        <f>SUMIFS('Intensity of Use Assumptions'!$J:$J,'Intensity of Use Assumptions'!$D:$D,I194,'Intensity of Use Assumptions'!$G:$G,J194,'Intensity of Use Assumptions'!H:H,K194)</f>
        <v>1</v>
      </c>
      <c r="Q194" s="567" t="s">
        <v>133</v>
      </c>
      <c r="R194" s="1032">
        <f>(SUMPRODUCT(M194:M196,O194:O196)*P194)</f>
        <v>0</v>
      </c>
      <c r="S194" s="1033">
        <f>IF(R194=0,0,M196*P194)</f>
        <v>0</v>
      </c>
      <c r="T194" s="225" t="str">
        <f>G194&amp;"-"&amp;J194</f>
        <v>Terminal E-Kitchen faucets</v>
      </c>
      <c r="U194" s="1034">
        <f ca="1">IF(ISNA(VLOOKUP(T194,list!$AV$3:$AW$130,2,FALSE)),1,(VLOOKUP(T194,list!$AV$3:$AW$130,2,FALSE)))</f>
        <v>1</v>
      </c>
      <c r="V194" s="1033">
        <f ca="1">R194*U194</f>
        <v>0</v>
      </c>
      <c r="W194" s="1033">
        <f ca="1">S194*U194</f>
        <v>0</v>
      </c>
    </row>
    <row r="195" spans="2:23" x14ac:dyDescent="0.3">
      <c r="B195" s="182"/>
      <c r="C195" s="577"/>
      <c r="D195" s="521" t="s">
        <v>1</v>
      </c>
      <c r="E195" s="521"/>
      <c r="F195" s="45"/>
      <c r="G195" s="494" t="s">
        <v>88</v>
      </c>
      <c r="H195" s="577"/>
      <c r="I195" s="450" t="s">
        <v>38</v>
      </c>
      <c r="J195" s="577" t="s">
        <v>114</v>
      </c>
      <c r="K195" s="577"/>
      <c r="L195" s="1035" t="s">
        <v>65</v>
      </c>
      <c r="M195" s="1036">
        <f>SUMIFS('Level of Efficiency Assumptions'!$J:$J,'Level of Efficiency Assumptions'!$D:$D,I195,'Level of Efficiency Assumptions'!$F:$F,J195,'Level of Efficiency Assumptions'!$I:$I,'Water Use Calcs'!L195)</f>
        <v>1</v>
      </c>
      <c r="N195" s="577"/>
      <c r="O195" s="1048">
        <f>SUMIFS('Detailed Fixture Data'!O:O,'Detailed Fixture Data'!C:C,G195,'Detailed Fixture Data'!E:E,I195,'Detailed Fixture Data'!F:F,J195,'Detailed Fixture Data'!L:L,L195)</f>
        <v>0</v>
      </c>
      <c r="P195" s="1049"/>
      <c r="Q195" s="577"/>
      <c r="R195" s="1039"/>
      <c r="S195" s="521"/>
      <c r="T195" s="225"/>
      <c r="U195" s="521"/>
      <c r="V195" s="1040"/>
      <c r="W195" s="1041"/>
    </row>
    <row r="196" spans="2:23" ht="15" thickBot="1" x14ac:dyDescent="0.35">
      <c r="B196" s="182"/>
      <c r="C196" s="577"/>
      <c r="D196" s="521" t="s">
        <v>1</v>
      </c>
      <c r="E196" s="521"/>
      <c r="F196" s="45"/>
      <c r="G196" s="494" t="s">
        <v>88</v>
      </c>
      <c r="H196" s="577"/>
      <c r="I196" s="450" t="s">
        <v>38</v>
      </c>
      <c r="J196" s="116" t="s">
        <v>114</v>
      </c>
      <c r="K196" s="116"/>
      <c r="L196" s="1042" t="s">
        <v>66</v>
      </c>
      <c r="M196" s="1043">
        <f>SUMIFS('Level of Efficiency Assumptions'!$J:$J,'Level of Efficiency Assumptions'!$D:$D,I196,'Level of Efficiency Assumptions'!$F:$F,J196,'Level of Efficiency Assumptions'!$I:$I,'Water Use Calcs'!L196)</f>
        <v>0.5</v>
      </c>
      <c r="N196" s="577"/>
      <c r="O196" s="1048">
        <f>SUMIFS('Detailed Fixture Data'!O:O,'Detailed Fixture Data'!C:C,G196,'Detailed Fixture Data'!E:E,I196,'Detailed Fixture Data'!F:F,J196,'Detailed Fixture Data'!L:L,L196)</f>
        <v>0</v>
      </c>
      <c r="P196" s="1049"/>
      <c r="Q196" s="116"/>
      <c r="R196" s="1039"/>
      <c r="S196" s="618"/>
      <c r="T196" s="225"/>
      <c r="U196" s="618"/>
      <c r="V196" s="1045"/>
      <c r="W196" s="1046"/>
    </row>
    <row r="197" spans="2:23" x14ac:dyDescent="0.3">
      <c r="B197" s="182"/>
      <c r="C197" s="577"/>
      <c r="D197" s="521" t="s">
        <v>1</v>
      </c>
      <c r="E197" s="521"/>
      <c r="F197" s="180"/>
      <c r="G197" s="521" t="s">
        <v>88</v>
      </c>
      <c r="H197" s="577"/>
      <c r="I197" s="450" t="s">
        <v>38</v>
      </c>
      <c r="J197" s="577" t="s">
        <v>127</v>
      </c>
      <c r="K197" s="577" t="s">
        <v>118</v>
      </c>
      <c r="L197" s="1047" t="s">
        <v>64</v>
      </c>
      <c r="M197" s="1036">
        <f>SUMIFS('Level of Efficiency Assumptions'!$J:$J,'Level of Efficiency Assumptions'!$D:$D,I197,'Level of Efficiency Assumptions'!$F:$F,J197,'Level of Efficiency Assumptions'!$I:$I,'Water Use Calcs'!L197)</f>
        <v>3</v>
      </c>
      <c r="N197" s="567" t="s">
        <v>78</v>
      </c>
      <c r="O197" s="1048">
        <f>SUMIFS('Detailed Fixture Data'!O:O,'Detailed Fixture Data'!C:C,G197,'Detailed Fixture Data'!E:E,I197,'Detailed Fixture Data'!F:F,J197,'Detailed Fixture Data'!L:L,L197)</f>
        <v>0</v>
      </c>
      <c r="P197" s="1030">
        <f>SUMIFS('Intensity of Use Assumptions'!$J:$J,'Intensity of Use Assumptions'!$D:$D,I197,'Intensity of Use Assumptions'!$G:$G,J197,'Intensity of Use Assumptions'!H:H,K197)</f>
        <v>0.02</v>
      </c>
      <c r="Q197" s="577" t="s">
        <v>133</v>
      </c>
      <c r="R197" s="1032">
        <f>(SUMPRODUCT(M197:M199,O197:O199)*P197)</f>
        <v>0</v>
      </c>
      <c r="S197" s="1033">
        <f>IF(R197=0,0,M199*P197)</f>
        <v>0</v>
      </c>
      <c r="T197" s="225" t="str">
        <f>G197&amp;"-"&amp;J197</f>
        <v>Terminal E-Pre-rinse spray valves</v>
      </c>
      <c r="U197" s="1034">
        <f ca="1">IF(ISNA(VLOOKUP(T197,list!$AV$3:$AW$130,2,FALSE)),1,(VLOOKUP(T197,list!$AV$3:$AW$130,2,FALSE)))</f>
        <v>1</v>
      </c>
      <c r="V197" s="1033">
        <f ca="1">R197*U197</f>
        <v>0</v>
      </c>
      <c r="W197" s="1033">
        <f ca="1">S197*U197</f>
        <v>0</v>
      </c>
    </row>
    <row r="198" spans="2:23" x14ac:dyDescent="0.3">
      <c r="B198" s="182"/>
      <c r="C198" s="577"/>
      <c r="D198" s="521" t="s">
        <v>1</v>
      </c>
      <c r="E198" s="521"/>
      <c r="F198" s="180"/>
      <c r="G198" s="521" t="s">
        <v>88</v>
      </c>
      <c r="H198" s="577"/>
      <c r="I198" s="450" t="s">
        <v>38</v>
      </c>
      <c r="J198" s="577" t="s">
        <v>127</v>
      </c>
      <c r="K198" s="577"/>
      <c r="L198" s="1035" t="s">
        <v>65</v>
      </c>
      <c r="M198" s="1036">
        <f>SUMIFS('Level of Efficiency Assumptions'!$J:$J,'Level of Efficiency Assumptions'!$D:$D,I198,'Level of Efficiency Assumptions'!$F:$F,J198,'Level of Efficiency Assumptions'!$I:$I,'Water Use Calcs'!L198)</f>
        <v>2</v>
      </c>
      <c r="N198" s="577"/>
      <c r="O198" s="1048">
        <f>SUMIFS('Detailed Fixture Data'!O:O,'Detailed Fixture Data'!C:C,G198,'Detailed Fixture Data'!E:E,I198,'Detailed Fixture Data'!F:F,J198,'Detailed Fixture Data'!L:L,L198)</f>
        <v>0</v>
      </c>
      <c r="P198" s="1049"/>
      <c r="Q198" s="577"/>
      <c r="R198" s="1039"/>
      <c r="S198" s="521"/>
      <c r="T198" s="225"/>
      <c r="U198" s="521"/>
      <c r="V198" s="1040"/>
      <c r="W198" s="1041"/>
    </row>
    <row r="199" spans="2:23" ht="15" thickBot="1" x14ac:dyDescent="0.35">
      <c r="B199" s="182"/>
      <c r="C199" s="577"/>
      <c r="D199" s="521" t="s">
        <v>1</v>
      </c>
      <c r="E199" s="521"/>
      <c r="F199" s="180"/>
      <c r="G199" s="521" t="s">
        <v>88</v>
      </c>
      <c r="H199" s="577"/>
      <c r="I199" s="450" t="s">
        <v>38</v>
      </c>
      <c r="J199" s="116" t="s">
        <v>127</v>
      </c>
      <c r="K199" s="116"/>
      <c r="L199" s="1042" t="s">
        <v>66</v>
      </c>
      <c r="M199" s="1043">
        <f>SUMIFS('Level of Efficiency Assumptions'!$J:$J,'Level of Efficiency Assumptions'!$D:$D,I199,'Level of Efficiency Assumptions'!$F:$F,J199,'Level of Efficiency Assumptions'!$I:$I,'Water Use Calcs'!L199)</f>
        <v>1.28</v>
      </c>
      <c r="N199" s="116"/>
      <c r="O199" s="1048">
        <f>SUMIFS('Detailed Fixture Data'!O:O,'Detailed Fixture Data'!C:C,G199,'Detailed Fixture Data'!E:E,I199,'Detailed Fixture Data'!F:F,J199,'Detailed Fixture Data'!L:L,L199)</f>
        <v>0</v>
      </c>
      <c r="P199" s="1049"/>
      <c r="Q199" s="577"/>
      <c r="R199" s="1039"/>
      <c r="S199" s="618"/>
      <c r="T199" s="225"/>
      <c r="U199" s="618"/>
      <c r="V199" s="1045"/>
      <c r="W199" s="1046"/>
    </row>
    <row r="200" spans="2:23" x14ac:dyDescent="0.3">
      <c r="B200" s="182"/>
      <c r="C200" s="577"/>
      <c r="D200" s="521" t="s">
        <v>1</v>
      </c>
      <c r="E200" s="521"/>
      <c r="F200" s="45"/>
      <c r="G200" s="494" t="s">
        <v>88</v>
      </c>
      <c r="H200" s="577"/>
      <c r="I200" s="450" t="s">
        <v>38</v>
      </c>
      <c r="J200" s="577" t="s">
        <v>41</v>
      </c>
      <c r="K200" s="577" t="s">
        <v>118</v>
      </c>
      <c r="L200" s="1047" t="s">
        <v>64</v>
      </c>
      <c r="M200" s="1036">
        <f>SUMIFS('Level of Efficiency Assumptions'!$J:$J,'Level of Efficiency Assumptions'!$D:$D,I200,'Level of Efficiency Assumptions'!$F:$F,J200,'Level of Efficiency Assumptions'!$I:$I,'Water Use Calcs'!L200)</f>
        <v>4.5</v>
      </c>
      <c r="N200" s="567" t="s">
        <v>223</v>
      </c>
      <c r="O200" s="1048">
        <f>SUMIFS('Detailed Fixture Data'!O:O,'Detailed Fixture Data'!C:C,G200,'Detailed Fixture Data'!E:E,I200,'Detailed Fixture Data'!F:F,J200,'Detailed Fixture Data'!L:L,L200)</f>
        <v>0</v>
      </c>
      <c r="P200" s="1030">
        <f>SUMIFS('Intensity of Use Assumptions'!$J:$J,'Intensity of Use Assumptions'!$D:$D,I200,'Intensity of Use Assumptions'!$G:$G,J200,'Intensity of Use Assumptions'!H:H,K200)</f>
        <v>0.05</v>
      </c>
      <c r="Q200" s="567" t="s">
        <v>224</v>
      </c>
      <c r="R200" s="1032">
        <f>(SUMPRODUCT(M200:M202,O200:O202)*P200)</f>
        <v>0</v>
      </c>
      <c r="S200" s="1033">
        <f>IF(R200=0,0,M202*P200)</f>
        <v>0</v>
      </c>
      <c r="T200" s="225" t="str">
        <f>G200&amp;"-"&amp;J200</f>
        <v>Terminal E-Dishwashers</v>
      </c>
      <c r="U200" s="1034">
        <f ca="1">IF(ISNA(VLOOKUP(T200,list!$AV$3:$AW$130,2,FALSE)),1,(VLOOKUP(T200,list!$AV$3:$AW$130,2,FALSE)))</f>
        <v>1</v>
      </c>
      <c r="V200" s="1033">
        <f ca="1">R200*U200</f>
        <v>0</v>
      </c>
      <c r="W200" s="1033">
        <f ca="1">S200*U200</f>
        <v>0</v>
      </c>
    </row>
    <row r="201" spans="2:23" x14ac:dyDescent="0.3">
      <c r="B201" s="182"/>
      <c r="C201" s="577"/>
      <c r="D201" s="521" t="s">
        <v>1</v>
      </c>
      <c r="E201" s="521"/>
      <c r="F201" s="45"/>
      <c r="G201" s="494" t="s">
        <v>88</v>
      </c>
      <c r="H201" s="577"/>
      <c r="I201" s="450" t="s">
        <v>38</v>
      </c>
      <c r="J201" s="577" t="s">
        <v>41</v>
      </c>
      <c r="K201" s="577"/>
      <c r="L201" s="1035" t="s">
        <v>65</v>
      </c>
      <c r="M201" s="1036">
        <f>SUMIFS('Level of Efficiency Assumptions'!$J:$J,'Level of Efficiency Assumptions'!$D:$D,I201,'Level of Efficiency Assumptions'!$F:$F,J201,'Level of Efficiency Assumptions'!$I:$I,'Water Use Calcs'!L201)</f>
        <v>2.5</v>
      </c>
      <c r="N201" s="577"/>
      <c r="O201" s="1048">
        <f>SUMIFS('Detailed Fixture Data'!O:O,'Detailed Fixture Data'!C:C,G201,'Detailed Fixture Data'!E:E,I201,'Detailed Fixture Data'!F:F,J201,'Detailed Fixture Data'!L:L,L201)</f>
        <v>0</v>
      </c>
      <c r="P201" s="1049"/>
      <c r="Q201" s="576" t="s">
        <v>80</v>
      </c>
      <c r="R201" s="1039"/>
      <c r="S201" s="521"/>
      <c r="T201" s="225"/>
      <c r="U201" s="521"/>
      <c r="V201" s="1040"/>
      <c r="W201" s="1041"/>
    </row>
    <row r="202" spans="2:23" ht="15" thickBot="1" x14ac:dyDescent="0.35">
      <c r="B202" s="182"/>
      <c r="C202" s="577"/>
      <c r="D202" s="521" t="s">
        <v>1</v>
      </c>
      <c r="E202" s="521"/>
      <c r="F202" s="45"/>
      <c r="G202" s="494" t="s">
        <v>88</v>
      </c>
      <c r="H202" s="577"/>
      <c r="I202" s="450" t="s">
        <v>38</v>
      </c>
      <c r="J202" s="116" t="s">
        <v>41</v>
      </c>
      <c r="K202" s="116"/>
      <c r="L202" s="1042" t="s">
        <v>66</v>
      </c>
      <c r="M202" s="1043">
        <f>SUMIFS('Level of Efficiency Assumptions'!$J:$J,'Level of Efficiency Assumptions'!$D:$D,I202,'Level of Efficiency Assumptions'!$F:$F,J202,'Level of Efficiency Assumptions'!$I:$I,'Water Use Calcs'!L202)</f>
        <v>1</v>
      </c>
      <c r="N202" s="577"/>
      <c r="O202" s="1048">
        <f>SUMIFS('Detailed Fixture Data'!O:O,'Detailed Fixture Data'!C:C,G202,'Detailed Fixture Data'!E:E,I202,'Detailed Fixture Data'!F:F,J202,'Detailed Fixture Data'!L:L,L202)</f>
        <v>0</v>
      </c>
      <c r="P202" s="1049"/>
      <c r="Q202" s="577"/>
      <c r="R202" s="1039"/>
      <c r="S202" s="618"/>
      <c r="T202" s="225"/>
      <c r="U202" s="618"/>
      <c r="V202" s="1045"/>
      <c r="W202" s="1046"/>
    </row>
    <row r="203" spans="2:23" x14ac:dyDescent="0.3">
      <c r="B203" s="182"/>
      <c r="C203" s="577"/>
      <c r="D203" s="521" t="s">
        <v>1</v>
      </c>
      <c r="E203" s="521"/>
      <c r="F203" s="45"/>
      <c r="G203" s="494" t="s">
        <v>88</v>
      </c>
      <c r="H203" s="577"/>
      <c r="I203" s="450" t="s">
        <v>38</v>
      </c>
      <c r="J203" s="577" t="s">
        <v>20</v>
      </c>
      <c r="K203" s="577" t="s">
        <v>118</v>
      </c>
      <c r="L203" s="1047" t="s">
        <v>64</v>
      </c>
      <c r="M203" s="1036">
        <f>SUMIFS('Level of Efficiency Assumptions'!$J:$J,'Level of Efficiency Assumptions'!$D:$D,I203,'Level of Efficiency Assumptions'!$F:$F,J203,'Level of Efficiency Assumptions'!$I:$I,'Water Use Calcs'!L203)</f>
        <v>1.5</v>
      </c>
      <c r="N203" s="567" t="s">
        <v>222</v>
      </c>
      <c r="O203" s="1048">
        <f>SUMIFS('Detailed Fixture Data'!O:O,'Detailed Fixture Data'!C:C,G203,'Detailed Fixture Data'!E:E,I203,'Detailed Fixture Data'!F:F,J203,'Detailed Fixture Data'!L:L,L203)</f>
        <v>0</v>
      </c>
      <c r="P203" s="1030">
        <f>SUMIFS('Intensity of Use Assumptions'!$J:$J,'Intensity of Use Assumptions'!$D:$D,I203,'Intensity of Use Assumptions'!$G:$G,J203,'Intensity of Use Assumptions'!H:H,K203)</f>
        <v>0.5</v>
      </c>
      <c r="Q203" s="567" t="s">
        <v>221</v>
      </c>
      <c r="R203" s="1032">
        <f>(SUMPRODUCT(M203:M205,O203:O205)*P203)</f>
        <v>0</v>
      </c>
      <c r="S203" s="1033">
        <f>IF(R203=0,0,M205*P203)</f>
        <v>0</v>
      </c>
      <c r="T203" s="225" t="str">
        <f>G203&amp;"-"&amp;J203</f>
        <v>Terminal E-Ice machines</v>
      </c>
      <c r="U203" s="1034">
        <f ca="1">IF(ISNA(VLOOKUP(T203,list!$AV$3:$AW$130,2,FALSE)),1,(VLOOKUP(T203,list!$AV$3:$AW$130,2,FALSE)))</f>
        <v>1</v>
      </c>
      <c r="V203" s="1033">
        <f ca="1">R203*U203</f>
        <v>0</v>
      </c>
      <c r="W203" s="1033">
        <f ca="1">S203*U203</f>
        <v>0</v>
      </c>
    </row>
    <row r="204" spans="2:23" x14ac:dyDescent="0.3">
      <c r="B204" s="182"/>
      <c r="C204" s="577"/>
      <c r="D204" s="521" t="s">
        <v>1</v>
      </c>
      <c r="E204" s="521"/>
      <c r="F204" s="45"/>
      <c r="G204" s="494" t="s">
        <v>88</v>
      </c>
      <c r="H204" s="577"/>
      <c r="I204" s="450" t="s">
        <v>38</v>
      </c>
      <c r="J204" s="577" t="s">
        <v>20</v>
      </c>
      <c r="K204" s="577"/>
      <c r="L204" s="1035" t="s">
        <v>65</v>
      </c>
      <c r="M204" s="1036">
        <f>SUMIFS('Level of Efficiency Assumptions'!$J:$J,'Level of Efficiency Assumptions'!$D:$D,I204,'Level of Efficiency Assumptions'!$F:$F,J204,'Level of Efficiency Assumptions'!$I:$I,'Water Use Calcs'!L204)</f>
        <v>0.25</v>
      </c>
      <c r="N204" s="577"/>
      <c r="O204" s="1048">
        <f>SUMIFS('Detailed Fixture Data'!O:O,'Detailed Fixture Data'!C:C,G204,'Detailed Fixture Data'!E:E,I204,'Detailed Fixture Data'!F:F,J204,'Detailed Fixture Data'!L:L,L204)</f>
        <v>0</v>
      </c>
      <c r="P204" s="1049"/>
      <c r="Q204" s="577"/>
      <c r="R204" s="1039"/>
      <c r="S204" s="521"/>
      <c r="T204" s="225"/>
      <c r="U204" s="521"/>
      <c r="V204" s="1040"/>
      <c r="W204" s="1041"/>
    </row>
    <row r="205" spans="2:23" ht="15" thickBot="1" x14ac:dyDescent="0.35">
      <c r="B205" s="182"/>
      <c r="C205" s="577"/>
      <c r="D205" s="521" t="s">
        <v>1</v>
      </c>
      <c r="E205" s="521"/>
      <c r="F205" s="45"/>
      <c r="G205" s="494" t="s">
        <v>88</v>
      </c>
      <c r="H205" s="116"/>
      <c r="I205" s="451" t="s">
        <v>38</v>
      </c>
      <c r="J205" s="116" t="s">
        <v>20</v>
      </c>
      <c r="K205" s="116"/>
      <c r="L205" s="1042" t="s">
        <v>66</v>
      </c>
      <c r="M205" s="1043">
        <f>SUMIFS('Level of Efficiency Assumptions'!$J:$J,'Level of Efficiency Assumptions'!$D:$D,I205,'Level of Efficiency Assumptions'!$F:$F,J205,'Level of Efficiency Assumptions'!$I:$I,'Water Use Calcs'!L205)</f>
        <v>0.12</v>
      </c>
      <c r="N205" s="577"/>
      <c r="O205" s="1048">
        <f>SUMIFS('Detailed Fixture Data'!O:O,'Detailed Fixture Data'!C:C,G205,'Detailed Fixture Data'!E:E,I205,'Detailed Fixture Data'!F:F,J205,'Detailed Fixture Data'!L:L,L205)</f>
        <v>0</v>
      </c>
      <c r="P205" s="1049"/>
      <c r="Q205" s="577"/>
      <c r="R205" s="1039"/>
      <c r="S205" s="618"/>
      <c r="T205" s="225"/>
      <c r="U205" s="618"/>
      <c r="V205" s="1045"/>
      <c r="W205" s="1046"/>
    </row>
    <row r="206" spans="2:23" x14ac:dyDescent="0.3">
      <c r="B206" s="182"/>
      <c r="C206" s="577"/>
      <c r="D206" s="521" t="s">
        <v>1</v>
      </c>
      <c r="E206" s="521"/>
      <c r="F206" s="45"/>
      <c r="G206" s="494" t="s">
        <v>88</v>
      </c>
      <c r="H206" s="651" t="str">
        <f>I206</f>
        <v>Landscaping</v>
      </c>
      <c r="I206" s="450" t="s">
        <v>39</v>
      </c>
      <c r="J206" s="577" t="s">
        <v>42</v>
      </c>
      <c r="K206" s="577" t="s">
        <v>32</v>
      </c>
      <c r="L206" s="1047" t="s">
        <v>64</v>
      </c>
      <c r="M206" s="1036">
        <f>SUMIFS('Level of Efficiency Assumptions'!$J:$J,'Level of Efficiency Assumptions'!$D:$D,I206,'Level of Efficiency Assumptions'!$F:$F,J206,'Level of Efficiency Assumptions'!$I:$I,'Water Use Calcs'!L206)</f>
        <v>28.6</v>
      </c>
      <c r="N206" s="567" t="s">
        <v>816</v>
      </c>
      <c r="O206" s="1048">
        <f>SUMIFS('Detailed Fixture Data'!O:O,'Detailed Fixture Data'!C:C,G206,'Detailed Fixture Data'!E:E,I206,'Detailed Fixture Data'!F:F,J206,'Detailed Fixture Data'!L:L,L206)</f>
        <v>0</v>
      </c>
      <c r="P206" s="1030">
        <f>SUMIFS('Intensity of Use Assumptions'!$J:$J,'Intensity of Use Assumptions'!$D:$D,I206,'Intensity of Use Assumptions'!$G:$G,J206,'Intensity of Use Assumptions'!H:H,K206,'Intensity of Use Assumptions'!F:F,D206)</f>
        <v>2.7397260273972603E-3</v>
      </c>
      <c r="Q206" s="567" t="s">
        <v>815</v>
      </c>
      <c r="R206" s="1032">
        <f>(SUMPRODUCT(M206:M208,O206:O208)*P206)</f>
        <v>0</v>
      </c>
      <c r="S206" s="1033">
        <f>IF(R206=0,0,M208*P206)</f>
        <v>0</v>
      </c>
      <c r="T206" s="225" t="str">
        <f>G206&amp;"-"&amp;J206</f>
        <v>Terminal E-Outdoor irrigation</v>
      </c>
      <c r="U206" s="1034">
        <f ca="1">IF(ISNA(VLOOKUP(T206,list!$AV$3:$AW$130,2,FALSE)),1,(VLOOKUP(T206,list!$AV$3:$AW$130,2,FALSE)))</f>
        <v>1</v>
      </c>
      <c r="V206" s="1033">
        <f ca="1">R206*U206</f>
        <v>0</v>
      </c>
      <c r="W206" s="1033">
        <f ca="1">S206*U206</f>
        <v>0</v>
      </c>
    </row>
    <row r="207" spans="2:23" x14ac:dyDescent="0.3">
      <c r="B207" s="182"/>
      <c r="C207" s="577"/>
      <c r="D207" s="521" t="s">
        <v>1</v>
      </c>
      <c r="E207" s="521"/>
      <c r="F207" s="45"/>
      <c r="G207" s="494" t="s">
        <v>88</v>
      </c>
      <c r="H207" s="577"/>
      <c r="I207" s="450" t="s">
        <v>39</v>
      </c>
      <c r="J207" s="577" t="s">
        <v>42</v>
      </c>
      <c r="K207" s="577"/>
      <c r="L207" s="1035" t="s">
        <v>65</v>
      </c>
      <c r="M207" s="1036">
        <f>SUMIFS('Level of Efficiency Assumptions'!$J:$J,'Level of Efficiency Assumptions'!$D:$D,I207,'Level of Efficiency Assumptions'!$F:$F,J207,'Level of Efficiency Assumptions'!$I:$I,'Water Use Calcs'!L207)</f>
        <v>13.980821518350929</v>
      </c>
      <c r="N207" s="577"/>
      <c r="O207" s="1048">
        <f>SUMIFS('Detailed Fixture Data'!O:O,'Detailed Fixture Data'!C:C,G207,'Detailed Fixture Data'!E:E,I207,'Detailed Fixture Data'!F:F,J207,'Detailed Fixture Data'!L:L,L207)</f>
        <v>0</v>
      </c>
      <c r="P207" s="1049"/>
      <c r="Q207" s="577"/>
      <c r="R207" s="1039"/>
      <c r="S207" s="521"/>
      <c r="T207" s="225"/>
      <c r="U207" s="521"/>
      <c r="V207" s="1040"/>
      <c r="W207" s="1041"/>
    </row>
    <row r="208" spans="2:23" ht="15" thickBot="1" x14ac:dyDescent="0.35">
      <c r="B208" s="182"/>
      <c r="C208" s="577"/>
      <c r="D208" s="521" t="s">
        <v>1</v>
      </c>
      <c r="E208" s="521"/>
      <c r="F208" s="45"/>
      <c r="G208" s="494" t="s">
        <v>88</v>
      </c>
      <c r="H208" s="116"/>
      <c r="I208" s="451" t="s">
        <v>39</v>
      </c>
      <c r="J208" s="116" t="s">
        <v>42</v>
      </c>
      <c r="K208" s="116"/>
      <c r="L208" s="1042" t="s">
        <v>66</v>
      </c>
      <c r="M208" s="1043">
        <f>SUMIFS('Level of Efficiency Assumptions'!$J:$J,'Level of Efficiency Assumptions'!$D:$D,I208,'Level of Efficiency Assumptions'!$F:$F,J208,'Level of Efficiency Assumptions'!$I:$I,'Water Use Calcs'!L208)</f>
        <v>0.59137254901960778</v>
      </c>
      <c r="N208" s="577"/>
      <c r="O208" s="1048">
        <f>SUMIFS('Detailed Fixture Data'!O:O,'Detailed Fixture Data'!C:C,G208,'Detailed Fixture Data'!E:E,I208,'Detailed Fixture Data'!F:F,J208,'Detailed Fixture Data'!L:L,L208)</f>
        <v>0</v>
      </c>
      <c r="P208" s="1049"/>
      <c r="Q208" s="577"/>
      <c r="R208" s="1039"/>
      <c r="S208" s="618"/>
      <c r="T208" s="225"/>
      <c r="U208" s="618"/>
      <c r="V208" s="1045"/>
      <c r="W208" s="1046"/>
    </row>
    <row r="209" spans="2:23" x14ac:dyDescent="0.3">
      <c r="B209" s="182"/>
      <c r="C209" s="577"/>
      <c r="D209" s="521" t="s">
        <v>1</v>
      </c>
      <c r="E209" s="521"/>
      <c r="F209" s="45"/>
      <c r="G209" s="494" t="s">
        <v>88</v>
      </c>
      <c r="H209" s="651" t="str">
        <f>I209</f>
        <v>Maintenance</v>
      </c>
      <c r="I209" s="450" t="s">
        <v>43</v>
      </c>
      <c r="J209" s="577" t="s">
        <v>111</v>
      </c>
      <c r="K209" s="217" t="s">
        <v>424</v>
      </c>
      <c r="L209" s="1047" t="s">
        <v>64</v>
      </c>
      <c r="M209" s="1036">
        <f>SUMIFS('Level of Efficiency Assumptions'!$J:$J,'Level of Efficiency Assumptions'!$D:$D,I209,'Level of Efficiency Assumptions'!$F:$F,J209,'Level of Efficiency Assumptions'!$I:$I,'Water Use Calcs'!L209)</f>
        <v>100</v>
      </c>
      <c r="N209" s="567" t="s">
        <v>659</v>
      </c>
      <c r="O209" s="1048">
        <f>SUMIFS('Detailed Fixture Data'!O:O,'Detailed Fixture Data'!C:C,G209,'Detailed Fixture Data'!E:E,I209,'Detailed Fixture Data'!F:F,J209,'Detailed Fixture Data'!L:L,L209)</f>
        <v>0</v>
      </c>
      <c r="P209" s="1030">
        <f>SUMIFS('Intensity of Use Assumptions'!$J:$J,'Intensity of Use Assumptions'!$D:$D,I209,'Intensity of Use Assumptions'!$G:$G,J209,'Intensity of Use Assumptions'!H:H,K209)</f>
        <v>1</v>
      </c>
      <c r="Q209" s="567" t="s">
        <v>67</v>
      </c>
      <c r="R209" s="1032">
        <f>(SUMPRODUCT(M209:M211,O209:O211)*P209)</f>
        <v>0</v>
      </c>
      <c r="S209" s="1033">
        <f>IF(R209=0,0,M211*P209)</f>
        <v>0</v>
      </c>
      <c r="T209" s="225" t="str">
        <f>G209&amp;"-"&amp;J209</f>
        <v>Terminal E-Boiler</v>
      </c>
      <c r="U209" s="1034">
        <f ca="1">IF(ISNA(VLOOKUP(T209,list!$AV$3:$AW$130,2,FALSE)),1,(VLOOKUP(T209,list!$AV$3:$AW$130,2,FALSE)))</f>
        <v>1</v>
      </c>
      <c r="V209" s="1033">
        <f ca="1">R209*U209</f>
        <v>0</v>
      </c>
      <c r="W209" s="1033">
        <f ca="1">S209*U209</f>
        <v>0</v>
      </c>
    </row>
    <row r="210" spans="2:23" x14ac:dyDescent="0.3">
      <c r="B210" s="182"/>
      <c r="C210" s="577"/>
      <c r="D210" s="521" t="s">
        <v>1</v>
      </c>
      <c r="E210" s="521"/>
      <c r="F210" s="45"/>
      <c r="G210" s="494" t="s">
        <v>88</v>
      </c>
      <c r="H210" s="577"/>
      <c r="I210" s="450" t="s">
        <v>43</v>
      </c>
      <c r="J210" s="577" t="s">
        <v>111</v>
      </c>
      <c r="K210" s="382"/>
      <c r="L210" s="1035" t="s">
        <v>65</v>
      </c>
      <c r="M210" s="1036">
        <f>SUMIFS('Level of Efficiency Assumptions'!$J:$J,'Level of Efficiency Assumptions'!$D:$D,I210,'Level of Efficiency Assumptions'!$F:$F,J210,'Level of Efficiency Assumptions'!$I:$I,'Water Use Calcs'!L210)</f>
        <v>75</v>
      </c>
      <c r="N210" s="577"/>
      <c r="O210" s="1048">
        <f>SUMIFS('Detailed Fixture Data'!O:O,'Detailed Fixture Data'!C:C,G210,'Detailed Fixture Data'!E:E,I210,'Detailed Fixture Data'!F:F,J210,'Detailed Fixture Data'!L:L,L210)</f>
        <v>0</v>
      </c>
      <c r="P210" s="1049"/>
      <c r="Q210" s="577"/>
      <c r="R210" s="1039"/>
      <c r="S210" s="521"/>
      <c r="T210" s="225"/>
      <c r="U210" s="521"/>
      <c r="V210" s="1040"/>
      <c r="W210" s="1041"/>
    </row>
    <row r="211" spans="2:23" ht="15" thickBot="1" x14ac:dyDescent="0.35">
      <c r="B211" s="182"/>
      <c r="C211" s="577"/>
      <c r="D211" s="521" t="s">
        <v>1</v>
      </c>
      <c r="E211" s="521"/>
      <c r="F211" s="45"/>
      <c r="G211" s="494" t="s">
        <v>88</v>
      </c>
      <c r="H211" s="577"/>
      <c r="I211" s="450" t="s">
        <v>43</v>
      </c>
      <c r="J211" s="116" t="s">
        <v>111</v>
      </c>
      <c r="K211" s="116"/>
      <c r="L211" s="1042" t="s">
        <v>66</v>
      </c>
      <c r="M211" s="1043">
        <f>SUMIFS('Level of Efficiency Assumptions'!$J:$J,'Level of Efficiency Assumptions'!$D:$D,I211,'Level of Efficiency Assumptions'!$F:$F,J211,'Level of Efficiency Assumptions'!$I:$I,'Water Use Calcs'!L211)</f>
        <v>50</v>
      </c>
      <c r="N211" s="577"/>
      <c r="O211" s="1048">
        <f>SUMIFS('Detailed Fixture Data'!O:O,'Detailed Fixture Data'!C:C,G211,'Detailed Fixture Data'!E:E,I211,'Detailed Fixture Data'!F:F,J211,'Detailed Fixture Data'!L:L,L211)</f>
        <v>0</v>
      </c>
      <c r="P211" s="1049"/>
      <c r="Q211" s="577"/>
      <c r="R211" s="1039"/>
      <c r="S211" s="618"/>
      <c r="T211" s="225"/>
      <c r="U211" s="618"/>
      <c r="V211" s="1045"/>
      <c r="W211" s="1046"/>
    </row>
    <row r="212" spans="2:23" x14ac:dyDescent="0.3">
      <c r="B212" s="182"/>
      <c r="C212" s="577"/>
      <c r="D212" s="521" t="s">
        <v>1</v>
      </c>
      <c r="E212" s="521"/>
      <c r="F212" s="45"/>
      <c r="G212" s="494" t="s">
        <v>88</v>
      </c>
      <c r="H212" s="577"/>
      <c r="I212" s="450" t="s">
        <v>43</v>
      </c>
      <c r="J212" s="577" t="s">
        <v>7</v>
      </c>
      <c r="K212" s="215" t="s">
        <v>365</v>
      </c>
      <c r="L212" s="1012" t="s">
        <v>257</v>
      </c>
      <c r="M212" s="1050"/>
      <c r="N212" s="1050"/>
      <c r="O212" s="1050"/>
      <c r="P212" s="1051"/>
      <c r="Q212" s="981"/>
      <c r="R212" s="1052">
        <f>SUMIFS('Cooling Data'!H:H,'Cooling Data'!$C:$C,$G212,'Cooling Data'!$E:$E,$I212,'Cooling Data'!$F:$F,$J212)</f>
        <v>0</v>
      </c>
      <c r="S212" s="1052">
        <f>SUMIFS('Cooling Data'!J:J,'Cooling Data'!$C:$C,$G212,'Cooling Data'!$E:$E,$I212,'Cooling Data'!$F:$F,$J212)</f>
        <v>0</v>
      </c>
      <c r="T212" s="225" t="str">
        <f>G212&amp;"-"&amp;J212</f>
        <v>Terminal E-Cooling</v>
      </c>
      <c r="U212" s="1034">
        <f ca="1">IF(ISNA(VLOOKUP(T212,list!$AV$3:$AW$130,2,FALSE)),1,(VLOOKUP(T212,list!$AV$3:$AW$130,2,FALSE)))</f>
        <v>1</v>
      </c>
      <c r="V212" s="1033">
        <f ca="1">R212*U212</f>
        <v>0</v>
      </c>
      <c r="W212" s="1033">
        <f ca="1">S212*U212</f>
        <v>0</v>
      </c>
    </row>
    <row r="213" spans="2:23" x14ac:dyDescent="0.3">
      <c r="B213" s="182"/>
      <c r="C213" s="577"/>
      <c r="D213" s="521" t="s">
        <v>1</v>
      </c>
      <c r="E213" s="521"/>
      <c r="F213" s="45"/>
      <c r="G213" s="494" t="s">
        <v>88</v>
      </c>
      <c r="H213" s="577"/>
      <c r="I213" s="450" t="s">
        <v>43</v>
      </c>
      <c r="J213" s="577" t="s">
        <v>7</v>
      </c>
      <c r="K213" s="577"/>
      <c r="L213" s="206"/>
      <c r="M213" s="181"/>
      <c r="N213" s="181"/>
      <c r="O213" s="181"/>
      <c r="P213" s="1053"/>
      <c r="Q213" s="439"/>
      <c r="R213" s="1039"/>
      <c r="S213" s="521"/>
      <c r="T213" s="225"/>
      <c r="U213" s="521"/>
      <c r="V213" s="1040"/>
      <c r="W213" s="1041"/>
    </row>
    <row r="214" spans="2:23" ht="15" thickBot="1" x14ac:dyDescent="0.35">
      <c r="B214" s="182"/>
      <c r="C214" s="577"/>
      <c r="D214" s="521" t="s">
        <v>1</v>
      </c>
      <c r="E214" s="521"/>
      <c r="F214" s="45"/>
      <c r="G214" s="494" t="s">
        <v>88</v>
      </c>
      <c r="H214" s="577"/>
      <c r="I214" s="450" t="s">
        <v>43</v>
      </c>
      <c r="J214" s="116" t="s">
        <v>7</v>
      </c>
      <c r="K214" s="116"/>
      <c r="L214" s="207"/>
      <c r="M214" s="924"/>
      <c r="N214" s="924"/>
      <c r="O214" s="924"/>
      <c r="P214" s="1054"/>
      <c r="Q214" s="606"/>
      <c r="R214" s="1039"/>
      <c r="S214" s="618"/>
      <c r="T214" s="225"/>
      <c r="U214" s="618"/>
      <c r="V214" s="1045"/>
      <c r="W214" s="1046"/>
    </row>
    <row r="215" spans="2:23" x14ac:dyDescent="0.3">
      <c r="B215" s="182"/>
      <c r="C215" s="577"/>
      <c r="D215" s="521" t="s">
        <v>1</v>
      </c>
      <c r="E215" s="521"/>
      <c r="F215" s="45"/>
      <c r="G215" s="494" t="s">
        <v>88</v>
      </c>
      <c r="H215" s="577"/>
      <c r="I215" s="450" t="s">
        <v>43</v>
      </c>
      <c r="J215" s="577" t="s">
        <v>426</v>
      </c>
      <c r="K215" s="577" t="s">
        <v>3</v>
      </c>
      <c r="L215" s="1047" t="s">
        <v>64</v>
      </c>
      <c r="M215" s="1036">
        <f>SUMIFS('Level of Efficiency Assumptions'!$J:$J,'Level of Efficiency Assumptions'!$D:$D,I215,'Level of Efficiency Assumptions'!$F:$F,J215,'Level of Efficiency Assumptions'!$I:$I,'Water Use Calcs'!L215)</f>
        <v>10</v>
      </c>
      <c r="N215" s="567" t="s">
        <v>588</v>
      </c>
      <c r="O215" s="1048">
        <f>SUMIFS('Detailed Fixture Data'!O:O,'Detailed Fixture Data'!C:C,G215,'Detailed Fixture Data'!E:E,I215,'Detailed Fixture Data'!F:F,J215,'Detailed Fixture Data'!L:L,L215)</f>
        <v>0</v>
      </c>
      <c r="P215" s="1030">
        <f>SUMIFS('Intensity of Use Assumptions'!$J:$J,'Intensity of Use Assumptions'!$D:$D,I215,'Intensity of Use Assumptions'!$G:$G,J215,'Intensity of Use Assumptions'!H:H,K215)</f>
        <v>1E-3</v>
      </c>
      <c r="Q215" s="567" t="s">
        <v>67</v>
      </c>
      <c r="R215" s="1032">
        <f>(SUMPRODUCT(M215:M217,O215:O217)*P215)</f>
        <v>0</v>
      </c>
      <c r="S215" s="1033">
        <f>IF(R215=0,0,M217*P215)</f>
        <v>0</v>
      </c>
      <c r="T215" s="225" t="str">
        <f>G215&amp;"-"&amp;J215</f>
        <v>Terminal E-Pavement cleaning</v>
      </c>
      <c r="U215" s="1034">
        <f ca="1">IF(ISNA(VLOOKUP(T215,list!$AV$3:$AW$130,2,FALSE)),1,(VLOOKUP(T215,list!$AV$3:$AW$130,2,FALSE)))</f>
        <v>1</v>
      </c>
      <c r="V215" s="1033">
        <f ca="1">R215*U215</f>
        <v>0</v>
      </c>
      <c r="W215" s="1033">
        <f ca="1">S215*U215</f>
        <v>0</v>
      </c>
    </row>
    <row r="216" spans="2:23" x14ac:dyDescent="0.3">
      <c r="B216" s="182"/>
      <c r="C216" s="577"/>
      <c r="D216" s="521" t="s">
        <v>1</v>
      </c>
      <c r="E216" s="521"/>
      <c r="F216" s="45"/>
      <c r="G216" s="494" t="s">
        <v>88</v>
      </c>
      <c r="H216" s="577"/>
      <c r="I216" s="450" t="s">
        <v>43</v>
      </c>
      <c r="J216" s="577" t="s">
        <v>426</v>
      </c>
      <c r="K216" s="577"/>
      <c r="L216" s="1035" t="s">
        <v>65</v>
      </c>
      <c r="M216" s="1036">
        <f>SUMIFS('Level of Efficiency Assumptions'!$J:$J,'Level of Efficiency Assumptions'!$D:$D,I216,'Level of Efficiency Assumptions'!$F:$F,J216,'Level of Efficiency Assumptions'!$I:$I,'Water Use Calcs'!L216)</f>
        <v>7.5</v>
      </c>
      <c r="N216" s="577"/>
      <c r="O216" s="1048">
        <f>SUMIFS('Detailed Fixture Data'!O:O,'Detailed Fixture Data'!C:C,G216,'Detailed Fixture Data'!E:E,I216,'Detailed Fixture Data'!F:F,J216,'Detailed Fixture Data'!L:L,L216)</f>
        <v>0</v>
      </c>
      <c r="P216" s="1049"/>
      <c r="Q216" s="577"/>
      <c r="R216" s="1039"/>
      <c r="S216" s="521"/>
      <c r="T216" s="225"/>
      <c r="U216" s="521"/>
      <c r="V216" s="1040"/>
      <c r="W216" s="1041"/>
    </row>
    <row r="217" spans="2:23" ht="15" thickBot="1" x14ac:dyDescent="0.35">
      <c r="B217" s="182"/>
      <c r="C217" s="577"/>
      <c r="D217" s="521" t="s">
        <v>1</v>
      </c>
      <c r="E217" s="521"/>
      <c r="F217" s="45"/>
      <c r="G217" s="494" t="s">
        <v>88</v>
      </c>
      <c r="H217" s="116"/>
      <c r="I217" s="451" t="s">
        <v>43</v>
      </c>
      <c r="J217" s="116" t="s">
        <v>426</v>
      </c>
      <c r="K217" s="116"/>
      <c r="L217" s="1042" t="s">
        <v>66</v>
      </c>
      <c r="M217" s="1043">
        <f>SUMIFS('Level of Efficiency Assumptions'!$J:$J,'Level of Efficiency Assumptions'!$D:$D,I217,'Level of Efficiency Assumptions'!$F:$F,J217,'Level of Efficiency Assumptions'!$I:$I,'Water Use Calcs'!L217)</f>
        <v>5</v>
      </c>
      <c r="N217" s="577"/>
      <c r="O217" s="1048">
        <f>SUMIFS('Detailed Fixture Data'!O:O,'Detailed Fixture Data'!C:C,G217,'Detailed Fixture Data'!E:E,I217,'Detailed Fixture Data'!F:F,J217,'Detailed Fixture Data'!L:L,L217)</f>
        <v>0</v>
      </c>
      <c r="P217" s="1049"/>
      <c r="Q217" s="577"/>
      <c r="R217" s="1039"/>
      <c r="S217" s="618"/>
      <c r="T217" s="225"/>
      <c r="U217" s="618"/>
      <c r="V217" s="1045"/>
      <c r="W217" s="1046"/>
    </row>
    <row r="218" spans="2:23" x14ac:dyDescent="0.3">
      <c r="B218" s="182"/>
      <c r="C218" s="577"/>
      <c r="D218" s="521" t="s">
        <v>1</v>
      </c>
      <c r="E218" s="521"/>
      <c r="F218" s="45"/>
      <c r="G218" s="494" t="s">
        <v>88</v>
      </c>
      <c r="H218" s="651" t="str">
        <f>I218</f>
        <v>Other</v>
      </c>
      <c r="I218" s="450" t="s">
        <v>8</v>
      </c>
      <c r="J218" s="577" t="s">
        <v>52</v>
      </c>
      <c r="K218" s="387" t="s">
        <v>362</v>
      </c>
      <c r="L218" s="1047" t="s">
        <v>64</v>
      </c>
      <c r="M218" s="1036">
        <f>SUMIFS('Level of Efficiency Assumptions'!$J:$J,'Level of Efficiency Assumptions'!$D:$D,I218,'Level of Efficiency Assumptions'!$F:$F,J218,'Level of Efficiency Assumptions'!$I:$I,'Water Use Calcs'!L218)</f>
        <v>10</v>
      </c>
      <c r="N218" s="567" t="s">
        <v>660</v>
      </c>
      <c r="O218" s="1048">
        <f>SUMIFS('Detailed Fixture Data'!O:O,'Detailed Fixture Data'!C:C,G218,'Detailed Fixture Data'!E:E,I218,'Detailed Fixture Data'!F:F,J218,'Detailed Fixture Data'!L:L,L218)</f>
        <v>0</v>
      </c>
      <c r="P218" s="1030">
        <f>SUMIFS('Intensity of Use Assumptions'!$J:$J,'Intensity of Use Assumptions'!$D:$D,I218,'Intensity of Use Assumptions'!$G:$G,J218,'Intensity of Use Assumptions'!H:H,K218)</f>
        <v>1</v>
      </c>
      <c r="Q218" s="567" t="s">
        <v>67</v>
      </c>
      <c r="R218" s="1032">
        <f>(SUMPRODUCT(M218:M220,O218:O220)*P218)</f>
        <v>0</v>
      </c>
      <c r="S218" s="1033">
        <f>IF(R218=0,0,M220*P218)</f>
        <v>0</v>
      </c>
      <c r="T218" s="225" t="str">
        <f>G218&amp;"-"&amp;J218</f>
        <v>Terminal E-Other 1</v>
      </c>
      <c r="U218" s="1034">
        <f ca="1">IF(ISNA(VLOOKUP(T218,list!$AV$3:$AW$130,2,FALSE)),1,(VLOOKUP(T218,list!$AV$3:$AW$130,2,FALSE)))</f>
        <v>1</v>
      </c>
      <c r="V218" s="1033">
        <f ca="1">R218*U218</f>
        <v>0</v>
      </c>
      <c r="W218" s="1033">
        <f ca="1">S218*U218</f>
        <v>0</v>
      </c>
    </row>
    <row r="219" spans="2:23" x14ac:dyDescent="0.3">
      <c r="B219" s="182"/>
      <c r="C219" s="577"/>
      <c r="D219" s="521" t="s">
        <v>1</v>
      </c>
      <c r="E219" s="521"/>
      <c r="F219" s="45"/>
      <c r="G219" s="494" t="s">
        <v>88</v>
      </c>
      <c r="H219" s="577"/>
      <c r="I219" s="450" t="s">
        <v>8</v>
      </c>
      <c r="J219" s="577" t="s">
        <v>52</v>
      </c>
      <c r="K219" s="382"/>
      <c r="L219" s="1035" t="s">
        <v>65</v>
      </c>
      <c r="M219" s="1036">
        <f>SUMIFS('Level of Efficiency Assumptions'!$J:$J,'Level of Efficiency Assumptions'!$D:$D,I219,'Level of Efficiency Assumptions'!$F:$F,J219,'Level of Efficiency Assumptions'!$I:$I,'Water Use Calcs'!L219)</f>
        <v>7.5</v>
      </c>
      <c r="N219" s="577"/>
      <c r="O219" s="1048">
        <f>SUMIFS('Detailed Fixture Data'!O:O,'Detailed Fixture Data'!C:C,G219,'Detailed Fixture Data'!E:E,I219,'Detailed Fixture Data'!F:F,J219,'Detailed Fixture Data'!L:L,L219)</f>
        <v>0</v>
      </c>
      <c r="P219" s="1049"/>
      <c r="Q219" s="577"/>
      <c r="R219" s="1039"/>
      <c r="S219" s="521"/>
      <c r="T219" s="225"/>
      <c r="U219" s="521"/>
      <c r="V219" s="1040"/>
      <c r="W219" s="1041"/>
    </row>
    <row r="220" spans="2:23" ht="15" thickBot="1" x14ac:dyDescent="0.35">
      <c r="B220" s="182"/>
      <c r="C220" s="577"/>
      <c r="D220" s="521" t="s">
        <v>1</v>
      </c>
      <c r="E220" s="521"/>
      <c r="F220" s="45"/>
      <c r="G220" s="494" t="s">
        <v>88</v>
      </c>
      <c r="H220" s="577"/>
      <c r="I220" s="450" t="s">
        <v>8</v>
      </c>
      <c r="J220" s="116" t="s">
        <v>52</v>
      </c>
      <c r="K220" s="382"/>
      <c r="L220" s="1042" t="s">
        <v>66</v>
      </c>
      <c r="M220" s="1043">
        <f>SUMIFS('Level of Efficiency Assumptions'!$J:$J,'Level of Efficiency Assumptions'!$D:$D,I220,'Level of Efficiency Assumptions'!$F:$F,J220,'Level of Efficiency Assumptions'!$I:$I,'Water Use Calcs'!L220)</f>
        <v>5</v>
      </c>
      <c r="N220" s="577"/>
      <c r="O220" s="1048">
        <f>SUMIFS('Detailed Fixture Data'!O:O,'Detailed Fixture Data'!C:C,G220,'Detailed Fixture Data'!E:E,I220,'Detailed Fixture Data'!F:F,J220,'Detailed Fixture Data'!L:L,L220)</f>
        <v>0</v>
      </c>
      <c r="P220" s="1049"/>
      <c r="Q220" s="577"/>
      <c r="R220" s="1039"/>
      <c r="S220" s="618"/>
      <c r="T220" s="225"/>
      <c r="U220" s="618"/>
      <c r="V220" s="1045"/>
      <c r="W220" s="1046"/>
    </row>
    <row r="221" spans="2:23" x14ac:dyDescent="0.3">
      <c r="B221" s="182"/>
      <c r="C221" s="577"/>
      <c r="D221" s="521" t="s">
        <v>1</v>
      </c>
      <c r="E221" s="521"/>
      <c r="F221" s="45"/>
      <c r="G221" s="494" t="s">
        <v>88</v>
      </c>
      <c r="H221" s="577"/>
      <c r="I221" s="450" t="s">
        <v>8</v>
      </c>
      <c r="J221" s="577" t="s">
        <v>53</v>
      </c>
      <c r="K221" s="1055" t="s">
        <v>363</v>
      </c>
      <c r="L221" s="1047" t="s">
        <v>64</v>
      </c>
      <c r="M221" s="1036">
        <f>SUMIFS('Level of Efficiency Assumptions'!$J:$J,'Level of Efficiency Assumptions'!$D:$D,I221,'Level of Efficiency Assumptions'!$F:$F,J221,'Level of Efficiency Assumptions'!$I:$I,'Water Use Calcs'!L221)</f>
        <v>10</v>
      </c>
      <c r="N221" s="567" t="s">
        <v>660</v>
      </c>
      <c r="O221" s="1048">
        <f>SUMIFS('Detailed Fixture Data'!O:O,'Detailed Fixture Data'!C:C,G221,'Detailed Fixture Data'!E:E,I221,'Detailed Fixture Data'!F:F,J221,'Detailed Fixture Data'!L:L,L221)</f>
        <v>0</v>
      </c>
      <c r="P221" s="1030">
        <f>SUMIFS('Intensity of Use Assumptions'!$J:$J,'Intensity of Use Assumptions'!$D:$D,I221,'Intensity of Use Assumptions'!$G:$G,J221,'Intensity of Use Assumptions'!H:H,K221)</f>
        <v>1</v>
      </c>
      <c r="Q221" s="567" t="s">
        <v>67</v>
      </c>
      <c r="R221" s="1032">
        <f>(SUMPRODUCT(M221:M223,O221:O223)*P221)</f>
        <v>0</v>
      </c>
      <c r="S221" s="1033">
        <f>IF(R221=0,0,M223*P221)</f>
        <v>0</v>
      </c>
      <c r="T221" s="225" t="str">
        <f>G221&amp;"-"&amp;J221</f>
        <v>Terminal E-Other 2</v>
      </c>
      <c r="U221" s="1034">
        <f ca="1">IF(ISNA(VLOOKUP(T221,list!$AV$3:$AW$130,2,FALSE)),1,(VLOOKUP(T221,list!$AV$3:$AW$130,2,FALSE)))</f>
        <v>1</v>
      </c>
      <c r="V221" s="1033">
        <f ca="1">R221*U221</f>
        <v>0</v>
      </c>
      <c r="W221" s="1033">
        <f ca="1">S221*U221</f>
        <v>0</v>
      </c>
    </row>
    <row r="222" spans="2:23" x14ac:dyDescent="0.3">
      <c r="B222" s="182"/>
      <c r="C222" s="577"/>
      <c r="D222" s="521" t="s">
        <v>1</v>
      </c>
      <c r="E222" s="521"/>
      <c r="F222" s="45"/>
      <c r="G222" s="494" t="s">
        <v>88</v>
      </c>
      <c r="H222" s="577"/>
      <c r="I222" s="450" t="s">
        <v>8</v>
      </c>
      <c r="J222" s="577" t="s">
        <v>53</v>
      </c>
      <c r="K222" s="577"/>
      <c r="L222" s="1035" t="s">
        <v>65</v>
      </c>
      <c r="M222" s="1036">
        <f>SUMIFS('Level of Efficiency Assumptions'!$J:$J,'Level of Efficiency Assumptions'!$D:$D,I222,'Level of Efficiency Assumptions'!$F:$F,J222,'Level of Efficiency Assumptions'!$I:$I,'Water Use Calcs'!L222)</f>
        <v>7.5</v>
      </c>
      <c r="N222" s="577"/>
      <c r="O222" s="1048">
        <f>SUMIFS('Detailed Fixture Data'!O:O,'Detailed Fixture Data'!C:C,G222,'Detailed Fixture Data'!E:E,I222,'Detailed Fixture Data'!F:F,J222,'Detailed Fixture Data'!L:L,L222)</f>
        <v>0</v>
      </c>
      <c r="P222" s="1049"/>
      <c r="Q222" s="577"/>
      <c r="R222" s="1039"/>
      <c r="S222" s="521"/>
      <c r="T222" s="225"/>
      <c r="U222" s="521"/>
      <c r="V222" s="1040"/>
      <c r="W222" s="1041"/>
    </row>
    <row r="223" spans="2:23" ht="15" thickBot="1" x14ac:dyDescent="0.35">
      <c r="B223" s="182"/>
      <c r="C223" s="577"/>
      <c r="D223" s="521" t="s">
        <v>1</v>
      </c>
      <c r="E223" s="521"/>
      <c r="F223" s="45"/>
      <c r="G223" s="494" t="s">
        <v>88</v>
      </c>
      <c r="H223" s="577"/>
      <c r="I223" s="450" t="s">
        <v>8</v>
      </c>
      <c r="J223" s="116" t="s">
        <v>53</v>
      </c>
      <c r="K223" s="116"/>
      <c r="L223" s="1042" t="s">
        <v>66</v>
      </c>
      <c r="M223" s="1043">
        <f>SUMIFS('Level of Efficiency Assumptions'!$J:$J,'Level of Efficiency Assumptions'!$D:$D,I223,'Level of Efficiency Assumptions'!$F:$F,J223,'Level of Efficiency Assumptions'!$I:$I,'Water Use Calcs'!L223)</f>
        <v>5</v>
      </c>
      <c r="N223" s="577"/>
      <c r="O223" s="1048">
        <f>SUMIFS('Detailed Fixture Data'!O:O,'Detailed Fixture Data'!C:C,G223,'Detailed Fixture Data'!E:E,I223,'Detailed Fixture Data'!F:F,J223,'Detailed Fixture Data'!L:L,L223)</f>
        <v>0</v>
      </c>
      <c r="P223" s="1049"/>
      <c r="Q223" s="577"/>
      <c r="R223" s="1039"/>
      <c r="S223" s="618"/>
      <c r="T223" s="225"/>
      <c r="U223" s="618"/>
      <c r="V223" s="1045"/>
      <c r="W223" s="1046"/>
    </row>
    <row r="224" spans="2:23" x14ac:dyDescent="0.3">
      <c r="B224" s="182"/>
      <c r="C224" s="577"/>
      <c r="D224" s="521" t="s">
        <v>1</v>
      </c>
      <c r="E224" s="521"/>
      <c r="F224" s="45"/>
      <c r="G224" s="494" t="s">
        <v>88</v>
      </c>
      <c r="H224" s="577"/>
      <c r="I224" s="450" t="s">
        <v>8</v>
      </c>
      <c r="J224" s="577" t="s">
        <v>54</v>
      </c>
      <c r="K224" s="379" t="s">
        <v>364</v>
      </c>
      <c r="L224" s="1047" t="s">
        <v>64</v>
      </c>
      <c r="M224" s="1036">
        <f>SUMIFS('Level of Efficiency Assumptions'!$J:$J,'Level of Efficiency Assumptions'!$D:$D,I224,'Level of Efficiency Assumptions'!$F:$F,J224,'Level of Efficiency Assumptions'!$I:$I,'Water Use Calcs'!L224)</f>
        <v>10</v>
      </c>
      <c r="N224" s="567" t="s">
        <v>660</v>
      </c>
      <c r="O224" s="1048">
        <f>SUMIFS('Detailed Fixture Data'!O:O,'Detailed Fixture Data'!C:C,G224,'Detailed Fixture Data'!E:E,I224,'Detailed Fixture Data'!F:F,J224,'Detailed Fixture Data'!L:L,L224)</f>
        <v>0</v>
      </c>
      <c r="P224" s="1030">
        <f>SUMIFS('Intensity of Use Assumptions'!$J:$J,'Intensity of Use Assumptions'!$D:$D,I224,'Intensity of Use Assumptions'!$G:$G,J224,'Intensity of Use Assumptions'!H:H,K224)</f>
        <v>1</v>
      </c>
      <c r="Q224" s="567" t="s">
        <v>67</v>
      </c>
      <c r="R224" s="1032">
        <f>(SUMPRODUCT(M224:M226,O224:O226)*P224)</f>
        <v>0</v>
      </c>
      <c r="S224" s="1033">
        <f>IF(R224=0,0,M226*P224)</f>
        <v>0</v>
      </c>
      <c r="T224" s="225" t="str">
        <f>G224&amp;"-"&amp;J224</f>
        <v>Terminal E-Other 3</v>
      </c>
      <c r="U224" s="1034">
        <f ca="1">IF(ISNA(VLOOKUP(T224,list!$AV$3:$AW$130,2,FALSE)),1,(VLOOKUP(T224,list!$AV$3:$AW$130,2,FALSE)))</f>
        <v>1</v>
      </c>
      <c r="V224" s="1033">
        <f ca="1">R224*U224</f>
        <v>0</v>
      </c>
      <c r="W224" s="1033">
        <f ca="1">S224*U224</f>
        <v>0</v>
      </c>
    </row>
    <row r="225" spans="2:23" x14ac:dyDescent="0.3">
      <c r="B225" s="182"/>
      <c r="C225" s="577"/>
      <c r="D225" s="521" t="s">
        <v>1</v>
      </c>
      <c r="E225" s="521"/>
      <c r="F225" s="45"/>
      <c r="G225" s="494" t="s">
        <v>88</v>
      </c>
      <c r="H225" s="577"/>
      <c r="I225" s="450" t="s">
        <v>8</v>
      </c>
      <c r="J225" s="577" t="s">
        <v>54</v>
      </c>
      <c r="K225" s="577"/>
      <c r="L225" s="1035" t="s">
        <v>65</v>
      </c>
      <c r="M225" s="1036">
        <f>SUMIFS('Level of Efficiency Assumptions'!$J:$J,'Level of Efficiency Assumptions'!$D:$D,I225,'Level of Efficiency Assumptions'!$F:$F,J225,'Level of Efficiency Assumptions'!$I:$I,'Water Use Calcs'!L225)</f>
        <v>7.5</v>
      </c>
      <c r="N225" s="577"/>
      <c r="O225" s="1048">
        <f>SUMIFS('Detailed Fixture Data'!O:O,'Detailed Fixture Data'!C:C,G225,'Detailed Fixture Data'!E:E,I225,'Detailed Fixture Data'!F:F,J225,'Detailed Fixture Data'!L:L,L225)</f>
        <v>0</v>
      </c>
      <c r="P225" s="1049"/>
      <c r="Q225" s="577"/>
      <c r="R225" s="1039"/>
      <c r="S225" s="521"/>
      <c r="T225" s="225"/>
      <c r="U225" s="521"/>
      <c r="V225" s="1040"/>
      <c r="W225" s="1041"/>
    </row>
    <row r="226" spans="2:23" ht="15" thickBot="1" x14ac:dyDescent="0.35">
      <c r="B226" s="182"/>
      <c r="C226" s="577"/>
      <c r="D226" s="618" t="s">
        <v>1</v>
      </c>
      <c r="E226" s="618"/>
      <c r="F226" s="1059"/>
      <c r="G226" s="501" t="s">
        <v>88</v>
      </c>
      <c r="H226" s="116"/>
      <c r="I226" s="451" t="s">
        <v>8</v>
      </c>
      <c r="J226" s="116" t="s">
        <v>54</v>
      </c>
      <c r="K226" s="116"/>
      <c r="L226" s="1042" t="s">
        <v>66</v>
      </c>
      <c r="M226" s="1043">
        <f>SUMIFS('Level of Efficiency Assumptions'!$J:$J,'Level of Efficiency Assumptions'!$D:$D,I226,'Level of Efficiency Assumptions'!$F:$F,J226,'Level of Efficiency Assumptions'!$I:$I,'Water Use Calcs'!L226)</f>
        <v>5</v>
      </c>
      <c r="N226" s="116"/>
      <c r="O226" s="1048">
        <f>SUMIFS('Detailed Fixture Data'!O:O,'Detailed Fixture Data'!C:C,G226,'Detailed Fixture Data'!E:E,I226,'Detailed Fixture Data'!F:F,J226,'Detailed Fixture Data'!L:L,L226)</f>
        <v>0</v>
      </c>
      <c r="P226" s="1049"/>
      <c r="Q226" s="116"/>
      <c r="R226" s="1045"/>
      <c r="S226" s="618"/>
      <c r="T226" s="225"/>
      <c r="U226" s="618"/>
      <c r="V226" s="1045"/>
      <c r="W226" s="1046"/>
    </row>
    <row r="227" spans="2:23" x14ac:dyDescent="0.3">
      <c r="B227" s="182"/>
      <c r="C227" s="651" t="str">
        <f>D227</f>
        <v>Office Buildings</v>
      </c>
      <c r="D227" s="619" t="s">
        <v>412</v>
      </c>
      <c r="E227" s="619" t="str">
        <f>G227</f>
        <v>Office Building A</v>
      </c>
      <c r="F227" s="565" t="str">
        <f>VLOOKUP(E227,'Airport Mapping'!$C$5:$D$39,2,FALSE)</f>
        <v xml:space="preserve"> </v>
      </c>
      <c r="G227" s="494" t="s">
        <v>383</v>
      </c>
      <c r="H227" s="651" t="str">
        <f>I227</f>
        <v>Restrooms</v>
      </c>
      <c r="I227" s="450" t="s">
        <v>37</v>
      </c>
      <c r="J227" s="577" t="s">
        <v>2</v>
      </c>
      <c r="K227" s="577" t="s">
        <v>6</v>
      </c>
      <c r="L227" s="1028" t="s">
        <v>64</v>
      </c>
      <c r="M227" s="1036">
        <f>SUMIFS('Level of Efficiency Assumptions'!$J:$J,'Level of Efficiency Assumptions'!$D:$D,I227,'Level of Efficiency Assumptions'!$F:$F,J227,'Level of Efficiency Assumptions'!$I:$I,'Water Use Calcs'!L227)</f>
        <v>3.5</v>
      </c>
      <c r="N227" s="567" t="s">
        <v>68</v>
      </c>
      <c r="O227" s="1048">
        <f>SUMIFS('Detailed Fixture Data'!O:O,'Detailed Fixture Data'!C:C,G227,'Detailed Fixture Data'!E:E,I227,'Detailed Fixture Data'!F:F,J227,'Detailed Fixture Data'!L:L,L227)</f>
        <v>0</v>
      </c>
      <c r="P227" s="1030">
        <f>SUMIFS('Intensity of Use Assumptions'!$J:$J,'Intensity of Use Assumptions'!$D:$D,I227,'Intensity of Use Assumptions'!$G:$G,J227,'Intensity of Use Assumptions'!H:H,K227)</f>
        <v>2.5</v>
      </c>
      <c r="Q227" s="567" t="s">
        <v>67</v>
      </c>
      <c r="R227" s="1032">
        <f>(SUMPRODUCT(M227:M229,O227:O229)*P227)</f>
        <v>0</v>
      </c>
      <c r="S227" s="1033">
        <f>IF(R227=0,0,M229*P227)</f>
        <v>0</v>
      </c>
      <c r="T227" s="225" t="str">
        <f>G227&amp;"-"&amp;J227</f>
        <v>Office Building A-Toilets</v>
      </c>
      <c r="U227" s="1034">
        <f ca="1">IF(ISNA(VLOOKUP(T227,list!$AV$3:$AW$130,2,FALSE)),1,(VLOOKUP(T227,list!$AV$3:$AW$130,2,FALSE)))</f>
        <v>1</v>
      </c>
      <c r="V227" s="1033">
        <f ca="1">R227*U227</f>
        <v>0</v>
      </c>
      <c r="W227" s="1033">
        <f ca="1">S227*U227</f>
        <v>0</v>
      </c>
    </row>
    <row r="228" spans="2:23" x14ac:dyDescent="0.3">
      <c r="B228" s="182"/>
      <c r="C228" s="577"/>
      <c r="D228" s="521" t="s">
        <v>412</v>
      </c>
      <c r="E228" s="521"/>
      <c r="F228" s="85"/>
      <c r="G228" s="494" t="s">
        <v>383</v>
      </c>
      <c r="H228" s="577"/>
      <c r="I228" s="450" t="s">
        <v>37</v>
      </c>
      <c r="J228" s="577" t="s">
        <v>2</v>
      </c>
      <c r="K228" s="577"/>
      <c r="L228" s="1035" t="s">
        <v>65</v>
      </c>
      <c r="M228" s="1036">
        <f>SUMIFS('Level of Efficiency Assumptions'!$J:$J,'Level of Efficiency Assumptions'!$D:$D,I228,'Level of Efficiency Assumptions'!$F:$F,J228,'Level of Efficiency Assumptions'!$I:$I,'Water Use Calcs'!L228)</f>
        <v>1.6</v>
      </c>
      <c r="N228" s="577"/>
      <c r="O228" s="1048">
        <f>SUMIFS('Detailed Fixture Data'!O:O,'Detailed Fixture Data'!C:C,G228,'Detailed Fixture Data'!E:E,I228,'Detailed Fixture Data'!F:F,J228,'Detailed Fixture Data'!L:L,L228)</f>
        <v>0</v>
      </c>
      <c r="P228" s="1049"/>
      <c r="Q228" s="577"/>
      <c r="R228" s="1039"/>
      <c r="S228" s="521"/>
      <c r="T228" s="225"/>
      <c r="U228" s="521"/>
      <c r="V228" s="1040"/>
      <c r="W228" s="1041"/>
    </row>
    <row r="229" spans="2:23" ht="15" thickBot="1" x14ac:dyDescent="0.35">
      <c r="B229" s="182"/>
      <c r="C229" s="577"/>
      <c r="D229" s="521" t="s">
        <v>412</v>
      </c>
      <c r="E229" s="521"/>
      <c r="F229" s="85"/>
      <c r="G229" s="494" t="s">
        <v>383</v>
      </c>
      <c r="H229" s="577"/>
      <c r="I229" s="450" t="s">
        <v>37</v>
      </c>
      <c r="J229" s="116" t="s">
        <v>2</v>
      </c>
      <c r="K229" s="116"/>
      <c r="L229" s="1042" t="s">
        <v>66</v>
      </c>
      <c r="M229" s="1043">
        <f>SUMIFS('Level of Efficiency Assumptions'!$J:$J,'Level of Efficiency Assumptions'!$D:$D,I229,'Level of Efficiency Assumptions'!$F:$F,J229,'Level of Efficiency Assumptions'!$I:$I,'Water Use Calcs'!L229)</f>
        <v>1.28</v>
      </c>
      <c r="N229" s="577"/>
      <c r="O229" s="1048">
        <f>SUMIFS('Detailed Fixture Data'!O:O,'Detailed Fixture Data'!C:C,G229,'Detailed Fixture Data'!E:E,I229,'Detailed Fixture Data'!F:F,J229,'Detailed Fixture Data'!L:L,L229)</f>
        <v>0</v>
      </c>
      <c r="P229" s="1049"/>
      <c r="Q229" s="577"/>
      <c r="R229" s="1039"/>
      <c r="S229" s="618"/>
      <c r="T229" s="225"/>
      <c r="U229" s="618"/>
      <c r="V229" s="1045"/>
      <c r="W229" s="1046"/>
    </row>
    <row r="230" spans="2:23" x14ac:dyDescent="0.3">
      <c r="B230" s="182"/>
      <c r="C230" s="577"/>
      <c r="D230" s="521" t="s">
        <v>412</v>
      </c>
      <c r="E230" s="521"/>
      <c r="F230" s="85"/>
      <c r="G230" s="494" t="s">
        <v>383</v>
      </c>
      <c r="H230" s="577"/>
      <c r="I230" s="450" t="s">
        <v>37</v>
      </c>
      <c r="J230" s="577" t="s">
        <v>4</v>
      </c>
      <c r="K230" s="577" t="s">
        <v>6</v>
      </c>
      <c r="L230" s="1047" t="s">
        <v>64</v>
      </c>
      <c r="M230" s="1036">
        <f>SUMIFS('Level of Efficiency Assumptions'!$J:$J,'Level of Efficiency Assumptions'!$D:$D,I230,'Level of Efficiency Assumptions'!$F:$F,J230,'Level of Efficiency Assumptions'!$I:$I,'Water Use Calcs'!L230)</f>
        <v>2</v>
      </c>
      <c r="N230" s="567" t="s">
        <v>68</v>
      </c>
      <c r="O230" s="1048">
        <f>SUMIFS('Detailed Fixture Data'!O:O,'Detailed Fixture Data'!C:C,G230,'Detailed Fixture Data'!E:E,I230,'Detailed Fixture Data'!F:F,J230,'Detailed Fixture Data'!L:L,L230)</f>
        <v>0</v>
      </c>
      <c r="P230" s="1030">
        <f>SUMIFS('Intensity of Use Assumptions'!$J:$J,'Intensity of Use Assumptions'!$D:$D,I230,'Intensity of Use Assumptions'!$G:$G,J230,'Intensity of Use Assumptions'!H:H,K230)</f>
        <v>1.5</v>
      </c>
      <c r="Q230" s="567" t="s">
        <v>67</v>
      </c>
      <c r="R230" s="1032">
        <f>(SUMPRODUCT(M230:M232,O230:O232)*P230)</f>
        <v>0</v>
      </c>
      <c r="S230" s="1033">
        <f>IF(R230=0,0,M232*P230)</f>
        <v>0</v>
      </c>
      <c r="T230" s="225" t="str">
        <f>G230&amp;"-"&amp;J230</f>
        <v>Office Building A-Urinals</v>
      </c>
      <c r="U230" s="1034">
        <f ca="1">IF(ISNA(VLOOKUP(T230,list!$AV$3:$AW$130,2,FALSE)),1,(VLOOKUP(T230,list!$AV$3:$AW$130,2,FALSE)))</f>
        <v>1</v>
      </c>
      <c r="V230" s="1033">
        <f ca="1">R230*U230</f>
        <v>0</v>
      </c>
      <c r="W230" s="1033">
        <f ca="1">S230*U230</f>
        <v>0</v>
      </c>
    </row>
    <row r="231" spans="2:23" x14ac:dyDescent="0.3">
      <c r="B231" s="182"/>
      <c r="C231" s="577"/>
      <c r="D231" s="521" t="s">
        <v>412</v>
      </c>
      <c r="E231" s="521"/>
      <c r="F231" s="85"/>
      <c r="G231" s="494" t="s">
        <v>383</v>
      </c>
      <c r="H231" s="577"/>
      <c r="I231" s="450" t="s">
        <v>37</v>
      </c>
      <c r="J231" s="577" t="s">
        <v>4</v>
      </c>
      <c r="K231" s="577"/>
      <c r="L231" s="1035" t="s">
        <v>65</v>
      </c>
      <c r="M231" s="1036">
        <f>SUMIFS('Level of Efficiency Assumptions'!$J:$J,'Level of Efficiency Assumptions'!$D:$D,I231,'Level of Efficiency Assumptions'!$F:$F,J231,'Level of Efficiency Assumptions'!$I:$I,'Water Use Calcs'!L231)</f>
        <v>1</v>
      </c>
      <c r="N231" s="577"/>
      <c r="O231" s="1048">
        <f>SUMIFS('Detailed Fixture Data'!O:O,'Detailed Fixture Data'!C:C,G231,'Detailed Fixture Data'!E:E,I231,'Detailed Fixture Data'!F:F,J231,'Detailed Fixture Data'!L:L,L231)</f>
        <v>0</v>
      </c>
      <c r="P231" s="1049"/>
      <c r="Q231" s="577"/>
      <c r="R231" s="1039"/>
      <c r="S231" s="521"/>
      <c r="T231" s="225"/>
      <c r="U231" s="521"/>
      <c r="V231" s="1040"/>
      <c r="W231" s="1041"/>
    </row>
    <row r="232" spans="2:23" ht="15" thickBot="1" x14ac:dyDescent="0.35">
      <c r="B232" s="182"/>
      <c r="C232" s="577"/>
      <c r="D232" s="521" t="s">
        <v>412</v>
      </c>
      <c r="E232" s="521"/>
      <c r="F232" s="85"/>
      <c r="G232" s="494" t="s">
        <v>383</v>
      </c>
      <c r="H232" s="577"/>
      <c r="I232" s="450" t="s">
        <v>37</v>
      </c>
      <c r="J232" s="116" t="s">
        <v>4</v>
      </c>
      <c r="K232" s="116"/>
      <c r="L232" s="1042" t="s">
        <v>66</v>
      </c>
      <c r="M232" s="1043">
        <f>SUMIFS('Level of Efficiency Assumptions'!$J:$J,'Level of Efficiency Assumptions'!$D:$D,I232,'Level of Efficiency Assumptions'!$F:$F,J232,'Level of Efficiency Assumptions'!$I:$I,'Water Use Calcs'!L232)</f>
        <v>0.125</v>
      </c>
      <c r="N232" s="577"/>
      <c r="O232" s="1048">
        <f>SUMIFS('Detailed Fixture Data'!O:O,'Detailed Fixture Data'!C:C,G232,'Detailed Fixture Data'!E:E,I232,'Detailed Fixture Data'!F:F,J232,'Detailed Fixture Data'!L:L,L232)</f>
        <v>0</v>
      </c>
      <c r="P232" s="1049"/>
      <c r="Q232" s="577"/>
      <c r="R232" s="1039"/>
      <c r="S232" s="618"/>
      <c r="T232" s="225"/>
      <c r="U232" s="618"/>
      <c r="V232" s="1045"/>
      <c r="W232" s="1046"/>
    </row>
    <row r="233" spans="2:23" x14ac:dyDescent="0.3">
      <c r="B233" s="182"/>
      <c r="C233" s="577"/>
      <c r="D233" s="521" t="s">
        <v>412</v>
      </c>
      <c r="E233" s="521"/>
      <c r="F233" s="85"/>
      <c r="G233" s="494" t="s">
        <v>383</v>
      </c>
      <c r="H233" s="577"/>
      <c r="I233" s="450" t="s">
        <v>37</v>
      </c>
      <c r="J233" s="577" t="s">
        <v>33</v>
      </c>
      <c r="K233" s="577" t="s">
        <v>6</v>
      </c>
      <c r="L233" s="1047" t="s">
        <v>64</v>
      </c>
      <c r="M233" s="1036">
        <f>SUMIFS('Level of Efficiency Assumptions'!$J:$J,'Level of Efficiency Assumptions'!$D:$D,I233,'Level of Efficiency Assumptions'!$F:$F,J233,'Level of Efficiency Assumptions'!$I:$I,'Water Use Calcs'!L233)</f>
        <v>2</v>
      </c>
      <c r="N233" s="567" t="s">
        <v>78</v>
      </c>
      <c r="O233" s="1048">
        <f>SUMIFS('Detailed Fixture Data'!O:O,'Detailed Fixture Data'!C:C,G233,'Detailed Fixture Data'!E:E,I233,'Detailed Fixture Data'!F:F,J233,'Detailed Fixture Data'!L:L,L233)</f>
        <v>0</v>
      </c>
      <c r="P233" s="1030">
        <f>SUMIFS('Intensity of Use Assumptions'!$J:$J,'Intensity of Use Assumptions'!$D:$D,I233,'Intensity of Use Assumptions'!$G:$G,J233,'Intensity of Use Assumptions'!H:H,K233)</f>
        <v>0.66666666666666663</v>
      </c>
      <c r="Q233" s="567" t="s">
        <v>133</v>
      </c>
      <c r="R233" s="1032">
        <f>(SUMPRODUCT(M233:M235,O233:O235)*P233)</f>
        <v>0</v>
      </c>
      <c r="S233" s="1033">
        <f>IF(R233=0,0,M235*P233)</f>
        <v>0</v>
      </c>
      <c r="T233" s="225" t="str">
        <f>G233&amp;"-"&amp;J233</f>
        <v>Office Building A-Faucets</v>
      </c>
      <c r="U233" s="1034">
        <f ca="1">IF(ISNA(VLOOKUP(T233,list!$AV$3:$AW$130,2,FALSE)),1,(VLOOKUP(T233,list!$AV$3:$AW$130,2,FALSE)))</f>
        <v>1</v>
      </c>
      <c r="V233" s="1033">
        <f ca="1">R233*U233</f>
        <v>0</v>
      </c>
      <c r="W233" s="1033">
        <f ca="1">S233*U233</f>
        <v>0</v>
      </c>
    </row>
    <row r="234" spans="2:23" x14ac:dyDescent="0.3">
      <c r="B234" s="182"/>
      <c r="C234" s="577"/>
      <c r="D234" s="521" t="s">
        <v>412</v>
      </c>
      <c r="E234" s="521"/>
      <c r="F234" s="85"/>
      <c r="G234" s="494" t="s">
        <v>383</v>
      </c>
      <c r="H234" s="577"/>
      <c r="I234" s="450" t="s">
        <v>37</v>
      </c>
      <c r="J234" s="577" t="s">
        <v>33</v>
      </c>
      <c r="K234" s="577"/>
      <c r="L234" s="1035" t="s">
        <v>65</v>
      </c>
      <c r="M234" s="1036">
        <f>SUMIFS('Level of Efficiency Assumptions'!$J:$J,'Level of Efficiency Assumptions'!$D:$D,I234,'Level of Efficiency Assumptions'!$F:$F,J234,'Level of Efficiency Assumptions'!$I:$I,'Water Use Calcs'!L234)</f>
        <v>1</v>
      </c>
      <c r="N234" s="577"/>
      <c r="O234" s="1048">
        <f>SUMIFS('Detailed Fixture Data'!O:O,'Detailed Fixture Data'!C:C,G234,'Detailed Fixture Data'!E:E,I234,'Detailed Fixture Data'!F:F,J234,'Detailed Fixture Data'!L:L,L234)</f>
        <v>0</v>
      </c>
      <c r="P234" s="1049"/>
      <c r="Q234" s="577"/>
      <c r="R234" s="1039"/>
      <c r="S234" s="521"/>
      <c r="T234" s="225"/>
      <c r="U234" s="521"/>
      <c r="V234" s="1040"/>
      <c r="W234" s="1041"/>
    </row>
    <row r="235" spans="2:23" ht="15" thickBot="1" x14ac:dyDescent="0.35">
      <c r="B235" s="182"/>
      <c r="C235" s="577"/>
      <c r="D235" s="521" t="s">
        <v>412</v>
      </c>
      <c r="E235" s="521"/>
      <c r="F235" s="85"/>
      <c r="G235" s="494" t="s">
        <v>383</v>
      </c>
      <c r="H235" s="577"/>
      <c r="I235" s="451" t="s">
        <v>37</v>
      </c>
      <c r="J235" s="116" t="s">
        <v>33</v>
      </c>
      <c r="K235" s="116"/>
      <c r="L235" s="1042" t="s">
        <v>66</v>
      </c>
      <c r="M235" s="1043">
        <f>SUMIFS('Level of Efficiency Assumptions'!$J:$J,'Level of Efficiency Assumptions'!$D:$D,I235,'Level of Efficiency Assumptions'!$F:$F,J235,'Level of Efficiency Assumptions'!$I:$I,'Water Use Calcs'!L235)</f>
        <v>0.5</v>
      </c>
      <c r="N235" s="577"/>
      <c r="O235" s="1048">
        <f>SUMIFS('Detailed Fixture Data'!O:O,'Detailed Fixture Data'!C:C,G235,'Detailed Fixture Data'!E:E,I235,'Detailed Fixture Data'!F:F,J235,'Detailed Fixture Data'!L:L,L235)</f>
        <v>0</v>
      </c>
      <c r="P235" s="1049"/>
      <c r="Q235" s="577"/>
      <c r="R235" s="1039"/>
      <c r="S235" s="618"/>
      <c r="T235" s="225"/>
      <c r="U235" s="618"/>
      <c r="V235" s="1045"/>
      <c r="W235" s="1046"/>
    </row>
    <row r="236" spans="2:23" x14ac:dyDescent="0.3">
      <c r="B236" s="182"/>
      <c r="C236" s="577"/>
      <c r="D236" s="521" t="s">
        <v>412</v>
      </c>
      <c r="E236" s="521"/>
      <c r="F236" s="85"/>
      <c r="G236" s="494" t="s">
        <v>383</v>
      </c>
      <c r="H236" s="651" t="str">
        <f>I236</f>
        <v>Break rooms</v>
      </c>
      <c r="I236" s="450" t="s">
        <v>5</v>
      </c>
      <c r="J236" s="577" t="s">
        <v>33</v>
      </c>
      <c r="K236" s="577" t="s">
        <v>6</v>
      </c>
      <c r="L236" s="1047" t="s">
        <v>64</v>
      </c>
      <c r="M236" s="1036">
        <f>SUMIFS('Level of Efficiency Assumptions'!$J:$J,'Level of Efficiency Assumptions'!$D:$D,I236,'Level of Efficiency Assumptions'!$F:$F,J236,'Level of Efficiency Assumptions'!$I:$I,'Water Use Calcs'!L236)</f>
        <v>2</v>
      </c>
      <c r="N236" s="567" t="s">
        <v>78</v>
      </c>
      <c r="O236" s="1048">
        <f>SUMIFS('Detailed Fixture Data'!O:O,'Detailed Fixture Data'!C:C,G236,'Detailed Fixture Data'!E:E,I236,'Detailed Fixture Data'!F:F,J236,'Detailed Fixture Data'!L:L,L236)</f>
        <v>0</v>
      </c>
      <c r="P236" s="1030">
        <f>SUMIFS('Intensity of Use Assumptions'!$J:$J,'Intensity of Use Assumptions'!$D:$D,I236,'Intensity of Use Assumptions'!$G:$G,J236,'Intensity of Use Assumptions'!H:H,K236)</f>
        <v>0.16666666666666666</v>
      </c>
      <c r="Q236" s="567" t="s">
        <v>133</v>
      </c>
      <c r="R236" s="1032">
        <f>(SUMPRODUCT(M236:M238,O236:O238)*P236)</f>
        <v>0</v>
      </c>
      <c r="S236" s="1033">
        <f>IF(R236=0,0,M238*P236)</f>
        <v>0</v>
      </c>
      <c r="T236" s="225" t="str">
        <f>G236&amp;"-"&amp;J236</f>
        <v>Office Building A-Faucets</v>
      </c>
      <c r="U236" s="1034">
        <f ca="1">IF(ISNA(VLOOKUP(T236,list!$AV$3:$AW$130,2,FALSE)),1,(VLOOKUP(T236,list!$AV$3:$AW$130,2,FALSE)))</f>
        <v>1</v>
      </c>
      <c r="V236" s="1033">
        <f ca="1">R236*U236</f>
        <v>0</v>
      </c>
      <c r="W236" s="1033">
        <f ca="1">S236*U236</f>
        <v>0</v>
      </c>
    </row>
    <row r="237" spans="2:23" x14ac:dyDescent="0.3">
      <c r="B237" s="182"/>
      <c r="C237" s="577"/>
      <c r="D237" s="521" t="s">
        <v>412</v>
      </c>
      <c r="E237" s="521"/>
      <c r="F237" s="85"/>
      <c r="G237" s="494" t="s">
        <v>383</v>
      </c>
      <c r="H237" s="577"/>
      <c r="I237" s="450" t="s">
        <v>5</v>
      </c>
      <c r="J237" s="577" t="s">
        <v>33</v>
      </c>
      <c r="K237" s="577"/>
      <c r="L237" s="1035" t="s">
        <v>65</v>
      </c>
      <c r="M237" s="1036">
        <f>SUMIFS('Level of Efficiency Assumptions'!$J:$J,'Level of Efficiency Assumptions'!$D:$D,I237,'Level of Efficiency Assumptions'!$F:$F,J237,'Level of Efficiency Assumptions'!$I:$I,'Water Use Calcs'!L237)</f>
        <v>1</v>
      </c>
      <c r="N237" s="577"/>
      <c r="O237" s="1048">
        <f>SUMIFS('Detailed Fixture Data'!O:O,'Detailed Fixture Data'!C:C,G237,'Detailed Fixture Data'!E:E,I237,'Detailed Fixture Data'!F:F,J237,'Detailed Fixture Data'!L:L,L237)</f>
        <v>0</v>
      </c>
      <c r="P237" s="1049"/>
      <c r="Q237" s="577"/>
      <c r="R237" s="1039"/>
      <c r="S237" s="521"/>
      <c r="T237" s="225"/>
      <c r="U237" s="521"/>
      <c r="V237" s="1040"/>
      <c r="W237" s="1041"/>
    </row>
    <row r="238" spans="2:23" ht="15" thickBot="1" x14ac:dyDescent="0.35">
      <c r="B238" s="182"/>
      <c r="C238" s="577"/>
      <c r="D238" s="521" t="s">
        <v>412</v>
      </c>
      <c r="E238" s="521"/>
      <c r="F238" s="85"/>
      <c r="G238" s="494" t="s">
        <v>383</v>
      </c>
      <c r="H238" s="577"/>
      <c r="I238" s="451" t="s">
        <v>5</v>
      </c>
      <c r="J238" s="116" t="s">
        <v>33</v>
      </c>
      <c r="K238" s="116"/>
      <c r="L238" s="1042" t="s">
        <v>66</v>
      </c>
      <c r="M238" s="1043">
        <f>SUMIFS('Level of Efficiency Assumptions'!$J:$J,'Level of Efficiency Assumptions'!$D:$D,I238,'Level of Efficiency Assumptions'!$F:$F,J238,'Level of Efficiency Assumptions'!$I:$I,'Water Use Calcs'!L238)</f>
        <v>0.5</v>
      </c>
      <c r="N238" s="577"/>
      <c r="O238" s="1048">
        <f>SUMIFS('Detailed Fixture Data'!O:O,'Detailed Fixture Data'!C:C,G238,'Detailed Fixture Data'!E:E,I238,'Detailed Fixture Data'!F:F,J238,'Detailed Fixture Data'!L:L,L238)</f>
        <v>0</v>
      </c>
      <c r="P238" s="1049"/>
      <c r="Q238" s="577"/>
      <c r="R238" s="1039"/>
      <c r="S238" s="618"/>
      <c r="T238" s="225"/>
      <c r="U238" s="618"/>
      <c r="V238" s="1045"/>
      <c r="W238" s="1046"/>
    </row>
    <row r="239" spans="2:23" x14ac:dyDescent="0.3">
      <c r="B239" s="182"/>
      <c r="C239" s="577"/>
      <c r="D239" s="521" t="s">
        <v>412</v>
      </c>
      <c r="E239" s="521"/>
      <c r="F239" s="85"/>
      <c r="G239" s="494" t="s">
        <v>383</v>
      </c>
      <c r="H239" s="651" t="str">
        <f>I239</f>
        <v>Landscaping</v>
      </c>
      <c r="I239" s="450" t="s">
        <v>39</v>
      </c>
      <c r="J239" s="577" t="s">
        <v>42</v>
      </c>
      <c r="K239" s="577" t="s">
        <v>32</v>
      </c>
      <c r="L239" s="1047" t="s">
        <v>64</v>
      </c>
      <c r="M239" s="1036">
        <f>SUMIFS('Level of Efficiency Assumptions'!$J:$J,'Level of Efficiency Assumptions'!$D:$D,I239,'Level of Efficiency Assumptions'!$F:$F,J239,'Level of Efficiency Assumptions'!$I:$I,'Water Use Calcs'!L239)</f>
        <v>28.6</v>
      </c>
      <c r="N239" s="567" t="s">
        <v>816</v>
      </c>
      <c r="O239" s="1048">
        <f>SUMIFS('Detailed Fixture Data'!O:O,'Detailed Fixture Data'!C:C,G239,'Detailed Fixture Data'!E:E,I239,'Detailed Fixture Data'!F:F,J239,'Detailed Fixture Data'!L:L,L239)</f>
        <v>0</v>
      </c>
      <c r="P239" s="1030">
        <f>SUMIFS('Intensity of Use Assumptions'!$J:$J,'Intensity of Use Assumptions'!$D:$D,I239,'Intensity of Use Assumptions'!$G:$G,J239,'Intensity of Use Assumptions'!H:H,K239,'Intensity of Use Assumptions'!F:F,D239)</f>
        <v>2.7397260273972603E-3</v>
      </c>
      <c r="Q239" s="567" t="s">
        <v>815</v>
      </c>
      <c r="R239" s="1032">
        <f>(SUMPRODUCT(M239:M241,O239:O241)*P239)</f>
        <v>0</v>
      </c>
      <c r="S239" s="1033">
        <f>IF(R239=0,0,M241*P239)</f>
        <v>0</v>
      </c>
      <c r="T239" s="225" t="str">
        <f>G239&amp;"-"&amp;J239</f>
        <v>Office Building A-Outdoor irrigation</v>
      </c>
      <c r="U239" s="1034">
        <f ca="1">IF(ISNA(VLOOKUP(T239,list!$AV$3:$AW$130,2,FALSE)),1,(VLOOKUP(T239,list!$AV$3:$AW$130,2,FALSE)))</f>
        <v>1</v>
      </c>
      <c r="V239" s="1033">
        <f ca="1">R239*U239</f>
        <v>0</v>
      </c>
      <c r="W239" s="1033">
        <f ca="1">S239*U239</f>
        <v>0</v>
      </c>
    </row>
    <row r="240" spans="2:23" x14ac:dyDescent="0.3">
      <c r="B240" s="182"/>
      <c r="C240" s="577"/>
      <c r="D240" s="521" t="s">
        <v>412</v>
      </c>
      <c r="E240" s="521"/>
      <c r="F240" s="85"/>
      <c r="G240" s="494" t="s">
        <v>383</v>
      </c>
      <c r="H240" s="577"/>
      <c r="I240" s="450" t="s">
        <v>39</v>
      </c>
      <c r="J240" s="577" t="s">
        <v>42</v>
      </c>
      <c r="K240" s="577"/>
      <c r="L240" s="1035" t="s">
        <v>65</v>
      </c>
      <c r="M240" s="1036">
        <f>SUMIFS('Level of Efficiency Assumptions'!$J:$J,'Level of Efficiency Assumptions'!$D:$D,I240,'Level of Efficiency Assumptions'!$F:$F,J240,'Level of Efficiency Assumptions'!$I:$I,'Water Use Calcs'!L240)</f>
        <v>13.980821518350929</v>
      </c>
      <c r="N240" s="577"/>
      <c r="O240" s="1048">
        <f>SUMIFS('Detailed Fixture Data'!O:O,'Detailed Fixture Data'!C:C,G240,'Detailed Fixture Data'!E:E,I240,'Detailed Fixture Data'!F:F,J240,'Detailed Fixture Data'!L:L,L240)</f>
        <v>0</v>
      </c>
      <c r="P240" s="1049"/>
      <c r="Q240" s="577"/>
      <c r="R240" s="1039"/>
      <c r="S240" s="521"/>
      <c r="T240" s="225"/>
      <c r="U240" s="521"/>
      <c r="V240" s="1040"/>
      <c r="W240" s="1041"/>
    </row>
    <row r="241" spans="2:23" ht="15" thickBot="1" x14ac:dyDescent="0.35">
      <c r="B241" s="182"/>
      <c r="C241" s="577"/>
      <c r="D241" s="521" t="s">
        <v>412</v>
      </c>
      <c r="E241" s="521"/>
      <c r="F241" s="85"/>
      <c r="G241" s="494" t="s">
        <v>383</v>
      </c>
      <c r="H241" s="577"/>
      <c r="I241" s="451" t="s">
        <v>39</v>
      </c>
      <c r="J241" s="116" t="s">
        <v>42</v>
      </c>
      <c r="K241" s="116"/>
      <c r="L241" s="1042" t="s">
        <v>66</v>
      </c>
      <c r="M241" s="1043">
        <f>SUMIFS('Level of Efficiency Assumptions'!$J:$J,'Level of Efficiency Assumptions'!$D:$D,I241,'Level of Efficiency Assumptions'!$F:$F,J241,'Level of Efficiency Assumptions'!$I:$I,'Water Use Calcs'!L241)</f>
        <v>0.59137254901960778</v>
      </c>
      <c r="N241" s="577"/>
      <c r="O241" s="1048">
        <f>SUMIFS('Detailed Fixture Data'!O:O,'Detailed Fixture Data'!C:C,G241,'Detailed Fixture Data'!E:E,I241,'Detailed Fixture Data'!F:F,J241,'Detailed Fixture Data'!L:L,L241)</f>
        <v>0</v>
      </c>
      <c r="P241" s="1049"/>
      <c r="Q241" s="577"/>
      <c r="R241" s="1039"/>
      <c r="S241" s="618"/>
      <c r="T241" s="225"/>
      <c r="U241" s="618"/>
      <c r="V241" s="1045"/>
      <c r="W241" s="1046"/>
    </row>
    <row r="242" spans="2:23" x14ac:dyDescent="0.3">
      <c r="B242" s="182"/>
      <c r="C242" s="577"/>
      <c r="D242" s="521" t="s">
        <v>412</v>
      </c>
      <c r="E242" s="521"/>
      <c r="F242" s="85"/>
      <c r="G242" s="494" t="s">
        <v>383</v>
      </c>
      <c r="H242" s="651" t="str">
        <f>I242</f>
        <v>Maintenance</v>
      </c>
      <c r="I242" s="450" t="s">
        <v>43</v>
      </c>
      <c r="J242" s="577" t="s">
        <v>111</v>
      </c>
      <c r="K242" s="217" t="s">
        <v>424</v>
      </c>
      <c r="L242" s="1047" t="s">
        <v>64</v>
      </c>
      <c r="M242" s="1036">
        <f>SUMIFS('Level of Efficiency Assumptions'!$J:$J,'Level of Efficiency Assumptions'!$D:$D,I242,'Level of Efficiency Assumptions'!$F:$F,J242,'Level of Efficiency Assumptions'!$I:$I,'Water Use Calcs'!L242)</f>
        <v>100</v>
      </c>
      <c r="N242" s="567" t="s">
        <v>659</v>
      </c>
      <c r="O242" s="1048">
        <f>SUMIFS('Detailed Fixture Data'!O:O,'Detailed Fixture Data'!C:C,G242,'Detailed Fixture Data'!E:E,I242,'Detailed Fixture Data'!F:F,J242,'Detailed Fixture Data'!L:L,L242)</f>
        <v>0</v>
      </c>
      <c r="P242" s="1030">
        <f>SUMIFS('Intensity of Use Assumptions'!$J:$J,'Intensity of Use Assumptions'!$D:$D,I242,'Intensity of Use Assumptions'!$G:$G,J242,'Intensity of Use Assumptions'!H:H,K242)</f>
        <v>1</v>
      </c>
      <c r="Q242" s="567" t="s">
        <v>67</v>
      </c>
      <c r="R242" s="1032">
        <f>(SUMPRODUCT(M242:M244,O242:O244)*P242)</f>
        <v>0</v>
      </c>
      <c r="S242" s="1033">
        <f>IF(R242=0,0,M244*P242)</f>
        <v>0</v>
      </c>
      <c r="T242" s="225" t="str">
        <f>G242&amp;"-"&amp;J242</f>
        <v>Office Building A-Boiler</v>
      </c>
      <c r="U242" s="1034">
        <f ca="1">IF(ISNA(VLOOKUP(T242,list!$AV$3:$AW$130,2,FALSE)),1,(VLOOKUP(T242,list!$AV$3:$AW$130,2,FALSE)))</f>
        <v>1</v>
      </c>
      <c r="V242" s="1033">
        <f ca="1">R242*U242</f>
        <v>0</v>
      </c>
      <c r="W242" s="1033">
        <f ca="1">S242*U242</f>
        <v>0</v>
      </c>
    </row>
    <row r="243" spans="2:23" x14ac:dyDescent="0.3">
      <c r="B243" s="182"/>
      <c r="C243" s="577"/>
      <c r="D243" s="521" t="s">
        <v>412</v>
      </c>
      <c r="E243" s="521"/>
      <c r="F243" s="85"/>
      <c r="G243" s="494" t="s">
        <v>383</v>
      </c>
      <c r="H243" s="577"/>
      <c r="I243" s="450" t="s">
        <v>43</v>
      </c>
      <c r="J243" s="577" t="s">
        <v>111</v>
      </c>
      <c r="K243" s="382"/>
      <c r="L243" s="1035" t="s">
        <v>65</v>
      </c>
      <c r="M243" s="1036">
        <f>SUMIFS('Level of Efficiency Assumptions'!$J:$J,'Level of Efficiency Assumptions'!$D:$D,I243,'Level of Efficiency Assumptions'!$F:$F,J243,'Level of Efficiency Assumptions'!$I:$I,'Water Use Calcs'!L243)</f>
        <v>75</v>
      </c>
      <c r="N243" s="577"/>
      <c r="O243" s="1048">
        <f>SUMIFS('Detailed Fixture Data'!O:O,'Detailed Fixture Data'!C:C,G243,'Detailed Fixture Data'!E:E,I243,'Detailed Fixture Data'!F:F,J243,'Detailed Fixture Data'!L:L,L243)</f>
        <v>0</v>
      </c>
      <c r="P243" s="1049"/>
      <c r="Q243" s="577"/>
      <c r="R243" s="1039"/>
      <c r="S243" s="521"/>
      <c r="T243" s="225"/>
      <c r="U243" s="521"/>
      <c r="V243" s="1040"/>
      <c r="W243" s="1041"/>
    </row>
    <row r="244" spans="2:23" ht="15" thickBot="1" x14ac:dyDescent="0.35">
      <c r="B244" s="182"/>
      <c r="C244" s="577"/>
      <c r="D244" s="521" t="s">
        <v>412</v>
      </c>
      <c r="E244" s="521"/>
      <c r="F244" s="85"/>
      <c r="G244" s="494" t="s">
        <v>383</v>
      </c>
      <c r="H244" s="577"/>
      <c r="I244" s="450" t="s">
        <v>43</v>
      </c>
      <c r="J244" s="116" t="s">
        <v>111</v>
      </c>
      <c r="K244" s="116"/>
      <c r="L244" s="1042" t="s">
        <v>66</v>
      </c>
      <c r="M244" s="1043">
        <f>SUMIFS('Level of Efficiency Assumptions'!$J:$J,'Level of Efficiency Assumptions'!$D:$D,I244,'Level of Efficiency Assumptions'!$F:$F,J244,'Level of Efficiency Assumptions'!$I:$I,'Water Use Calcs'!L244)</f>
        <v>50</v>
      </c>
      <c r="N244" s="577"/>
      <c r="O244" s="1048">
        <f>SUMIFS('Detailed Fixture Data'!O:O,'Detailed Fixture Data'!C:C,G244,'Detailed Fixture Data'!E:E,I244,'Detailed Fixture Data'!F:F,J244,'Detailed Fixture Data'!L:L,L244)</f>
        <v>0</v>
      </c>
      <c r="P244" s="1049"/>
      <c r="Q244" s="577"/>
      <c r="R244" s="1039"/>
      <c r="S244" s="618"/>
      <c r="T244" s="225"/>
      <c r="U244" s="618"/>
      <c r="V244" s="1045"/>
      <c r="W244" s="1046"/>
    </row>
    <row r="245" spans="2:23" x14ac:dyDescent="0.3">
      <c r="B245" s="182"/>
      <c r="C245" s="577"/>
      <c r="D245" s="521" t="s">
        <v>412</v>
      </c>
      <c r="E245" s="521"/>
      <c r="F245" s="85"/>
      <c r="G245" s="494" t="s">
        <v>383</v>
      </c>
      <c r="H245" s="577"/>
      <c r="I245" s="450" t="s">
        <v>43</v>
      </c>
      <c r="J245" s="577" t="s">
        <v>7</v>
      </c>
      <c r="K245" s="215" t="s">
        <v>365</v>
      </c>
      <c r="L245" s="1012" t="s">
        <v>257</v>
      </c>
      <c r="M245" s="1050"/>
      <c r="N245" s="1050"/>
      <c r="O245" s="1050"/>
      <c r="P245" s="1051"/>
      <c r="Q245" s="981"/>
      <c r="R245" s="1052">
        <f>SUMIFS('Cooling Data'!H:H,'Cooling Data'!$C:$C,$G245,'Cooling Data'!$E:$E,$I245,'Cooling Data'!$F:$F,$J245)</f>
        <v>0</v>
      </c>
      <c r="S245" s="1052">
        <f>SUMIFS('Cooling Data'!J:J,'Cooling Data'!$C:$C,$G245,'Cooling Data'!$E:$E,$I245,'Cooling Data'!$F:$F,$J245)</f>
        <v>0</v>
      </c>
      <c r="T245" s="225" t="str">
        <f>G245&amp;"-"&amp;J245</f>
        <v>Office Building A-Cooling</v>
      </c>
      <c r="U245" s="1034">
        <f ca="1">IF(ISNA(VLOOKUP(T245,list!$AV$3:$AW$130,2,FALSE)),1,(VLOOKUP(T245,list!$AV$3:$AW$130,2,FALSE)))</f>
        <v>1</v>
      </c>
      <c r="V245" s="1033">
        <f ca="1">R245*U245</f>
        <v>0</v>
      </c>
      <c r="W245" s="1033">
        <f ca="1">S245*U245</f>
        <v>0</v>
      </c>
    </row>
    <row r="246" spans="2:23" x14ac:dyDescent="0.3">
      <c r="B246" s="182"/>
      <c r="C246" s="577"/>
      <c r="D246" s="521" t="s">
        <v>412</v>
      </c>
      <c r="E246" s="521"/>
      <c r="F246" s="85"/>
      <c r="G246" s="494" t="s">
        <v>383</v>
      </c>
      <c r="H246" s="577"/>
      <c r="I246" s="450" t="s">
        <v>43</v>
      </c>
      <c r="J246" s="577" t="s">
        <v>7</v>
      </c>
      <c r="K246" s="577"/>
      <c r="L246" s="206"/>
      <c r="M246" s="181"/>
      <c r="N246" s="181"/>
      <c r="O246" s="181"/>
      <c r="P246" s="1053"/>
      <c r="Q246" s="439"/>
      <c r="R246" s="1039"/>
      <c r="S246" s="521"/>
      <c r="T246" s="225"/>
      <c r="U246" s="521"/>
      <c r="V246" s="1040"/>
      <c r="W246" s="1041"/>
    </row>
    <row r="247" spans="2:23" ht="15" thickBot="1" x14ac:dyDescent="0.35">
      <c r="B247" s="182"/>
      <c r="C247" s="577"/>
      <c r="D247" s="521" t="s">
        <v>412</v>
      </c>
      <c r="E247" s="521"/>
      <c r="F247" s="85"/>
      <c r="G247" s="494" t="s">
        <v>383</v>
      </c>
      <c r="H247" s="577"/>
      <c r="I247" s="451" t="s">
        <v>43</v>
      </c>
      <c r="J247" s="116" t="s">
        <v>7</v>
      </c>
      <c r="K247" s="116"/>
      <c r="L247" s="207"/>
      <c r="M247" s="924"/>
      <c r="N247" s="924"/>
      <c r="O247" s="924"/>
      <c r="P247" s="1054"/>
      <c r="Q247" s="606"/>
      <c r="R247" s="1039"/>
      <c r="S247" s="618"/>
      <c r="T247" s="225"/>
      <c r="U247" s="618"/>
      <c r="V247" s="1045"/>
      <c r="W247" s="1046"/>
    </row>
    <row r="248" spans="2:23" x14ac:dyDescent="0.3">
      <c r="B248" s="182"/>
      <c r="C248" s="577"/>
      <c r="D248" s="521" t="s">
        <v>412</v>
      </c>
      <c r="E248" s="521"/>
      <c r="F248" s="85"/>
      <c r="G248" s="494" t="s">
        <v>383</v>
      </c>
      <c r="H248" s="651" t="str">
        <f>I248</f>
        <v>Other</v>
      </c>
      <c r="I248" s="450" t="s">
        <v>8</v>
      </c>
      <c r="J248" s="577" t="s">
        <v>52</v>
      </c>
      <c r="K248" s="387" t="s">
        <v>362</v>
      </c>
      <c r="L248" s="1047" t="s">
        <v>64</v>
      </c>
      <c r="M248" s="1036">
        <f>SUMIFS('Level of Efficiency Assumptions'!$J:$J,'Level of Efficiency Assumptions'!$D:$D,I248,'Level of Efficiency Assumptions'!$F:$F,J248,'Level of Efficiency Assumptions'!$I:$I,'Water Use Calcs'!L248)</f>
        <v>10</v>
      </c>
      <c r="N248" s="567" t="s">
        <v>660</v>
      </c>
      <c r="O248" s="1048">
        <f>SUMIFS('Detailed Fixture Data'!O:O,'Detailed Fixture Data'!C:C,G248,'Detailed Fixture Data'!E:E,I248,'Detailed Fixture Data'!F:F,J248,'Detailed Fixture Data'!L:L,L248)</f>
        <v>0</v>
      </c>
      <c r="P248" s="1030">
        <f>SUMIFS('Intensity of Use Assumptions'!$J:$J,'Intensity of Use Assumptions'!$D:$D,I248,'Intensity of Use Assumptions'!$G:$G,J248,'Intensity of Use Assumptions'!H:H,K248)</f>
        <v>1</v>
      </c>
      <c r="Q248" s="567" t="s">
        <v>67</v>
      </c>
      <c r="R248" s="1032">
        <f>(SUMPRODUCT(M248:M250,O248:O250)*P248)</f>
        <v>0</v>
      </c>
      <c r="S248" s="1033">
        <f>IF(R248=0,0,M250*P248)</f>
        <v>0</v>
      </c>
      <c r="T248" s="225" t="str">
        <f>G248&amp;"-"&amp;J248</f>
        <v>Office Building A-Other 1</v>
      </c>
      <c r="U248" s="1034">
        <f ca="1">IF(ISNA(VLOOKUP(T248,list!$AV$3:$AW$130,2,FALSE)),1,(VLOOKUP(T248,list!$AV$3:$AW$130,2,FALSE)))</f>
        <v>1</v>
      </c>
      <c r="V248" s="1033">
        <f ca="1">R248*U248</f>
        <v>0</v>
      </c>
      <c r="W248" s="1033">
        <f ca="1">S248*U248</f>
        <v>0</v>
      </c>
    </row>
    <row r="249" spans="2:23" x14ac:dyDescent="0.3">
      <c r="B249" s="182"/>
      <c r="C249" s="577"/>
      <c r="D249" s="521" t="s">
        <v>412</v>
      </c>
      <c r="E249" s="521"/>
      <c r="F249" s="85"/>
      <c r="G249" s="494" t="s">
        <v>383</v>
      </c>
      <c r="H249" s="577"/>
      <c r="I249" s="450" t="s">
        <v>8</v>
      </c>
      <c r="J249" s="577" t="s">
        <v>52</v>
      </c>
      <c r="K249" s="382"/>
      <c r="L249" s="1035" t="s">
        <v>65</v>
      </c>
      <c r="M249" s="1036">
        <f>SUMIFS('Level of Efficiency Assumptions'!$J:$J,'Level of Efficiency Assumptions'!$D:$D,I249,'Level of Efficiency Assumptions'!$F:$F,J249,'Level of Efficiency Assumptions'!$I:$I,'Water Use Calcs'!L249)</f>
        <v>7.5</v>
      </c>
      <c r="N249" s="577"/>
      <c r="O249" s="1048">
        <f>SUMIFS('Detailed Fixture Data'!O:O,'Detailed Fixture Data'!C:C,G249,'Detailed Fixture Data'!E:E,I249,'Detailed Fixture Data'!F:F,J249,'Detailed Fixture Data'!L:L,L249)</f>
        <v>0</v>
      </c>
      <c r="P249" s="1049"/>
      <c r="Q249" s="577"/>
      <c r="R249" s="1039"/>
      <c r="S249" s="521"/>
      <c r="T249" s="225"/>
      <c r="U249" s="521"/>
      <c r="V249" s="1040"/>
      <c r="W249" s="1041"/>
    </row>
    <row r="250" spans="2:23" ht="15" thickBot="1" x14ac:dyDescent="0.35">
      <c r="B250" s="182"/>
      <c r="C250" s="577"/>
      <c r="D250" s="521" t="s">
        <v>412</v>
      </c>
      <c r="E250" s="521"/>
      <c r="F250" s="85"/>
      <c r="G250" s="494" t="s">
        <v>383</v>
      </c>
      <c r="H250" s="577"/>
      <c r="I250" s="450" t="s">
        <v>8</v>
      </c>
      <c r="J250" s="116" t="s">
        <v>52</v>
      </c>
      <c r="K250" s="382"/>
      <c r="L250" s="1042" t="s">
        <v>66</v>
      </c>
      <c r="M250" s="1043">
        <f>SUMIFS('Level of Efficiency Assumptions'!$J:$J,'Level of Efficiency Assumptions'!$D:$D,I250,'Level of Efficiency Assumptions'!$F:$F,J250,'Level of Efficiency Assumptions'!$I:$I,'Water Use Calcs'!L250)</f>
        <v>5</v>
      </c>
      <c r="N250" s="577"/>
      <c r="O250" s="1048">
        <f>SUMIFS('Detailed Fixture Data'!O:O,'Detailed Fixture Data'!C:C,G250,'Detailed Fixture Data'!E:E,I250,'Detailed Fixture Data'!F:F,J250,'Detailed Fixture Data'!L:L,L250)</f>
        <v>0</v>
      </c>
      <c r="P250" s="1049"/>
      <c r="Q250" s="577"/>
      <c r="R250" s="1039"/>
      <c r="S250" s="618"/>
      <c r="T250" s="225"/>
      <c r="U250" s="618"/>
      <c r="V250" s="1045"/>
      <c r="W250" s="1046"/>
    </row>
    <row r="251" spans="2:23" x14ac:dyDescent="0.3">
      <c r="B251" s="182"/>
      <c r="C251" s="577"/>
      <c r="D251" s="521" t="s">
        <v>412</v>
      </c>
      <c r="E251" s="521"/>
      <c r="F251" s="85"/>
      <c r="G251" s="494" t="s">
        <v>383</v>
      </c>
      <c r="H251" s="577"/>
      <c r="I251" s="450" t="s">
        <v>8</v>
      </c>
      <c r="J251" s="577" t="s">
        <v>53</v>
      </c>
      <c r="K251" s="1055" t="s">
        <v>363</v>
      </c>
      <c r="L251" s="1047" t="s">
        <v>64</v>
      </c>
      <c r="M251" s="1036">
        <f>SUMIFS('Level of Efficiency Assumptions'!$J:$J,'Level of Efficiency Assumptions'!$D:$D,I251,'Level of Efficiency Assumptions'!$F:$F,J251,'Level of Efficiency Assumptions'!$I:$I,'Water Use Calcs'!L251)</f>
        <v>10</v>
      </c>
      <c r="N251" s="567" t="s">
        <v>660</v>
      </c>
      <c r="O251" s="1048">
        <f>SUMIFS('Detailed Fixture Data'!O:O,'Detailed Fixture Data'!C:C,G251,'Detailed Fixture Data'!E:E,I251,'Detailed Fixture Data'!F:F,J251,'Detailed Fixture Data'!L:L,L251)</f>
        <v>0</v>
      </c>
      <c r="P251" s="1030">
        <f>SUMIFS('Intensity of Use Assumptions'!$J:$J,'Intensity of Use Assumptions'!$D:$D,I251,'Intensity of Use Assumptions'!$G:$G,J251,'Intensity of Use Assumptions'!H:H,K251)</f>
        <v>1</v>
      </c>
      <c r="Q251" s="567" t="s">
        <v>67</v>
      </c>
      <c r="R251" s="1032">
        <f>(SUMPRODUCT(M251:M253,O251:O253)*P251)</f>
        <v>0</v>
      </c>
      <c r="S251" s="1033">
        <f>IF(R251=0,0,M253*P251)</f>
        <v>0</v>
      </c>
      <c r="T251" s="225" t="str">
        <f>G251&amp;"-"&amp;J251</f>
        <v>Office Building A-Other 2</v>
      </c>
      <c r="U251" s="1034">
        <f ca="1">IF(ISNA(VLOOKUP(T251,list!$AV$3:$AW$130,2,FALSE)),1,(VLOOKUP(T251,list!$AV$3:$AW$130,2,FALSE)))</f>
        <v>1</v>
      </c>
      <c r="V251" s="1033">
        <f ca="1">R251*U251</f>
        <v>0</v>
      </c>
      <c r="W251" s="1033">
        <f ca="1">S251*U251</f>
        <v>0</v>
      </c>
    </row>
    <row r="252" spans="2:23" x14ac:dyDescent="0.3">
      <c r="B252" s="182"/>
      <c r="C252" s="577"/>
      <c r="D252" s="521" t="s">
        <v>412</v>
      </c>
      <c r="E252" s="521"/>
      <c r="F252" s="85"/>
      <c r="G252" s="494" t="s">
        <v>383</v>
      </c>
      <c r="H252" s="577"/>
      <c r="I252" s="450" t="s">
        <v>8</v>
      </c>
      <c r="J252" s="577" t="s">
        <v>53</v>
      </c>
      <c r="K252" s="577"/>
      <c r="L252" s="1035" t="s">
        <v>65</v>
      </c>
      <c r="M252" s="1036">
        <f>SUMIFS('Level of Efficiency Assumptions'!$J:$J,'Level of Efficiency Assumptions'!$D:$D,I252,'Level of Efficiency Assumptions'!$F:$F,J252,'Level of Efficiency Assumptions'!$I:$I,'Water Use Calcs'!L252)</f>
        <v>7.5</v>
      </c>
      <c r="N252" s="577"/>
      <c r="O252" s="1048">
        <f>SUMIFS('Detailed Fixture Data'!O:O,'Detailed Fixture Data'!C:C,G252,'Detailed Fixture Data'!E:E,I252,'Detailed Fixture Data'!F:F,J252,'Detailed Fixture Data'!L:L,L252)</f>
        <v>0</v>
      </c>
      <c r="P252" s="1049"/>
      <c r="Q252" s="577"/>
      <c r="R252" s="1039"/>
      <c r="S252" s="521"/>
      <c r="T252" s="225"/>
      <c r="U252" s="521"/>
      <c r="V252" s="1040"/>
      <c r="W252" s="1041"/>
    </row>
    <row r="253" spans="2:23" ht="15" thickBot="1" x14ac:dyDescent="0.35">
      <c r="B253" s="182"/>
      <c r="C253" s="577"/>
      <c r="D253" s="521" t="s">
        <v>412</v>
      </c>
      <c r="E253" s="521"/>
      <c r="F253" s="85"/>
      <c r="G253" s="494" t="s">
        <v>383</v>
      </c>
      <c r="H253" s="577"/>
      <c r="I253" s="450" t="s">
        <v>8</v>
      </c>
      <c r="J253" s="116" t="s">
        <v>53</v>
      </c>
      <c r="K253" s="116"/>
      <c r="L253" s="1042" t="s">
        <v>66</v>
      </c>
      <c r="M253" s="1043">
        <f>SUMIFS('Level of Efficiency Assumptions'!$J:$J,'Level of Efficiency Assumptions'!$D:$D,I253,'Level of Efficiency Assumptions'!$F:$F,J253,'Level of Efficiency Assumptions'!$I:$I,'Water Use Calcs'!L253)</f>
        <v>5</v>
      </c>
      <c r="N253" s="577"/>
      <c r="O253" s="1048">
        <f>SUMIFS('Detailed Fixture Data'!O:O,'Detailed Fixture Data'!C:C,G253,'Detailed Fixture Data'!E:E,I253,'Detailed Fixture Data'!F:F,J253,'Detailed Fixture Data'!L:L,L253)</f>
        <v>0</v>
      </c>
      <c r="P253" s="1049"/>
      <c r="Q253" s="577"/>
      <c r="R253" s="1039"/>
      <c r="S253" s="618"/>
      <c r="T253" s="225"/>
      <c r="U253" s="618"/>
      <c r="V253" s="1045"/>
      <c r="W253" s="1046"/>
    </row>
    <row r="254" spans="2:23" x14ac:dyDescent="0.3">
      <c r="B254" s="182"/>
      <c r="C254" s="577"/>
      <c r="D254" s="521" t="s">
        <v>412</v>
      </c>
      <c r="E254" s="521"/>
      <c r="F254" s="85"/>
      <c r="G254" s="494" t="s">
        <v>383</v>
      </c>
      <c r="H254" s="577"/>
      <c r="I254" s="450" t="s">
        <v>8</v>
      </c>
      <c r="J254" s="577" t="s">
        <v>54</v>
      </c>
      <c r="K254" s="379" t="s">
        <v>364</v>
      </c>
      <c r="L254" s="1047" t="s">
        <v>64</v>
      </c>
      <c r="M254" s="1036">
        <f>SUMIFS('Level of Efficiency Assumptions'!$J:$J,'Level of Efficiency Assumptions'!$D:$D,I254,'Level of Efficiency Assumptions'!$F:$F,J254,'Level of Efficiency Assumptions'!$I:$I,'Water Use Calcs'!L254)</f>
        <v>10</v>
      </c>
      <c r="N254" s="567" t="s">
        <v>660</v>
      </c>
      <c r="O254" s="1048">
        <f>SUMIFS('Detailed Fixture Data'!O:O,'Detailed Fixture Data'!C:C,G254,'Detailed Fixture Data'!E:E,I254,'Detailed Fixture Data'!F:F,J254,'Detailed Fixture Data'!L:L,L254)</f>
        <v>0</v>
      </c>
      <c r="P254" s="1030">
        <f>SUMIFS('Intensity of Use Assumptions'!$J:$J,'Intensity of Use Assumptions'!$D:$D,I254,'Intensity of Use Assumptions'!$G:$G,J254,'Intensity of Use Assumptions'!H:H,K254)</f>
        <v>1</v>
      </c>
      <c r="Q254" s="567" t="s">
        <v>67</v>
      </c>
      <c r="R254" s="1032">
        <f>(SUMPRODUCT(M254:M256,O254:O256)*P254)</f>
        <v>0</v>
      </c>
      <c r="S254" s="1033">
        <f>IF(R254=0,0,M256*P254)</f>
        <v>0</v>
      </c>
      <c r="T254" s="225" t="str">
        <f>G254&amp;"-"&amp;J254</f>
        <v>Office Building A-Other 3</v>
      </c>
      <c r="U254" s="1034">
        <f ca="1">IF(ISNA(VLOOKUP(T254,list!$AV$3:$AW$130,2,FALSE)),1,(VLOOKUP(T254,list!$AV$3:$AW$130,2,FALSE)))</f>
        <v>1</v>
      </c>
      <c r="V254" s="1033">
        <f ca="1">R254*U254</f>
        <v>0</v>
      </c>
      <c r="W254" s="1033">
        <f ca="1">S254*U254</f>
        <v>0</v>
      </c>
    </row>
    <row r="255" spans="2:23" x14ac:dyDescent="0.3">
      <c r="B255" s="182"/>
      <c r="C255" s="577"/>
      <c r="D255" s="521" t="s">
        <v>412</v>
      </c>
      <c r="E255" s="521"/>
      <c r="F255" s="85"/>
      <c r="G255" s="494" t="s">
        <v>383</v>
      </c>
      <c r="H255" s="577"/>
      <c r="I255" s="450" t="s">
        <v>8</v>
      </c>
      <c r="J255" s="577" t="s">
        <v>54</v>
      </c>
      <c r="K255" s="577"/>
      <c r="L255" s="1035" t="s">
        <v>65</v>
      </c>
      <c r="M255" s="1036">
        <f>SUMIFS('Level of Efficiency Assumptions'!$J:$J,'Level of Efficiency Assumptions'!$D:$D,I255,'Level of Efficiency Assumptions'!$F:$F,J255,'Level of Efficiency Assumptions'!$I:$I,'Water Use Calcs'!L255)</f>
        <v>7.5</v>
      </c>
      <c r="N255" s="577"/>
      <c r="O255" s="1048">
        <f>SUMIFS('Detailed Fixture Data'!O:O,'Detailed Fixture Data'!C:C,G255,'Detailed Fixture Data'!E:E,I255,'Detailed Fixture Data'!F:F,J255,'Detailed Fixture Data'!L:L,L255)</f>
        <v>0</v>
      </c>
      <c r="P255" s="1049"/>
      <c r="Q255" s="577"/>
      <c r="R255" s="1039"/>
      <c r="S255" s="521"/>
      <c r="T255" s="225"/>
      <c r="U255" s="521"/>
      <c r="V255" s="1040"/>
      <c r="W255" s="1041"/>
    </row>
    <row r="256" spans="2:23" ht="15" thickBot="1" x14ac:dyDescent="0.35">
      <c r="B256" s="182"/>
      <c r="C256" s="577"/>
      <c r="D256" s="521" t="s">
        <v>412</v>
      </c>
      <c r="E256" s="521"/>
      <c r="F256" s="85"/>
      <c r="G256" s="501" t="s">
        <v>383</v>
      </c>
      <c r="H256" s="116"/>
      <c r="I256" s="451" t="s">
        <v>8</v>
      </c>
      <c r="J256" s="116" t="s">
        <v>54</v>
      </c>
      <c r="K256" s="116"/>
      <c r="L256" s="1042" t="s">
        <v>66</v>
      </c>
      <c r="M256" s="1043">
        <f>SUMIFS('Level of Efficiency Assumptions'!$J:$J,'Level of Efficiency Assumptions'!$D:$D,I256,'Level of Efficiency Assumptions'!$F:$F,J256,'Level of Efficiency Assumptions'!$I:$I,'Water Use Calcs'!L256)</f>
        <v>5</v>
      </c>
      <c r="N256" s="577"/>
      <c r="O256" s="1048">
        <f>SUMIFS('Detailed Fixture Data'!O:O,'Detailed Fixture Data'!C:C,G256,'Detailed Fixture Data'!E:E,I256,'Detailed Fixture Data'!F:F,J256,'Detailed Fixture Data'!L:L,L256)</f>
        <v>0</v>
      </c>
      <c r="P256" s="1049"/>
      <c r="Q256" s="577"/>
      <c r="R256" s="1039"/>
      <c r="S256" s="618"/>
      <c r="T256" s="225"/>
      <c r="U256" s="618"/>
      <c r="V256" s="1045"/>
      <c r="W256" s="1046"/>
    </row>
    <row r="257" spans="2:23" x14ac:dyDescent="0.3">
      <c r="B257" s="182"/>
      <c r="C257" s="577"/>
      <c r="D257" s="521" t="s">
        <v>412</v>
      </c>
      <c r="E257" s="619" t="str">
        <f>G257</f>
        <v>Office Building B</v>
      </c>
      <c r="F257" s="565" t="str">
        <f>VLOOKUP(E257,'Airport Mapping'!$C$5:$D$39,2,FALSE)</f>
        <v xml:space="preserve"> </v>
      </c>
      <c r="G257" s="494" t="s">
        <v>384</v>
      </c>
      <c r="H257" s="651" t="str">
        <f>I257</f>
        <v>Restrooms</v>
      </c>
      <c r="I257" s="450" t="s">
        <v>37</v>
      </c>
      <c r="J257" s="577" t="s">
        <v>2</v>
      </c>
      <c r="K257" s="577" t="s">
        <v>6</v>
      </c>
      <c r="L257" s="1047" t="s">
        <v>64</v>
      </c>
      <c r="M257" s="1036">
        <f>SUMIFS('Level of Efficiency Assumptions'!$J:$J,'Level of Efficiency Assumptions'!$D:$D,I257,'Level of Efficiency Assumptions'!$F:$F,J257,'Level of Efficiency Assumptions'!$I:$I,'Water Use Calcs'!L257)</f>
        <v>3.5</v>
      </c>
      <c r="N257" s="567" t="s">
        <v>68</v>
      </c>
      <c r="O257" s="1048">
        <f>SUMIFS('Detailed Fixture Data'!O:O,'Detailed Fixture Data'!C:C,G257,'Detailed Fixture Data'!E:E,I257,'Detailed Fixture Data'!F:F,J257,'Detailed Fixture Data'!L:L,L257)</f>
        <v>0</v>
      </c>
      <c r="P257" s="1030">
        <f>SUMIFS('Intensity of Use Assumptions'!$J:$J,'Intensity of Use Assumptions'!$D:$D,I257,'Intensity of Use Assumptions'!$G:$G,J257,'Intensity of Use Assumptions'!H:H,K257)</f>
        <v>2.5</v>
      </c>
      <c r="Q257" s="567" t="s">
        <v>67</v>
      </c>
      <c r="R257" s="1032">
        <f>(SUMPRODUCT(M257:M259,O257:O259)*P257)</f>
        <v>0</v>
      </c>
      <c r="S257" s="1033">
        <f>M259*P257</f>
        <v>3.2</v>
      </c>
      <c r="T257" s="225" t="str">
        <f>G257&amp;"-"&amp;J257</f>
        <v>Office Building B-Toilets</v>
      </c>
      <c r="U257" s="1034">
        <f ca="1">IF(ISNA(VLOOKUP(T257,list!$AV$3:$AW$130,2,FALSE)),1,(VLOOKUP(T257,list!$AV$3:$AW$130,2,FALSE)))</f>
        <v>1</v>
      </c>
      <c r="V257" s="1033">
        <f ca="1">R257*U257</f>
        <v>0</v>
      </c>
      <c r="W257" s="1033">
        <f ca="1">S257*U257</f>
        <v>3.2</v>
      </c>
    </row>
    <row r="258" spans="2:23" x14ac:dyDescent="0.3">
      <c r="B258" s="182"/>
      <c r="C258" s="577"/>
      <c r="D258" s="521" t="s">
        <v>412</v>
      </c>
      <c r="E258" s="521"/>
      <c r="F258" s="85"/>
      <c r="G258" s="494" t="s">
        <v>384</v>
      </c>
      <c r="H258" s="577"/>
      <c r="I258" s="450" t="s">
        <v>37</v>
      </c>
      <c r="J258" s="577" t="s">
        <v>2</v>
      </c>
      <c r="K258" s="577"/>
      <c r="L258" s="1035" t="s">
        <v>65</v>
      </c>
      <c r="M258" s="1036">
        <f>SUMIFS('Level of Efficiency Assumptions'!$J:$J,'Level of Efficiency Assumptions'!$D:$D,I258,'Level of Efficiency Assumptions'!$F:$F,J258,'Level of Efficiency Assumptions'!$I:$I,'Water Use Calcs'!L258)</f>
        <v>1.6</v>
      </c>
      <c r="N258" s="577"/>
      <c r="O258" s="1048">
        <f>SUMIFS('Detailed Fixture Data'!O:O,'Detailed Fixture Data'!C:C,G258,'Detailed Fixture Data'!E:E,I258,'Detailed Fixture Data'!F:F,J258,'Detailed Fixture Data'!L:L,L258)</f>
        <v>0</v>
      </c>
      <c r="P258" s="1049"/>
      <c r="Q258" s="577"/>
      <c r="R258" s="1039"/>
      <c r="S258" s="521"/>
      <c r="T258" s="225"/>
      <c r="U258" s="521"/>
      <c r="V258" s="1040"/>
      <c r="W258" s="1041"/>
    </row>
    <row r="259" spans="2:23" ht="15" thickBot="1" x14ac:dyDescent="0.35">
      <c r="B259" s="182"/>
      <c r="C259" s="577"/>
      <c r="D259" s="521" t="s">
        <v>412</v>
      </c>
      <c r="E259" s="521"/>
      <c r="F259" s="85"/>
      <c r="G259" s="494" t="s">
        <v>384</v>
      </c>
      <c r="H259" s="577"/>
      <c r="I259" s="450" t="s">
        <v>37</v>
      </c>
      <c r="J259" s="116" t="s">
        <v>2</v>
      </c>
      <c r="K259" s="116"/>
      <c r="L259" s="1042" t="s">
        <v>66</v>
      </c>
      <c r="M259" s="1043">
        <f>SUMIFS('Level of Efficiency Assumptions'!$J:$J,'Level of Efficiency Assumptions'!$D:$D,I259,'Level of Efficiency Assumptions'!$F:$F,J259,'Level of Efficiency Assumptions'!$I:$I,'Water Use Calcs'!L259)</f>
        <v>1.28</v>
      </c>
      <c r="N259" s="116"/>
      <c r="O259" s="1048">
        <f>SUMIFS('Detailed Fixture Data'!O:O,'Detailed Fixture Data'!C:C,G259,'Detailed Fixture Data'!E:E,I259,'Detailed Fixture Data'!F:F,J259,'Detailed Fixture Data'!L:L,L259)</f>
        <v>0</v>
      </c>
      <c r="P259" s="1049"/>
      <c r="Q259" s="577"/>
      <c r="R259" s="1039"/>
      <c r="S259" s="618"/>
      <c r="T259" s="225"/>
      <c r="U259" s="618"/>
      <c r="V259" s="1045"/>
      <c r="W259" s="1046"/>
    </row>
    <row r="260" spans="2:23" x14ac:dyDescent="0.3">
      <c r="B260" s="182"/>
      <c r="C260" s="577"/>
      <c r="D260" s="521" t="s">
        <v>412</v>
      </c>
      <c r="E260" s="521"/>
      <c r="F260" s="85"/>
      <c r="G260" s="494" t="s">
        <v>384</v>
      </c>
      <c r="H260" s="577"/>
      <c r="I260" s="450" t="s">
        <v>37</v>
      </c>
      <c r="J260" s="577" t="s">
        <v>4</v>
      </c>
      <c r="K260" s="577" t="s">
        <v>6</v>
      </c>
      <c r="L260" s="1047" t="s">
        <v>64</v>
      </c>
      <c r="M260" s="1036">
        <f>SUMIFS('Level of Efficiency Assumptions'!$J:$J,'Level of Efficiency Assumptions'!$D:$D,I260,'Level of Efficiency Assumptions'!$F:$F,J260,'Level of Efficiency Assumptions'!$I:$I,'Water Use Calcs'!L260)</f>
        <v>2</v>
      </c>
      <c r="N260" s="577" t="s">
        <v>68</v>
      </c>
      <c r="O260" s="1048">
        <f>SUMIFS('Detailed Fixture Data'!O:O,'Detailed Fixture Data'!C:C,G260,'Detailed Fixture Data'!E:E,I260,'Detailed Fixture Data'!F:F,J260,'Detailed Fixture Data'!L:L,L260)</f>
        <v>0</v>
      </c>
      <c r="P260" s="1030">
        <f>SUMIFS('Intensity of Use Assumptions'!$J:$J,'Intensity of Use Assumptions'!$D:$D,I260,'Intensity of Use Assumptions'!$G:$G,J260,'Intensity of Use Assumptions'!H:H,K260)</f>
        <v>1.5</v>
      </c>
      <c r="Q260" s="567" t="s">
        <v>67</v>
      </c>
      <c r="R260" s="1032">
        <f>(SUMPRODUCT(M260:M262,O260:O262)*P260)</f>
        <v>0</v>
      </c>
      <c r="S260" s="1033">
        <f>IF(R260=0,0,M262*P260)</f>
        <v>0</v>
      </c>
      <c r="T260" s="225" t="str">
        <f>G260&amp;"-"&amp;J260</f>
        <v>Office Building B-Urinals</v>
      </c>
      <c r="U260" s="1034">
        <f ca="1">IF(ISNA(VLOOKUP(T260,list!$AV$3:$AW$130,2,FALSE)),1,(VLOOKUP(T260,list!$AV$3:$AW$130,2,FALSE)))</f>
        <v>1</v>
      </c>
      <c r="V260" s="1033">
        <f ca="1">R260*U260</f>
        <v>0</v>
      </c>
      <c r="W260" s="1033">
        <f ca="1">S260*U260</f>
        <v>0</v>
      </c>
    </row>
    <row r="261" spans="2:23" x14ac:dyDescent="0.3">
      <c r="B261" s="182"/>
      <c r="C261" s="577"/>
      <c r="D261" s="521" t="s">
        <v>412</v>
      </c>
      <c r="E261" s="521"/>
      <c r="F261" s="85"/>
      <c r="G261" s="494" t="s">
        <v>384</v>
      </c>
      <c r="H261" s="577"/>
      <c r="I261" s="450" t="s">
        <v>37</v>
      </c>
      <c r="J261" s="577" t="s">
        <v>4</v>
      </c>
      <c r="K261" s="577"/>
      <c r="L261" s="1035" t="s">
        <v>65</v>
      </c>
      <c r="M261" s="1036">
        <f>SUMIFS('Level of Efficiency Assumptions'!$J:$J,'Level of Efficiency Assumptions'!$D:$D,I261,'Level of Efficiency Assumptions'!$F:$F,J261,'Level of Efficiency Assumptions'!$I:$I,'Water Use Calcs'!L261)</f>
        <v>1</v>
      </c>
      <c r="N261" s="577"/>
      <c r="O261" s="1048">
        <f>SUMIFS('Detailed Fixture Data'!O:O,'Detailed Fixture Data'!C:C,G261,'Detailed Fixture Data'!E:E,I261,'Detailed Fixture Data'!F:F,J261,'Detailed Fixture Data'!L:L,L261)</f>
        <v>0</v>
      </c>
      <c r="P261" s="1049"/>
      <c r="Q261" s="577"/>
      <c r="R261" s="1039"/>
      <c r="S261" s="521"/>
      <c r="T261" s="225"/>
      <c r="U261" s="521"/>
      <c r="V261" s="1040"/>
      <c r="W261" s="1041"/>
    </row>
    <row r="262" spans="2:23" ht="15" thickBot="1" x14ac:dyDescent="0.35">
      <c r="B262" s="182"/>
      <c r="C262" s="577"/>
      <c r="D262" s="521" t="s">
        <v>412</v>
      </c>
      <c r="E262" s="521"/>
      <c r="F262" s="85"/>
      <c r="G262" s="494" t="s">
        <v>384</v>
      </c>
      <c r="H262" s="577"/>
      <c r="I262" s="450" t="s">
        <v>37</v>
      </c>
      <c r="J262" s="116" t="s">
        <v>4</v>
      </c>
      <c r="K262" s="116"/>
      <c r="L262" s="1042" t="s">
        <v>66</v>
      </c>
      <c r="M262" s="1043">
        <f>SUMIFS('Level of Efficiency Assumptions'!$J:$J,'Level of Efficiency Assumptions'!$D:$D,I262,'Level of Efficiency Assumptions'!$F:$F,J262,'Level of Efficiency Assumptions'!$I:$I,'Water Use Calcs'!L262)</f>
        <v>0.125</v>
      </c>
      <c r="N262" s="577"/>
      <c r="O262" s="1048">
        <f>SUMIFS('Detailed Fixture Data'!O:O,'Detailed Fixture Data'!C:C,G262,'Detailed Fixture Data'!E:E,I262,'Detailed Fixture Data'!F:F,J262,'Detailed Fixture Data'!L:L,L262)</f>
        <v>0</v>
      </c>
      <c r="P262" s="1049"/>
      <c r="Q262" s="577"/>
      <c r="R262" s="1039"/>
      <c r="S262" s="618"/>
      <c r="T262" s="225"/>
      <c r="U262" s="618"/>
      <c r="V262" s="1045"/>
      <c r="W262" s="1046"/>
    </row>
    <row r="263" spans="2:23" x14ac:dyDescent="0.3">
      <c r="B263" s="182"/>
      <c r="C263" s="577"/>
      <c r="D263" s="521" t="s">
        <v>412</v>
      </c>
      <c r="E263" s="521"/>
      <c r="F263" s="85"/>
      <c r="G263" s="494" t="s">
        <v>384</v>
      </c>
      <c r="H263" s="577"/>
      <c r="I263" s="450" t="s">
        <v>37</v>
      </c>
      <c r="J263" s="577" t="s">
        <v>33</v>
      </c>
      <c r="K263" s="577" t="s">
        <v>6</v>
      </c>
      <c r="L263" s="1047" t="s">
        <v>64</v>
      </c>
      <c r="M263" s="1036">
        <f>SUMIFS('Level of Efficiency Assumptions'!$J:$J,'Level of Efficiency Assumptions'!$D:$D,I263,'Level of Efficiency Assumptions'!$F:$F,J263,'Level of Efficiency Assumptions'!$I:$I,'Water Use Calcs'!L263)</f>
        <v>2</v>
      </c>
      <c r="N263" s="567" t="s">
        <v>78</v>
      </c>
      <c r="O263" s="1048">
        <f>SUMIFS('Detailed Fixture Data'!O:O,'Detailed Fixture Data'!C:C,G263,'Detailed Fixture Data'!E:E,I263,'Detailed Fixture Data'!F:F,J263,'Detailed Fixture Data'!L:L,L263)</f>
        <v>0</v>
      </c>
      <c r="P263" s="1030">
        <f>SUMIFS('Intensity of Use Assumptions'!$J:$J,'Intensity of Use Assumptions'!$D:$D,I263,'Intensity of Use Assumptions'!$G:$G,J263,'Intensity of Use Assumptions'!H:H,K263)</f>
        <v>0.66666666666666663</v>
      </c>
      <c r="Q263" s="567" t="s">
        <v>133</v>
      </c>
      <c r="R263" s="1032">
        <f>(SUMPRODUCT(M263:M265,O263:O265)*P263)</f>
        <v>0</v>
      </c>
      <c r="S263" s="1033">
        <f>IF(R263=0,0,M265*P263)</f>
        <v>0</v>
      </c>
      <c r="T263" s="225" t="str">
        <f>G263&amp;"-"&amp;J263</f>
        <v>Office Building B-Faucets</v>
      </c>
      <c r="U263" s="1034">
        <f ca="1">IF(ISNA(VLOOKUP(T263,list!$AV$3:$AW$130,2,FALSE)),1,(VLOOKUP(T263,list!$AV$3:$AW$130,2,FALSE)))</f>
        <v>1</v>
      </c>
      <c r="V263" s="1033">
        <f ca="1">R263*U263</f>
        <v>0</v>
      </c>
      <c r="W263" s="1033">
        <f ca="1">S263*U263</f>
        <v>0</v>
      </c>
    </row>
    <row r="264" spans="2:23" x14ac:dyDescent="0.3">
      <c r="B264" s="182"/>
      <c r="C264" s="577"/>
      <c r="D264" s="521" t="s">
        <v>412</v>
      </c>
      <c r="E264" s="521"/>
      <c r="F264" s="85"/>
      <c r="G264" s="494" t="s">
        <v>384</v>
      </c>
      <c r="H264" s="577"/>
      <c r="I264" s="450" t="s">
        <v>37</v>
      </c>
      <c r="J264" s="577" t="s">
        <v>33</v>
      </c>
      <c r="K264" s="577"/>
      <c r="L264" s="1035" t="s">
        <v>65</v>
      </c>
      <c r="M264" s="1036">
        <f>SUMIFS('Level of Efficiency Assumptions'!$J:$J,'Level of Efficiency Assumptions'!$D:$D,I264,'Level of Efficiency Assumptions'!$F:$F,J264,'Level of Efficiency Assumptions'!$I:$I,'Water Use Calcs'!L264)</f>
        <v>1</v>
      </c>
      <c r="N264" s="577"/>
      <c r="O264" s="1048">
        <f>SUMIFS('Detailed Fixture Data'!O:O,'Detailed Fixture Data'!C:C,G264,'Detailed Fixture Data'!E:E,I264,'Detailed Fixture Data'!F:F,J264,'Detailed Fixture Data'!L:L,L264)</f>
        <v>0</v>
      </c>
      <c r="P264" s="1049"/>
      <c r="Q264" s="577"/>
      <c r="R264" s="1039"/>
      <c r="S264" s="521"/>
      <c r="T264" s="225"/>
      <c r="U264" s="521"/>
      <c r="V264" s="1040"/>
      <c r="W264" s="1041"/>
    </row>
    <row r="265" spans="2:23" ht="15" thickBot="1" x14ac:dyDescent="0.35">
      <c r="B265" s="182"/>
      <c r="C265" s="577"/>
      <c r="D265" s="521" t="s">
        <v>412</v>
      </c>
      <c r="E265" s="521"/>
      <c r="F265" s="85"/>
      <c r="G265" s="494" t="s">
        <v>384</v>
      </c>
      <c r="H265" s="577"/>
      <c r="I265" s="451" t="s">
        <v>37</v>
      </c>
      <c r="J265" s="116" t="s">
        <v>33</v>
      </c>
      <c r="K265" s="116"/>
      <c r="L265" s="1042" t="s">
        <v>66</v>
      </c>
      <c r="M265" s="1043">
        <f>SUMIFS('Level of Efficiency Assumptions'!$J:$J,'Level of Efficiency Assumptions'!$D:$D,I265,'Level of Efficiency Assumptions'!$F:$F,J265,'Level of Efficiency Assumptions'!$I:$I,'Water Use Calcs'!L265)</f>
        <v>0.5</v>
      </c>
      <c r="N265" s="577"/>
      <c r="O265" s="1048">
        <f>SUMIFS('Detailed Fixture Data'!O:O,'Detailed Fixture Data'!C:C,G265,'Detailed Fixture Data'!E:E,I265,'Detailed Fixture Data'!F:F,J265,'Detailed Fixture Data'!L:L,L265)</f>
        <v>0</v>
      </c>
      <c r="P265" s="1049"/>
      <c r="Q265" s="577"/>
      <c r="R265" s="1039"/>
      <c r="S265" s="618"/>
      <c r="T265" s="225"/>
      <c r="U265" s="618"/>
      <c r="V265" s="1045"/>
      <c r="W265" s="1046"/>
    </row>
    <row r="266" spans="2:23" x14ac:dyDescent="0.3">
      <c r="B266" s="182"/>
      <c r="C266" s="577"/>
      <c r="D266" s="521" t="s">
        <v>412</v>
      </c>
      <c r="E266" s="521"/>
      <c r="F266" s="85"/>
      <c r="G266" s="494" t="s">
        <v>384</v>
      </c>
      <c r="H266" s="651" t="str">
        <f>I266</f>
        <v>Break rooms</v>
      </c>
      <c r="I266" s="450" t="s">
        <v>5</v>
      </c>
      <c r="J266" s="577" t="s">
        <v>33</v>
      </c>
      <c r="K266" s="577" t="s">
        <v>6</v>
      </c>
      <c r="L266" s="1047" t="s">
        <v>64</v>
      </c>
      <c r="M266" s="1036">
        <f>SUMIFS('Level of Efficiency Assumptions'!$J:$J,'Level of Efficiency Assumptions'!$D:$D,I266,'Level of Efficiency Assumptions'!$F:$F,J266,'Level of Efficiency Assumptions'!$I:$I,'Water Use Calcs'!L266)</f>
        <v>2</v>
      </c>
      <c r="N266" s="567" t="s">
        <v>78</v>
      </c>
      <c r="O266" s="1048">
        <f>SUMIFS('Detailed Fixture Data'!O:O,'Detailed Fixture Data'!C:C,G266,'Detailed Fixture Data'!E:E,I266,'Detailed Fixture Data'!F:F,J266,'Detailed Fixture Data'!L:L,L266)</f>
        <v>0</v>
      </c>
      <c r="P266" s="1030">
        <f>SUMIFS('Intensity of Use Assumptions'!$J:$J,'Intensity of Use Assumptions'!$D:$D,I266,'Intensity of Use Assumptions'!$G:$G,J266,'Intensity of Use Assumptions'!H:H,K266)</f>
        <v>0.16666666666666666</v>
      </c>
      <c r="Q266" s="567" t="s">
        <v>133</v>
      </c>
      <c r="R266" s="1032">
        <f>(SUMPRODUCT(M266:M268,O266:O268)*P266)</f>
        <v>0</v>
      </c>
      <c r="S266" s="1033">
        <f>IF(R266=0,0,M268*P266)</f>
        <v>0</v>
      </c>
      <c r="T266" s="225" t="str">
        <f>G266&amp;"-"&amp;J266</f>
        <v>Office Building B-Faucets</v>
      </c>
      <c r="U266" s="1034">
        <f ca="1">IF(ISNA(VLOOKUP(T266,list!$AV$3:$AW$130,2,FALSE)),1,(VLOOKUP(T266,list!$AV$3:$AW$130,2,FALSE)))</f>
        <v>1</v>
      </c>
      <c r="V266" s="1033">
        <f ca="1">R266*U266</f>
        <v>0</v>
      </c>
      <c r="W266" s="1033">
        <f ca="1">S266*U266</f>
        <v>0</v>
      </c>
    </row>
    <row r="267" spans="2:23" x14ac:dyDescent="0.3">
      <c r="B267" s="182"/>
      <c r="C267" s="577"/>
      <c r="D267" s="521" t="s">
        <v>412</v>
      </c>
      <c r="E267" s="521"/>
      <c r="F267" s="85"/>
      <c r="G267" s="494" t="s">
        <v>384</v>
      </c>
      <c r="H267" s="577"/>
      <c r="I267" s="450" t="s">
        <v>5</v>
      </c>
      <c r="J267" s="577" t="s">
        <v>33</v>
      </c>
      <c r="K267" s="577"/>
      <c r="L267" s="1035" t="s">
        <v>65</v>
      </c>
      <c r="M267" s="1036">
        <f>SUMIFS('Level of Efficiency Assumptions'!$J:$J,'Level of Efficiency Assumptions'!$D:$D,I267,'Level of Efficiency Assumptions'!$F:$F,J267,'Level of Efficiency Assumptions'!$I:$I,'Water Use Calcs'!L267)</f>
        <v>1</v>
      </c>
      <c r="N267" s="577"/>
      <c r="O267" s="1048">
        <f>SUMIFS('Detailed Fixture Data'!O:O,'Detailed Fixture Data'!C:C,G267,'Detailed Fixture Data'!E:E,I267,'Detailed Fixture Data'!F:F,J267,'Detailed Fixture Data'!L:L,L267)</f>
        <v>0</v>
      </c>
      <c r="P267" s="1049"/>
      <c r="Q267" s="577"/>
      <c r="R267" s="1039"/>
      <c r="S267" s="521"/>
      <c r="T267" s="225"/>
      <c r="U267" s="521"/>
      <c r="V267" s="1040"/>
      <c r="W267" s="1041"/>
    </row>
    <row r="268" spans="2:23" ht="15" thickBot="1" x14ac:dyDescent="0.35">
      <c r="B268" s="182"/>
      <c r="C268" s="577"/>
      <c r="D268" s="521" t="s">
        <v>412</v>
      </c>
      <c r="E268" s="521"/>
      <c r="F268" s="85"/>
      <c r="G268" s="494" t="s">
        <v>384</v>
      </c>
      <c r="H268" s="577"/>
      <c r="I268" s="451" t="s">
        <v>5</v>
      </c>
      <c r="J268" s="116" t="s">
        <v>33</v>
      </c>
      <c r="K268" s="116"/>
      <c r="L268" s="1042" t="s">
        <v>66</v>
      </c>
      <c r="M268" s="1043">
        <f>SUMIFS('Level of Efficiency Assumptions'!$J:$J,'Level of Efficiency Assumptions'!$D:$D,I268,'Level of Efficiency Assumptions'!$F:$F,J268,'Level of Efficiency Assumptions'!$I:$I,'Water Use Calcs'!L268)</f>
        <v>0.5</v>
      </c>
      <c r="N268" s="577"/>
      <c r="O268" s="1048">
        <f>SUMIFS('Detailed Fixture Data'!O:O,'Detailed Fixture Data'!C:C,G268,'Detailed Fixture Data'!E:E,I268,'Detailed Fixture Data'!F:F,J268,'Detailed Fixture Data'!L:L,L268)</f>
        <v>0</v>
      </c>
      <c r="P268" s="1049"/>
      <c r="Q268" s="577"/>
      <c r="R268" s="1039"/>
      <c r="S268" s="618"/>
      <c r="T268" s="225"/>
      <c r="U268" s="618"/>
      <c r="V268" s="1045"/>
      <c r="W268" s="1046"/>
    </row>
    <row r="269" spans="2:23" x14ac:dyDescent="0.3">
      <c r="B269" s="182"/>
      <c r="C269" s="577"/>
      <c r="D269" s="521" t="s">
        <v>412</v>
      </c>
      <c r="E269" s="521"/>
      <c r="F269" s="85"/>
      <c r="G269" s="494" t="s">
        <v>384</v>
      </c>
      <c r="H269" s="651" t="str">
        <f>I269</f>
        <v>Landscaping</v>
      </c>
      <c r="I269" s="450" t="s">
        <v>39</v>
      </c>
      <c r="J269" s="577" t="s">
        <v>42</v>
      </c>
      <c r="K269" s="577" t="s">
        <v>32</v>
      </c>
      <c r="L269" s="1047" t="s">
        <v>64</v>
      </c>
      <c r="M269" s="1036">
        <f>SUMIFS('Level of Efficiency Assumptions'!$J:$J,'Level of Efficiency Assumptions'!$D:$D,I269,'Level of Efficiency Assumptions'!$F:$F,J269,'Level of Efficiency Assumptions'!$I:$I,'Water Use Calcs'!L269)</f>
        <v>28.6</v>
      </c>
      <c r="N269" s="567" t="s">
        <v>816</v>
      </c>
      <c r="O269" s="1048">
        <f>SUMIFS('Detailed Fixture Data'!O:O,'Detailed Fixture Data'!C:C,G269,'Detailed Fixture Data'!E:E,I269,'Detailed Fixture Data'!F:F,J269,'Detailed Fixture Data'!L:L,L269)</f>
        <v>0</v>
      </c>
      <c r="P269" s="1030">
        <f>SUMIFS('Intensity of Use Assumptions'!$J:$J,'Intensity of Use Assumptions'!$D:$D,I269,'Intensity of Use Assumptions'!$G:$G,J269,'Intensity of Use Assumptions'!H:H,K269,'Intensity of Use Assumptions'!F:F,D269)</f>
        <v>2.7397260273972603E-3</v>
      </c>
      <c r="Q269" s="567" t="s">
        <v>815</v>
      </c>
      <c r="R269" s="1032">
        <f>(SUMPRODUCT(M269:M271,O269:O271)*P269)</f>
        <v>0</v>
      </c>
      <c r="S269" s="1033">
        <f>IF(R269=0,0,M271*P269)</f>
        <v>0</v>
      </c>
      <c r="T269" s="225" t="str">
        <f>G269&amp;"-"&amp;J269</f>
        <v>Office Building B-Outdoor irrigation</v>
      </c>
      <c r="U269" s="1034">
        <f ca="1">IF(ISNA(VLOOKUP(T269,list!$AV$3:$AW$130,2,FALSE)),1,(VLOOKUP(T269,list!$AV$3:$AW$130,2,FALSE)))</f>
        <v>1</v>
      </c>
      <c r="V269" s="1033">
        <f ca="1">R269*U269</f>
        <v>0</v>
      </c>
      <c r="W269" s="1033">
        <f ca="1">S269*U269</f>
        <v>0</v>
      </c>
    </row>
    <row r="270" spans="2:23" x14ac:dyDescent="0.3">
      <c r="B270" s="182"/>
      <c r="C270" s="577"/>
      <c r="D270" s="521" t="s">
        <v>412</v>
      </c>
      <c r="E270" s="521"/>
      <c r="F270" s="85"/>
      <c r="G270" s="494" t="s">
        <v>384</v>
      </c>
      <c r="H270" s="577"/>
      <c r="I270" s="450" t="s">
        <v>39</v>
      </c>
      <c r="J270" s="577" t="s">
        <v>42</v>
      </c>
      <c r="K270" s="577"/>
      <c r="L270" s="1035" t="s">
        <v>65</v>
      </c>
      <c r="M270" s="1036">
        <f>SUMIFS('Level of Efficiency Assumptions'!$J:$J,'Level of Efficiency Assumptions'!$D:$D,I270,'Level of Efficiency Assumptions'!$F:$F,J270,'Level of Efficiency Assumptions'!$I:$I,'Water Use Calcs'!L270)</f>
        <v>13.980821518350929</v>
      </c>
      <c r="N270" s="577"/>
      <c r="O270" s="1048">
        <f>SUMIFS('Detailed Fixture Data'!O:O,'Detailed Fixture Data'!C:C,G270,'Detailed Fixture Data'!E:E,I270,'Detailed Fixture Data'!F:F,J270,'Detailed Fixture Data'!L:L,L270)</f>
        <v>0</v>
      </c>
      <c r="P270" s="1049"/>
      <c r="Q270" s="577"/>
      <c r="R270" s="1039"/>
      <c r="S270" s="521"/>
      <c r="T270" s="225"/>
      <c r="U270" s="521"/>
      <c r="V270" s="1040"/>
      <c r="W270" s="1041"/>
    </row>
    <row r="271" spans="2:23" ht="15" thickBot="1" x14ac:dyDescent="0.35">
      <c r="B271" s="182"/>
      <c r="C271" s="577"/>
      <c r="D271" s="521" t="s">
        <v>412</v>
      </c>
      <c r="E271" s="521"/>
      <c r="F271" s="85"/>
      <c r="G271" s="494" t="s">
        <v>384</v>
      </c>
      <c r="H271" s="577"/>
      <c r="I271" s="451" t="s">
        <v>39</v>
      </c>
      <c r="J271" s="116" t="s">
        <v>42</v>
      </c>
      <c r="K271" s="116"/>
      <c r="L271" s="1042" t="s">
        <v>66</v>
      </c>
      <c r="M271" s="1043">
        <f>SUMIFS('Level of Efficiency Assumptions'!$J:$J,'Level of Efficiency Assumptions'!$D:$D,I271,'Level of Efficiency Assumptions'!$F:$F,J271,'Level of Efficiency Assumptions'!$I:$I,'Water Use Calcs'!L271)</f>
        <v>0.59137254901960778</v>
      </c>
      <c r="N271" s="577"/>
      <c r="O271" s="1048">
        <f>SUMIFS('Detailed Fixture Data'!O:O,'Detailed Fixture Data'!C:C,G271,'Detailed Fixture Data'!E:E,I271,'Detailed Fixture Data'!F:F,J271,'Detailed Fixture Data'!L:L,L271)</f>
        <v>0</v>
      </c>
      <c r="P271" s="1049"/>
      <c r="Q271" s="577"/>
      <c r="R271" s="1039"/>
      <c r="S271" s="618"/>
      <c r="T271" s="225"/>
      <c r="U271" s="618"/>
      <c r="V271" s="1045"/>
      <c r="W271" s="1046"/>
    </row>
    <row r="272" spans="2:23" x14ac:dyDescent="0.3">
      <c r="B272" s="182"/>
      <c r="C272" s="577"/>
      <c r="D272" s="521" t="s">
        <v>412</v>
      </c>
      <c r="E272" s="521"/>
      <c r="F272" s="85"/>
      <c r="G272" s="494" t="s">
        <v>384</v>
      </c>
      <c r="H272" s="651" t="str">
        <f>I272</f>
        <v>Maintenance</v>
      </c>
      <c r="I272" s="450" t="s">
        <v>43</v>
      </c>
      <c r="J272" s="577" t="s">
        <v>111</v>
      </c>
      <c r="K272" s="217" t="s">
        <v>424</v>
      </c>
      <c r="L272" s="1047" t="s">
        <v>64</v>
      </c>
      <c r="M272" s="1036">
        <f>SUMIFS('Level of Efficiency Assumptions'!$J:$J,'Level of Efficiency Assumptions'!$D:$D,I272,'Level of Efficiency Assumptions'!$F:$F,J272,'Level of Efficiency Assumptions'!$I:$I,'Water Use Calcs'!L272)</f>
        <v>100</v>
      </c>
      <c r="N272" s="567" t="s">
        <v>659</v>
      </c>
      <c r="O272" s="1048">
        <f>SUMIFS('Detailed Fixture Data'!O:O,'Detailed Fixture Data'!C:C,G272,'Detailed Fixture Data'!E:E,I272,'Detailed Fixture Data'!F:F,J272,'Detailed Fixture Data'!L:L,L272)</f>
        <v>0</v>
      </c>
      <c r="P272" s="1030">
        <f>SUMIFS('Intensity of Use Assumptions'!$J:$J,'Intensity of Use Assumptions'!$D:$D,I272,'Intensity of Use Assumptions'!$G:$G,J272,'Intensity of Use Assumptions'!H:H,K272)</f>
        <v>1</v>
      </c>
      <c r="Q272" s="567" t="s">
        <v>67</v>
      </c>
      <c r="R272" s="1032">
        <f>(SUMPRODUCT(M272:M274,O272:O274)*P272)</f>
        <v>0</v>
      </c>
      <c r="S272" s="1033">
        <f>IF(R272=0,0,M274*P272)</f>
        <v>0</v>
      </c>
      <c r="T272" s="225" t="str">
        <f>G272&amp;"-"&amp;J272</f>
        <v>Office Building B-Boiler</v>
      </c>
      <c r="U272" s="1034">
        <f ca="1">IF(ISNA(VLOOKUP(T272,list!$AV$3:$AW$130,2,FALSE)),1,(VLOOKUP(T272,list!$AV$3:$AW$130,2,FALSE)))</f>
        <v>1</v>
      </c>
      <c r="V272" s="1033">
        <f ca="1">R272*U272</f>
        <v>0</v>
      </c>
      <c r="W272" s="1033">
        <f ca="1">S272*U272</f>
        <v>0</v>
      </c>
    </row>
    <row r="273" spans="2:23" x14ac:dyDescent="0.3">
      <c r="B273" s="182"/>
      <c r="C273" s="577"/>
      <c r="D273" s="521" t="s">
        <v>412</v>
      </c>
      <c r="E273" s="521"/>
      <c r="F273" s="85"/>
      <c r="G273" s="494" t="s">
        <v>384</v>
      </c>
      <c r="H273" s="577"/>
      <c r="I273" s="450" t="s">
        <v>43</v>
      </c>
      <c r="J273" s="577" t="s">
        <v>111</v>
      </c>
      <c r="K273" s="382"/>
      <c r="L273" s="1035" t="s">
        <v>65</v>
      </c>
      <c r="M273" s="1036">
        <f>SUMIFS('Level of Efficiency Assumptions'!$J:$J,'Level of Efficiency Assumptions'!$D:$D,I273,'Level of Efficiency Assumptions'!$F:$F,J273,'Level of Efficiency Assumptions'!$I:$I,'Water Use Calcs'!L273)</f>
        <v>75</v>
      </c>
      <c r="N273" s="577"/>
      <c r="O273" s="1048">
        <f>SUMIFS('Detailed Fixture Data'!O:O,'Detailed Fixture Data'!C:C,G273,'Detailed Fixture Data'!E:E,I273,'Detailed Fixture Data'!F:F,J273,'Detailed Fixture Data'!L:L,L273)</f>
        <v>0</v>
      </c>
      <c r="P273" s="1049"/>
      <c r="Q273" s="577"/>
      <c r="R273" s="1039"/>
      <c r="S273" s="521"/>
      <c r="T273" s="225"/>
      <c r="U273" s="521"/>
      <c r="V273" s="1040"/>
      <c r="W273" s="1041"/>
    </row>
    <row r="274" spans="2:23" ht="15" thickBot="1" x14ac:dyDescent="0.35">
      <c r="B274" s="182"/>
      <c r="C274" s="577"/>
      <c r="D274" s="521" t="s">
        <v>412</v>
      </c>
      <c r="E274" s="521"/>
      <c r="F274" s="85"/>
      <c r="G274" s="494" t="s">
        <v>384</v>
      </c>
      <c r="H274" s="577"/>
      <c r="I274" s="450" t="s">
        <v>43</v>
      </c>
      <c r="J274" s="116" t="s">
        <v>111</v>
      </c>
      <c r="K274" s="116"/>
      <c r="L274" s="1042" t="s">
        <v>66</v>
      </c>
      <c r="M274" s="1043">
        <f>SUMIFS('Level of Efficiency Assumptions'!$J:$J,'Level of Efficiency Assumptions'!$D:$D,I274,'Level of Efficiency Assumptions'!$F:$F,J274,'Level of Efficiency Assumptions'!$I:$I,'Water Use Calcs'!L274)</f>
        <v>50</v>
      </c>
      <c r="N274" s="577"/>
      <c r="O274" s="1048">
        <f>SUMIFS('Detailed Fixture Data'!O:O,'Detailed Fixture Data'!C:C,G274,'Detailed Fixture Data'!E:E,I274,'Detailed Fixture Data'!F:F,J274,'Detailed Fixture Data'!L:L,L274)</f>
        <v>0</v>
      </c>
      <c r="P274" s="1049"/>
      <c r="Q274" s="577"/>
      <c r="R274" s="1039"/>
      <c r="S274" s="618"/>
      <c r="T274" s="225"/>
      <c r="U274" s="618"/>
      <c r="V274" s="1045"/>
      <c r="W274" s="1046"/>
    </row>
    <row r="275" spans="2:23" x14ac:dyDescent="0.3">
      <c r="B275" s="182"/>
      <c r="C275" s="577"/>
      <c r="D275" s="521" t="s">
        <v>412</v>
      </c>
      <c r="E275" s="521"/>
      <c r="F275" s="85"/>
      <c r="G275" s="494" t="s">
        <v>384</v>
      </c>
      <c r="H275" s="577"/>
      <c r="I275" s="450" t="s">
        <v>43</v>
      </c>
      <c r="J275" s="577" t="s">
        <v>7</v>
      </c>
      <c r="K275" s="215" t="s">
        <v>365</v>
      </c>
      <c r="L275" s="1012" t="s">
        <v>257</v>
      </c>
      <c r="M275" s="1050"/>
      <c r="N275" s="1050"/>
      <c r="O275" s="1050"/>
      <c r="P275" s="1051"/>
      <c r="Q275" s="981"/>
      <c r="R275" s="1052">
        <f>SUMIFS('Cooling Data'!H:H,'Cooling Data'!$C:$C,$G275,'Cooling Data'!$E:$E,$I275,'Cooling Data'!$F:$F,$J275)</f>
        <v>0</v>
      </c>
      <c r="S275" s="1052">
        <f>SUMIFS('Cooling Data'!J:J,'Cooling Data'!$C:$C,$G275,'Cooling Data'!$E:$E,$I275,'Cooling Data'!$F:$F,$J275)</f>
        <v>0</v>
      </c>
      <c r="T275" s="225" t="str">
        <f>G275&amp;"-"&amp;J275</f>
        <v>Office Building B-Cooling</v>
      </c>
      <c r="U275" s="1034">
        <f ca="1">IF(ISNA(VLOOKUP(T275,list!$AV$3:$AW$130,2,FALSE)),1,(VLOOKUP(T275,list!$AV$3:$AW$130,2,FALSE)))</f>
        <v>1</v>
      </c>
      <c r="V275" s="1033">
        <f ca="1">R275*U275</f>
        <v>0</v>
      </c>
      <c r="W275" s="1033">
        <f ca="1">S275*U275</f>
        <v>0</v>
      </c>
    </row>
    <row r="276" spans="2:23" x14ac:dyDescent="0.3">
      <c r="B276" s="182"/>
      <c r="C276" s="577"/>
      <c r="D276" s="521" t="s">
        <v>412</v>
      </c>
      <c r="E276" s="521"/>
      <c r="F276" s="85"/>
      <c r="G276" s="494" t="s">
        <v>384</v>
      </c>
      <c r="H276" s="577"/>
      <c r="I276" s="450" t="s">
        <v>43</v>
      </c>
      <c r="J276" s="577" t="s">
        <v>7</v>
      </c>
      <c r="K276" s="577"/>
      <c r="L276" s="206"/>
      <c r="M276" s="181"/>
      <c r="N276" s="181"/>
      <c r="O276" s="181"/>
      <c r="P276" s="1053"/>
      <c r="Q276" s="439"/>
      <c r="R276" s="1039"/>
      <c r="S276" s="521"/>
      <c r="T276" s="225"/>
      <c r="U276" s="521"/>
      <c r="V276" s="1040"/>
      <c r="W276" s="1041"/>
    </row>
    <row r="277" spans="2:23" ht="15" thickBot="1" x14ac:dyDescent="0.35">
      <c r="B277" s="182"/>
      <c r="C277" s="577"/>
      <c r="D277" s="521" t="s">
        <v>412</v>
      </c>
      <c r="E277" s="521"/>
      <c r="F277" s="85"/>
      <c r="G277" s="494" t="s">
        <v>384</v>
      </c>
      <c r="H277" s="577"/>
      <c r="I277" s="451" t="s">
        <v>43</v>
      </c>
      <c r="J277" s="116" t="s">
        <v>7</v>
      </c>
      <c r="K277" s="116"/>
      <c r="L277" s="207"/>
      <c r="M277" s="924"/>
      <c r="N277" s="924"/>
      <c r="O277" s="924"/>
      <c r="P277" s="1054"/>
      <c r="Q277" s="606"/>
      <c r="R277" s="1039"/>
      <c r="S277" s="618"/>
      <c r="T277" s="225"/>
      <c r="U277" s="618"/>
      <c r="V277" s="1045"/>
      <c r="W277" s="1046"/>
    </row>
    <row r="278" spans="2:23" x14ac:dyDescent="0.3">
      <c r="B278" s="182"/>
      <c r="C278" s="577"/>
      <c r="D278" s="521" t="s">
        <v>412</v>
      </c>
      <c r="E278" s="521"/>
      <c r="F278" s="85"/>
      <c r="G278" s="494" t="s">
        <v>384</v>
      </c>
      <c r="H278" s="651" t="str">
        <f>I278</f>
        <v>Other</v>
      </c>
      <c r="I278" s="450" t="s">
        <v>8</v>
      </c>
      <c r="J278" s="577" t="s">
        <v>52</v>
      </c>
      <c r="K278" s="387" t="s">
        <v>362</v>
      </c>
      <c r="L278" s="1047" t="s">
        <v>64</v>
      </c>
      <c r="M278" s="1036">
        <f>SUMIFS('Level of Efficiency Assumptions'!$J:$J,'Level of Efficiency Assumptions'!$D:$D,I278,'Level of Efficiency Assumptions'!$F:$F,J278,'Level of Efficiency Assumptions'!$I:$I,'Water Use Calcs'!L278)</f>
        <v>10</v>
      </c>
      <c r="N278" s="567" t="s">
        <v>660</v>
      </c>
      <c r="O278" s="1048">
        <f>SUMIFS('Detailed Fixture Data'!O:O,'Detailed Fixture Data'!C:C,G278,'Detailed Fixture Data'!E:E,I278,'Detailed Fixture Data'!F:F,J278,'Detailed Fixture Data'!L:L,L278)</f>
        <v>0</v>
      </c>
      <c r="P278" s="1030">
        <f>SUMIFS('Intensity of Use Assumptions'!$J:$J,'Intensity of Use Assumptions'!$D:$D,I278,'Intensity of Use Assumptions'!$G:$G,J278,'Intensity of Use Assumptions'!H:H,K278)</f>
        <v>1</v>
      </c>
      <c r="Q278" s="567" t="s">
        <v>67</v>
      </c>
      <c r="R278" s="1032">
        <f>(SUMPRODUCT(M278:M280,O278:O280)*P278)</f>
        <v>0</v>
      </c>
      <c r="S278" s="1033">
        <f>IF(R278=0,0,M280*P278)</f>
        <v>0</v>
      </c>
      <c r="T278" s="225" t="str">
        <f>G278&amp;"-"&amp;J278</f>
        <v>Office Building B-Other 1</v>
      </c>
      <c r="U278" s="1034">
        <f ca="1">IF(ISNA(VLOOKUP(T278,list!$AV$3:$AW$130,2,FALSE)),1,(VLOOKUP(T278,list!$AV$3:$AW$130,2,FALSE)))</f>
        <v>1</v>
      </c>
      <c r="V278" s="1033">
        <f ca="1">R278*U278</f>
        <v>0</v>
      </c>
      <c r="W278" s="1033">
        <f ca="1">S278*U278</f>
        <v>0</v>
      </c>
    </row>
    <row r="279" spans="2:23" x14ac:dyDescent="0.3">
      <c r="B279" s="182"/>
      <c r="C279" s="577"/>
      <c r="D279" s="521" t="s">
        <v>412</v>
      </c>
      <c r="E279" s="521"/>
      <c r="F279" s="85"/>
      <c r="G279" s="494" t="s">
        <v>384</v>
      </c>
      <c r="H279" s="577"/>
      <c r="I279" s="450" t="s">
        <v>8</v>
      </c>
      <c r="J279" s="577" t="s">
        <v>52</v>
      </c>
      <c r="K279" s="382"/>
      <c r="L279" s="1035" t="s">
        <v>65</v>
      </c>
      <c r="M279" s="1036">
        <f>SUMIFS('Level of Efficiency Assumptions'!$J:$J,'Level of Efficiency Assumptions'!$D:$D,I279,'Level of Efficiency Assumptions'!$F:$F,J279,'Level of Efficiency Assumptions'!$I:$I,'Water Use Calcs'!L279)</f>
        <v>7.5</v>
      </c>
      <c r="N279" s="577"/>
      <c r="O279" s="1048">
        <f>SUMIFS('Detailed Fixture Data'!O:O,'Detailed Fixture Data'!C:C,G279,'Detailed Fixture Data'!E:E,I279,'Detailed Fixture Data'!F:F,J279,'Detailed Fixture Data'!L:L,L279)</f>
        <v>0</v>
      </c>
      <c r="P279" s="1049"/>
      <c r="Q279" s="577"/>
      <c r="R279" s="1039"/>
      <c r="S279" s="521"/>
      <c r="T279" s="225"/>
      <c r="U279" s="521"/>
      <c r="V279" s="1040"/>
      <c r="W279" s="1041"/>
    </row>
    <row r="280" spans="2:23" ht="15" thickBot="1" x14ac:dyDescent="0.35">
      <c r="B280" s="182"/>
      <c r="C280" s="577"/>
      <c r="D280" s="521" t="s">
        <v>412</v>
      </c>
      <c r="E280" s="521"/>
      <c r="F280" s="85"/>
      <c r="G280" s="494" t="s">
        <v>384</v>
      </c>
      <c r="H280" s="577"/>
      <c r="I280" s="450" t="s">
        <v>8</v>
      </c>
      <c r="J280" s="116" t="s">
        <v>52</v>
      </c>
      <c r="K280" s="382"/>
      <c r="L280" s="1042" t="s">
        <v>66</v>
      </c>
      <c r="M280" s="1043">
        <f>SUMIFS('Level of Efficiency Assumptions'!$J:$J,'Level of Efficiency Assumptions'!$D:$D,I280,'Level of Efficiency Assumptions'!$F:$F,J280,'Level of Efficiency Assumptions'!$I:$I,'Water Use Calcs'!L280)</f>
        <v>5</v>
      </c>
      <c r="N280" s="577"/>
      <c r="O280" s="1048">
        <f>SUMIFS('Detailed Fixture Data'!O:O,'Detailed Fixture Data'!C:C,G280,'Detailed Fixture Data'!E:E,I280,'Detailed Fixture Data'!F:F,J280,'Detailed Fixture Data'!L:L,L280)</f>
        <v>0</v>
      </c>
      <c r="P280" s="1049"/>
      <c r="Q280" s="577"/>
      <c r="R280" s="1039"/>
      <c r="S280" s="618"/>
      <c r="T280" s="225"/>
      <c r="U280" s="618"/>
      <c r="V280" s="1045"/>
      <c r="W280" s="1046"/>
    </row>
    <row r="281" spans="2:23" x14ac:dyDescent="0.3">
      <c r="B281" s="182"/>
      <c r="C281" s="577"/>
      <c r="D281" s="521" t="s">
        <v>412</v>
      </c>
      <c r="E281" s="521"/>
      <c r="F281" s="85"/>
      <c r="G281" s="494" t="s">
        <v>384</v>
      </c>
      <c r="H281" s="577"/>
      <c r="I281" s="450" t="s">
        <v>8</v>
      </c>
      <c r="J281" s="577" t="s">
        <v>53</v>
      </c>
      <c r="K281" s="1055" t="s">
        <v>363</v>
      </c>
      <c r="L281" s="1047" t="s">
        <v>64</v>
      </c>
      <c r="M281" s="1036">
        <f>SUMIFS('Level of Efficiency Assumptions'!$J:$J,'Level of Efficiency Assumptions'!$D:$D,I281,'Level of Efficiency Assumptions'!$F:$F,J281,'Level of Efficiency Assumptions'!$I:$I,'Water Use Calcs'!L281)</f>
        <v>10</v>
      </c>
      <c r="N281" s="567" t="s">
        <v>660</v>
      </c>
      <c r="O281" s="1048">
        <f>SUMIFS('Detailed Fixture Data'!O:O,'Detailed Fixture Data'!C:C,G281,'Detailed Fixture Data'!E:E,I281,'Detailed Fixture Data'!F:F,J281,'Detailed Fixture Data'!L:L,L281)</f>
        <v>0</v>
      </c>
      <c r="P281" s="1030">
        <f>SUMIFS('Intensity of Use Assumptions'!$J:$J,'Intensity of Use Assumptions'!$D:$D,I281,'Intensity of Use Assumptions'!$G:$G,J281,'Intensity of Use Assumptions'!H:H,K281)</f>
        <v>1</v>
      </c>
      <c r="Q281" s="567" t="s">
        <v>67</v>
      </c>
      <c r="R281" s="1032">
        <f>(SUMPRODUCT(M281:M283,O281:O283)*P281)</f>
        <v>0</v>
      </c>
      <c r="S281" s="1033">
        <f>IF(R281=0,0,M283*P281)</f>
        <v>0</v>
      </c>
      <c r="T281" s="225" t="str">
        <f>G281&amp;"-"&amp;J281</f>
        <v>Office Building B-Other 2</v>
      </c>
      <c r="U281" s="1034">
        <f ca="1">IF(ISNA(VLOOKUP(T281,list!$AV$3:$AW$130,2,FALSE)),1,(VLOOKUP(T281,list!$AV$3:$AW$130,2,FALSE)))</f>
        <v>1</v>
      </c>
      <c r="V281" s="1033">
        <f ca="1">R281*U281</f>
        <v>0</v>
      </c>
      <c r="W281" s="1033">
        <f ca="1">S281*U281</f>
        <v>0</v>
      </c>
    </row>
    <row r="282" spans="2:23" x14ac:dyDescent="0.3">
      <c r="B282" s="182"/>
      <c r="C282" s="577"/>
      <c r="D282" s="521" t="s">
        <v>412</v>
      </c>
      <c r="E282" s="521"/>
      <c r="F282" s="85"/>
      <c r="G282" s="494" t="s">
        <v>384</v>
      </c>
      <c r="H282" s="577"/>
      <c r="I282" s="450" t="s">
        <v>8</v>
      </c>
      <c r="J282" s="577" t="s">
        <v>53</v>
      </c>
      <c r="K282" s="577"/>
      <c r="L282" s="1035" t="s">
        <v>65</v>
      </c>
      <c r="M282" s="1036">
        <f>SUMIFS('Level of Efficiency Assumptions'!$J:$J,'Level of Efficiency Assumptions'!$D:$D,I282,'Level of Efficiency Assumptions'!$F:$F,J282,'Level of Efficiency Assumptions'!$I:$I,'Water Use Calcs'!L282)</f>
        <v>7.5</v>
      </c>
      <c r="N282" s="577"/>
      <c r="O282" s="1048">
        <f>SUMIFS('Detailed Fixture Data'!O:O,'Detailed Fixture Data'!C:C,G282,'Detailed Fixture Data'!E:E,I282,'Detailed Fixture Data'!F:F,J282,'Detailed Fixture Data'!L:L,L282)</f>
        <v>0</v>
      </c>
      <c r="P282" s="1049"/>
      <c r="Q282" s="577"/>
      <c r="R282" s="1039"/>
      <c r="S282" s="521"/>
      <c r="T282" s="225"/>
      <c r="U282" s="521"/>
      <c r="V282" s="1040"/>
      <c r="W282" s="1041"/>
    </row>
    <row r="283" spans="2:23" ht="15" thickBot="1" x14ac:dyDescent="0.35">
      <c r="B283" s="182"/>
      <c r="C283" s="577"/>
      <c r="D283" s="521" t="s">
        <v>412</v>
      </c>
      <c r="E283" s="521"/>
      <c r="F283" s="85"/>
      <c r="G283" s="494" t="s">
        <v>384</v>
      </c>
      <c r="H283" s="577"/>
      <c r="I283" s="450" t="s">
        <v>8</v>
      </c>
      <c r="J283" s="116" t="s">
        <v>53</v>
      </c>
      <c r="K283" s="116"/>
      <c r="L283" s="1042" t="s">
        <v>66</v>
      </c>
      <c r="M283" s="1043">
        <f>SUMIFS('Level of Efficiency Assumptions'!$J:$J,'Level of Efficiency Assumptions'!$D:$D,I283,'Level of Efficiency Assumptions'!$F:$F,J283,'Level of Efficiency Assumptions'!$I:$I,'Water Use Calcs'!L283)</f>
        <v>5</v>
      </c>
      <c r="N283" s="577"/>
      <c r="O283" s="1048">
        <f>SUMIFS('Detailed Fixture Data'!O:O,'Detailed Fixture Data'!C:C,G283,'Detailed Fixture Data'!E:E,I283,'Detailed Fixture Data'!F:F,J283,'Detailed Fixture Data'!L:L,L283)</f>
        <v>0</v>
      </c>
      <c r="P283" s="1049"/>
      <c r="Q283" s="577"/>
      <c r="R283" s="1039"/>
      <c r="S283" s="618"/>
      <c r="T283" s="225"/>
      <c r="U283" s="618"/>
      <c r="V283" s="1045"/>
      <c r="W283" s="1046"/>
    </row>
    <row r="284" spans="2:23" x14ac:dyDescent="0.3">
      <c r="B284" s="182"/>
      <c r="C284" s="577"/>
      <c r="D284" s="521" t="s">
        <v>412</v>
      </c>
      <c r="E284" s="521"/>
      <c r="F284" s="85"/>
      <c r="G284" s="494" t="s">
        <v>384</v>
      </c>
      <c r="H284" s="577"/>
      <c r="I284" s="450" t="s">
        <v>8</v>
      </c>
      <c r="J284" s="577" t="s">
        <v>54</v>
      </c>
      <c r="K284" s="379" t="s">
        <v>364</v>
      </c>
      <c r="L284" s="1047" t="s">
        <v>64</v>
      </c>
      <c r="M284" s="1036">
        <f>SUMIFS('Level of Efficiency Assumptions'!$J:$J,'Level of Efficiency Assumptions'!$D:$D,I284,'Level of Efficiency Assumptions'!$F:$F,J284,'Level of Efficiency Assumptions'!$I:$I,'Water Use Calcs'!L284)</f>
        <v>10</v>
      </c>
      <c r="N284" s="567" t="s">
        <v>660</v>
      </c>
      <c r="O284" s="1048">
        <f>SUMIFS('Detailed Fixture Data'!O:O,'Detailed Fixture Data'!C:C,G284,'Detailed Fixture Data'!E:E,I284,'Detailed Fixture Data'!F:F,J284,'Detailed Fixture Data'!L:L,L284)</f>
        <v>0</v>
      </c>
      <c r="P284" s="1030">
        <f>SUMIFS('Intensity of Use Assumptions'!$J:$J,'Intensity of Use Assumptions'!$D:$D,I284,'Intensity of Use Assumptions'!$G:$G,J284,'Intensity of Use Assumptions'!H:H,K284)</f>
        <v>1</v>
      </c>
      <c r="Q284" s="567" t="s">
        <v>67</v>
      </c>
      <c r="R284" s="1032">
        <f>(SUMPRODUCT(M284:M286,O284:O286)*P284)</f>
        <v>0</v>
      </c>
      <c r="S284" s="1033">
        <f>IF(R284=0,0,M286*P284)</f>
        <v>0</v>
      </c>
      <c r="T284" s="225" t="str">
        <f>G284&amp;"-"&amp;J284</f>
        <v>Office Building B-Other 3</v>
      </c>
      <c r="U284" s="1034">
        <f ca="1">IF(ISNA(VLOOKUP(T284,list!$AV$3:$AW$130,2,FALSE)),1,(VLOOKUP(T284,list!$AV$3:$AW$130,2,FALSE)))</f>
        <v>1</v>
      </c>
      <c r="V284" s="1033">
        <f ca="1">R284*U284</f>
        <v>0</v>
      </c>
      <c r="W284" s="1033">
        <f ca="1">S284*U284</f>
        <v>0</v>
      </c>
    </row>
    <row r="285" spans="2:23" x14ac:dyDescent="0.3">
      <c r="B285" s="182"/>
      <c r="C285" s="577"/>
      <c r="D285" s="521" t="s">
        <v>412</v>
      </c>
      <c r="E285" s="521"/>
      <c r="F285" s="85"/>
      <c r="G285" s="494" t="s">
        <v>384</v>
      </c>
      <c r="H285" s="577"/>
      <c r="I285" s="450" t="s">
        <v>8</v>
      </c>
      <c r="J285" s="577" t="s">
        <v>54</v>
      </c>
      <c r="K285" s="577"/>
      <c r="L285" s="1035" t="s">
        <v>65</v>
      </c>
      <c r="M285" s="1036">
        <f>SUMIFS('Level of Efficiency Assumptions'!$J:$J,'Level of Efficiency Assumptions'!$D:$D,I285,'Level of Efficiency Assumptions'!$F:$F,J285,'Level of Efficiency Assumptions'!$I:$I,'Water Use Calcs'!L285)</f>
        <v>7.5</v>
      </c>
      <c r="N285" s="577"/>
      <c r="O285" s="1048">
        <f>SUMIFS('Detailed Fixture Data'!O:O,'Detailed Fixture Data'!C:C,G285,'Detailed Fixture Data'!E:E,I285,'Detailed Fixture Data'!F:F,J285,'Detailed Fixture Data'!L:L,L285)</f>
        <v>0</v>
      </c>
      <c r="P285" s="1049"/>
      <c r="Q285" s="577"/>
      <c r="R285" s="1039"/>
      <c r="S285" s="521"/>
      <c r="T285" s="225"/>
      <c r="U285" s="521"/>
      <c r="V285" s="1040"/>
      <c r="W285" s="1041"/>
    </row>
    <row r="286" spans="2:23" ht="15" thickBot="1" x14ac:dyDescent="0.35">
      <c r="B286" s="182"/>
      <c r="C286" s="577"/>
      <c r="D286" s="521" t="s">
        <v>412</v>
      </c>
      <c r="E286" s="521"/>
      <c r="F286" s="85"/>
      <c r="G286" s="501" t="s">
        <v>384</v>
      </c>
      <c r="H286" s="116"/>
      <c r="I286" s="451" t="s">
        <v>8</v>
      </c>
      <c r="J286" s="116" t="s">
        <v>54</v>
      </c>
      <c r="K286" s="116"/>
      <c r="L286" s="1042" t="s">
        <v>66</v>
      </c>
      <c r="M286" s="1043">
        <f>SUMIFS('Level of Efficiency Assumptions'!$J:$J,'Level of Efficiency Assumptions'!$D:$D,I286,'Level of Efficiency Assumptions'!$F:$F,J286,'Level of Efficiency Assumptions'!$I:$I,'Water Use Calcs'!L286)</f>
        <v>5</v>
      </c>
      <c r="N286" s="577"/>
      <c r="O286" s="1048">
        <f>SUMIFS('Detailed Fixture Data'!O:O,'Detailed Fixture Data'!C:C,G286,'Detailed Fixture Data'!E:E,I286,'Detailed Fixture Data'!F:F,J286,'Detailed Fixture Data'!L:L,L286)</f>
        <v>0</v>
      </c>
      <c r="P286" s="1049"/>
      <c r="Q286" s="577"/>
      <c r="R286" s="1039"/>
      <c r="S286" s="618"/>
      <c r="T286" s="225"/>
      <c r="U286" s="618"/>
      <c r="V286" s="1045"/>
      <c r="W286" s="1046"/>
    </row>
    <row r="287" spans="2:23" x14ac:dyDescent="0.3">
      <c r="B287" s="182"/>
      <c r="C287" s="577"/>
      <c r="D287" s="521" t="s">
        <v>412</v>
      </c>
      <c r="E287" s="619" t="str">
        <f>G287</f>
        <v>Office Building C</v>
      </c>
      <c r="F287" s="565" t="str">
        <f>VLOOKUP(E287,'Airport Mapping'!$C$5:$D$39,2,FALSE)</f>
        <v xml:space="preserve"> </v>
      </c>
      <c r="G287" s="494" t="s">
        <v>385</v>
      </c>
      <c r="H287" s="651" t="str">
        <f>I287</f>
        <v>Restrooms</v>
      </c>
      <c r="I287" s="450" t="s">
        <v>37</v>
      </c>
      <c r="J287" s="577" t="s">
        <v>2</v>
      </c>
      <c r="K287" s="577" t="s">
        <v>6</v>
      </c>
      <c r="L287" s="1047" t="s">
        <v>64</v>
      </c>
      <c r="M287" s="1036">
        <f>SUMIFS('Level of Efficiency Assumptions'!$J:$J,'Level of Efficiency Assumptions'!$D:$D,I287,'Level of Efficiency Assumptions'!$F:$F,J287,'Level of Efficiency Assumptions'!$I:$I,'Water Use Calcs'!L287)</f>
        <v>3.5</v>
      </c>
      <c r="N287" s="567" t="s">
        <v>68</v>
      </c>
      <c r="O287" s="1048">
        <f>SUMIFS('Detailed Fixture Data'!O:O,'Detailed Fixture Data'!C:C,G287,'Detailed Fixture Data'!E:E,I287,'Detailed Fixture Data'!F:F,J287,'Detailed Fixture Data'!L:L,L287)</f>
        <v>0</v>
      </c>
      <c r="P287" s="1030">
        <f>SUMIFS('Intensity of Use Assumptions'!$J:$J,'Intensity of Use Assumptions'!$D:$D,I287,'Intensity of Use Assumptions'!$G:$G,J287,'Intensity of Use Assumptions'!H:H,K287)</f>
        <v>2.5</v>
      </c>
      <c r="Q287" s="567" t="s">
        <v>67</v>
      </c>
      <c r="R287" s="1032">
        <f>(SUMPRODUCT(M287:M289,O287:O289)*P287)</f>
        <v>0</v>
      </c>
      <c r="S287" s="1033">
        <f>IF(R287=0,0,M289*P287)</f>
        <v>0</v>
      </c>
      <c r="T287" s="225" t="str">
        <f>G287&amp;"-"&amp;J287</f>
        <v>Office Building C-Toilets</v>
      </c>
      <c r="U287" s="1034">
        <f ca="1">IF(ISNA(VLOOKUP(T287,list!$AV$3:$AW$130,2,FALSE)),1,(VLOOKUP(T287,list!$AV$3:$AW$130,2,FALSE)))</f>
        <v>1</v>
      </c>
      <c r="V287" s="1033">
        <f ca="1">R287*U287</f>
        <v>0</v>
      </c>
      <c r="W287" s="1033">
        <f ca="1">S287*U287</f>
        <v>0</v>
      </c>
    </row>
    <row r="288" spans="2:23" x14ac:dyDescent="0.3">
      <c r="B288" s="182"/>
      <c r="C288" s="577"/>
      <c r="D288" s="521" t="s">
        <v>412</v>
      </c>
      <c r="E288" s="521"/>
      <c r="F288" s="85"/>
      <c r="G288" s="494" t="s">
        <v>385</v>
      </c>
      <c r="H288" s="577"/>
      <c r="I288" s="450" t="s">
        <v>37</v>
      </c>
      <c r="J288" s="577" t="s">
        <v>2</v>
      </c>
      <c r="K288" s="577"/>
      <c r="L288" s="1035" t="s">
        <v>65</v>
      </c>
      <c r="M288" s="1036">
        <f>SUMIFS('Level of Efficiency Assumptions'!$J:$J,'Level of Efficiency Assumptions'!$D:$D,I288,'Level of Efficiency Assumptions'!$F:$F,J288,'Level of Efficiency Assumptions'!$I:$I,'Water Use Calcs'!L288)</f>
        <v>1.6</v>
      </c>
      <c r="N288" s="577"/>
      <c r="O288" s="1048">
        <f>SUMIFS('Detailed Fixture Data'!O:O,'Detailed Fixture Data'!C:C,G288,'Detailed Fixture Data'!E:E,I288,'Detailed Fixture Data'!F:F,J288,'Detailed Fixture Data'!L:L,L288)</f>
        <v>0</v>
      </c>
      <c r="P288" s="1049"/>
      <c r="Q288" s="577"/>
      <c r="R288" s="1039"/>
      <c r="S288" s="521"/>
      <c r="T288" s="225"/>
      <c r="U288" s="521"/>
      <c r="V288" s="1040"/>
      <c r="W288" s="1041"/>
    </row>
    <row r="289" spans="2:23" ht="15" thickBot="1" x14ac:dyDescent="0.35">
      <c r="B289" s="182"/>
      <c r="C289" s="577"/>
      <c r="D289" s="521" t="s">
        <v>412</v>
      </c>
      <c r="E289" s="521"/>
      <c r="F289" s="85"/>
      <c r="G289" s="494" t="s">
        <v>385</v>
      </c>
      <c r="H289" s="577"/>
      <c r="I289" s="450" t="s">
        <v>37</v>
      </c>
      <c r="J289" s="116" t="s">
        <v>2</v>
      </c>
      <c r="K289" s="116"/>
      <c r="L289" s="1042" t="s">
        <v>66</v>
      </c>
      <c r="M289" s="1043">
        <f>SUMIFS('Level of Efficiency Assumptions'!$J:$J,'Level of Efficiency Assumptions'!$D:$D,I289,'Level of Efficiency Assumptions'!$F:$F,J289,'Level of Efficiency Assumptions'!$I:$I,'Water Use Calcs'!L289)</f>
        <v>1.28</v>
      </c>
      <c r="N289" s="577"/>
      <c r="O289" s="1048">
        <f>SUMIFS('Detailed Fixture Data'!O:O,'Detailed Fixture Data'!C:C,G289,'Detailed Fixture Data'!E:E,I289,'Detailed Fixture Data'!F:F,J289,'Detailed Fixture Data'!L:L,L289)</f>
        <v>0</v>
      </c>
      <c r="P289" s="1049"/>
      <c r="Q289" s="577"/>
      <c r="R289" s="1039"/>
      <c r="S289" s="618"/>
      <c r="T289" s="225"/>
      <c r="U289" s="618"/>
      <c r="V289" s="1045"/>
      <c r="W289" s="1046"/>
    </row>
    <row r="290" spans="2:23" x14ac:dyDescent="0.3">
      <c r="B290" s="182"/>
      <c r="C290" s="577"/>
      <c r="D290" s="521" t="s">
        <v>412</v>
      </c>
      <c r="E290" s="521"/>
      <c r="F290" s="85"/>
      <c r="G290" s="494" t="s">
        <v>385</v>
      </c>
      <c r="H290" s="577"/>
      <c r="I290" s="450" t="s">
        <v>37</v>
      </c>
      <c r="J290" s="577" t="s">
        <v>4</v>
      </c>
      <c r="K290" s="577" t="s">
        <v>6</v>
      </c>
      <c r="L290" s="1047" t="s">
        <v>64</v>
      </c>
      <c r="M290" s="1036">
        <f>SUMIFS('Level of Efficiency Assumptions'!$J:$J,'Level of Efficiency Assumptions'!$D:$D,I290,'Level of Efficiency Assumptions'!$F:$F,J290,'Level of Efficiency Assumptions'!$I:$I,'Water Use Calcs'!L290)</f>
        <v>2</v>
      </c>
      <c r="N290" s="567" t="s">
        <v>68</v>
      </c>
      <c r="O290" s="1048">
        <f>SUMIFS('Detailed Fixture Data'!O:O,'Detailed Fixture Data'!C:C,G290,'Detailed Fixture Data'!E:E,I290,'Detailed Fixture Data'!F:F,J290,'Detailed Fixture Data'!L:L,L290)</f>
        <v>0</v>
      </c>
      <c r="P290" s="1030">
        <f>SUMIFS('Intensity of Use Assumptions'!$J:$J,'Intensity of Use Assumptions'!$D:$D,I290,'Intensity of Use Assumptions'!$G:$G,J290,'Intensity of Use Assumptions'!H:H,K290)</f>
        <v>1.5</v>
      </c>
      <c r="Q290" s="567" t="s">
        <v>67</v>
      </c>
      <c r="R290" s="1032">
        <f>(SUMPRODUCT(M290:M292,O290:O292)*P290)</f>
        <v>0</v>
      </c>
      <c r="S290" s="1033">
        <f>IF(R290=0,0,M292*P290)</f>
        <v>0</v>
      </c>
      <c r="T290" s="225" t="str">
        <f>G290&amp;"-"&amp;J290</f>
        <v>Office Building C-Urinals</v>
      </c>
      <c r="U290" s="1034">
        <f ca="1">IF(ISNA(VLOOKUP(T290,list!$AV$3:$AW$130,2,FALSE)),1,(VLOOKUP(T290,list!$AV$3:$AW$130,2,FALSE)))</f>
        <v>1</v>
      </c>
      <c r="V290" s="1033">
        <f ca="1">R290*U290</f>
        <v>0</v>
      </c>
      <c r="W290" s="1033">
        <f ca="1">S290*U290</f>
        <v>0</v>
      </c>
    </row>
    <row r="291" spans="2:23" x14ac:dyDescent="0.3">
      <c r="B291" s="182"/>
      <c r="C291" s="577"/>
      <c r="D291" s="521" t="s">
        <v>412</v>
      </c>
      <c r="E291" s="521"/>
      <c r="F291" s="85"/>
      <c r="G291" s="494" t="s">
        <v>385</v>
      </c>
      <c r="H291" s="577"/>
      <c r="I291" s="450" t="s">
        <v>37</v>
      </c>
      <c r="J291" s="577" t="s">
        <v>4</v>
      </c>
      <c r="K291" s="577"/>
      <c r="L291" s="1035" t="s">
        <v>65</v>
      </c>
      <c r="M291" s="1036">
        <f>SUMIFS('Level of Efficiency Assumptions'!$J:$J,'Level of Efficiency Assumptions'!$D:$D,I291,'Level of Efficiency Assumptions'!$F:$F,J291,'Level of Efficiency Assumptions'!$I:$I,'Water Use Calcs'!L291)</f>
        <v>1</v>
      </c>
      <c r="N291" s="577"/>
      <c r="O291" s="1048">
        <f>SUMIFS('Detailed Fixture Data'!O:O,'Detailed Fixture Data'!C:C,G291,'Detailed Fixture Data'!E:E,I291,'Detailed Fixture Data'!F:F,J291,'Detailed Fixture Data'!L:L,L291)</f>
        <v>0</v>
      </c>
      <c r="P291" s="1049"/>
      <c r="Q291" s="577"/>
      <c r="R291" s="1039"/>
      <c r="S291" s="521"/>
      <c r="T291" s="225"/>
      <c r="U291" s="521"/>
      <c r="V291" s="1040"/>
      <c r="W291" s="1041"/>
    </row>
    <row r="292" spans="2:23" ht="15" thickBot="1" x14ac:dyDescent="0.35">
      <c r="B292" s="182"/>
      <c r="C292" s="577"/>
      <c r="D292" s="521" t="s">
        <v>412</v>
      </c>
      <c r="E292" s="521"/>
      <c r="F292" s="85"/>
      <c r="G292" s="494" t="s">
        <v>385</v>
      </c>
      <c r="H292" s="577"/>
      <c r="I292" s="450" t="s">
        <v>37</v>
      </c>
      <c r="J292" s="116" t="s">
        <v>4</v>
      </c>
      <c r="K292" s="116"/>
      <c r="L292" s="1042" t="s">
        <v>66</v>
      </c>
      <c r="M292" s="1043">
        <f>SUMIFS('Level of Efficiency Assumptions'!$J:$J,'Level of Efficiency Assumptions'!$D:$D,I292,'Level of Efficiency Assumptions'!$F:$F,J292,'Level of Efficiency Assumptions'!$I:$I,'Water Use Calcs'!L292)</f>
        <v>0.125</v>
      </c>
      <c r="N292" s="577"/>
      <c r="O292" s="1048">
        <f>SUMIFS('Detailed Fixture Data'!O:O,'Detailed Fixture Data'!C:C,G292,'Detailed Fixture Data'!E:E,I292,'Detailed Fixture Data'!F:F,J292,'Detailed Fixture Data'!L:L,L292)</f>
        <v>0</v>
      </c>
      <c r="P292" s="1049"/>
      <c r="Q292" s="577"/>
      <c r="R292" s="1039"/>
      <c r="S292" s="618"/>
      <c r="T292" s="225"/>
      <c r="U292" s="618"/>
      <c r="V292" s="1045"/>
      <c r="W292" s="1046"/>
    </row>
    <row r="293" spans="2:23" x14ac:dyDescent="0.3">
      <c r="B293" s="182"/>
      <c r="C293" s="577"/>
      <c r="D293" s="521" t="s">
        <v>412</v>
      </c>
      <c r="E293" s="521"/>
      <c r="F293" s="85"/>
      <c r="G293" s="494" t="s">
        <v>385</v>
      </c>
      <c r="H293" s="577"/>
      <c r="I293" s="450" t="s">
        <v>37</v>
      </c>
      <c r="J293" s="577" t="s">
        <v>33</v>
      </c>
      <c r="K293" s="577" t="s">
        <v>6</v>
      </c>
      <c r="L293" s="1047" t="s">
        <v>64</v>
      </c>
      <c r="M293" s="1036">
        <f>SUMIFS('Level of Efficiency Assumptions'!$J:$J,'Level of Efficiency Assumptions'!$D:$D,I293,'Level of Efficiency Assumptions'!$F:$F,J293,'Level of Efficiency Assumptions'!$I:$I,'Water Use Calcs'!L293)</f>
        <v>2</v>
      </c>
      <c r="N293" s="567" t="s">
        <v>78</v>
      </c>
      <c r="O293" s="1048">
        <f>SUMIFS('Detailed Fixture Data'!O:O,'Detailed Fixture Data'!C:C,G293,'Detailed Fixture Data'!E:E,I293,'Detailed Fixture Data'!F:F,J293,'Detailed Fixture Data'!L:L,L293)</f>
        <v>0</v>
      </c>
      <c r="P293" s="1030">
        <f>SUMIFS('Intensity of Use Assumptions'!$J:$J,'Intensity of Use Assumptions'!$D:$D,I293,'Intensity of Use Assumptions'!$G:$G,J293,'Intensity of Use Assumptions'!H:H,K293)</f>
        <v>0.66666666666666663</v>
      </c>
      <c r="Q293" s="567" t="s">
        <v>133</v>
      </c>
      <c r="R293" s="1032">
        <f>(SUMPRODUCT(M293:M295,O293:O295)*P293)</f>
        <v>0</v>
      </c>
      <c r="S293" s="1033">
        <f>IF(R293=0,0,M295*P293)</f>
        <v>0</v>
      </c>
      <c r="T293" s="225" t="str">
        <f>G293&amp;"-"&amp;J293</f>
        <v>Office Building C-Faucets</v>
      </c>
      <c r="U293" s="1034">
        <f ca="1">IF(ISNA(VLOOKUP(T293,list!$AV$3:$AW$130,2,FALSE)),1,(VLOOKUP(T293,list!$AV$3:$AW$130,2,FALSE)))</f>
        <v>1</v>
      </c>
      <c r="V293" s="1033">
        <f ca="1">R293*U293</f>
        <v>0</v>
      </c>
      <c r="W293" s="1033">
        <f ca="1">S293*U293</f>
        <v>0</v>
      </c>
    </row>
    <row r="294" spans="2:23" x14ac:dyDescent="0.3">
      <c r="B294" s="182"/>
      <c r="C294" s="577"/>
      <c r="D294" s="521" t="s">
        <v>412</v>
      </c>
      <c r="E294" s="521"/>
      <c r="F294" s="85"/>
      <c r="G294" s="494" t="s">
        <v>385</v>
      </c>
      <c r="H294" s="577"/>
      <c r="I294" s="450" t="s">
        <v>37</v>
      </c>
      <c r="J294" s="577" t="s">
        <v>33</v>
      </c>
      <c r="K294" s="577"/>
      <c r="L294" s="1035" t="s">
        <v>65</v>
      </c>
      <c r="M294" s="1036">
        <f>SUMIFS('Level of Efficiency Assumptions'!$J:$J,'Level of Efficiency Assumptions'!$D:$D,I294,'Level of Efficiency Assumptions'!$F:$F,J294,'Level of Efficiency Assumptions'!$I:$I,'Water Use Calcs'!L294)</f>
        <v>1</v>
      </c>
      <c r="N294" s="577"/>
      <c r="O294" s="1048">
        <f>SUMIFS('Detailed Fixture Data'!O:O,'Detailed Fixture Data'!C:C,G294,'Detailed Fixture Data'!E:E,I294,'Detailed Fixture Data'!F:F,J294,'Detailed Fixture Data'!L:L,L294)</f>
        <v>0</v>
      </c>
      <c r="P294" s="1049"/>
      <c r="Q294" s="577"/>
      <c r="R294" s="1039"/>
      <c r="S294" s="521"/>
      <c r="T294" s="225"/>
      <c r="U294" s="521"/>
      <c r="V294" s="1040"/>
      <c r="W294" s="1041"/>
    </row>
    <row r="295" spans="2:23" ht="15" thickBot="1" x14ac:dyDescent="0.35">
      <c r="B295" s="182"/>
      <c r="C295" s="577"/>
      <c r="D295" s="521" t="s">
        <v>412</v>
      </c>
      <c r="E295" s="521"/>
      <c r="F295" s="85"/>
      <c r="G295" s="494" t="s">
        <v>385</v>
      </c>
      <c r="H295" s="577"/>
      <c r="I295" s="451" t="s">
        <v>37</v>
      </c>
      <c r="J295" s="116" t="s">
        <v>33</v>
      </c>
      <c r="K295" s="116"/>
      <c r="L295" s="1042" t="s">
        <v>66</v>
      </c>
      <c r="M295" s="1043">
        <f>SUMIFS('Level of Efficiency Assumptions'!$J:$J,'Level of Efficiency Assumptions'!$D:$D,I295,'Level of Efficiency Assumptions'!$F:$F,J295,'Level of Efficiency Assumptions'!$I:$I,'Water Use Calcs'!L295)</f>
        <v>0.5</v>
      </c>
      <c r="N295" s="577"/>
      <c r="O295" s="1048">
        <f>SUMIFS('Detailed Fixture Data'!O:O,'Detailed Fixture Data'!C:C,G295,'Detailed Fixture Data'!E:E,I295,'Detailed Fixture Data'!F:F,J295,'Detailed Fixture Data'!L:L,L295)</f>
        <v>0</v>
      </c>
      <c r="P295" s="1049"/>
      <c r="Q295" s="577"/>
      <c r="R295" s="1039"/>
      <c r="S295" s="618"/>
      <c r="T295" s="225"/>
      <c r="U295" s="618"/>
      <c r="V295" s="1045"/>
      <c r="W295" s="1046"/>
    </row>
    <row r="296" spans="2:23" x14ac:dyDescent="0.3">
      <c r="B296" s="182"/>
      <c r="C296" s="577"/>
      <c r="D296" s="521" t="s">
        <v>412</v>
      </c>
      <c r="E296" s="521"/>
      <c r="F296" s="85"/>
      <c r="G296" s="494" t="s">
        <v>385</v>
      </c>
      <c r="H296" s="651" t="str">
        <f>I296</f>
        <v>Break rooms</v>
      </c>
      <c r="I296" s="450" t="s">
        <v>5</v>
      </c>
      <c r="J296" s="577" t="s">
        <v>33</v>
      </c>
      <c r="K296" s="577" t="s">
        <v>6</v>
      </c>
      <c r="L296" s="1047" t="s">
        <v>64</v>
      </c>
      <c r="M296" s="1036">
        <f>SUMIFS('Level of Efficiency Assumptions'!$J:$J,'Level of Efficiency Assumptions'!$D:$D,I296,'Level of Efficiency Assumptions'!$F:$F,J296,'Level of Efficiency Assumptions'!$I:$I,'Water Use Calcs'!L296)</f>
        <v>2</v>
      </c>
      <c r="N296" s="567" t="s">
        <v>78</v>
      </c>
      <c r="O296" s="1048">
        <f>SUMIFS('Detailed Fixture Data'!O:O,'Detailed Fixture Data'!C:C,G296,'Detailed Fixture Data'!E:E,I296,'Detailed Fixture Data'!F:F,J296,'Detailed Fixture Data'!L:L,L296)</f>
        <v>0</v>
      </c>
      <c r="P296" s="1030">
        <f>SUMIFS('Intensity of Use Assumptions'!$J:$J,'Intensity of Use Assumptions'!$D:$D,I296,'Intensity of Use Assumptions'!$G:$G,J296,'Intensity of Use Assumptions'!H:H,K296)</f>
        <v>0.16666666666666666</v>
      </c>
      <c r="Q296" s="567" t="s">
        <v>133</v>
      </c>
      <c r="R296" s="1032">
        <f>(SUMPRODUCT(M296:M298,O296:O298)*P296)</f>
        <v>0</v>
      </c>
      <c r="S296" s="1033">
        <f>IF(R296=0,0,M298*P296)</f>
        <v>0</v>
      </c>
      <c r="T296" s="225" t="str">
        <f>G296&amp;"-"&amp;J296</f>
        <v>Office Building C-Faucets</v>
      </c>
      <c r="U296" s="1034">
        <f ca="1">IF(ISNA(VLOOKUP(T296,list!$AV$3:$AW$130,2,FALSE)),1,(VLOOKUP(T296,list!$AV$3:$AW$130,2,FALSE)))</f>
        <v>1</v>
      </c>
      <c r="V296" s="1033">
        <f ca="1">R296*U296</f>
        <v>0</v>
      </c>
      <c r="W296" s="1033">
        <f ca="1">S296*U296</f>
        <v>0</v>
      </c>
    </row>
    <row r="297" spans="2:23" x14ac:dyDescent="0.3">
      <c r="B297" s="182"/>
      <c r="C297" s="577"/>
      <c r="D297" s="521" t="s">
        <v>412</v>
      </c>
      <c r="E297" s="521"/>
      <c r="F297" s="85"/>
      <c r="G297" s="494" t="s">
        <v>385</v>
      </c>
      <c r="H297" s="577"/>
      <c r="I297" s="450" t="s">
        <v>5</v>
      </c>
      <c r="J297" s="577" t="s">
        <v>33</v>
      </c>
      <c r="K297" s="577"/>
      <c r="L297" s="1035" t="s">
        <v>65</v>
      </c>
      <c r="M297" s="1036">
        <f>SUMIFS('Level of Efficiency Assumptions'!$J:$J,'Level of Efficiency Assumptions'!$D:$D,I297,'Level of Efficiency Assumptions'!$F:$F,J297,'Level of Efficiency Assumptions'!$I:$I,'Water Use Calcs'!L297)</f>
        <v>1</v>
      </c>
      <c r="N297" s="577"/>
      <c r="O297" s="1048">
        <f>SUMIFS('Detailed Fixture Data'!O:O,'Detailed Fixture Data'!C:C,G297,'Detailed Fixture Data'!E:E,I297,'Detailed Fixture Data'!F:F,J297,'Detailed Fixture Data'!L:L,L297)</f>
        <v>0</v>
      </c>
      <c r="P297" s="1049"/>
      <c r="Q297" s="577"/>
      <c r="R297" s="1039"/>
      <c r="S297" s="521"/>
      <c r="T297" s="225"/>
      <c r="U297" s="521"/>
      <c r="V297" s="1040"/>
      <c r="W297" s="1041"/>
    </row>
    <row r="298" spans="2:23" ht="15" thickBot="1" x14ac:dyDescent="0.35">
      <c r="B298" s="182"/>
      <c r="C298" s="577"/>
      <c r="D298" s="521" t="s">
        <v>412</v>
      </c>
      <c r="E298" s="521"/>
      <c r="F298" s="85"/>
      <c r="G298" s="494" t="s">
        <v>385</v>
      </c>
      <c r="H298" s="577"/>
      <c r="I298" s="451" t="s">
        <v>5</v>
      </c>
      <c r="J298" s="116" t="s">
        <v>33</v>
      </c>
      <c r="K298" s="116"/>
      <c r="L298" s="1042" t="s">
        <v>66</v>
      </c>
      <c r="M298" s="1043">
        <f>SUMIFS('Level of Efficiency Assumptions'!$J:$J,'Level of Efficiency Assumptions'!$D:$D,I298,'Level of Efficiency Assumptions'!$F:$F,J298,'Level of Efficiency Assumptions'!$I:$I,'Water Use Calcs'!L298)</f>
        <v>0.5</v>
      </c>
      <c r="N298" s="577"/>
      <c r="O298" s="1048">
        <f>SUMIFS('Detailed Fixture Data'!O:O,'Detailed Fixture Data'!C:C,G298,'Detailed Fixture Data'!E:E,I298,'Detailed Fixture Data'!F:F,J298,'Detailed Fixture Data'!L:L,L298)</f>
        <v>0</v>
      </c>
      <c r="P298" s="1049"/>
      <c r="Q298" s="577"/>
      <c r="R298" s="1039"/>
      <c r="S298" s="618"/>
      <c r="T298" s="225"/>
      <c r="U298" s="618"/>
      <c r="V298" s="1045"/>
      <c r="W298" s="1046"/>
    </row>
    <row r="299" spans="2:23" x14ac:dyDescent="0.3">
      <c r="B299" s="182"/>
      <c r="C299" s="577"/>
      <c r="D299" s="521" t="s">
        <v>412</v>
      </c>
      <c r="E299" s="521"/>
      <c r="F299" s="85"/>
      <c r="G299" s="494" t="s">
        <v>385</v>
      </c>
      <c r="H299" s="651" t="str">
        <f>I299</f>
        <v>Landscaping</v>
      </c>
      <c r="I299" s="450" t="s">
        <v>39</v>
      </c>
      <c r="J299" s="577" t="s">
        <v>42</v>
      </c>
      <c r="K299" s="577" t="s">
        <v>32</v>
      </c>
      <c r="L299" s="1047" t="s">
        <v>64</v>
      </c>
      <c r="M299" s="1036">
        <f>SUMIFS('Level of Efficiency Assumptions'!$J:$J,'Level of Efficiency Assumptions'!$D:$D,I299,'Level of Efficiency Assumptions'!$F:$F,J299,'Level of Efficiency Assumptions'!$I:$I,'Water Use Calcs'!L299)</f>
        <v>28.6</v>
      </c>
      <c r="N299" s="567" t="s">
        <v>816</v>
      </c>
      <c r="O299" s="1048">
        <f>SUMIFS('Detailed Fixture Data'!O:O,'Detailed Fixture Data'!C:C,G299,'Detailed Fixture Data'!E:E,I299,'Detailed Fixture Data'!F:F,J299,'Detailed Fixture Data'!L:L,L299)</f>
        <v>0</v>
      </c>
      <c r="P299" s="1030">
        <f>SUMIFS('Intensity of Use Assumptions'!$J:$J,'Intensity of Use Assumptions'!$D:$D,I299,'Intensity of Use Assumptions'!$G:$G,J299,'Intensity of Use Assumptions'!H:H,K299,'Intensity of Use Assumptions'!F:F,D299)</f>
        <v>2.7397260273972603E-3</v>
      </c>
      <c r="Q299" s="567" t="s">
        <v>815</v>
      </c>
      <c r="R299" s="1032">
        <f>(SUMPRODUCT(M299:M301,O299:O301)*P299)</f>
        <v>0</v>
      </c>
      <c r="S299" s="1033">
        <f>IF(R299=0,0,M301*P299)</f>
        <v>0</v>
      </c>
      <c r="T299" s="225" t="str">
        <f>G299&amp;"-"&amp;J299</f>
        <v>Office Building C-Outdoor irrigation</v>
      </c>
      <c r="U299" s="1034">
        <f ca="1">IF(ISNA(VLOOKUP(T299,list!$AV$3:$AW$130,2,FALSE)),1,(VLOOKUP(T299,list!$AV$3:$AW$130,2,FALSE)))</f>
        <v>1</v>
      </c>
      <c r="V299" s="1033">
        <f ca="1">R299*U299</f>
        <v>0</v>
      </c>
      <c r="W299" s="1033">
        <f ca="1">S299*U299</f>
        <v>0</v>
      </c>
    </row>
    <row r="300" spans="2:23" x14ac:dyDescent="0.3">
      <c r="B300" s="182"/>
      <c r="C300" s="577"/>
      <c r="D300" s="521" t="s">
        <v>412</v>
      </c>
      <c r="E300" s="521"/>
      <c r="F300" s="85"/>
      <c r="G300" s="494" t="s">
        <v>385</v>
      </c>
      <c r="H300" s="577"/>
      <c r="I300" s="450" t="s">
        <v>39</v>
      </c>
      <c r="J300" s="577" t="s">
        <v>42</v>
      </c>
      <c r="K300" s="577"/>
      <c r="L300" s="1035" t="s">
        <v>65</v>
      </c>
      <c r="M300" s="1036">
        <f>SUMIFS('Level of Efficiency Assumptions'!$J:$J,'Level of Efficiency Assumptions'!$D:$D,I300,'Level of Efficiency Assumptions'!$F:$F,J300,'Level of Efficiency Assumptions'!$I:$I,'Water Use Calcs'!L300)</f>
        <v>13.980821518350929</v>
      </c>
      <c r="N300" s="577"/>
      <c r="O300" s="1048">
        <f>SUMIFS('Detailed Fixture Data'!O:O,'Detailed Fixture Data'!C:C,G300,'Detailed Fixture Data'!E:E,I300,'Detailed Fixture Data'!F:F,J300,'Detailed Fixture Data'!L:L,L300)</f>
        <v>0</v>
      </c>
      <c r="P300" s="1049"/>
      <c r="Q300" s="577"/>
      <c r="R300" s="1039"/>
      <c r="S300" s="521"/>
      <c r="T300" s="225"/>
      <c r="U300" s="521"/>
      <c r="V300" s="1040"/>
      <c r="W300" s="1041"/>
    </row>
    <row r="301" spans="2:23" ht="15" thickBot="1" x14ac:dyDescent="0.35">
      <c r="B301" s="182"/>
      <c r="C301" s="577"/>
      <c r="D301" s="521" t="s">
        <v>412</v>
      </c>
      <c r="E301" s="521"/>
      <c r="F301" s="85"/>
      <c r="G301" s="494" t="s">
        <v>385</v>
      </c>
      <c r="H301" s="577"/>
      <c r="I301" s="451" t="s">
        <v>39</v>
      </c>
      <c r="J301" s="116" t="s">
        <v>42</v>
      </c>
      <c r="K301" s="116"/>
      <c r="L301" s="1042" t="s">
        <v>66</v>
      </c>
      <c r="M301" s="1043">
        <f>SUMIFS('Level of Efficiency Assumptions'!$J:$J,'Level of Efficiency Assumptions'!$D:$D,I301,'Level of Efficiency Assumptions'!$F:$F,J301,'Level of Efficiency Assumptions'!$I:$I,'Water Use Calcs'!L301)</f>
        <v>0.59137254901960778</v>
      </c>
      <c r="N301" s="577"/>
      <c r="O301" s="1048">
        <f>SUMIFS('Detailed Fixture Data'!O:O,'Detailed Fixture Data'!C:C,G301,'Detailed Fixture Data'!E:E,I301,'Detailed Fixture Data'!F:F,J301,'Detailed Fixture Data'!L:L,L301)</f>
        <v>0</v>
      </c>
      <c r="P301" s="1049"/>
      <c r="Q301" s="577"/>
      <c r="R301" s="1039"/>
      <c r="S301" s="618"/>
      <c r="T301" s="225"/>
      <c r="U301" s="618"/>
      <c r="V301" s="1045"/>
      <c r="W301" s="1046"/>
    </row>
    <row r="302" spans="2:23" x14ac:dyDescent="0.3">
      <c r="B302" s="182"/>
      <c r="C302" s="577"/>
      <c r="D302" s="521" t="s">
        <v>412</v>
      </c>
      <c r="E302" s="521"/>
      <c r="F302" s="85"/>
      <c r="G302" s="494" t="s">
        <v>385</v>
      </c>
      <c r="H302" s="651" t="str">
        <f>I302</f>
        <v>Maintenance</v>
      </c>
      <c r="I302" s="450" t="s">
        <v>43</v>
      </c>
      <c r="J302" s="577" t="s">
        <v>111</v>
      </c>
      <c r="K302" s="217" t="s">
        <v>424</v>
      </c>
      <c r="L302" s="1047" t="s">
        <v>64</v>
      </c>
      <c r="M302" s="1036">
        <f>SUMIFS('Level of Efficiency Assumptions'!$J:$J,'Level of Efficiency Assumptions'!$D:$D,I302,'Level of Efficiency Assumptions'!$F:$F,J302,'Level of Efficiency Assumptions'!$I:$I,'Water Use Calcs'!L302)</f>
        <v>100</v>
      </c>
      <c r="N302" s="567" t="s">
        <v>659</v>
      </c>
      <c r="O302" s="1048">
        <f>SUMIFS('Detailed Fixture Data'!O:O,'Detailed Fixture Data'!C:C,G302,'Detailed Fixture Data'!E:E,I302,'Detailed Fixture Data'!F:F,J302,'Detailed Fixture Data'!L:L,L302)</f>
        <v>0</v>
      </c>
      <c r="P302" s="1030">
        <f>SUMIFS('Intensity of Use Assumptions'!$J:$J,'Intensity of Use Assumptions'!$D:$D,I302,'Intensity of Use Assumptions'!$G:$G,J302,'Intensity of Use Assumptions'!H:H,K302)</f>
        <v>1</v>
      </c>
      <c r="Q302" s="567" t="s">
        <v>67</v>
      </c>
      <c r="R302" s="1032">
        <f>(SUMPRODUCT(M302:M304,O302:O304)*P302)</f>
        <v>0</v>
      </c>
      <c r="S302" s="1033">
        <f>IF(R302=0,0,M304*P302)</f>
        <v>0</v>
      </c>
      <c r="T302" s="225" t="str">
        <f>G302&amp;"-"&amp;J302</f>
        <v>Office Building C-Boiler</v>
      </c>
      <c r="U302" s="1034">
        <f ca="1">IF(ISNA(VLOOKUP(T302,list!$AV$3:$AW$130,2,FALSE)),1,(VLOOKUP(T302,list!$AV$3:$AW$130,2,FALSE)))</f>
        <v>1</v>
      </c>
      <c r="V302" s="1033">
        <f ca="1">R302*U302</f>
        <v>0</v>
      </c>
      <c r="W302" s="1033">
        <f ca="1">S302*U302</f>
        <v>0</v>
      </c>
    </row>
    <row r="303" spans="2:23" x14ac:dyDescent="0.3">
      <c r="B303" s="182"/>
      <c r="C303" s="577"/>
      <c r="D303" s="521" t="s">
        <v>412</v>
      </c>
      <c r="E303" s="521"/>
      <c r="F303" s="85"/>
      <c r="G303" s="494" t="s">
        <v>385</v>
      </c>
      <c r="H303" s="577"/>
      <c r="I303" s="450" t="s">
        <v>43</v>
      </c>
      <c r="J303" s="577" t="s">
        <v>111</v>
      </c>
      <c r="K303" s="382"/>
      <c r="L303" s="1035" t="s">
        <v>65</v>
      </c>
      <c r="M303" s="1036">
        <f>SUMIFS('Level of Efficiency Assumptions'!$J:$J,'Level of Efficiency Assumptions'!$D:$D,I303,'Level of Efficiency Assumptions'!$F:$F,J303,'Level of Efficiency Assumptions'!$I:$I,'Water Use Calcs'!L303)</f>
        <v>75</v>
      </c>
      <c r="N303" s="577"/>
      <c r="O303" s="1048">
        <f>SUMIFS('Detailed Fixture Data'!O:O,'Detailed Fixture Data'!C:C,G303,'Detailed Fixture Data'!E:E,I303,'Detailed Fixture Data'!F:F,J303,'Detailed Fixture Data'!L:L,L303)</f>
        <v>0</v>
      </c>
      <c r="P303" s="1049"/>
      <c r="Q303" s="577"/>
      <c r="R303" s="1039"/>
      <c r="S303" s="521"/>
      <c r="T303" s="225"/>
      <c r="U303" s="521"/>
      <c r="V303" s="1040"/>
      <c r="W303" s="1041"/>
    </row>
    <row r="304" spans="2:23" ht="15" thickBot="1" x14ac:dyDescent="0.35">
      <c r="B304" s="182"/>
      <c r="C304" s="577"/>
      <c r="D304" s="521" t="s">
        <v>412</v>
      </c>
      <c r="E304" s="521"/>
      <c r="F304" s="85"/>
      <c r="G304" s="494" t="s">
        <v>385</v>
      </c>
      <c r="H304" s="577"/>
      <c r="I304" s="450" t="s">
        <v>43</v>
      </c>
      <c r="J304" s="116" t="s">
        <v>111</v>
      </c>
      <c r="K304" s="116"/>
      <c r="L304" s="1042" t="s">
        <v>66</v>
      </c>
      <c r="M304" s="1043">
        <f>SUMIFS('Level of Efficiency Assumptions'!$J:$J,'Level of Efficiency Assumptions'!$D:$D,I304,'Level of Efficiency Assumptions'!$F:$F,J304,'Level of Efficiency Assumptions'!$I:$I,'Water Use Calcs'!L304)</f>
        <v>50</v>
      </c>
      <c r="N304" s="577"/>
      <c r="O304" s="1048">
        <f>SUMIFS('Detailed Fixture Data'!O:O,'Detailed Fixture Data'!C:C,G304,'Detailed Fixture Data'!E:E,I304,'Detailed Fixture Data'!F:F,J304,'Detailed Fixture Data'!L:L,L304)</f>
        <v>0</v>
      </c>
      <c r="P304" s="1049"/>
      <c r="Q304" s="577"/>
      <c r="R304" s="1039"/>
      <c r="S304" s="618"/>
      <c r="T304" s="225"/>
      <c r="U304" s="618"/>
      <c r="V304" s="1045"/>
      <c r="W304" s="1046"/>
    </row>
    <row r="305" spans="2:23" x14ac:dyDescent="0.3">
      <c r="B305" s="182"/>
      <c r="C305" s="577"/>
      <c r="D305" s="521" t="s">
        <v>412</v>
      </c>
      <c r="E305" s="521"/>
      <c r="F305" s="85"/>
      <c r="G305" s="494" t="s">
        <v>385</v>
      </c>
      <c r="H305" s="577"/>
      <c r="I305" s="450" t="s">
        <v>43</v>
      </c>
      <c r="J305" s="577" t="s">
        <v>7</v>
      </c>
      <c r="K305" s="215" t="s">
        <v>365</v>
      </c>
      <c r="L305" s="1012" t="s">
        <v>257</v>
      </c>
      <c r="M305" s="1050"/>
      <c r="N305" s="1050"/>
      <c r="O305" s="1050"/>
      <c r="P305" s="1051"/>
      <c r="Q305" s="981"/>
      <c r="R305" s="1052">
        <f>SUMIFS('Cooling Data'!H:H,'Cooling Data'!$C:$C,$G305,'Cooling Data'!$E:$E,$I305,'Cooling Data'!$F:$F,$J305)</f>
        <v>0</v>
      </c>
      <c r="S305" s="1052">
        <f>SUMIFS('Cooling Data'!J:J,'Cooling Data'!$C:$C,$G305,'Cooling Data'!$E:$E,$I305,'Cooling Data'!$F:$F,$J305)</f>
        <v>0</v>
      </c>
      <c r="T305" s="225" t="str">
        <f>G305&amp;"-"&amp;J305</f>
        <v>Office Building C-Cooling</v>
      </c>
      <c r="U305" s="1034">
        <f ca="1">IF(ISNA(VLOOKUP(T305,list!$AV$3:$AW$130,2,FALSE)),1,(VLOOKUP(T305,list!$AV$3:$AW$130,2,FALSE)))</f>
        <v>1</v>
      </c>
      <c r="V305" s="1033">
        <f ca="1">R305*U305</f>
        <v>0</v>
      </c>
      <c r="W305" s="1033">
        <f ca="1">S305*U305</f>
        <v>0</v>
      </c>
    </row>
    <row r="306" spans="2:23" x14ac:dyDescent="0.3">
      <c r="B306" s="182"/>
      <c r="C306" s="577"/>
      <c r="D306" s="521" t="s">
        <v>412</v>
      </c>
      <c r="E306" s="521"/>
      <c r="F306" s="85"/>
      <c r="G306" s="494" t="s">
        <v>385</v>
      </c>
      <c r="H306" s="577"/>
      <c r="I306" s="450" t="s">
        <v>43</v>
      </c>
      <c r="J306" s="577" t="s">
        <v>7</v>
      </c>
      <c r="K306" s="577"/>
      <c r="L306" s="206"/>
      <c r="M306" s="181"/>
      <c r="N306" s="181"/>
      <c r="O306" s="181"/>
      <c r="P306" s="1053"/>
      <c r="Q306" s="439"/>
      <c r="R306" s="1039"/>
      <c r="S306" s="521"/>
      <c r="T306" s="225"/>
      <c r="U306" s="521"/>
      <c r="V306" s="1040"/>
      <c r="W306" s="1041"/>
    </row>
    <row r="307" spans="2:23" ht="15" thickBot="1" x14ac:dyDescent="0.35">
      <c r="B307" s="182"/>
      <c r="C307" s="577"/>
      <c r="D307" s="521" t="s">
        <v>412</v>
      </c>
      <c r="E307" s="521"/>
      <c r="F307" s="85"/>
      <c r="G307" s="494" t="s">
        <v>385</v>
      </c>
      <c r="H307" s="577"/>
      <c r="I307" s="451" t="s">
        <v>43</v>
      </c>
      <c r="J307" s="116" t="s">
        <v>7</v>
      </c>
      <c r="K307" s="116"/>
      <c r="L307" s="207"/>
      <c r="M307" s="924"/>
      <c r="N307" s="924"/>
      <c r="O307" s="924"/>
      <c r="P307" s="1054"/>
      <c r="Q307" s="606"/>
      <c r="R307" s="1039"/>
      <c r="S307" s="618"/>
      <c r="T307" s="225"/>
      <c r="U307" s="618"/>
      <c r="V307" s="1045"/>
      <c r="W307" s="1046"/>
    </row>
    <row r="308" spans="2:23" x14ac:dyDescent="0.3">
      <c r="B308" s="182"/>
      <c r="C308" s="577"/>
      <c r="D308" s="521" t="s">
        <v>412</v>
      </c>
      <c r="E308" s="521"/>
      <c r="F308" s="85"/>
      <c r="G308" s="494" t="s">
        <v>385</v>
      </c>
      <c r="H308" s="651" t="str">
        <f>I308</f>
        <v>Other</v>
      </c>
      <c r="I308" s="450" t="s">
        <v>8</v>
      </c>
      <c r="J308" s="577" t="s">
        <v>52</v>
      </c>
      <c r="K308" s="387" t="s">
        <v>362</v>
      </c>
      <c r="L308" s="1047" t="s">
        <v>64</v>
      </c>
      <c r="M308" s="1036">
        <f>SUMIFS('Level of Efficiency Assumptions'!$J:$J,'Level of Efficiency Assumptions'!$D:$D,I308,'Level of Efficiency Assumptions'!$F:$F,J308,'Level of Efficiency Assumptions'!$I:$I,'Water Use Calcs'!L308)</f>
        <v>10</v>
      </c>
      <c r="N308" s="567" t="s">
        <v>660</v>
      </c>
      <c r="O308" s="1048">
        <f>SUMIFS('Detailed Fixture Data'!O:O,'Detailed Fixture Data'!C:C,G308,'Detailed Fixture Data'!E:E,I308,'Detailed Fixture Data'!F:F,J308,'Detailed Fixture Data'!L:L,L308)</f>
        <v>0</v>
      </c>
      <c r="P308" s="1030">
        <f>SUMIFS('Intensity of Use Assumptions'!$J:$J,'Intensity of Use Assumptions'!$D:$D,I308,'Intensity of Use Assumptions'!$G:$G,J308,'Intensity of Use Assumptions'!H:H,K308)</f>
        <v>1</v>
      </c>
      <c r="Q308" s="567" t="s">
        <v>67</v>
      </c>
      <c r="R308" s="1032">
        <f>(SUMPRODUCT(M308:M310,O308:O310)*P308)</f>
        <v>0</v>
      </c>
      <c r="S308" s="1033">
        <f>IF(R308=0,0,M310*P308)</f>
        <v>0</v>
      </c>
      <c r="T308" s="225" t="str">
        <f>G308&amp;"-"&amp;J308</f>
        <v>Office Building C-Other 1</v>
      </c>
      <c r="U308" s="1034">
        <f ca="1">IF(ISNA(VLOOKUP(T308,list!$AV$3:$AW$130,2,FALSE)),1,(VLOOKUP(T308,list!$AV$3:$AW$130,2,FALSE)))</f>
        <v>1</v>
      </c>
      <c r="V308" s="1033">
        <f ca="1">R308*U308</f>
        <v>0</v>
      </c>
      <c r="W308" s="1033">
        <f ca="1">S308*U308</f>
        <v>0</v>
      </c>
    </row>
    <row r="309" spans="2:23" x14ac:dyDescent="0.3">
      <c r="B309" s="182"/>
      <c r="C309" s="577"/>
      <c r="D309" s="521" t="s">
        <v>412</v>
      </c>
      <c r="E309" s="521"/>
      <c r="F309" s="85"/>
      <c r="G309" s="494" t="s">
        <v>385</v>
      </c>
      <c r="H309" s="577"/>
      <c r="I309" s="450" t="s">
        <v>8</v>
      </c>
      <c r="J309" s="577" t="s">
        <v>52</v>
      </c>
      <c r="K309" s="382"/>
      <c r="L309" s="1035" t="s">
        <v>65</v>
      </c>
      <c r="M309" s="1036">
        <f>SUMIFS('Level of Efficiency Assumptions'!$J:$J,'Level of Efficiency Assumptions'!$D:$D,I309,'Level of Efficiency Assumptions'!$F:$F,J309,'Level of Efficiency Assumptions'!$I:$I,'Water Use Calcs'!L309)</f>
        <v>7.5</v>
      </c>
      <c r="N309" s="577"/>
      <c r="O309" s="1048">
        <f>SUMIFS('Detailed Fixture Data'!O:O,'Detailed Fixture Data'!C:C,G309,'Detailed Fixture Data'!E:E,I309,'Detailed Fixture Data'!F:F,J309,'Detailed Fixture Data'!L:L,L309)</f>
        <v>0</v>
      </c>
      <c r="P309" s="1049"/>
      <c r="Q309" s="577"/>
      <c r="R309" s="1039"/>
      <c r="S309" s="521"/>
      <c r="T309" s="225"/>
      <c r="U309" s="521"/>
      <c r="V309" s="1040"/>
      <c r="W309" s="1041"/>
    </row>
    <row r="310" spans="2:23" ht="15" thickBot="1" x14ac:dyDescent="0.35">
      <c r="B310" s="182"/>
      <c r="C310" s="577"/>
      <c r="D310" s="521" t="s">
        <v>412</v>
      </c>
      <c r="E310" s="521"/>
      <c r="F310" s="85"/>
      <c r="G310" s="494" t="s">
        <v>385</v>
      </c>
      <c r="H310" s="577"/>
      <c r="I310" s="450" t="s">
        <v>8</v>
      </c>
      <c r="J310" s="116" t="s">
        <v>52</v>
      </c>
      <c r="K310" s="382"/>
      <c r="L310" s="1042" t="s">
        <v>66</v>
      </c>
      <c r="M310" s="1043">
        <f>SUMIFS('Level of Efficiency Assumptions'!$J:$J,'Level of Efficiency Assumptions'!$D:$D,I310,'Level of Efficiency Assumptions'!$F:$F,J310,'Level of Efficiency Assumptions'!$I:$I,'Water Use Calcs'!L310)</f>
        <v>5</v>
      </c>
      <c r="N310" s="577"/>
      <c r="O310" s="1048">
        <f>SUMIFS('Detailed Fixture Data'!O:O,'Detailed Fixture Data'!C:C,G310,'Detailed Fixture Data'!E:E,I310,'Detailed Fixture Data'!F:F,J310,'Detailed Fixture Data'!L:L,L310)</f>
        <v>0</v>
      </c>
      <c r="P310" s="1049"/>
      <c r="Q310" s="577"/>
      <c r="R310" s="1039"/>
      <c r="S310" s="618"/>
      <c r="T310" s="225"/>
      <c r="U310" s="618"/>
      <c r="V310" s="1045"/>
      <c r="W310" s="1046"/>
    </row>
    <row r="311" spans="2:23" x14ac:dyDescent="0.3">
      <c r="B311" s="182"/>
      <c r="C311" s="577"/>
      <c r="D311" s="521" t="s">
        <v>412</v>
      </c>
      <c r="E311" s="521"/>
      <c r="F311" s="85"/>
      <c r="G311" s="494" t="s">
        <v>385</v>
      </c>
      <c r="H311" s="577"/>
      <c r="I311" s="450" t="s">
        <v>8</v>
      </c>
      <c r="J311" s="577" t="s">
        <v>53</v>
      </c>
      <c r="K311" s="1055" t="s">
        <v>363</v>
      </c>
      <c r="L311" s="1047" t="s">
        <v>64</v>
      </c>
      <c r="M311" s="1036">
        <f>SUMIFS('Level of Efficiency Assumptions'!$J:$J,'Level of Efficiency Assumptions'!$D:$D,I311,'Level of Efficiency Assumptions'!$F:$F,J311,'Level of Efficiency Assumptions'!$I:$I,'Water Use Calcs'!L311)</f>
        <v>10</v>
      </c>
      <c r="N311" s="567" t="s">
        <v>660</v>
      </c>
      <c r="O311" s="1048">
        <f>SUMIFS('Detailed Fixture Data'!O:O,'Detailed Fixture Data'!C:C,G311,'Detailed Fixture Data'!E:E,I311,'Detailed Fixture Data'!F:F,J311,'Detailed Fixture Data'!L:L,L311)</f>
        <v>0</v>
      </c>
      <c r="P311" s="1030">
        <f>SUMIFS('Intensity of Use Assumptions'!$J:$J,'Intensity of Use Assumptions'!$D:$D,I311,'Intensity of Use Assumptions'!$G:$G,J311,'Intensity of Use Assumptions'!H:H,K311)</f>
        <v>1</v>
      </c>
      <c r="Q311" s="567" t="s">
        <v>67</v>
      </c>
      <c r="R311" s="1032">
        <f>(SUMPRODUCT(M311:M313,O311:O313)*P311)</f>
        <v>0</v>
      </c>
      <c r="S311" s="1033">
        <f>IF(R311=0,0,M313*P311)</f>
        <v>0</v>
      </c>
      <c r="T311" s="225" t="str">
        <f>G311&amp;"-"&amp;J311</f>
        <v>Office Building C-Other 2</v>
      </c>
      <c r="U311" s="1034">
        <f ca="1">IF(ISNA(VLOOKUP(T311,list!$AV$3:$AW$130,2,FALSE)),1,(VLOOKUP(T311,list!$AV$3:$AW$130,2,FALSE)))</f>
        <v>1</v>
      </c>
      <c r="V311" s="1033">
        <f ca="1">R311*U311</f>
        <v>0</v>
      </c>
      <c r="W311" s="1033">
        <f ca="1">S311*U311</f>
        <v>0</v>
      </c>
    </row>
    <row r="312" spans="2:23" x14ac:dyDescent="0.3">
      <c r="B312" s="182"/>
      <c r="C312" s="577"/>
      <c r="D312" s="521" t="s">
        <v>412</v>
      </c>
      <c r="E312" s="521"/>
      <c r="F312" s="85"/>
      <c r="G312" s="494" t="s">
        <v>385</v>
      </c>
      <c r="H312" s="577"/>
      <c r="I312" s="450" t="s">
        <v>8</v>
      </c>
      <c r="J312" s="577" t="s">
        <v>53</v>
      </c>
      <c r="K312" s="577"/>
      <c r="L312" s="1035" t="s">
        <v>65</v>
      </c>
      <c r="M312" s="1036">
        <f>SUMIFS('Level of Efficiency Assumptions'!$J:$J,'Level of Efficiency Assumptions'!$D:$D,I312,'Level of Efficiency Assumptions'!$F:$F,J312,'Level of Efficiency Assumptions'!$I:$I,'Water Use Calcs'!L312)</f>
        <v>7.5</v>
      </c>
      <c r="N312" s="577"/>
      <c r="O312" s="1048">
        <f>SUMIFS('Detailed Fixture Data'!O:O,'Detailed Fixture Data'!C:C,G312,'Detailed Fixture Data'!E:E,I312,'Detailed Fixture Data'!F:F,J312,'Detailed Fixture Data'!L:L,L312)</f>
        <v>0</v>
      </c>
      <c r="P312" s="1049"/>
      <c r="Q312" s="577"/>
      <c r="R312" s="1039"/>
      <c r="S312" s="521"/>
      <c r="T312" s="225"/>
      <c r="U312" s="521"/>
      <c r="V312" s="1040"/>
      <c r="W312" s="1041"/>
    </row>
    <row r="313" spans="2:23" ht="15" thickBot="1" x14ac:dyDescent="0.35">
      <c r="B313" s="182"/>
      <c r="C313" s="577"/>
      <c r="D313" s="521" t="s">
        <v>412</v>
      </c>
      <c r="E313" s="521"/>
      <c r="F313" s="85"/>
      <c r="G313" s="494" t="s">
        <v>385</v>
      </c>
      <c r="H313" s="577"/>
      <c r="I313" s="450" t="s">
        <v>8</v>
      </c>
      <c r="J313" s="116" t="s">
        <v>53</v>
      </c>
      <c r="K313" s="116"/>
      <c r="L313" s="1042" t="s">
        <v>66</v>
      </c>
      <c r="M313" s="1043">
        <f>SUMIFS('Level of Efficiency Assumptions'!$J:$J,'Level of Efficiency Assumptions'!$D:$D,I313,'Level of Efficiency Assumptions'!$F:$F,J313,'Level of Efficiency Assumptions'!$I:$I,'Water Use Calcs'!L313)</f>
        <v>5</v>
      </c>
      <c r="N313" s="577"/>
      <c r="O313" s="1048">
        <f>SUMIFS('Detailed Fixture Data'!O:O,'Detailed Fixture Data'!C:C,G313,'Detailed Fixture Data'!E:E,I313,'Detailed Fixture Data'!F:F,J313,'Detailed Fixture Data'!L:L,L313)</f>
        <v>0</v>
      </c>
      <c r="P313" s="1049"/>
      <c r="Q313" s="577"/>
      <c r="R313" s="1039"/>
      <c r="S313" s="618"/>
      <c r="T313" s="225"/>
      <c r="U313" s="618"/>
      <c r="V313" s="1045"/>
      <c r="W313" s="1046"/>
    </row>
    <row r="314" spans="2:23" x14ac:dyDescent="0.3">
      <c r="B314" s="182"/>
      <c r="C314" s="577"/>
      <c r="D314" s="521" t="s">
        <v>412</v>
      </c>
      <c r="E314" s="521"/>
      <c r="F314" s="85"/>
      <c r="G314" s="494" t="s">
        <v>385</v>
      </c>
      <c r="H314" s="577"/>
      <c r="I314" s="450" t="s">
        <v>8</v>
      </c>
      <c r="J314" s="577" t="s">
        <v>54</v>
      </c>
      <c r="K314" s="379" t="s">
        <v>364</v>
      </c>
      <c r="L314" s="1047" t="s">
        <v>64</v>
      </c>
      <c r="M314" s="1036">
        <f>SUMIFS('Level of Efficiency Assumptions'!$J:$J,'Level of Efficiency Assumptions'!$D:$D,I314,'Level of Efficiency Assumptions'!$F:$F,J314,'Level of Efficiency Assumptions'!$I:$I,'Water Use Calcs'!L314)</f>
        <v>10</v>
      </c>
      <c r="N314" s="567" t="s">
        <v>660</v>
      </c>
      <c r="O314" s="1048">
        <f>SUMIFS('Detailed Fixture Data'!O:O,'Detailed Fixture Data'!C:C,G314,'Detailed Fixture Data'!E:E,I314,'Detailed Fixture Data'!F:F,J314,'Detailed Fixture Data'!L:L,L314)</f>
        <v>0</v>
      </c>
      <c r="P314" s="1030">
        <f>SUMIFS('Intensity of Use Assumptions'!$J:$J,'Intensity of Use Assumptions'!$D:$D,I314,'Intensity of Use Assumptions'!$G:$G,J314,'Intensity of Use Assumptions'!H:H,K314)</f>
        <v>1</v>
      </c>
      <c r="Q314" s="567" t="s">
        <v>67</v>
      </c>
      <c r="R314" s="1032">
        <f>(SUMPRODUCT(M314:M316,O314:O316)*P314)</f>
        <v>0</v>
      </c>
      <c r="S314" s="1033">
        <f>IF(R314=0,0,M316*P314)</f>
        <v>0</v>
      </c>
      <c r="T314" s="225" t="str">
        <f>G314&amp;"-"&amp;J314</f>
        <v>Office Building C-Other 3</v>
      </c>
      <c r="U314" s="1034">
        <f ca="1">IF(ISNA(VLOOKUP(T314,list!$AV$3:$AW$130,2,FALSE)),1,(VLOOKUP(T314,list!$AV$3:$AW$130,2,FALSE)))</f>
        <v>1</v>
      </c>
      <c r="V314" s="1033">
        <f ca="1">R314*U314</f>
        <v>0</v>
      </c>
      <c r="W314" s="1033">
        <f ca="1">S314*U314</f>
        <v>0</v>
      </c>
    </row>
    <row r="315" spans="2:23" x14ac:dyDescent="0.3">
      <c r="B315" s="182"/>
      <c r="C315" s="577"/>
      <c r="D315" s="521" t="s">
        <v>412</v>
      </c>
      <c r="E315" s="521"/>
      <c r="F315" s="85"/>
      <c r="G315" s="494" t="s">
        <v>385</v>
      </c>
      <c r="H315" s="577"/>
      <c r="I315" s="450" t="s">
        <v>8</v>
      </c>
      <c r="J315" s="577" t="s">
        <v>54</v>
      </c>
      <c r="K315" s="577"/>
      <c r="L315" s="1035" t="s">
        <v>65</v>
      </c>
      <c r="M315" s="1036">
        <f>SUMIFS('Level of Efficiency Assumptions'!$J:$J,'Level of Efficiency Assumptions'!$D:$D,I315,'Level of Efficiency Assumptions'!$F:$F,J315,'Level of Efficiency Assumptions'!$I:$I,'Water Use Calcs'!L315)</f>
        <v>7.5</v>
      </c>
      <c r="N315" s="577"/>
      <c r="O315" s="1048">
        <f>SUMIFS('Detailed Fixture Data'!O:O,'Detailed Fixture Data'!C:C,G315,'Detailed Fixture Data'!E:E,I315,'Detailed Fixture Data'!F:F,J315,'Detailed Fixture Data'!L:L,L315)</f>
        <v>0</v>
      </c>
      <c r="P315" s="1049"/>
      <c r="Q315" s="577"/>
      <c r="R315" s="1039"/>
      <c r="S315" s="521"/>
      <c r="T315" s="225"/>
      <c r="U315" s="521"/>
      <c r="V315" s="1040"/>
      <c r="W315" s="1041"/>
    </row>
    <row r="316" spans="2:23" ht="15" thickBot="1" x14ac:dyDescent="0.35">
      <c r="B316" s="182"/>
      <c r="C316" s="577"/>
      <c r="D316" s="521" t="s">
        <v>412</v>
      </c>
      <c r="E316" s="521"/>
      <c r="F316" s="85"/>
      <c r="G316" s="501" t="s">
        <v>385</v>
      </c>
      <c r="H316" s="577"/>
      <c r="I316" s="450" t="s">
        <v>8</v>
      </c>
      <c r="J316" s="577" t="s">
        <v>54</v>
      </c>
      <c r="K316" s="577"/>
      <c r="L316" s="1056" t="s">
        <v>66</v>
      </c>
      <c r="M316" s="1043">
        <f>SUMIFS('Level of Efficiency Assumptions'!$J:$J,'Level of Efficiency Assumptions'!$D:$D,I316,'Level of Efficiency Assumptions'!$F:$F,J316,'Level of Efficiency Assumptions'!$I:$I,'Water Use Calcs'!L316)</f>
        <v>5</v>
      </c>
      <c r="N316" s="577"/>
      <c r="O316" s="1048">
        <f>SUMIFS('Detailed Fixture Data'!O:O,'Detailed Fixture Data'!C:C,G316,'Detailed Fixture Data'!E:E,I316,'Detailed Fixture Data'!F:F,J316,'Detailed Fixture Data'!L:L,L316)</f>
        <v>0</v>
      </c>
      <c r="P316" s="1049"/>
      <c r="Q316" s="577"/>
      <c r="R316" s="1039"/>
      <c r="S316" s="618"/>
      <c r="T316" s="225"/>
      <c r="U316" s="618"/>
      <c r="V316" s="1045"/>
      <c r="W316" s="1046"/>
    </row>
    <row r="317" spans="2:23" x14ac:dyDescent="0.3">
      <c r="B317" s="182"/>
      <c r="C317" s="577"/>
      <c r="D317" s="521" t="s">
        <v>412</v>
      </c>
      <c r="E317" s="619" t="str">
        <f>G317</f>
        <v>Office Building D</v>
      </c>
      <c r="F317" s="565" t="str">
        <f>VLOOKUP(E317,'Airport Mapping'!$C$5:$D$39,2,FALSE)</f>
        <v xml:space="preserve"> </v>
      </c>
      <c r="G317" s="494" t="s">
        <v>386</v>
      </c>
      <c r="H317" s="651" t="str">
        <f>I317</f>
        <v>Restrooms</v>
      </c>
      <c r="I317" s="454" t="s">
        <v>37</v>
      </c>
      <c r="J317" s="567" t="s">
        <v>2</v>
      </c>
      <c r="K317" s="567" t="s">
        <v>6</v>
      </c>
      <c r="L317" s="1028" t="s">
        <v>64</v>
      </c>
      <c r="M317" s="1036">
        <f>SUMIFS('Level of Efficiency Assumptions'!$J:$J,'Level of Efficiency Assumptions'!$D:$D,I317,'Level of Efficiency Assumptions'!$F:$F,J317,'Level of Efficiency Assumptions'!$I:$I,'Water Use Calcs'!L317)</f>
        <v>3.5</v>
      </c>
      <c r="N317" s="567" t="s">
        <v>68</v>
      </c>
      <c r="O317" s="1048">
        <f>SUMIFS('Detailed Fixture Data'!O:O,'Detailed Fixture Data'!C:C,G317,'Detailed Fixture Data'!E:E,I317,'Detailed Fixture Data'!F:F,J317,'Detailed Fixture Data'!L:L,L317)</f>
        <v>0</v>
      </c>
      <c r="P317" s="1030">
        <f>SUMIFS('Intensity of Use Assumptions'!$J:$J,'Intensity of Use Assumptions'!$D:$D,I317,'Intensity of Use Assumptions'!$G:$G,J317,'Intensity of Use Assumptions'!H:H,K317)</f>
        <v>2.5</v>
      </c>
      <c r="Q317" s="567" t="s">
        <v>67</v>
      </c>
      <c r="R317" s="1032">
        <f>(SUMPRODUCT(M317:M319,O317:O319)*P317)</f>
        <v>0</v>
      </c>
      <c r="S317" s="1033">
        <f>IF(R317=0,0,M319*P317)</f>
        <v>0</v>
      </c>
      <c r="T317" s="225" t="str">
        <f>G317&amp;"-"&amp;J317</f>
        <v>Office Building D-Toilets</v>
      </c>
      <c r="U317" s="1034">
        <f ca="1">IF(ISNA(VLOOKUP(T317,list!$AV$3:$AW$130,2,FALSE)),1,(VLOOKUP(T317,list!$AV$3:$AW$130,2,FALSE)))</f>
        <v>1</v>
      </c>
      <c r="V317" s="1033">
        <f ca="1">R317*U317</f>
        <v>0</v>
      </c>
      <c r="W317" s="1033">
        <f ca="1">S317*U317</f>
        <v>0</v>
      </c>
    </row>
    <row r="318" spans="2:23" x14ac:dyDescent="0.3">
      <c r="B318" s="182"/>
      <c r="C318" s="577"/>
      <c r="D318" s="521" t="s">
        <v>412</v>
      </c>
      <c r="E318" s="521"/>
      <c r="F318" s="85"/>
      <c r="G318" s="494" t="s">
        <v>386</v>
      </c>
      <c r="H318" s="577"/>
      <c r="I318" s="450" t="s">
        <v>37</v>
      </c>
      <c r="J318" s="577" t="s">
        <v>2</v>
      </c>
      <c r="K318" s="577"/>
      <c r="L318" s="1035" t="s">
        <v>65</v>
      </c>
      <c r="M318" s="1036">
        <f>SUMIFS('Level of Efficiency Assumptions'!$J:$J,'Level of Efficiency Assumptions'!$D:$D,I318,'Level of Efficiency Assumptions'!$F:$F,J318,'Level of Efficiency Assumptions'!$I:$I,'Water Use Calcs'!L318)</f>
        <v>1.6</v>
      </c>
      <c r="N318" s="577"/>
      <c r="O318" s="1048">
        <f>SUMIFS('Detailed Fixture Data'!O:O,'Detailed Fixture Data'!C:C,G318,'Detailed Fixture Data'!E:E,I318,'Detailed Fixture Data'!F:F,J318,'Detailed Fixture Data'!L:L,L318)</f>
        <v>0</v>
      </c>
      <c r="P318" s="1049"/>
      <c r="Q318" s="577"/>
      <c r="R318" s="1039"/>
      <c r="S318" s="521"/>
      <c r="T318" s="225"/>
      <c r="U318" s="521"/>
      <c r="V318" s="1040"/>
      <c r="W318" s="1041"/>
    </row>
    <row r="319" spans="2:23" ht="15" thickBot="1" x14ac:dyDescent="0.35">
      <c r="B319" s="182"/>
      <c r="C319" s="577"/>
      <c r="D319" s="521" t="s">
        <v>412</v>
      </c>
      <c r="E319" s="521"/>
      <c r="F319" s="85"/>
      <c r="G319" s="494" t="s">
        <v>386</v>
      </c>
      <c r="H319" s="577"/>
      <c r="I319" s="450" t="s">
        <v>37</v>
      </c>
      <c r="J319" s="116" t="s">
        <v>2</v>
      </c>
      <c r="K319" s="116"/>
      <c r="L319" s="1042" t="s">
        <v>66</v>
      </c>
      <c r="M319" s="1043">
        <f>SUMIFS('Level of Efficiency Assumptions'!$J:$J,'Level of Efficiency Assumptions'!$D:$D,I319,'Level of Efficiency Assumptions'!$F:$F,J319,'Level of Efficiency Assumptions'!$I:$I,'Water Use Calcs'!L319)</f>
        <v>1.28</v>
      </c>
      <c r="N319" s="577"/>
      <c r="O319" s="1048">
        <f>SUMIFS('Detailed Fixture Data'!O:O,'Detailed Fixture Data'!C:C,G319,'Detailed Fixture Data'!E:E,I319,'Detailed Fixture Data'!F:F,J319,'Detailed Fixture Data'!L:L,L319)</f>
        <v>0</v>
      </c>
      <c r="P319" s="1049"/>
      <c r="Q319" s="577"/>
      <c r="R319" s="1039"/>
      <c r="S319" s="618"/>
      <c r="T319" s="225"/>
      <c r="U319" s="618"/>
      <c r="V319" s="1045"/>
      <c r="W319" s="1046"/>
    </row>
    <row r="320" spans="2:23" x14ac:dyDescent="0.3">
      <c r="B320" s="182"/>
      <c r="C320" s="577"/>
      <c r="D320" s="521" t="s">
        <v>412</v>
      </c>
      <c r="E320" s="521"/>
      <c r="F320" s="85"/>
      <c r="G320" s="494" t="s">
        <v>386</v>
      </c>
      <c r="H320" s="577"/>
      <c r="I320" s="450" t="s">
        <v>37</v>
      </c>
      <c r="J320" s="577" t="s">
        <v>4</v>
      </c>
      <c r="K320" s="577" t="s">
        <v>6</v>
      </c>
      <c r="L320" s="1047" t="s">
        <v>64</v>
      </c>
      <c r="M320" s="1036">
        <f>SUMIFS('Level of Efficiency Assumptions'!$J:$J,'Level of Efficiency Assumptions'!$D:$D,I320,'Level of Efficiency Assumptions'!$F:$F,J320,'Level of Efficiency Assumptions'!$I:$I,'Water Use Calcs'!L320)</f>
        <v>2</v>
      </c>
      <c r="N320" s="567" t="s">
        <v>68</v>
      </c>
      <c r="O320" s="1048">
        <f>SUMIFS('Detailed Fixture Data'!O:O,'Detailed Fixture Data'!C:C,G320,'Detailed Fixture Data'!E:E,I320,'Detailed Fixture Data'!F:F,J320,'Detailed Fixture Data'!L:L,L320)</f>
        <v>0</v>
      </c>
      <c r="P320" s="1030">
        <f>SUMIFS('Intensity of Use Assumptions'!$J:$J,'Intensity of Use Assumptions'!$D:$D,I320,'Intensity of Use Assumptions'!$G:$G,J320,'Intensity of Use Assumptions'!H:H,K320)</f>
        <v>1.5</v>
      </c>
      <c r="Q320" s="567" t="s">
        <v>67</v>
      </c>
      <c r="R320" s="1032">
        <f>(SUMPRODUCT(M320:M322,O320:O322)*P320)</f>
        <v>0</v>
      </c>
      <c r="S320" s="1033">
        <f>IF(R320=0,0,M322*P320)</f>
        <v>0</v>
      </c>
      <c r="T320" s="225" t="str">
        <f>G320&amp;"-"&amp;J320</f>
        <v>Office Building D-Urinals</v>
      </c>
      <c r="U320" s="1034">
        <f ca="1">IF(ISNA(VLOOKUP(T320,list!$AV$3:$AW$130,2,FALSE)),1,(VLOOKUP(T320,list!$AV$3:$AW$130,2,FALSE)))</f>
        <v>1</v>
      </c>
      <c r="V320" s="1033">
        <f ca="1">R320*U320</f>
        <v>0</v>
      </c>
      <c r="W320" s="1033">
        <f ca="1">S320*U320</f>
        <v>0</v>
      </c>
    </row>
    <row r="321" spans="2:23" x14ac:dyDescent="0.3">
      <c r="B321" s="182"/>
      <c r="C321" s="577"/>
      <c r="D321" s="521" t="s">
        <v>412</v>
      </c>
      <c r="E321" s="521"/>
      <c r="F321" s="85"/>
      <c r="G321" s="494" t="s">
        <v>386</v>
      </c>
      <c r="H321" s="577"/>
      <c r="I321" s="450" t="s">
        <v>37</v>
      </c>
      <c r="J321" s="577" t="s">
        <v>4</v>
      </c>
      <c r="K321" s="577"/>
      <c r="L321" s="1035" t="s">
        <v>65</v>
      </c>
      <c r="M321" s="1036">
        <f>SUMIFS('Level of Efficiency Assumptions'!$J:$J,'Level of Efficiency Assumptions'!$D:$D,I321,'Level of Efficiency Assumptions'!$F:$F,J321,'Level of Efficiency Assumptions'!$I:$I,'Water Use Calcs'!L321)</f>
        <v>1</v>
      </c>
      <c r="N321" s="577"/>
      <c r="O321" s="1048">
        <f>SUMIFS('Detailed Fixture Data'!O:O,'Detailed Fixture Data'!C:C,G321,'Detailed Fixture Data'!E:E,I321,'Detailed Fixture Data'!F:F,J321,'Detailed Fixture Data'!L:L,L321)</f>
        <v>0</v>
      </c>
      <c r="P321" s="1049"/>
      <c r="Q321" s="577"/>
      <c r="R321" s="1039"/>
      <c r="S321" s="521"/>
      <c r="T321" s="225"/>
      <c r="U321" s="521"/>
      <c r="V321" s="1040"/>
      <c r="W321" s="1041"/>
    </row>
    <row r="322" spans="2:23" ht="15" thickBot="1" x14ac:dyDescent="0.35">
      <c r="B322" s="182"/>
      <c r="C322" s="577"/>
      <c r="D322" s="521" t="s">
        <v>412</v>
      </c>
      <c r="E322" s="521"/>
      <c r="F322" s="85"/>
      <c r="G322" s="494" t="s">
        <v>386</v>
      </c>
      <c r="H322" s="577"/>
      <c r="I322" s="450" t="s">
        <v>37</v>
      </c>
      <c r="J322" s="116" t="s">
        <v>4</v>
      </c>
      <c r="K322" s="116"/>
      <c r="L322" s="1042" t="s">
        <v>66</v>
      </c>
      <c r="M322" s="1043">
        <f>SUMIFS('Level of Efficiency Assumptions'!$J:$J,'Level of Efficiency Assumptions'!$D:$D,I322,'Level of Efficiency Assumptions'!$F:$F,J322,'Level of Efficiency Assumptions'!$I:$I,'Water Use Calcs'!L322)</f>
        <v>0.125</v>
      </c>
      <c r="N322" s="577"/>
      <c r="O322" s="1048">
        <f>SUMIFS('Detailed Fixture Data'!O:O,'Detailed Fixture Data'!C:C,G322,'Detailed Fixture Data'!E:E,I322,'Detailed Fixture Data'!F:F,J322,'Detailed Fixture Data'!L:L,L322)</f>
        <v>0</v>
      </c>
      <c r="P322" s="1049"/>
      <c r="Q322" s="577"/>
      <c r="R322" s="1039"/>
      <c r="S322" s="618"/>
      <c r="T322" s="225"/>
      <c r="U322" s="618"/>
      <c r="V322" s="1045"/>
      <c r="W322" s="1046"/>
    </row>
    <row r="323" spans="2:23" x14ac:dyDescent="0.3">
      <c r="B323" s="182"/>
      <c r="C323" s="577"/>
      <c r="D323" s="521" t="s">
        <v>412</v>
      </c>
      <c r="E323" s="521"/>
      <c r="F323" s="85"/>
      <c r="G323" s="494" t="s">
        <v>386</v>
      </c>
      <c r="H323" s="577"/>
      <c r="I323" s="450" t="s">
        <v>37</v>
      </c>
      <c r="J323" s="577" t="s">
        <v>33</v>
      </c>
      <c r="K323" s="577" t="s">
        <v>6</v>
      </c>
      <c r="L323" s="1047" t="s">
        <v>64</v>
      </c>
      <c r="M323" s="1036">
        <f>SUMIFS('Level of Efficiency Assumptions'!$J:$J,'Level of Efficiency Assumptions'!$D:$D,I323,'Level of Efficiency Assumptions'!$F:$F,J323,'Level of Efficiency Assumptions'!$I:$I,'Water Use Calcs'!L323)</f>
        <v>2</v>
      </c>
      <c r="N323" s="567" t="s">
        <v>78</v>
      </c>
      <c r="O323" s="1048">
        <f>SUMIFS('Detailed Fixture Data'!O:O,'Detailed Fixture Data'!C:C,G323,'Detailed Fixture Data'!E:E,I323,'Detailed Fixture Data'!F:F,J323,'Detailed Fixture Data'!L:L,L323)</f>
        <v>0</v>
      </c>
      <c r="P323" s="1030">
        <f>SUMIFS('Intensity of Use Assumptions'!$J:$J,'Intensity of Use Assumptions'!$D:$D,I323,'Intensity of Use Assumptions'!$G:$G,J323,'Intensity of Use Assumptions'!H:H,K323)</f>
        <v>0.66666666666666663</v>
      </c>
      <c r="Q323" s="567" t="s">
        <v>133</v>
      </c>
      <c r="R323" s="1032">
        <f>(SUMPRODUCT(M323:M325,O323:O325)*P323)</f>
        <v>0</v>
      </c>
      <c r="S323" s="1033">
        <f>IF(R323=0,0,M325*P323)</f>
        <v>0</v>
      </c>
      <c r="T323" s="225" t="str">
        <f>G323&amp;"-"&amp;J323</f>
        <v>Office Building D-Faucets</v>
      </c>
      <c r="U323" s="1034">
        <f ca="1">IF(ISNA(VLOOKUP(T323,list!$AV$3:$AW$130,2,FALSE)),1,(VLOOKUP(T323,list!$AV$3:$AW$130,2,FALSE)))</f>
        <v>1</v>
      </c>
      <c r="V323" s="1033">
        <f ca="1">R323*U323</f>
        <v>0</v>
      </c>
      <c r="W323" s="1033">
        <f ca="1">S323*U323</f>
        <v>0</v>
      </c>
    </row>
    <row r="324" spans="2:23" x14ac:dyDescent="0.3">
      <c r="B324" s="182"/>
      <c r="C324" s="577"/>
      <c r="D324" s="521" t="s">
        <v>412</v>
      </c>
      <c r="E324" s="521"/>
      <c r="F324" s="85"/>
      <c r="G324" s="494" t="s">
        <v>386</v>
      </c>
      <c r="H324" s="577"/>
      <c r="I324" s="450" t="s">
        <v>37</v>
      </c>
      <c r="J324" s="577" t="s">
        <v>33</v>
      </c>
      <c r="K324" s="577"/>
      <c r="L324" s="1035" t="s">
        <v>65</v>
      </c>
      <c r="M324" s="1036">
        <f>SUMIFS('Level of Efficiency Assumptions'!$J:$J,'Level of Efficiency Assumptions'!$D:$D,I324,'Level of Efficiency Assumptions'!$F:$F,J324,'Level of Efficiency Assumptions'!$I:$I,'Water Use Calcs'!L324)</f>
        <v>1</v>
      </c>
      <c r="N324" s="577"/>
      <c r="O324" s="1048">
        <f>SUMIFS('Detailed Fixture Data'!O:O,'Detailed Fixture Data'!C:C,G324,'Detailed Fixture Data'!E:E,I324,'Detailed Fixture Data'!F:F,J324,'Detailed Fixture Data'!L:L,L324)</f>
        <v>0</v>
      </c>
      <c r="P324" s="1049"/>
      <c r="Q324" s="577"/>
      <c r="R324" s="1039"/>
      <c r="S324" s="521"/>
      <c r="T324" s="225"/>
      <c r="U324" s="521"/>
      <c r="V324" s="1040"/>
      <c r="W324" s="1041"/>
    </row>
    <row r="325" spans="2:23" ht="15" thickBot="1" x14ac:dyDescent="0.35">
      <c r="B325" s="182"/>
      <c r="C325" s="577"/>
      <c r="D325" s="521" t="s">
        <v>412</v>
      </c>
      <c r="E325" s="521"/>
      <c r="F325" s="85"/>
      <c r="G325" s="494" t="s">
        <v>386</v>
      </c>
      <c r="H325" s="577"/>
      <c r="I325" s="451" t="s">
        <v>37</v>
      </c>
      <c r="J325" s="116" t="s">
        <v>33</v>
      </c>
      <c r="K325" s="116"/>
      <c r="L325" s="1042" t="s">
        <v>66</v>
      </c>
      <c r="M325" s="1043">
        <f>SUMIFS('Level of Efficiency Assumptions'!$J:$J,'Level of Efficiency Assumptions'!$D:$D,I325,'Level of Efficiency Assumptions'!$F:$F,J325,'Level of Efficiency Assumptions'!$I:$I,'Water Use Calcs'!L325)</f>
        <v>0.5</v>
      </c>
      <c r="N325" s="577"/>
      <c r="O325" s="1048">
        <f>SUMIFS('Detailed Fixture Data'!O:O,'Detailed Fixture Data'!C:C,G325,'Detailed Fixture Data'!E:E,I325,'Detailed Fixture Data'!F:F,J325,'Detailed Fixture Data'!L:L,L325)</f>
        <v>0</v>
      </c>
      <c r="P325" s="1049"/>
      <c r="Q325" s="577"/>
      <c r="R325" s="1039"/>
      <c r="S325" s="618"/>
      <c r="T325" s="225"/>
      <c r="U325" s="618"/>
      <c r="V325" s="1045"/>
      <c r="W325" s="1046"/>
    </row>
    <row r="326" spans="2:23" x14ac:dyDescent="0.3">
      <c r="B326" s="182"/>
      <c r="C326" s="577"/>
      <c r="D326" s="521" t="s">
        <v>412</v>
      </c>
      <c r="E326" s="521"/>
      <c r="F326" s="85"/>
      <c r="G326" s="494" t="s">
        <v>386</v>
      </c>
      <c r="H326" s="651" t="str">
        <f>I326</f>
        <v>Break rooms</v>
      </c>
      <c r="I326" s="450" t="s">
        <v>5</v>
      </c>
      <c r="J326" s="577" t="s">
        <v>33</v>
      </c>
      <c r="K326" s="577" t="s">
        <v>6</v>
      </c>
      <c r="L326" s="1047" t="s">
        <v>64</v>
      </c>
      <c r="M326" s="1036">
        <f>SUMIFS('Level of Efficiency Assumptions'!$J:$J,'Level of Efficiency Assumptions'!$D:$D,I326,'Level of Efficiency Assumptions'!$F:$F,J326,'Level of Efficiency Assumptions'!$I:$I,'Water Use Calcs'!L326)</f>
        <v>2</v>
      </c>
      <c r="N326" s="567" t="s">
        <v>78</v>
      </c>
      <c r="O326" s="1048">
        <f>SUMIFS('Detailed Fixture Data'!O:O,'Detailed Fixture Data'!C:C,G326,'Detailed Fixture Data'!E:E,I326,'Detailed Fixture Data'!F:F,J326,'Detailed Fixture Data'!L:L,L326)</f>
        <v>0</v>
      </c>
      <c r="P326" s="1030">
        <f>SUMIFS('Intensity of Use Assumptions'!$J:$J,'Intensity of Use Assumptions'!$D:$D,I326,'Intensity of Use Assumptions'!$G:$G,J326,'Intensity of Use Assumptions'!H:H,K326)</f>
        <v>0.16666666666666666</v>
      </c>
      <c r="Q326" s="567" t="s">
        <v>133</v>
      </c>
      <c r="R326" s="1032">
        <f>(SUMPRODUCT(M326:M328,O326:O328)*P326)</f>
        <v>0</v>
      </c>
      <c r="S326" s="1033">
        <f>IF(R326=0,0,M328*P326)</f>
        <v>0</v>
      </c>
      <c r="T326" s="225" t="str">
        <f>G326&amp;"-"&amp;J326</f>
        <v>Office Building D-Faucets</v>
      </c>
      <c r="U326" s="1034">
        <f ca="1">IF(ISNA(VLOOKUP(T326,list!$AV$3:$AW$130,2,FALSE)),1,(VLOOKUP(T326,list!$AV$3:$AW$130,2,FALSE)))</f>
        <v>1</v>
      </c>
      <c r="V326" s="1033">
        <f ca="1">R326*U326</f>
        <v>0</v>
      </c>
      <c r="W326" s="1033">
        <f ca="1">S326*U326</f>
        <v>0</v>
      </c>
    </row>
    <row r="327" spans="2:23" x14ac:dyDescent="0.3">
      <c r="B327" s="182"/>
      <c r="C327" s="577"/>
      <c r="D327" s="521" t="s">
        <v>412</v>
      </c>
      <c r="E327" s="521"/>
      <c r="F327" s="85"/>
      <c r="G327" s="494" t="s">
        <v>386</v>
      </c>
      <c r="H327" s="577"/>
      <c r="I327" s="450" t="s">
        <v>5</v>
      </c>
      <c r="J327" s="577" t="s">
        <v>33</v>
      </c>
      <c r="K327" s="577"/>
      <c r="L327" s="1035" t="s">
        <v>65</v>
      </c>
      <c r="M327" s="1036">
        <f>SUMIFS('Level of Efficiency Assumptions'!$J:$J,'Level of Efficiency Assumptions'!$D:$D,I327,'Level of Efficiency Assumptions'!$F:$F,J327,'Level of Efficiency Assumptions'!$I:$I,'Water Use Calcs'!L327)</f>
        <v>1</v>
      </c>
      <c r="N327" s="577"/>
      <c r="O327" s="1048">
        <f>SUMIFS('Detailed Fixture Data'!O:O,'Detailed Fixture Data'!C:C,G327,'Detailed Fixture Data'!E:E,I327,'Detailed Fixture Data'!F:F,J327,'Detailed Fixture Data'!L:L,L327)</f>
        <v>0</v>
      </c>
      <c r="P327" s="1049"/>
      <c r="Q327" s="577"/>
      <c r="R327" s="1039"/>
      <c r="S327" s="521"/>
      <c r="T327" s="225"/>
      <c r="U327" s="521"/>
      <c r="V327" s="1040"/>
      <c r="W327" s="1041"/>
    </row>
    <row r="328" spans="2:23" ht="15" thickBot="1" x14ac:dyDescent="0.35">
      <c r="B328" s="182"/>
      <c r="C328" s="577"/>
      <c r="D328" s="521" t="s">
        <v>412</v>
      </c>
      <c r="E328" s="521"/>
      <c r="F328" s="85"/>
      <c r="G328" s="494" t="s">
        <v>386</v>
      </c>
      <c r="H328" s="577"/>
      <c r="I328" s="451" t="s">
        <v>5</v>
      </c>
      <c r="J328" s="116" t="s">
        <v>33</v>
      </c>
      <c r="K328" s="116"/>
      <c r="L328" s="1042" t="s">
        <v>66</v>
      </c>
      <c r="M328" s="1043">
        <f>SUMIFS('Level of Efficiency Assumptions'!$J:$J,'Level of Efficiency Assumptions'!$D:$D,I328,'Level of Efficiency Assumptions'!$F:$F,J328,'Level of Efficiency Assumptions'!$I:$I,'Water Use Calcs'!L328)</f>
        <v>0.5</v>
      </c>
      <c r="N328" s="577"/>
      <c r="O328" s="1048">
        <f>SUMIFS('Detailed Fixture Data'!O:O,'Detailed Fixture Data'!C:C,G328,'Detailed Fixture Data'!E:E,I328,'Detailed Fixture Data'!F:F,J328,'Detailed Fixture Data'!L:L,L328)</f>
        <v>0</v>
      </c>
      <c r="P328" s="1049"/>
      <c r="Q328" s="577"/>
      <c r="R328" s="1039"/>
      <c r="S328" s="618"/>
      <c r="T328" s="225"/>
      <c r="U328" s="618"/>
      <c r="V328" s="1045"/>
      <c r="W328" s="1046"/>
    </row>
    <row r="329" spans="2:23" x14ac:dyDescent="0.3">
      <c r="B329" s="182"/>
      <c r="C329" s="577"/>
      <c r="D329" s="521" t="s">
        <v>412</v>
      </c>
      <c r="E329" s="521"/>
      <c r="F329" s="85"/>
      <c r="G329" s="494" t="s">
        <v>386</v>
      </c>
      <c r="H329" s="651" t="str">
        <f>I329</f>
        <v>Landscaping</v>
      </c>
      <c r="I329" s="450" t="s">
        <v>39</v>
      </c>
      <c r="J329" s="577" t="s">
        <v>42</v>
      </c>
      <c r="K329" s="577" t="s">
        <v>32</v>
      </c>
      <c r="L329" s="1047" t="s">
        <v>64</v>
      </c>
      <c r="M329" s="1036">
        <f>SUMIFS('Level of Efficiency Assumptions'!$J:$J,'Level of Efficiency Assumptions'!$D:$D,I329,'Level of Efficiency Assumptions'!$F:$F,J329,'Level of Efficiency Assumptions'!$I:$I,'Water Use Calcs'!L329)</f>
        <v>28.6</v>
      </c>
      <c r="N329" s="567" t="s">
        <v>816</v>
      </c>
      <c r="O329" s="1048">
        <f>SUMIFS('Detailed Fixture Data'!O:O,'Detailed Fixture Data'!C:C,G329,'Detailed Fixture Data'!E:E,I329,'Detailed Fixture Data'!F:F,J329,'Detailed Fixture Data'!L:L,L329)</f>
        <v>0</v>
      </c>
      <c r="P329" s="1030">
        <f>SUMIFS('Intensity of Use Assumptions'!$J:$J,'Intensity of Use Assumptions'!$D:$D,I329,'Intensity of Use Assumptions'!$G:$G,J329,'Intensity of Use Assumptions'!H:H,K329,'Intensity of Use Assumptions'!F:F,D329)</f>
        <v>2.7397260273972603E-3</v>
      </c>
      <c r="Q329" s="567" t="s">
        <v>815</v>
      </c>
      <c r="R329" s="1032">
        <f>(SUMPRODUCT(M329:M331,O329:O331)*P329)</f>
        <v>0</v>
      </c>
      <c r="S329" s="1033">
        <f>IF(R329=0,0,M331*P329)</f>
        <v>0</v>
      </c>
      <c r="T329" s="225" t="str">
        <f>G329&amp;"-"&amp;J329</f>
        <v>Office Building D-Outdoor irrigation</v>
      </c>
      <c r="U329" s="1034">
        <f ca="1">IF(ISNA(VLOOKUP(T329,list!$AV$3:$AW$130,2,FALSE)),1,(VLOOKUP(T329,list!$AV$3:$AW$130,2,FALSE)))</f>
        <v>1</v>
      </c>
      <c r="V329" s="1033">
        <f ca="1">R329*U329</f>
        <v>0</v>
      </c>
      <c r="W329" s="1033">
        <f ca="1">S329*U329</f>
        <v>0</v>
      </c>
    </row>
    <row r="330" spans="2:23" x14ac:dyDescent="0.3">
      <c r="B330" s="182"/>
      <c r="C330" s="577"/>
      <c r="D330" s="521" t="s">
        <v>412</v>
      </c>
      <c r="E330" s="521"/>
      <c r="F330" s="85"/>
      <c r="G330" s="494" t="s">
        <v>386</v>
      </c>
      <c r="H330" s="577"/>
      <c r="I330" s="450" t="s">
        <v>39</v>
      </c>
      <c r="J330" s="577" t="s">
        <v>42</v>
      </c>
      <c r="K330" s="577"/>
      <c r="L330" s="1035" t="s">
        <v>65</v>
      </c>
      <c r="M330" s="1036">
        <f>SUMIFS('Level of Efficiency Assumptions'!$J:$J,'Level of Efficiency Assumptions'!$D:$D,I330,'Level of Efficiency Assumptions'!$F:$F,J330,'Level of Efficiency Assumptions'!$I:$I,'Water Use Calcs'!L330)</f>
        <v>13.980821518350929</v>
      </c>
      <c r="N330" s="577"/>
      <c r="O330" s="1048">
        <f>SUMIFS('Detailed Fixture Data'!O:O,'Detailed Fixture Data'!C:C,G330,'Detailed Fixture Data'!E:E,I330,'Detailed Fixture Data'!F:F,J330,'Detailed Fixture Data'!L:L,L330)</f>
        <v>0</v>
      </c>
      <c r="P330" s="1049"/>
      <c r="Q330" s="577"/>
      <c r="R330" s="1039"/>
      <c r="S330" s="521"/>
      <c r="T330" s="225"/>
      <c r="U330" s="521"/>
      <c r="V330" s="1040"/>
      <c r="W330" s="1041"/>
    </row>
    <row r="331" spans="2:23" ht="15" thickBot="1" x14ac:dyDescent="0.35">
      <c r="B331" s="182"/>
      <c r="C331" s="577"/>
      <c r="D331" s="521" t="s">
        <v>412</v>
      </c>
      <c r="E331" s="521"/>
      <c r="F331" s="85"/>
      <c r="G331" s="494" t="s">
        <v>386</v>
      </c>
      <c r="H331" s="577"/>
      <c r="I331" s="451" t="s">
        <v>39</v>
      </c>
      <c r="J331" s="116" t="s">
        <v>42</v>
      </c>
      <c r="K331" s="116"/>
      <c r="L331" s="1042" t="s">
        <v>66</v>
      </c>
      <c r="M331" s="1043">
        <f>SUMIFS('Level of Efficiency Assumptions'!$J:$J,'Level of Efficiency Assumptions'!$D:$D,I331,'Level of Efficiency Assumptions'!$F:$F,J331,'Level of Efficiency Assumptions'!$I:$I,'Water Use Calcs'!L331)</f>
        <v>0.59137254901960778</v>
      </c>
      <c r="N331" s="577"/>
      <c r="O331" s="1048">
        <f>SUMIFS('Detailed Fixture Data'!O:O,'Detailed Fixture Data'!C:C,G331,'Detailed Fixture Data'!E:E,I331,'Detailed Fixture Data'!F:F,J331,'Detailed Fixture Data'!L:L,L331)</f>
        <v>0</v>
      </c>
      <c r="P331" s="1049"/>
      <c r="Q331" s="577"/>
      <c r="R331" s="1039"/>
      <c r="S331" s="618"/>
      <c r="T331" s="225"/>
      <c r="U331" s="618"/>
      <c r="V331" s="1045"/>
      <c r="W331" s="1046"/>
    </row>
    <row r="332" spans="2:23" x14ac:dyDescent="0.3">
      <c r="B332" s="182"/>
      <c r="C332" s="577"/>
      <c r="D332" s="521" t="s">
        <v>412</v>
      </c>
      <c r="E332" s="521"/>
      <c r="F332" s="85"/>
      <c r="G332" s="494" t="s">
        <v>386</v>
      </c>
      <c r="H332" s="651" t="str">
        <f>I332</f>
        <v>Maintenance</v>
      </c>
      <c r="I332" s="450" t="s">
        <v>43</v>
      </c>
      <c r="J332" s="577" t="s">
        <v>111</v>
      </c>
      <c r="K332" s="217" t="s">
        <v>424</v>
      </c>
      <c r="L332" s="1047" t="s">
        <v>64</v>
      </c>
      <c r="M332" s="1036">
        <f>SUMIFS('Level of Efficiency Assumptions'!$J:$J,'Level of Efficiency Assumptions'!$D:$D,I332,'Level of Efficiency Assumptions'!$F:$F,J332,'Level of Efficiency Assumptions'!$I:$I,'Water Use Calcs'!L332)</f>
        <v>100</v>
      </c>
      <c r="N332" s="567" t="s">
        <v>659</v>
      </c>
      <c r="O332" s="1048">
        <f>SUMIFS('Detailed Fixture Data'!O:O,'Detailed Fixture Data'!C:C,G332,'Detailed Fixture Data'!E:E,I332,'Detailed Fixture Data'!F:F,J332,'Detailed Fixture Data'!L:L,L332)</f>
        <v>0</v>
      </c>
      <c r="P332" s="1030">
        <f>SUMIFS('Intensity of Use Assumptions'!$J:$J,'Intensity of Use Assumptions'!$D:$D,I332,'Intensity of Use Assumptions'!$G:$G,J332,'Intensity of Use Assumptions'!H:H,K332)</f>
        <v>1</v>
      </c>
      <c r="Q332" s="567" t="s">
        <v>67</v>
      </c>
      <c r="R332" s="1032">
        <f>(SUMPRODUCT(M332:M334,O332:O334)*P332)</f>
        <v>0</v>
      </c>
      <c r="S332" s="1033">
        <f>IF(R332=0,0,M334*P332)</f>
        <v>0</v>
      </c>
      <c r="T332" s="225" t="str">
        <f>G332&amp;"-"&amp;J332</f>
        <v>Office Building D-Boiler</v>
      </c>
      <c r="U332" s="1034">
        <f ca="1">IF(ISNA(VLOOKUP(T332,list!$AV$3:$AW$130,2,FALSE)),1,(VLOOKUP(T332,list!$AV$3:$AW$130,2,FALSE)))</f>
        <v>1</v>
      </c>
      <c r="V332" s="1033">
        <f ca="1">R332*U332</f>
        <v>0</v>
      </c>
      <c r="W332" s="1033">
        <f ca="1">S332*U332</f>
        <v>0</v>
      </c>
    </row>
    <row r="333" spans="2:23" x14ac:dyDescent="0.3">
      <c r="B333" s="182"/>
      <c r="C333" s="577"/>
      <c r="D333" s="521" t="s">
        <v>412</v>
      </c>
      <c r="E333" s="521"/>
      <c r="F333" s="85"/>
      <c r="G333" s="494" t="s">
        <v>386</v>
      </c>
      <c r="H333" s="577"/>
      <c r="I333" s="450" t="s">
        <v>43</v>
      </c>
      <c r="J333" s="577" t="s">
        <v>111</v>
      </c>
      <c r="K333" s="382"/>
      <c r="L333" s="1035" t="s">
        <v>65</v>
      </c>
      <c r="M333" s="1036">
        <f>SUMIFS('Level of Efficiency Assumptions'!$J:$J,'Level of Efficiency Assumptions'!$D:$D,I333,'Level of Efficiency Assumptions'!$F:$F,J333,'Level of Efficiency Assumptions'!$I:$I,'Water Use Calcs'!L333)</f>
        <v>75</v>
      </c>
      <c r="N333" s="577"/>
      <c r="O333" s="1048">
        <f>SUMIFS('Detailed Fixture Data'!O:O,'Detailed Fixture Data'!C:C,G333,'Detailed Fixture Data'!E:E,I333,'Detailed Fixture Data'!F:F,J333,'Detailed Fixture Data'!L:L,L333)</f>
        <v>0</v>
      </c>
      <c r="P333" s="1049"/>
      <c r="Q333" s="577"/>
      <c r="R333" s="1039"/>
      <c r="S333" s="521"/>
      <c r="T333" s="225"/>
      <c r="U333" s="521"/>
      <c r="V333" s="1040"/>
      <c r="W333" s="1041"/>
    </row>
    <row r="334" spans="2:23" ht="15" thickBot="1" x14ac:dyDescent="0.35">
      <c r="B334" s="182"/>
      <c r="C334" s="577"/>
      <c r="D334" s="521" t="s">
        <v>412</v>
      </c>
      <c r="E334" s="521"/>
      <c r="F334" s="85"/>
      <c r="G334" s="494" t="s">
        <v>386</v>
      </c>
      <c r="H334" s="577"/>
      <c r="I334" s="450" t="s">
        <v>43</v>
      </c>
      <c r="J334" s="116" t="s">
        <v>111</v>
      </c>
      <c r="K334" s="116"/>
      <c r="L334" s="1042" t="s">
        <v>66</v>
      </c>
      <c r="M334" s="1043">
        <f>SUMIFS('Level of Efficiency Assumptions'!$J:$J,'Level of Efficiency Assumptions'!$D:$D,I334,'Level of Efficiency Assumptions'!$F:$F,J334,'Level of Efficiency Assumptions'!$I:$I,'Water Use Calcs'!L334)</f>
        <v>50</v>
      </c>
      <c r="N334" s="577"/>
      <c r="O334" s="1048">
        <f>SUMIFS('Detailed Fixture Data'!O:O,'Detailed Fixture Data'!C:C,G334,'Detailed Fixture Data'!E:E,I334,'Detailed Fixture Data'!F:F,J334,'Detailed Fixture Data'!L:L,L334)</f>
        <v>0</v>
      </c>
      <c r="P334" s="1049"/>
      <c r="Q334" s="577"/>
      <c r="R334" s="1039"/>
      <c r="S334" s="618"/>
      <c r="T334" s="225"/>
      <c r="U334" s="618"/>
      <c r="V334" s="1045"/>
      <c r="W334" s="1046"/>
    </row>
    <row r="335" spans="2:23" x14ac:dyDescent="0.3">
      <c r="B335" s="182"/>
      <c r="C335" s="577"/>
      <c r="D335" s="521" t="s">
        <v>412</v>
      </c>
      <c r="E335" s="521"/>
      <c r="F335" s="85"/>
      <c r="G335" s="494" t="s">
        <v>386</v>
      </c>
      <c r="H335" s="577"/>
      <c r="I335" s="450" t="s">
        <v>43</v>
      </c>
      <c r="J335" s="577" t="s">
        <v>7</v>
      </c>
      <c r="K335" s="215" t="s">
        <v>365</v>
      </c>
      <c r="L335" s="1012" t="s">
        <v>257</v>
      </c>
      <c r="M335" s="1050"/>
      <c r="N335" s="1050"/>
      <c r="O335" s="1050"/>
      <c r="P335" s="1051"/>
      <c r="Q335" s="981"/>
      <c r="R335" s="1052">
        <f>SUMIFS('Cooling Data'!H:H,'Cooling Data'!$C:$C,$G335,'Cooling Data'!$E:$E,$I335,'Cooling Data'!$F:$F,$J335)</f>
        <v>0</v>
      </c>
      <c r="S335" s="1052">
        <f>SUMIFS('Cooling Data'!J:J,'Cooling Data'!$C:$C,$G335,'Cooling Data'!$E:$E,$I335,'Cooling Data'!$F:$F,$J335)</f>
        <v>0</v>
      </c>
      <c r="T335" s="225" t="str">
        <f>G335&amp;"-"&amp;J335</f>
        <v>Office Building D-Cooling</v>
      </c>
      <c r="U335" s="1034">
        <f ca="1">IF(ISNA(VLOOKUP(T335,list!$AV$3:$AW$130,2,FALSE)),1,(VLOOKUP(T335,list!$AV$3:$AW$130,2,FALSE)))</f>
        <v>1</v>
      </c>
      <c r="V335" s="1033">
        <f ca="1">R335*U335</f>
        <v>0</v>
      </c>
      <c r="W335" s="1033">
        <f ca="1">S335*U335</f>
        <v>0</v>
      </c>
    </row>
    <row r="336" spans="2:23" x14ac:dyDescent="0.3">
      <c r="B336" s="182"/>
      <c r="C336" s="577"/>
      <c r="D336" s="521" t="s">
        <v>412</v>
      </c>
      <c r="E336" s="521"/>
      <c r="F336" s="85"/>
      <c r="G336" s="494" t="s">
        <v>386</v>
      </c>
      <c r="H336" s="577"/>
      <c r="I336" s="450" t="s">
        <v>43</v>
      </c>
      <c r="J336" s="577" t="s">
        <v>7</v>
      </c>
      <c r="K336" s="577"/>
      <c r="L336" s="206"/>
      <c r="M336" s="181"/>
      <c r="N336" s="181"/>
      <c r="O336" s="181"/>
      <c r="P336" s="1053"/>
      <c r="Q336" s="439"/>
      <c r="R336" s="1039"/>
      <c r="S336" s="521"/>
      <c r="T336" s="225"/>
      <c r="U336" s="521"/>
      <c r="V336" s="1040"/>
      <c r="W336" s="1041"/>
    </row>
    <row r="337" spans="2:23" ht="15" thickBot="1" x14ac:dyDescent="0.35">
      <c r="B337" s="182"/>
      <c r="C337" s="577"/>
      <c r="D337" s="521" t="s">
        <v>412</v>
      </c>
      <c r="E337" s="521"/>
      <c r="F337" s="85"/>
      <c r="G337" s="494" t="s">
        <v>386</v>
      </c>
      <c r="H337" s="577"/>
      <c r="I337" s="451" t="s">
        <v>43</v>
      </c>
      <c r="J337" s="116" t="s">
        <v>7</v>
      </c>
      <c r="K337" s="116"/>
      <c r="L337" s="207"/>
      <c r="M337" s="924"/>
      <c r="N337" s="924"/>
      <c r="O337" s="924"/>
      <c r="P337" s="1054"/>
      <c r="Q337" s="606"/>
      <c r="R337" s="1039"/>
      <c r="S337" s="618"/>
      <c r="T337" s="225"/>
      <c r="U337" s="618"/>
      <c r="V337" s="1045"/>
      <c r="W337" s="1046"/>
    </row>
    <row r="338" spans="2:23" x14ac:dyDescent="0.3">
      <c r="B338" s="182"/>
      <c r="C338" s="577"/>
      <c r="D338" s="521" t="s">
        <v>412</v>
      </c>
      <c r="E338" s="521"/>
      <c r="F338" s="85"/>
      <c r="G338" s="494" t="s">
        <v>386</v>
      </c>
      <c r="H338" s="651" t="str">
        <f>I338</f>
        <v>Other</v>
      </c>
      <c r="I338" s="450" t="s">
        <v>8</v>
      </c>
      <c r="J338" s="577" t="s">
        <v>52</v>
      </c>
      <c r="K338" s="387" t="s">
        <v>362</v>
      </c>
      <c r="L338" s="1047" t="s">
        <v>64</v>
      </c>
      <c r="M338" s="1036">
        <f>SUMIFS('Level of Efficiency Assumptions'!$J:$J,'Level of Efficiency Assumptions'!$D:$D,I338,'Level of Efficiency Assumptions'!$F:$F,J338,'Level of Efficiency Assumptions'!$I:$I,'Water Use Calcs'!L338)</f>
        <v>10</v>
      </c>
      <c r="N338" s="567" t="s">
        <v>660</v>
      </c>
      <c r="O338" s="1048">
        <f>SUMIFS('Detailed Fixture Data'!O:O,'Detailed Fixture Data'!C:C,G338,'Detailed Fixture Data'!E:E,I338,'Detailed Fixture Data'!F:F,J338,'Detailed Fixture Data'!L:L,L338)</f>
        <v>0</v>
      </c>
      <c r="P338" s="1030">
        <f>SUMIFS('Intensity of Use Assumptions'!$J:$J,'Intensity of Use Assumptions'!$D:$D,I338,'Intensity of Use Assumptions'!$G:$G,J338,'Intensity of Use Assumptions'!H:H,K338)</f>
        <v>1</v>
      </c>
      <c r="Q338" s="567" t="s">
        <v>67</v>
      </c>
      <c r="R338" s="1032">
        <f>(SUMPRODUCT(M338:M340,O338:O340)*P338)</f>
        <v>0</v>
      </c>
      <c r="S338" s="1033">
        <f>IF(R338=0,0,M340*P338)</f>
        <v>0</v>
      </c>
      <c r="T338" s="225" t="str">
        <f>G338&amp;"-"&amp;J338</f>
        <v>Office Building D-Other 1</v>
      </c>
      <c r="U338" s="1034">
        <f ca="1">IF(ISNA(VLOOKUP(T338,list!$AV$3:$AW$130,2,FALSE)),1,(VLOOKUP(T338,list!$AV$3:$AW$130,2,FALSE)))</f>
        <v>1</v>
      </c>
      <c r="V338" s="1033">
        <f ca="1">R338*U338</f>
        <v>0</v>
      </c>
      <c r="W338" s="1033">
        <f ca="1">S338*U338</f>
        <v>0</v>
      </c>
    </row>
    <row r="339" spans="2:23" x14ac:dyDescent="0.3">
      <c r="B339" s="182"/>
      <c r="C339" s="577"/>
      <c r="D339" s="521" t="s">
        <v>412</v>
      </c>
      <c r="E339" s="521"/>
      <c r="F339" s="85"/>
      <c r="G339" s="494" t="s">
        <v>386</v>
      </c>
      <c r="H339" s="577"/>
      <c r="I339" s="450" t="s">
        <v>8</v>
      </c>
      <c r="J339" s="577" t="s">
        <v>52</v>
      </c>
      <c r="K339" s="382"/>
      <c r="L339" s="1035" t="s">
        <v>65</v>
      </c>
      <c r="M339" s="1036">
        <f>SUMIFS('Level of Efficiency Assumptions'!$J:$J,'Level of Efficiency Assumptions'!$D:$D,I339,'Level of Efficiency Assumptions'!$F:$F,J339,'Level of Efficiency Assumptions'!$I:$I,'Water Use Calcs'!L339)</f>
        <v>7.5</v>
      </c>
      <c r="N339" s="577"/>
      <c r="O339" s="1048">
        <f>SUMIFS('Detailed Fixture Data'!O:O,'Detailed Fixture Data'!C:C,G339,'Detailed Fixture Data'!E:E,I339,'Detailed Fixture Data'!F:F,J339,'Detailed Fixture Data'!L:L,L339)</f>
        <v>0</v>
      </c>
      <c r="P339" s="1049"/>
      <c r="Q339" s="577"/>
      <c r="R339" s="1039"/>
      <c r="S339" s="521"/>
      <c r="T339" s="225"/>
      <c r="U339" s="521"/>
      <c r="V339" s="1040"/>
      <c r="W339" s="1041"/>
    </row>
    <row r="340" spans="2:23" ht="15" thickBot="1" x14ac:dyDescent="0.35">
      <c r="B340" s="182"/>
      <c r="C340" s="577"/>
      <c r="D340" s="521" t="s">
        <v>412</v>
      </c>
      <c r="E340" s="521"/>
      <c r="F340" s="85"/>
      <c r="G340" s="494" t="s">
        <v>386</v>
      </c>
      <c r="H340" s="577"/>
      <c r="I340" s="450" t="s">
        <v>8</v>
      </c>
      <c r="J340" s="116" t="s">
        <v>52</v>
      </c>
      <c r="K340" s="382"/>
      <c r="L340" s="1042" t="s">
        <v>66</v>
      </c>
      <c r="M340" s="1043">
        <f>SUMIFS('Level of Efficiency Assumptions'!$J:$J,'Level of Efficiency Assumptions'!$D:$D,I340,'Level of Efficiency Assumptions'!$F:$F,J340,'Level of Efficiency Assumptions'!$I:$I,'Water Use Calcs'!L340)</f>
        <v>5</v>
      </c>
      <c r="N340" s="577"/>
      <c r="O340" s="1048">
        <f>SUMIFS('Detailed Fixture Data'!O:O,'Detailed Fixture Data'!C:C,G340,'Detailed Fixture Data'!E:E,I340,'Detailed Fixture Data'!F:F,J340,'Detailed Fixture Data'!L:L,L340)</f>
        <v>0</v>
      </c>
      <c r="P340" s="1049"/>
      <c r="Q340" s="577"/>
      <c r="R340" s="1039"/>
      <c r="S340" s="618"/>
      <c r="T340" s="225"/>
      <c r="U340" s="618"/>
      <c r="V340" s="1045"/>
      <c r="W340" s="1046"/>
    </row>
    <row r="341" spans="2:23" x14ac:dyDescent="0.3">
      <c r="B341" s="182"/>
      <c r="C341" s="577"/>
      <c r="D341" s="521" t="s">
        <v>412</v>
      </c>
      <c r="E341" s="521"/>
      <c r="F341" s="85"/>
      <c r="G341" s="494" t="s">
        <v>386</v>
      </c>
      <c r="H341" s="577"/>
      <c r="I341" s="450" t="s">
        <v>8</v>
      </c>
      <c r="J341" s="577" t="s">
        <v>53</v>
      </c>
      <c r="K341" s="1055" t="s">
        <v>363</v>
      </c>
      <c r="L341" s="1047" t="s">
        <v>64</v>
      </c>
      <c r="M341" s="1036">
        <f>SUMIFS('Level of Efficiency Assumptions'!$J:$J,'Level of Efficiency Assumptions'!$D:$D,I341,'Level of Efficiency Assumptions'!$F:$F,J341,'Level of Efficiency Assumptions'!$I:$I,'Water Use Calcs'!L341)</f>
        <v>10</v>
      </c>
      <c r="N341" s="567" t="s">
        <v>660</v>
      </c>
      <c r="O341" s="1048">
        <f>SUMIFS('Detailed Fixture Data'!O:O,'Detailed Fixture Data'!C:C,G341,'Detailed Fixture Data'!E:E,I341,'Detailed Fixture Data'!F:F,J341,'Detailed Fixture Data'!L:L,L341)</f>
        <v>0</v>
      </c>
      <c r="P341" s="1030">
        <f>SUMIFS('Intensity of Use Assumptions'!$J:$J,'Intensity of Use Assumptions'!$D:$D,I341,'Intensity of Use Assumptions'!$G:$G,J341,'Intensity of Use Assumptions'!H:H,K341)</f>
        <v>1</v>
      </c>
      <c r="Q341" s="567" t="s">
        <v>67</v>
      </c>
      <c r="R341" s="1032">
        <f>(SUMPRODUCT(M341:M343,O341:O343)*P341)</f>
        <v>0</v>
      </c>
      <c r="S341" s="1033">
        <f>IF(R341=0,0,M343*P341)</f>
        <v>0</v>
      </c>
      <c r="T341" s="225" t="str">
        <f>G341&amp;"-"&amp;J341</f>
        <v>Office Building D-Other 2</v>
      </c>
      <c r="U341" s="1034">
        <f ca="1">IF(ISNA(VLOOKUP(T341,list!$AV$3:$AW$130,2,FALSE)),1,(VLOOKUP(T341,list!$AV$3:$AW$130,2,FALSE)))</f>
        <v>1</v>
      </c>
      <c r="V341" s="1033">
        <f ca="1">R341*U341</f>
        <v>0</v>
      </c>
      <c r="W341" s="1033">
        <f ca="1">S341*U341</f>
        <v>0</v>
      </c>
    </row>
    <row r="342" spans="2:23" x14ac:dyDescent="0.3">
      <c r="B342" s="182"/>
      <c r="C342" s="577"/>
      <c r="D342" s="521" t="s">
        <v>412</v>
      </c>
      <c r="E342" s="521"/>
      <c r="F342" s="85"/>
      <c r="G342" s="494" t="s">
        <v>386</v>
      </c>
      <c r="H342" s="577"/>
      <c r="I342" s="450" t="s">
        <v>8</v>
      </c>
      <c r="J342" s="577" t="s">
        <v>53</v>
      </c>
      <c r="K342" s="577"/>
      <c r="L342" s="1035" t="s">
        <v>65</v>
      </c>
      <c r="M342" s="1036">
        <f>SUMIFS('Level of Efficiency Assumptions'!$J:$J,'Level of Efficiency Assumptions'!$D:$D,I342,'Level of Efficiency Assumptions'!$F:$F,J342,'Level of Efficiency Assumptions'!$I:$I,'Water Use Calcs'!L342)</f>
        <v>7.5</v>
      </c>
      <c r="N342" s="577"/>
      <c r="O342" s="1048">
        <f>SUMIFS('Detailed Fixture Data'!O:O,'Detailed Fixture Data'!C:C,G342,'Detailed Fixture Data'!E:E,I342,'Detailed Fixture Data'!F:F,J342,'Detailed Fixture Data'!L:L,L342)</f>
        <v>0</v>
      </c>
      <c r="P342" s="1049"/>
      <c r="Q342" s="577"/>
      <c r="R342" s="1039"/>
      <c r="S342" s="521"/>
      <c r="T342" s="225"/>
      <c r="U342" s="521"/>
      <c r="V342" s="1040"/>
      <c r="W342" s="1041"/>
    </row>
    <row r="343" spans="2:23" ht="15" thickBot="1" x14ac:dyDescent="0.35">
      <c r="B343" s="182"/>
      <c r="C343" s="577"/>
      <c r="D343" s="521" t="s">
        <v>412</v>
      </c>
      <c r="E343" s="521"/>
      <c r="F343" s="85"/>
      <c r="G343" s="494" t="s">
        <v>386</v>
      </c>
      <c r="H343" s="577"/>
      <c r="I343" s="450" t="s">
        <v>8</v>
      </c>
      <c r="J343" s="116" t="s">
        <v>53</v>
      </c>
      <c r="K343" s="116"/>
      <c r="L343" s="1042" t="s">
        <v>66</v>
      </c>
      <c r="M343" s="1043">
        <f>SUMIFS('Level of Efficiency Assumptions'!$J:$J,'Level of Efficiency Assumptions'!$D:$D,I343,'Level of Efficiency Assumptions'!$F:$F,J343,'Level of Efficiency Assumptions'!$I:$I,'Water Use Calcs'!L343)</f>
        <v>5</v>
      </c>
      <c r="N343" s="577"/>
      <c r="O343" s="1048">
        <f>SUMIFS('Detailed Fixture Data'!O:O,'Detailed Fixture Data'!C:C,G343,'Detailed Fixture Data'!E:E,I343,'Detailed Fixture Data'!F:F,J343,'Detailed Fixture Data'!L:L,L343)</f>
        <v>0</v>
      </c>
      <c r="P343" s="1049"/>
      <c r="Q343" s="577"/>
      <c r="R343" s="1039"/>
      <c r="S343" s="618"/>
      <c r="T343" s="225"/>
      <c r="U343" s="618"/>
      <c r="V343" s="1045"/>
      <c r="W343" s="1046"/>
    </row>
    <row r="344" spans="2:23" x14ac:dyDescent="0.3">
      <c r="B344" s="182"/>
      <c r="C344" s="577"/>
      <c r="D344" s="521" t="s">
        <v>412</v>
      </c>
      <c r="E344" s="521"/>
      <c r="F344" s="85"/>
      <c r="G344" s="494" t="s">
        <v>386</v>
      </c>
      <c r="H344" s="577"/>
      <c r="I344" s="450" t="s">
        <v>8</v>
      </c>
      <c r="J344" s="577" t="s">
        <v>54</v>
      </c>
      <c r="K344" s="379" t="s">
        <v>364</v>
      </c>
      <c r="L344" s="1047" t="s">
        <v>64</v>
      </c>
      <c r="M344" s="1036">
        <f>SUMIFS('Level of Efficiency Assumptions'!$J:$J,'Level of Efficiency Assumptions'!$D:$D,I344,'Level of Efficiency Assumptions'!$F:$F,J344,'Level of Efficiency Assumptions'!$I:$I,'Water Use Calcs'!L344)</f>
        <v>10</v>
      </c>
      <c r="N344" s="567" t="s">
        <v>660</v>
      </c>
      <c r="O344" s="1048">
        <f>SUMIFS('Detailed Fixture Data'!O:O,'Detailed Fixture Data'!C:C,G344,'Detailed Fixture Data'!E:E,I344,'Detailed Fixture Data'!F:F,J344,'Detailed Fixture Data'!L:L,L344)</f>
        <v>0</v>
      </c>
      <c r="P344" s="1030">
        <f>SUMIFS('Intensity of Use Assumptions'!$J:$J,'Intensity of Use Assumptions'!$D:$D,I344,'Intensity of Use Assumptions'!$G:$G,J344,'Intensity of Use Assumptions'!H:H,K344)</f>
        <v>1</v>
      </c>
      <c r="Q344" s="567" t="s">
        <v>67</v>
      </c>
      <c r="R344" s="1032">
        <f>(SUMPRODUCT(M344:M346,O344:O346)*P344)</f>
        <v>0</v>
      </c>
      <c r="S344" s="1033">
        <f>IF(R344=0,0,M346*P344)</f>
        <v>0</v>
      </c>
      <c r="T344" s="225" t="str">
        <f>G344&amp;"-"&amp;J344</f>
        <v>Office Building D-Other 3</v>
      </c>
      <c r="U344" s="1034">
        <f ca="1">IF(ISNA(VLOOKUP(T344,list!$AV$3:$AW$130,2,FALSE)),1,(VLOOKUP(T344,list!$AV$3:$AW$130,2,FALSE)))</f>
        <v>1</v>
      </c>
      <c r="V344" s="1033">
        <f ca="1">R344*U344</f>
        <v>0</v>
      </c>
      <c r="W344" s="1033">
        <f ca="1">S344*U344</f>
        <v>0</v>
      </c>
    </row>
    <row r="345" spans="2:23" x14ac:dyDescent="0.3">
      <c r="B345" s="182"/>
      <c r="C345" s="577"/>
      <c r="D345" s="521" t="s">
        <v>412</v>
      </c>
      <c r="E345" s="521"/>
      <c r="F345" s="85"/>
      <c r="G345" s="494" t="s">
        <v>386</v>
      </c>
      <c r="H345" s="577"/>
      <c r="I345" s="450" t="s">
        <v>8</v>
      </c>
      <c r="J345" s="577" t="s">
        <v>54</v>
      </c>
      <c r="K345" s="577"/>
      <c r="L345" s="1035" t="s">
        <v>65</v>
      </c>
      <c r="M345" s="1036">
        <f>SUMIFS('Level of Efficiency Assumptions'!$J:$J,'Level of Efficiency Assumptions'!$D:$D,I345,'Level of Efficiency Assumptions'!$F:$F,J345,'Level of Efficiency Assumptions'!$I:$I,'Water Use Calcs'!L345)</f>
        <v>7.5</v>
      </c>
      <c r="N345" s="577"/>
      <c r="O345" s="1048">
        <f>SUMIFS('Detailed Fixture Data'!O:O,'Detailed Fixture Data'!C:C,G345,'Detailed Fixture Data'!E:E,I345,'Detailed Fixture Data'!F:F,J345,'Detailed Fixture Data'!L:L,L345)</f>
        <v>0</v>
      </c>
      <c r="P345" s="1049"/>
      <c r="Q345" s="577"/>
      <c r="R345" s="1039"/>
      <c r="S345" s="521"/>
      <c r="T345" s="225"/>
      <c r="U345" s="521"/>
      <c r="V345" s="1040"/>
      <c r="W345" s="1041"/>
    </row>
    <row r="346" spans="2:23" ht="15" thickBot="1" x14ac:dyDescent="0.35">
      <c r="B346" s="182"/>
      <c r="C346" s="577"/>
      <c r="D346" s="521" t="s">
        <v>412</v>
      </c>
      <c r="E346" s="521"/>
      <c r="F346" s="85"/>
      <c r="G346" s="501" t="s">
        <v>386</v>
      </c>
      <c r="H346" s="116"/>
      <c r="I346" s="451" t="s">
        <v>8</v>
      </c>
      <c r="J346" s="116" t="s">
        <v>54</v>
      </c>
      <c r="K346" s="116"/>
      <c r="L346" s="1042" t="s">
        <v>66</v>
      </c>
      <c r="M346" s="1043">
        <f>SUMIFS('Level of Efficiency Assumptions'!$J:$J,'Level of Efficiency Assumptions'!$D:$D,I346,'Level of Efficiency Assumptions'!$F:$F,J346,'Level of Efficiency Assumptions'!$I:$I,'Water Use Calcs'!L346)</f>
        <v>5</v>
      </c>
      <c r="N346" s="116"/>
      <c r="O346" s="1048">
        <f>SUMIFS('Detailed Fixture Data'!O:O,'Detailed Fixture Data'!C:C,G346,'Detailed Fixture Data'!E:E,I346,'Detailed Fixture Data'!F:F,J346,'Detailed Fixture Data'!L:L,L346)</f>
        <v>0</v>
      </c>
      <c r="P346" s="1049"/>
      <c r="Q346" s="116"/>
      <c r="R346" s="1045"/>
      <c r="S346" s="618"/>
      <c r="T346" s="225"/>
      <c r="U346" s="618"/>
      <c r="V346" s="1045"/>
      <c r="W346" s="1046"/>
    </row>
    <row r="347" spans="2:23" x14ac:dyDescent="0.3">
      <c r="B347" s="182"/>
      <c r="C347" s="577"/>
      <c r="D347" s="521" t="s">
        <v>412</v>
      </c>
      <c r="E347" s="619" t="str">
        <f>G347</f>
        <v>Office Building E</v>
      </c>
      <c r="F347" s="565" t="str">
        <f>VLOOKUP(E347,'Airport Mapping'!$C$5:$D$39,2,FALSE)</f>
        <v xml:space="preserve"> </v>
      </c>
      <c r="G347" s="494" t="s">
        <v>387</v>
      </c>
      <c r="H347" s="651" t="str">
        <f>I347</f>
        <v>Restrooms</v>
      </c>
      <c r="I347" s="450" t="s">
        <v>37</v>
      </c>
      <c r="J347" s="577" t="s">
        <v>2</v>
      </c>
      <c r="K347" s="577" t="s">
        <v>6</v>
      </c>
      <c r="L347" s="1047" t="s">
        <v>64</v>
      </c>
      <c r="M347" s="1036">
        <f>SUMIFS('Level of Efficiency Assumptions'!$J:$J,'Level of Efficiency Assumptions'!$D:$D,I347,'Level of Efficiency Assumptions'!$F:$F,J347,'Level of Efficiency Assumptions'!$I:$I,'Water Use Calcs'!L347)</f>
        <v>3.5</v>
      </c>
      <c r="N347" s="577" t="s">
        <v>68</v>
      </c>
      <c r="O347" s="1048">
        <f>SUMIFS('Detailed Fixture Data'!O:O,'Detailed Fixture Data'!C:C,G347,'Detailed Fixture Data'!E:E,I347,'Detailed Fixture Data'!F:F,J347,'Detailed Fixture Data'!L:L,L347)</f>
        <v>0</v>
      </c>
      <c r="P347" s="1030">
        <f>SUMIFS('Intensity of Use Assumptions'!$J:$J,'Intensity of Use Assumptions'!$D:$D,I347,'Intensity of Use Assumptions'!$G:$G,J347,'Intensity of Use Assumptions'!H:H,K347)</f>
        <v>2.5</v>
      </c>
      <c r="Q347" s="577" t="s">
        <v>67</v>
      </c>
      <c r="R347" s="1060">
        <f>(SUMPRODUCT(M347:M349,O347:O349)*P347)</f>
        <v>0</v>
      </c>
      <c r="S347" s="1033">
        <f>IF(R347=0,0,M349*P347)</f>
        <v>0</v>
      </c>
      <c r="T347" s="225" t="str">
        <f>G347&amp;"-"&amp;J347</f>
        <v>Office Building E-Toilets</v>
      </c>
      <c r="U347" s="1034">
        <f ca="1">IF(ISNA(VLOOKUP(T347,list!$AV$3:$AW$130,2,FALSE)),1,(VLOOKUP(T347,list!$AV$3:$AW$130,2,FALSE)))</f>
        <v>1</v>
      </c>
      <c r="V347" s="1033">
        <f ca="1">R347*U347</f>
        <v>0</v>
      </c>
      <c r="W347" s="1033">
        <f ca="1">S347*U347</f>
        <v>0</v>
      </c>
    </row>
    <row r="348" spans="2:23" x14ac:dyDescent="0.3">
      <c r="B348" s="182"/>
      <c r="C348" s="577"/>
      <c r="D348" s="521" t="s">
        <v>412</v>
      </c>
      <c r="E348" s="521"/>
      <c r="F348" s="85"/>
      <c r="G348" s="494" t="s">
        <v>387</v>
      </c>
      <c r="H348" s="577"/>
      <c r="I348" s="450" t="s">
        <v>37</v>
      </c>
      <c r="J348" s="577" t="s">
        <v>2</v>
      </c>
      <c r="K348" s="577"/>
      <c r="L348" s="1035" t="s">
        <v>65</v>
      </c>
      <c r="M348" s="1036">
        <f>SUMIFS('Level of Efficiency Assumptions'!$J:$J,'Level of Efficiency Assumptions'!$D:$D,I348,'Level of Efficiency Assumptions'!$F:$F,J348,'Level of Efficiency Assumptions'!$I:$I,'Water Use Calcs'!L348)</f>
        <v>1.6</v>
      </c>
      <c r="N348" s="577"/>
      <c r="O348" s="1048">
        <f>SUMIFS('Detailed Fixture Data'!O:O,'Detailed Fixture Data'!C:C,G348,'Detailed Fixture Data'!E:E,I348,'Detailed Fixture Data'!F:F,J348,'Detailed Fixture Data'!L:L,L348)</f>
        <v>0</v>
      </c>
      <c r="P348" s="1049"/>
      <c r="Q348" s="577"/>
      <c r="R348" s="1039"/>
      <c r="S348" s="521"/>
      <c r="T348" s="225"/>
      <c r="U348" s="521"/>
      <c r="V348" s="1040"/>
      <c r="W348" s="1041"/>
    </row>
    <row r="349" spans="2:23" ht="15" thickBot="1" x14ac:dyDescent="0.35">
      <c r="B349" s="182"/>
      <c r="C349" s="577"/>
      <c r="D349" s="521" t="s">
        <v>412</v>
      </c>
      <c r="E349" s="521"/>
      <c r="F349" s="85"/>
      <c r="G349" s="494" t="s">
        <v>387</v>
      </c>
      <c r="H349" s="577"/>
      <c r="I349" s="450" t="s">
        <v>37</v>
      </c>
      <c r="J349" s="116" t="s">
        <v>2</v>
      </c>
      <c r="K349" s="116"/>
      <c r="L349" s="1042" t="s">
        <v>66</v>
      </c>
      <c r="M349" s="1043">
        <f>SUMIFS('Level of Efficiency Assumptions'!$J:$J,'Level of Efficiency Assumptions'!$D:$D,I349,'Level of Efficiency Assumptions'!$F:$F,J349,'Level of Efficiency Assumptions'!$I:$I,'Water Use Calcs'!L349)</f>
        <v>1.28</v>
      </c>
      <c r="N349" s="577"/>
      <c r="O349" s="1048">
        <f>SUMIFS('Detailed Fixture Data'!O:O,'Detailed Fixture Data'!C:C,G349,'Detailed Fixture Data'!E:E,I349,'Detailed Fixture Data'!F:F,J349,'Detailed Fixture Data'!L:L,L349)</f>
        <v>0</v>
      </c>
      <c r="P349" s="1049"/>
      <c r="Q349" s="577"/>
      <c r="R349" s="1039"/>
      <c r="S349" s="618"/>
      <c r="T349" s="225"/>
      <c r="U349" s="618"/>
      <c r="V349" s="1045"/>
      <c r="W349" s="1046"/>
    </row>
    <row r="350" spans="2:23" x14ac:dyDescent="0.3">
      <c r="B350" s="182"/>
      <c r="C350" s="577"/>
      <c r="D350" s="521" t="s">
        <v>412</v>
      </c>
      <c r="E350" s="521"/>
      <c r="F350" s="85"/>
      <c r="G350" s="494" t="s">
        <v>387</v>
      </c>
      <c r="H350" s="577"/>
      <c r="I350" s="450" t="s">
        <v>37</v>
      </c>
      <c r="J350" s="577" t="s">
        <v>4</v>
      </c>
      <c r="K350" s="577" t="s">
        <v>6</v>
      </c>
      <c r="L350" s="1047" t="s">
        <v>64</v>
      </c>
      <c r="M350" s="1036">
        <f>SUMIFS('Level of Efficiency Assumptions'!$J:$J,'Level of Efficiency Assumptions'!$D:$D,I350,'Level of Efficiency Assumptions'!$F:$F,J350,'Level of Efficiency Assumptions'!$I:$I,'Water Use Calcs'!L350)</f>
        <v>2</v>
      </c>
      <c r="N350" s="567" t="s">
        <v>68</v>
      </c>
      <c r="O350" s="1048">
        <f>SUMIFS('Detailed Fixture Data'!O:O,'Detailed Fixture Data'!C:C,G350,'Detailed Fixture Data'!E:E,I350,'Detailed Fixture Data'!F:F,J350,'Detailed Fixture Data'!L:L,L350)</f>
        <v>0</v>
      </c>
      <c r="P350" s="1030">
        <f>SUMIFS('Intensity of Use Assumptions'!$J:$J,'Intensity of Use Assumptions'!$D:$D,I350,'Intensity of Use Assumptions'!$G:$G,J350,'Intensity of Use Assumptions'!H:H,K350)</f>
        <v>1.5</v>
      </c>
      <c r="Q350" s="567" t="s">
        <v>67</v>
      </c>
      <c r="R350" s="1032">
        <f>(SUMPRODUCT(M350:M352,O350:O352)*P350)</f>
        <v>0</v>
      </c>
      <c r="S350" s="1033">
        <f>IF(R350=0,0,M352*P350)</f>
        <v>0</v>
      </c>
      <c r="T350" s="225" t="str">
        <f>G350&amp;"-"&amp;J350</f>
        <v>Office Building E-Urinals</v>
      </c>
      <c r="U350" s="1034">
        <f ca="1">IF(ISNA(VLOOKUP(T350,list!$AV$3:$AW$130,2,FALSE)),1,(VLOOKUP(T350,list!$AV$3:$AW$130,2,FALSE)))</f>
        <v>1</v>
      </c>
      <c r="V350" s="1033">
        <f ca="1">R350*U350</f>
        <v>0</v>
      </c>
      <c r="W350" s="1033">
        <f ca="1">S350*U350</f>
        <v>0</v>
      </c>
    </row>
    <row r="351" spans="2:23" x14ac:dyDescent="0.3">
      <c r="B351" s="182"/>
      <c r="C351" s="577"/>
      <c r="D351" s="521" t="s">
        <v>412</v>
      </c>
      <c r="E351" s="521"/>
      <c r="F351" s="85"/>
      <c r="G351" s="494" t="s">
        <v>387</v>
      </c>
      <c r="H351" s="577"/>
      <c r="I351" s="450" t="s">
        <v>37</v>
      </c>
      <c r="J351" s="577" t="s">
        <v>4</v>
      </c>
      <c r="K351" s="577"/>
      <c r="L351" s="1035" t="s">
        <v>65</v>
      </c>
      <c r="M351" s="1036">
        <f>SUMIFS('Level of Efficiency Assumptions'!$J:$J,'Level of Efficiency Assumptions'!$D:$D,I351,'Level of Efficiency Assumptions'!$F:$F,J351,'Level of Efficiency Assumptions'!$I:$I,'Water Use Calcs'!L351)</f>
        <v>1</v>
      </c>
      <c r="N351" s="577"/>
      <c r="O351" s="1048">
        <f>SUMIFS('Detailed Fixture Data'!O:O,'Detailed Fixture Data'!C:C,G351,'Detailed Fixture Data'!E:E,I351,'Detailed Fixture Data'!F:F,J351,'Detailed Fixture Data'!L:L,L351)</f>
        <v>0</v>
      </c>
      <c r="P351" s="1049"/>
      <c r="Q351" s="577"/>
      <c r="R351" s="1039"/>
      <c r="S351" s="521"/>
      <c r="T351" s="225"/>
      <c r="U351" s="521"/>
      <c r="V351" s="1040"/>
      <c r="W351" s="1041"/>
    </row>
    <row r="352" spans="2:23" ht="15" thickBot="1" x14ac:dyDescent="0.35">
      <c r="B352" s="182"/>
      <c r="C352" s="577"/>
      <c r="D352" s="521" t="s">
        <v>412</v>
      </c>
      <c r="E352" s="521"/>
      <c r="F352" s="85"/>
      <c r="G352" s="494" t="s">
        <v>387</v>
      </c>
      <c r="H352" s="577"/>
      <c r="I352" s="450" t="s">
        <v>37</v>
      </c>
      <c r="J352" s="116" t="s">
        <v>4</v>
      </c>
      <c r="K352" s="116"/>
      <c r="L352" s="1042" t="s">
        <v>66</v>
      </c>
      <c r="M352" s="1043">
        <f>SUMIFS('Level of Efficiency Assumptions'!$J:$J,'Level of Efficiency Assumptions'!$D:$D,I352,'Level of Efficiency Assumptions'!$F:$F,J352,'Level of Efficiency Assumptions'!$I:$I,'Water Use Calcs'!L352)</f>
        <v>0.125</v>
      </c>
      <c r="N352" s="577"/>
      <c r="O352" s="1048">
        <f>SUMIFS('Detailed Fixture Data'!O:O,'Detailed Fixture Data'!C:C,G352,'Detailed Fixture Data'!E:E,I352,'Detailed Fixture Data'!F:F,J352,'Detailed Fixture Data'!L:L,L352)</f>
        <v>0</v>
      </c>
      <c r="P352" s="1049"/>
      <c r="Q352" s="577"/>
      <c r="R352" s="1039"/>
      <c r="S352" s="618"/>
      <c r="T352" s="225"/>
      <c r="U352" s="618"/>
      <c r="V352" s="1045"/>
      <c r="W352" s="1046"/>
    </row>
    <row r="353" spans="2:23" x14ac:dyDescent="0.3">
      <c r="B353" s="182"/>
      <c r="C353" s="577"/>
      <c r="D353" s="521" t="s">
        <v>412</v>
      </c>
      <c r="E353" s="521"/>
      <c r="F353" s="85"/>
      <c r="G353" s="494" t="s">
        <v>387</v>
      </c>
      <c r="H353" s="577"/>
      <c r="I353" s="450" t="s">
        <v>37</v>
      </c>
      <c r="J353" s="577" t="s">
        <v>33</v>
      </c>
      <c r="K353" s="577" t="s">
        <v>6</v>
      </c>
      <c r="L353" s="1047" t="s">
        <v>64</v>
      </c>
      <c r="M353" s="1036">
        <f>SUMIFS('Level of Efficiency Assumptions'!$J:$J,'Level of Efficiency Assumptions'!$D:$D,I353,'Level of Efficiency Assumptions'!$F:$F,J353,'Level of Efficiency Assumptions'!$I:$I,'Water Use Calcs'!L353)</f>
        <v>2</v>
      </c>
      <c r="N353" s="567" t="s">
        <v>78</v>
      </c>
      <c r="O353" s="1048">
        <f>SUMIFS('Detailed Fixture Data'!O:O,'Detailed Fixture Data'!C:C,G353,'Detailed Fixture Data'!E:E,I353,'Detailed Fixture Data'!F:F,J353,'Detailed Fixture Data'!L:L,L353)</f>
        <v>0</v>
      </c>
      <c r="P353" s="1030">
        <f>SUMIFS('Intensity of Use Assumptions'!$J:$J,'Intensity of Use Assumptions'!$D:$D,I353,'Intensity of Use Assumptions'!$G:$G,J353,'Intensity of Use Assumptions'!H:H,K353)</f>
        <v>0.66666666666666663</v>
      </c>
      <c r="Q353" s="567" t="s">
        <v>133</v>
      </c>
      <c r="R353" s="1032">
        <f>(SUMPRODUCT(M353:M355,O353:O355)*P353)</f>
        <v>0</v>
      </c>
      <c r="S353" s="1033">
        <f>IF(R353=0,0,M355*P353)</f>
        <v>0</v>
      </c>
      <c r="T353" s="225" t="str">
        <f>G353&amp;"-"&amp;J353</f>
        <v>Office Building E-Faucets</v>
      </c>
      <c r="U353" s="1034">
        <f ca="1">IF(ISNA(VLOOKUP(T353,list!$AV$3:$AW$130,2,FALSE)),1,(VLOOKUP(T353,list!$AV$3:$AW$130,2,FALSE)))</f>
        <v>1</v>
      </c>
      <c r="V353" s="1033">
        <f ca="1">R353*U353</f>
        <v>0</v>
      </c>
      <c r="W353" s="1033">
        <f ca="1">S353*U353</f>
        <v>0</v>
      </c>
    </row>
    <row r="354" spans="2:23" x14ac:dyDescent="0.3">
      <c r="B354" s="182"/>
      <c r="C354" s="577"/>
      <c r="D354" s="521" t="s">
        <v>412</v>
      </c>
      <c r="E354" s="521"/>
      <c r="F354" s="85"/>
      <c r="G354" s="494" t="s">
        <v>387</v>
      </c>
      <c r="H354" s="577"/>
      <c r="I354" s="450" t="s">
        <v>37</v>
      </c>
      <c r="J354" s="577" t="s">
        <v>33</v>
      </c>
      <c r="K354" s="577"/>
      <c r="L354" s="1035" t="s">
        <v>65</v>
      </c>
      <c r="M354" s="1036">
        <f>SUMIFS('Level of Efficiency Assumptions'!$J:$J,'Level of Efficiency Assumptions'!$D:$D,I354,'Level of Efficiency Assumptions'!$F:$F,J354,'Level of Efficiency Assumptions'!$I:$I,'Water Use Calcs'!L354)</f>
        <v>1</v>
      </c>
      <c r="N354" s="577"/>
      <c r="O354" s="1048">
        <f>SUMIFS('Detailed Fixture Data'!O:O,'Detailed Fixture Data'!C:C,G354,'Detailed Fixture Data'!E:E,I354,'Detailed Fixture Data'!F:F,J354,'Detailed Fixture Data'!L:L,L354)</f>
        <v>0</v>
      </c>
      <c r="P354" s="1049"/>
      <c r="Q354" s="577"/>
      <c r="R354" s="1039"/>
      <c r="S354" s="521"/>
      <c r="T354" s="225"/>
      <c r="U354" s="521"/>
      <c r="V354" s="1040"/>
      <c r="W354" s="1041"/>
    </row>
    <row r="355" spans="2:23" ht="15" thickBot="1" x14ac:dyDescent="0.35">
      <c r="B355" s="182"/>
      <c r="C355" s="577"/>
      <c r="D355" s="521" t="s">
        <v>412</v>
      </c>
      <c r="E355" s="521"/>
      <c r="F355" s="85"/>
      <c r="G355" s="494" t="s">
        <v>387</v>
      </c>
      <c r="H355" s="577"/>
      <c r="I355" s="451" t="s">
        <v>37</v>
      </c>
      <c r="J355" s="116" t="s">
        <v>33</v>
      </c>
      <c r="K355" s="116"/>
      <c r="L355" s="1042" t="s">
        <v>66</v>
      </c>
      <c r="M355" s="1043">
        <f>SUMIFS('Level of Efficiency Assumptions'!$J:$J,'Level of Efficiency Assumptions'!$D:$D,I355,'Level of Efficiency Assumptions'!$F:$F,J355,'Level of Efficiency Assumptions'!$I:$I,'Water Use Calcs'!L355)</f>
        <v>0.5</v>
      </c>
      <c r="N355" s="577"/>
      <c r="O355" s="1048">
        <f>SUMIFS('Detailed Fixture Data'!O:O,'Detailed Fixture Data'!C:C,G355,'Detailed Fixture Data'!E:E,I355,'Detailed Fixture Data'!F:F,J355,'Detailed Fixture Data'!L:L,L355)</f>
        <v>0</v>
      </c>
      <c r="P355" s="1049"/>
      <c r="Q355" s="577"/>
      <c r="R355" s="1039"/>
      <c r="S355" s="618"/>
      <c r="T355" s="225"/>
      <c r="U355" s="618"/>
      <c r="V355" s="1045"/>
      <c r="W355" s="1046"/>
    </row>
    <row r="356" spans="2:23" x14ac:dyDescent="0.3">
      <c r="B356" s="182"/>
      <c r="C356" s="577"/>
      <c r="D356" s="521" t="s">
        <v>412</v>
      </c>
      <c r="E356" s="521"/>
      <c r="F356" s="85"/>
      <c r="G356" s="494" t="s">
        <v>387</v>
      </c>
      <c r="H356" s="651" t="str">
        <f>I356</f>
        <v>Break rooms</v>
      </c>
      <c r="I356" s="450" t="s">
        <v>5</v>
      </c>
      <c r="J356" s="577" t="s">
        <v>33</v>
      </c>
      <c r="K356" s="577" t="s">
        <v>6</v>
      </c>
      <c r="L356" s="1047" t="s">
        <v>64</v>
      </c>
      <c r="M356" s="1036">
        <f>SUMIFS('Level of Efficiency Assumptions'!$J:$J,'Level of Efficiency Assumptions'!$D:$D,I356,'Level of Efficiency Assumptions'!$F:$F,J356,'Level of Efficiency Assumptions'!$I:$I,'Water Use Calcs'!L356)</f>
        <v>2</v>
      </c>
      <c r="N356" s="567" t="s">
        <v>78</v>
      </c>
      <c r="O356" s="1048">
        <f>SUMIFS('Detailed Fixture Data'!O:O,'Detailed Fixture Data'!C:C,G356,'Detailed Fixture Data'!E:E,I356,'Detailed Fixture Data'!F:F,J356,'Detailed Fixture Data'!L:L,L356)</f>
        <v>0</v>
      </c>
      <c r="P356" s="1030">
        <f>SUMIFS('Intensity of Use Assumptions'!$J:$J,'Intensity of Use Assumptions'!$D:$D,I356,'Intensity of Use Assumptions'!$G:$G,J356,'Intensity of Use Assumptions'!H:H,K356)</f>
        <v>0.16666666666666666</v>
      </c>
      <c r="Q356" s="567" t="s">
        <v>133</v>
      </c>
      <c r="R356" s="1032">
        <f>(SUMPRODUCT(M356:M358,O356:O358)*P356)</f>
        <v>0</v>
      </c>
      <c r="S356" s="1033">
        <f>IF(R356=0,0,M358*P356)</f>
        <v>0</v>
      </c>
      <c r="T356" s="225" t="str">
        <f>G356&amp;"-"&amp;J356</f>
        <v>Office Building E-Faucets</v>
      </c>
      <c r="U356" s="1034">
        <f ca="1">IF(ISNA(VLOOKUP(T356,list!$AV$3:$AW$130,2,FALSE)),1,(VLOOKUP(T356,list!$AV$3:$AW$130,2,FALSE)))</f>
        <v>1</v>
      </c>
      <c r="V356" s="1033">
        <f ca="1">R356*U356</f>
        <v>0</v>
      </c>
      <c r="W356" s="1033">
        <f ca="1">S356*U356</f>
        <v>0</v>
      </c>
    </row>
    <row r="357" spans="2:23" x14ac:dyDescent="0.3">
      <c r="B357" s="182"/>
      <c r="C357" s="577"/>
      <c r="D357" s="521" t="s">
        <v>412</v>
      </c>
      <c r="E357" s="521"/>
      <c r="F357" s="85"/>
      <c r="G357" s="494" t="s">
        <v>387</v>
      </c>
      <c r="H357" s="577"/>
      <c r="I357" s="450" t="s">
        <v>5</v>
      </c>
      <c r="J357" s="577" t="s">
        <v>33</v>
      </c>
      <c r="K357" s="577"/>
      <c r="L357" s="1035" t="s">
        <v>65</v>
      </c>
      <c r="M357" s="1036">
        <f>SUMIFS('Level of Efficiency Assumptions'!$J:$J,'Level of Efficiency Assumptions'!$D:$D,I357,'Level of Efficiency Assumptions'!$F:$F,J357,'Level of Efficiency Assumptions'!$I:$I,'Water Use Calcs'!L357)</f>
        <v>1</v>
      </c>
      <c r="N357" s="577"/>
      <c r="O357" s="1048">
        <f>SUMIFS('Detailed Fixture Data'!O:O,'Detailed Fixture Data'!C:C,G357,'Detailed Fixture Data'!E:E,I357,'Detailed Fixture Data'!F:F,J357,'Detailed Fixture Data'!L:L,L357)</f>
        <v>0</v>
      </c>
      <c r="P357" s="1049"/>
      <c r="Q357" s="577"/>
      <c r="R357" s="1039"/>
      <c r="S357" s="521"/>
      <c r="T357" s="225"/>
      <c r="U357" s="521"/>
      <c r="V357" s="1040"/>
      <c r="W357" s="1041"/>
    </row>
    <row r="358" spans="2:23" ht="15" thickBot="1" x14ac:dyDescent="0.35">
      <c r="B358" s="182"/>
      <c r="C358" s="577"/>
      <c r="D358" s="521" t="s">
        <v>412</v>
      </c>
      <c r="E358" s="521"/>
      <c r="F358" s="85"/>
      <c r="G358" s="494" t="s">
        <v>387</v>
      </c>
      <c r="H358" s="577"/>
      <c r="I358" s="451" t="s">
        <v>5</v>
      </c>
      <c r="J358" s="116" t="s">
        <v>33</v>
      </c>
      <c r="K358" s="116"/>
      <c r="L358" s="1042" t="s">
        <v>66</v>
      </c>
      <c r="M358" s="1043">
        <f>SUMIFS('Level of Efficiency Assumptions'!$J:$J,'Level of Efficiency Assumptions'!$D:$D,I358,'Level of Efficiency Assumptions'!$F:$F,J358,'Level of Efficiency Assumptions'!$I:$I,'Water Use Calcs'!L358)</f>
        <v>0.5</v>
      </c>
      <c r="N358" s="577"/>
      <c r="O358" s="1048">
        <f>SUMIFS('Detailed Fixture Data'!O:O,'Detailed Fixture Data'!C:C,G358,'Detailed Fixture Data'!E:E,I358,'Detailed Fixture Data'!F:F,J358,'Detailed Fixture Data'!L:L,L358)</f>
        <v>0</v>
      </c>
      <c r="P358" s="1049"/>
      <c r="Q358" s="577"/>
      <c r="R358" s="1039"/>
      <c r="S358" s="618"/>
      <c r="T358" s="225"/>
      <c r="U358" s="618"/>
      <c r="V358" s="1045"/>
      <c r="W358" s="1046"/>
    </row>
    <row r="359" spans="2:23" x14ac:dyDescent="0.3">
      <c r="B359" s="182"/>
      <c r="C359" s="577"/>
      <c r="D359" s="521" t="s">
        <v>412</v>
      </c>
      <c r="E359" s="521"/>
      <c r="F359" s="85"/>
      <c r="G359" s="494" t="s">
        <v>387</v>
      </c>
      <c r="H359" s="651" t="str">
        <f>I359</f>
        <v>Landscaping</v>
      </c>
      <c r="I359" s="450" t="s">
        <v>39</v>
      </c>
      <c r="J359" s="577" t="s">
        <v>42</v>
      </c>
      <c r="K359" s="577" t="s">
        <v>32</v>
      </c>
      <c r="L359" s="1047" t="s">
        <v>64</v>
      </c>
      <c r="M359" s="1036">
        <f>SUMIFS('Level of Efficiency Assumptions'!$J:$J,'Level of Efficiency Assumptions'!$D:$D,I359,'Level of Efficiency Assumptions'!$F:$F,J359,'Level of Efficiency Assumptions'!$I:$I,'Water Use Calcs'!L359)</f>
        <v>28.6</v>
      </c>
      <c r="N359" s="567" t="s">
        <v>816</v>
      </c>
      <c r="O359" s="1048">
        <f>SUMIFS('Detailed Fixture Data'!O:O,'Detailed Fixture Data'!C:C,G359,'Detailed Fixture Data'!E:E,I359,'Detailed Fixture Data'!F:F,J359,'Detailed Fixture Data'!L:L,L359)</f>
        <v>0</v>
      </c>
      <c r="P359" s="1030">
        <f>SUMIFS('Intensity of Use Assumptions'!$J:$J,'Intensity of Use Assumptions'!$D:$D,I359,'Intensity of Use Assumptions'!$G:$G,J359,'Intensity of Use Assumptions'!H:H,K359,'Intensity of Use Assumptions'!F:F,D359)</f>
        <v>2.7397260273972603E-3</v>
      </c>
      <c r="Q359" s="567" t="s">
        <v>815</v>
      </c>
      <c r="R359" s="1032">
        <f>(SUMPRODUCT(M359:M361,O359:O361)*P359)</f>
        <v>0</v>
      </c>
      <c r="S359" s="1033">
        <f>IF(R359=0,0,M361*P359)</f>
        <v>0</v>
      </c>
      <c r="T359" s="225" t="str">
        <f>G359&amp;"-"&amp;J359</f>
        <v>Office Building E-Outdoor irrigation</v>
      </c>
      <c r="U359" s="1034">
        <f ca="1">IF(ISNA(VLOOKUP(T359,list!$AV$3:$AW$130,2,FALSE)),1,(VLOOKUP(T359,list!$AV$3:$AW$130,2,FALSE)))</f>
        <v>1</v>
      </c>
      <c r="V359" s="1033">
        <f ca="1">R359*U359</f>
        <v>0</v>
      </c>
      <c r="W359" s="1033">
        <f ca="1">S359*U359</f>
        <v>0</v>
      </c>
    </row>
    <row r="360" spans="2:23" x14ac:dyDescent="0.3">
      <c r="B360" s="182"/>
      <c r="C360" s="577"/>
      <c r="D360" s="521" t="s">
        <v>412</v>
      </c>
      <c r="E360" s="521"/>
      <c r="F360" s="85"/>
      <c r="G360" s="494" t="s">
        <v>387</v>
      </c>
      <c r="H360" s="577"/>
      <c r="I360" s="450" t="s">
        <v>39</v>
      </c>
      <c r="J360" s="577" t="s">
        <v>42</v>
      </c>
      <c r="K360" s="577"/>
      <c r="L360" s="1035" t="s">
        <v>65</v>
      </c>
      <c r="M360" s="1036">
        <f>SUMIFS('Level of Efficiency Assumptions'!$J:$J,'Level of Efficiency Assumptions'!$D:$D,I360,'Level of Efficiency Assumptions'!$F:$F,J360,'Level of Efficiency Assumptions'!$I:$I,'Water Use Calcs'!L360)</f>
        <v>13.980821518350929</v>
      </c>
      <c r="N360" s="577"/>
      <c r="O360" s="1048">
        <f>SUMIFS('Detailed Fixture Data'!O:O,'Detailed Fixture Data'!C:C,G360,'Detailed Fixture Data'!E:E,I360,'Detailed Fixture Data'!F:F,J360,'Detailed Fixture Data'!L:L,L360)</f>
        <v>0</v>
      </c>
      <c r="P360" s="1049"/>
      <c r="Q360" s="577"/>
      <c r="R360" s="1039"/>
      <c r="S360" s="521"/>
      <c r="T360" s="225"/>
      <c r="U360" s="521"/>
      <c r="V360" s="1040"/>
      <c r="W360" s="1041"/>
    </row>
    <row r="361" spans="2:23" ht="15" thickBot="1" x14ac:dyDescent="0.35">
      <c r="B361" s="182"/>
      <c r="C361" s="577"/>
      <c r="D361" s="521" t="s">
        <v>412</v>
      </c>
      <c r="E361" s="521"/>
      <c r="F361" s="85"/>
      <c r="G361" s="494" t="s">
        <v>387</v>
      </c>
      <c r="H361" s="577"/>
      <c r="I361" s="451" t="s">
        <v>39</v>
      </c>
      <c r="J361" s="116" t="s">
        <v>42</v>
      </c>
      <c r="K361" s="116"/>
      <c r="L361" s="1042" t="s">
        <v>66</v>
      </c>
      <c r="M361" s="1043">
        <f>SUMIFS('Level of Efficiency Assumptions'!$J:$J,'Level of Efficiency Assumptions'!$D:$D,I361,'Level of Efficiency Assumptions'!$F:$F,J361,'Level of Efficiency Assumptions'!$I:$I,'Water Use Calcs'!L361)</f>
        <v>0.59137254901960778</v>
      </c>
      <c r="N361" s="577"/>
      <c r="O361" s="1048">
        <f>SUMIFS('Detailed Fixture Data'!O:O,'Detailed Fixture Data'!C:C,G361,'Detailed Fixture Data'!E:E,I361,'Detailed Fixture Data'!F:F,J361,'Detailed Fixture Data'!L:L,L361)</f>
        <v>0</v>
      </c>
      <c r="P361" s="1049"/>
      <c r="Q361" s="577"/>
      <c r="R361" s="1039"/>
      <c r="S361" s="618"/>
      <c r="T361" s="225"/>
      <c r="U361" s="618"/>
      <c r="V361" s="1045"/>
      <c r="W361" s="1046"/>
    </row>
    <row r="362" spans="2:23" x14ac:dyDescent="0.3">
      <c r="B362" s="182"/>
      <c r="C362" s="577"/>
      <c r="D362" s="521" t="s">
        <v>412</v>
      </c>
      <c r="E362" s="521"/>
      <c r="F362" s="85"/>
      <c r="G362" s="494" t="s">
        <v>387</v>
      </c>
      <c r="H362" s="651" t="str">
        <f>I362</f>
        <v>Maintenance</v>
      </c>
      <c r="I362" s="450" t="s">
        <v>43</v>
      </c>
      <c r="J362" s="577" t="s">
        <v>111</v>
      </c>
      <c r="K362" s="217" t="s">
        <v>424</v>
      </c>
      <c r="L362" s="1047" t="s">
        <v>64</v>
      </c>
      <c r="M362" s="1036">
        <f>SUMIFS('Level of Efficiency Assumptions'!$J:$J,'Level of Efficiency Assumptions'!$D:$D,I362,'Level of Efficiency Assumptions'!$F:$F,J362,'Level of Efficiency Assumptions'!$I:$I,'Water Use Calcs'!L362)</f>
        <v>100</v>
      </c>
      <c r="N362" s="567" t="s">
        <v>659</v>
      </c>
      <c r="O362" s="1048">
        <f>SUMIFS('Detailed Fixture Data'!O:O,'Detailed Fixture Data'!C:C,G362,'Detailed Fixture Data'!E:E,I362,'Detailed Fixture Data'!F:F,J362,'Detailed Fixture Data'!L:L,L362)</f>
        <v>0</v>
      </c>
      <c r="P362" s="1030">
        <f>SUMIFS('Intensity of Use Assumptions'!$J:$J,'Intensity of Use Assumptions'!$D:$D,I362,'Intensity of Use Assumptions'!$G:$G,J362,'Intensity of Use Assumptions'!H:H,K362)</f>
        <v>1</v>
      </c>
      <c r="Q362" s="567" t="s">
        <v>67</v>
      </c>
      <c r="R362" s="1032">
        <f>(SUMPRODUCT(M362:M364,O362:O364)*P362)</f>
        <v>0</v>
      </c>
      <c r="S362" s="1033">
        <f>IF(R362=0,0,M364*P362)</f>
        <v>0</v>
      </c>
      <c r="T362" s="225" t="str">
        <f>G362&amp;"-"&amp;J362</f>
        <v>Office Building E-Boiler</v>
      </c>
      <c r="U362" s="1034">
        <f ca="1">IF(ISNA(VLOOKUP(T362,list!$AV$3:$AW$130,2,FALSE)),1,(VLOOKUP(T362,list!$AV$3:$AW$130,2,FALSE)))</f>
        <v>1</v>
      </c>
      <c r="V362" s="1033">
        <f ca="1">R362*U362</f>
        <v>0</v>
      </c>
      <c r="W362" s="1033">
        <f ca="1">S362*U362</f>
        <v>0</v>
      </c>
    </row>
    <row r="363" spans="2:23" x14ac:dyDescent="0.3">
      <c r="B363" s="182"/>
      <c r="C363" s="577"/>
      <c r="D363" s="521" t="s">
        <v>412</v>
      </c>
      <c r="E363" s="521"/>
      <c r="F363" s="85"/>
      <c r="G363" s="494" t="s">
        <v>387</v>
      </c>
      <c r="H363" s="577"/>
      <c r="I363" s="450" t="s">
        <v>43</v>
      </c>
      <c r="J363" s="577" t="s">
        <v>111</v>
      </c>
      <c r="K363" s="382"/>
      <c r="L363" s="1035" t="s">
        <v>65</v>
      </c>
      <c r="M363" s="1036">
        <f>SUMIFS('Level of Efficiency Assumptions'!$J:$J,'Level of Efficiency Assumptions'!$D:$D,I363,'Level of Efficiency Assumptions'!$F:$F,J363,'Level of Efficiency Assumptions'!$I:$I,'Water Use Calcs'!L363)</f>
        <v>75</v>
      </c>
      <c r="N363" s="577"/>
      <c r="O363" s="1048">
        <f>SUMIFS('Detailed Fixture Data'!O:O,'Detailed Fixture Data'!C:C,G363,'Detailed Fixture Data'!E:E,I363,'Detailed Fixture Data'!F:F,J363,'Detailed Fixture Data'!L:L,L363)</f>
        <v>0</v>
      </c>
      <c r="P363" s="1049"/>
      <c r="Q363" s="577"/>
      <c r="R363" s="1039"/>
      <c r="S363" s="521"/>
      <c r="T363" s="225"/>
      <c r="U363" s="521"/>
      <c r="V363" s="1040"/>
      <c r="W363" s="1041"/>
    </row>
    <row r="364" spans="2:23" ht="15" thickBot="1" x14ac:dyDescent="0.35">
      <c r="B364" s="182"/>
      <c r="C364" s="577"/>
      <c r="D364" s="521" t="s">
        <v>412</v>
      </c>
      <c r="E364" s="521"/>
      <c r="F364" s="85"/>
      <c r="G364" s="494" t="s">
        <v>387</v>
      </c>
      <c r="H364" s="577"/>
      <c r="I364" s="450" t="s">
        <v>43</v>
      </c>
      <c r="J364" s="116" t="s">
        <v>111</v>
      </c>
      <c r="K364" s="116"/>
      <c r="L364" s="1042" t="s">
        <v>66</v>
      </c>
      <c r="M364" s="1043">
        <f>SUMIFS('Level of Efficiency Assumptions'!$J:$J,'Level of Efficiency Assumptions'!$D:$D,I364,'Level of Efficiency Assumptions'!$F:$F,J364,'Level of Efficiency Assumptions'!$I:$I,'Water Use Calcs'!L364)</f>
        <v>50</v>
      </c>
      <c r="N364" s="577"/>
      <c r="O364" s="1048">
        <f>SUMIFS('Detailed Fixture Data'!O:O,'Detailed Fixture Data'!C:C,G364,'Detailed Fixture Data'!E:E,I364,'Detailed Fixture Data'!F:F,J364,'Detailed Fixture Data'!L:L,L364)</f>
        <v>0</v>
      </c>
      <c r="P364" s="1049"/>
      <c r="Q364" s="577"/>
      <c r="R364" s="1039"/>
      <c r="S364" s="618"/>
      <c r="T364" s="225"/>
      <c r="U364" s="618"/>
      <c r="V364" s="1045"/>
      <c r="W364" s="1046"/>
    </row>
    <row r="365" spans="2:23" x14ac:dyDescent="0.3">
      <c r="B365" s="182"/>
      <c r="C365" s="577"/>
      <c r="D365" s="521" t="s">
        <v>412</v>
      </c>
      <c r="E365" s="521"/>
      <c r="F365" s="85"/>
      <c r="G365" s="494" t="s">
        <v>387</v>
      </c>
      <c r="H365" s="577"/>
      <c r="I365" s="450" t="s">
        <v>43</v>
      </c>
      <c r="J365" s="577" t="s">
        <v>7</v>
      </c>
      <c r="K365" s="215" t="s">
        <v>365</v>
      </c>
      <c r="L365" s="1012" t="s">
        <v>257</v>
      </c>
      <c r="M365" s="1050"/>
      <c r="N365" s="1050"/>
      <c r="O365" s="1050"/>
      <c r="P365" s="1051"/>
      <c r="Q365" s="981"/>
      <c r="R365" s="1052">
        <f>SUMIFS('Cooling Data'!H:H,'Cooling Data'!$C:$C,$G365,'Cooling Data'!$E:$E,$I365,'Cooling Data'!$F:$F,$J365)</f>
        <v>0</v>
      </c>
      <c r="S365" s="1052">
        <f>SUMIFS('Cooling Data'!J:J,'Cooling Data'!$C:$C,$G365,'Cooling Data'!$E:$E,$I365,'Cooling Data'!$F:$F,$J365)</f>
        <v>0</v>
      </c>
      <c r="T365" s="225" t="str">
        <f>G365&amp;"-"&amp;J365</f>
        <v>Office Building E-Cooling</v>
      </c>
      <c r="U365" s="1034">
        <f ca="1">IF(ISNA(VLOOKUP(T365,list!$AV$3:$AW$130,2,FALSE)),1,(VLOOKUP(T365,list!$AV$3:$AW$130,2,FALSE)))</f>
        <v>1</v>
      </c>
      <c r="V365" s="1033">
        <f ca="1">R365*U365</f>
        <v>0</v>
      </c>
      <c r="W365" s="1033">
        <f ca="1">S365*U365</f>
        <v>0</v>
      </c>
    </row>
    <row r="366" spans="2:23" x14ac:dyDescent="0.3">
      <c r="B366" s="182"/>
      <c r="C366" s="577"/>
      <c r="D366" s="521" t="s">
        <v>412</v>
      </c>
      <c r="E366" s="521"/>
      <c r="F366" s="85"/>
      <c r="G366" s="494" t="s">
        <v>387</v>
      </c>
      <c r="H366" s="577"/>
      <c r="I366" s="450" t="s">
        <v>43</v>
      </c>
      <c r="J366" s="577" t="s">
        <v>7</v>
      </c>
      <c r="K366" s="577"/>
      <c r="L366" s="206"/>
      <c r="M366" s="181"/>
      <c r="N366" s="181"/>
      <c r="O366" s="181"/>
      <c r="P366" s="1053"/>
      <c r="Q366" s="439"/>
      <c r="R366" s="1039"/>
      <c r="S366" s="521"/>
      <c r="T366" s="225"/>
      <c r="U366" s="521"/>
      <c r="V366" s="1040"/>
      <c r="W366" s="1041"/>
    </row>
    <row r="367" spans="2:23" ht="15" thickBot="1" x14ac:dyDescent="0.35">
      <c r="B367" s="182"/>
      <c r="C367" s="577"/>
      <c r="D367" s="521" t="s">
        <v>412</v>
      </c>
      <c r="E367" s="521"/>
      <c r="F367" s="85"/>
      <c r="G367" s="494" t="s">
        <v>387</v>
      </c>
      <c r="H367" s="577"/>
      <c r="I367" s="451" t="s">
        <v>43</v>
      </c>
      <c r="J367" s="116" t="s">
        <v>7</v>
      </c>
      <c r="K367" s="116"/>
      <c r="L367" s="207"/>
      <c r="M367" s="924"/>
      <c r="N367" s="924"/>
      <c r="O367" s="924"/>
      <c r="P367" s="1054"/>
      <c r="Q367" s="606"/>
      <c r="R367" s="1039"/>
      <c r="S367" s="618"/>
      <c r="T367" s="225"/>
      <c r="U367" s="618"/>
      <c r="V367" s="1045"/>
      <c r="W367" s="1046"/>
    </row>
    <row r="368" spans="2:23" x14ac:dyDescent="0.3">
      <c r="B368" s="182"/>
      <c r="C368" s="577"/>
      <c r="D368" s="521" t="s">
        <v>412</v>
      </c>
      <c r="E368" s="521"/>
      <c r="F368" s="85"/>
      <c r="G368" s="494" t="s">
        <v>387</v>
      </c>
      <c r="H368" s="651" t="str">
        <f>I368</f>
        <v>Other</v>
      </c>
      <c r="I368" s="450" t="s">
        <v>8</v>
      </c>
      <c r="J368" s="577" t="s">
        <v>52</v>
      </c>
      <c r="K368" s="387" t="s">
        <v>362</v>
      </c>
      <c r="L368" s="1047" t="s">
        <v>64</v>
      </c>
      <c r="M368" s="1036">
        <f>SUMIFS('Level of Efficiency Assumptions'!$J:$J,'Level of Efficiency Assumptions'!$D:$D,I368,'Level of Efficiency Assumptions'!$F:$F,J368,'Level of Efficiency Assumptions'!$I:$I,'Water Use Calcs'!L368)</f>
        <v>10</v>
      </c>
      <c r="N368" s="567" t="s">
        <v>660</v>
      </c>
      <c r="O368" s="1048">
        <f>SUMIFS('Detailed Fixture Data'!O:O,'Detailed Fixture Data'!C:C,G368,'Detailed Fixture Data'!E:E,I368,'Detailed Fixture Data'!F:F,J368,'Detailed Fixture Data'!L:L,L368)</f>
        <v>0</v>
      </c>
      <c r="P368" s="1030">
        <f>SUMIFS('Intensity of Use Assumptions'!$J:$J,'Intensity of Use Assumptions'!$D:$D,I368,'Intensity of Use Assumptions'!$G:$G,J368,'Intensity of Use Assumptions'!H:H,K368)</f>
        <v>1</v>
      </c>
      <c r="Q368" s="567" t="s">
        <v>67</v>
      </c>
      <c r="R368" s="1032">
        <f>(SUMPRODUCT(M368:M370,O368:O370)*P368)</f>
        <v>0</v>
      </c>
      <c r="S368" s="1033">
        <f>IF(R368=0,0,M370*P368)</f>
        <v>0</v>
      </c>
      <c r="T368" s="225" t="str">
        <f>G368&amp;"-"&amp;J368</f>
        <v>Office Building E-Other 1</v>
      </c>
      <c r="U368" s="1034">
        <f ca="1">IF(ISNA(VLOOKUP(T368,list!$AV$3:$AW$130,2,FALSE)),1,(VLOOKUP(T368,list!$AV$3:$AW$130,2,FALSE)))</f>
        <v>1</v>
      </c>
      <c r="V368" s="1033">
        <f ca="1">R368*U368</f>
        <v>0</v>
      </c>
      <c r="W368" s="1033">
        <f ca="1">S368*U368</f>
        <v>0</v>
      </c>
    </row>
    <row r="369" spans="2:23" x14ac:dyDescent="0.3">
      <c r="B369" s="182"/>
      <c r="C369" s="577"/>
      <c r="D369" s="521" t="s">
        <v>412</v>
      </c>
      <c r="E369" s="521"/>
      <c r="F369" s="85"/>
      <c r="G369" s="494" t="s">
        <v>387</v>
      </c>
      <c r="H369" s="577"/>
      <c r="I369" s="450" t="s">
        <v>8</v>
      </c>
      <c r="J369" s="577" t="s">
        <v>52</v>
      </c>
      <c r="K369" s="382"/>
      <c r="L369" s="1035" t="s">
        <v>65</v>
      </c>
      <c r="M369" s="1036">
        <f>SUMIFS('Level of Efficiency Assumptions'!$J:$J,'Level of Efficiency Assumptions'!$D:$D,I369,'Level of Efficiency Assumptions'!$F:$F,J369,'Level of Efficiency Assumptions'!$I:$I,'Water Use Calcs'!L369)</f>
        <v>7.5</v>
      </c>
      <c r="N369" s="577"/>
      <c r="O369" s="1048">
        <f>SUMIFS('Detailed Fixture Data'!O:O,'Detailed Fixture Data'!C:C,G369,'Detailed Fixture Data'!E:E,I369,'Detailed Fixture Data'!F:F,J369,'Detailed Fixture Data'!L:L,L369)</f>
        <v>0</v>
      </c>
      <c r="P369" s="1049"/>
      <c r="Q369" s="577"/>
      <c r="R369" s="1039"/>
      <c r="S369" s="521"/>
      <c r="T369" s="225"/>
      <c r="U369" s="521"/>
      <c r="V369" s="1040"/>
      <c r="W369" s="1041"/>
    </row>
    <row r="370" spans="2:23" ht="15" thickBot="1" x14ac:dyDescent="0.35">
      <c r="B370" s="182"/>
      <c r="C370" s="577"/>
      <c r="D370" s="521" t="s">
        <v>412</v>
      </c>
      <c r="E370" s="521"/>
      <c r="F370" s="85"/>
      <c r="G370" s="494" t="s">
        <v>387</v>
      </c>
      <c r="H370" s="577"/>
      <c r="I370" s="450" t="s">
        <v>8</v>
      </c>
      <c r="J370" s="116" t="s">
        <v>52</v>
      </c>
      <c r="K370" s="382"/>
      <c r="L370" s="1042" t="s">
        <v>66</v>
      </c>
      <c r="M370" s="1043">
        <f>SUMIFS('Level of Efficiency Assumptions'!$J:$J,'Level of Efficiency Assumptions'!$D:$D,I370,'Level of Efficiency Assumptions'!$F:$F,J370,'Level of Efficiency Assumptions'!$I:$I,'Water Use Calcs'!L370)</f>
        <v>5</v>
      </c>
      <c r="N370" s="577"/>
      <c r="O370" s="1048">
        <f>SUMIFS('Detailed Fixture Data'!O:O,'Detailed Fixture Data'!C:C,G370,'Detailed Fixture Data'!E:E,I370,'Detailed Fixture Data'!F:F,J370,'Detailed Fixture Data'!L:L,L370)</f>
        <v>0</v>
      </c>
      <c r="P370" s="1049"/>
      <c r="Q370" s="577"/>
      <c r="R370" s="1039"/>
      <c r="S370" s="618"/>
      <c r="T370" s="225"/>
      <c r="U370" s="618"/>
      <c r="V370" s="1045"/>
      <c r="W370" s="1046"/>
    </row>
    <row r="371" spans="2:23" x14ac:dyDescent="0.3">
      <c r="B371" s="182"/>
      <c r="C371" s="577"/>
      <c r="D371" s="521" t="s">
        <v>412</v>
      </c>
      <c r="E371" s="521"/>
      <c r="F371" s="85"/>
      <c r="G371" s="494" t="s">
        <v>387</v>
      </c>
      <c r="H371" s="577"/>
      <c r="I371" s="450" t="s">
        <v>8</v>
      </c>
      <c r="J371" s="577" t="s">
        <v>53</v>
      </c>
      <c r="K371" s="1055" t="s">
        <v>363</v>
      </c>
      <c r="L371" s="1047" t="s">
        <v>64</v>
      </c>
      <c r="M371" s="1036">
        <f>SUMIFS('Level of Efficiency Assumptions'!$J:$J,'Level of Efficiency Assumptions'!$D:$D,I371,'Level of Efficiency Assumptions'!$F:$F,J371,'Level of Efficiency Assumptions'!$I:$I,'Water Use Calcs'!L371)</f>
        <v>10</v>
      </c>
      <c r="N371" s="567" t="s">
        <v>660</v>
      </c>
      <c r="O371" s="1048">
        <f>SUMIFS('Detailed Fixture Data'!O:O,'Detailed Fixture Data'!C:C,G371,'Detailed Fixture Data'!E:E,I371,'Detailed Fixture Data'!F:F,J371,'Detailed Fixture Data'!L:L,L371)</f>
        <v>0</v>
      </c>
      <c r="P371" s="1030">
        <f>SUMIFS('Intensity of Use Assumptions'!$J:$J,'Intensity of Use Assumptions'!$D:$D,I371,'Intensity of Use Assumptions'!$G:$G,J371,'Intensity of Use Assumptions'!H:H,K371)</f>
        <v>1</v>
      </c>
      <c r="Q371" s="567" t="s">
        <v>67</v>
      </c>
      <c r="R371" s="1032">
        <f>(SUMPRODUCT(M371:M373,O371:O373)*P371)</f>
        <v>0</v>
      </c>
      <c r="S371" s="1033">
        <f>IF(R371=0,0,M373*P371)</f>
        <v>0</v>
      </c>
      <c r="T371" s="225" t="str">
        <f>G371&amp;"-"&amp;J371</f>
        <v>Office Building E-Other 2</v>
      </c>
      <c r="U371" s="1034">
        <f ca="1">IF(ISNA(VLOOKUP(T371,list!$AV$3:$AW$130,2,FALSE)),1,(VLOOKUP(T371,list!$AV$3:$AW$130,2,FALSE)))</f>
        <v>1</v>
      </c>
      <c r="V371" s="1033">
        <f ca="1">R371*U371</f>
        <v>0</v>
      </c>
      <c r="W371" s="1033">
        <f ca="1">S371*U371</f>
        <v>0</v>
      </c>
    </row>
    <row r="372" spans="2:23" x14ac:dyDescent="0.3">
      <c r="B372" s="182"/>
      <c r="C372" s="577"/>
      <c r="D372" s="521" t="s">
        <v>412</v>
      </c>
      <c r="E372" s="521"/>
      <c r="F372" s="85"/>
      <c r="G372" s="494" t="s">
        <v>387</v>
      </c>
      <c r="H372" s="577"/>
      <c r="I372" s="450" t="s">
        <v>8</v>
      </c>
      <c r="J372" s="577" t="s">
        <v>53</v>
      </c>
      <c r="K372" s="577"/>
      <c r="L372" s="1035" t="s">
        <v>65</v>
      </c>
      <c r="M372" s="1036">
        <f>SUMIFS('Level of Efficiency Assumptions'!$J:$J,'Level of Efficiency Assumptions'!$D:$D,I372,'Level of Efficiency Assumptions'!$F:$F,J372,'Level of Efficiency Assumptions'!$I:$I,'Water Use Calcs'!L372)</f>
        <v>7.5</v>
      </c>
      <c r="N372" s="577"/>
      <c r="O372" s="1048">
        <f>SUMIFS('Detailed Fixture Data'!O:O,'Detailed Fixture Data'!C:C,G372,'Detailed Fixture Data'!E:E,I372,'Detailed Fixture Data'!F:F,J372,'Detailed Fixture Data'!L:L,L372)</f>
        <v>0</v>
      </c>
      <c r="P372" s="1049"/>
      <c r="Q372" s="577"/>
      <c r="R372" s="1039"/>
      <c r="S372" s="521"/>
      <c r="T372" s="225"/>
      <c r="U372" s="521"/>
      <c r="V372" s="1040"/>
      <c r="W372" s="1041"/>
    </row>
    <row r="373" spans="2:23" ht="15" thickBot="1" x14ac:dyDescent="0.35">
      <c r="B373" s="182"/>
      <c r="C373" s="577"/>
      <c r="D373" s="521" t="s">
        <v>412</v>
      </c>
      <c r="E373" s="521"/>
      <c r="F373" s="85"/>
      <c r="G373" s="494" t="s">
        <v>387</v>
      </c>
      <c r="H373" s="577"/>
      <c r="I373" s="450" t="s">
        <v>8</v>
      </c>
      <c r="J373" s="116" t="s">
        <v>53</v>
      </c>
      <c r="K373" s="116"/>
      <c r="L373" s="1042" t="s">
        <v>66</v>
      </c>
      <c r="M373" s="1043">
        <f>SUMIFS('Level of Efficiency Assumptions'!$J:$J,'Level of Efficiency Assumptions'!$D:$D,I373,'Level of Efficiency Assumptions'!$F:$F,J373,'Level of Efficiency Assumptions'!$I:$I,'Water Use Calcs'!L373)</f>
        <v>5</v>
      </c>
      <c r="N373" s="577"/>
      <c r="O373" s="1048">
        <f>SUMIFS('Detailed Fixture Data'!O:O,'Detailed Fixture Data'!C:C,G373,'Detailed Fixture Data'!E:E,I373,'Detailed Fixture Data'!F:F,J373,'Detailed Fixture Data'!L:L,L373)</f>
        <v>0</v>
      </c>
      <c r="P373" s="1049"/>
      <c r="Q373" s="577"/>
      <c r="R373" s="1039"/>
      <c r="S373" s="618"/>
      <c r="T373" s="225"/>
      <c r="U373" s="618"/>
      <c r="V373" s="1045"/>
      <c r="W373" s="1046"/>
    </row>
    <row r="374" spans="2:23" x14ac:dyDescent="0.3">
      <c r="B374" s="182"/>
      <c r="C374" s="577"/>
      <c r="D374" s="521" t="s">
        <v>412</v>
      </c>
      <c r="E374" s="521"/>
      <c r="F374" s="85"/>
      <c r="G374" s="494" t="s">
        <v>387</v>
      </c>
      <c r="H374" s="577"/>
      <c r="I374" s="450" t="s">
        <v>8</v>
      </c>
      <c r="J374" s="577" t="s">
        <v>54</v>
      </c>
      <c r="K374" s="379" t="s">
        <v>364</v>
      </c>
      <c r="L374" s="1047" t="s">
        <v>64</v>
      </c>
      <c r="M374" s="1036">
        <f>SUMIFS('Level of Efficiency Assumptions'!$J:$J,'Level of Efficiency Assumptions'!$D:$D,I374,'Level of Efficiency Assumptions'!$F:$F,J374,'Level of Efficiency Assumptions'!$I:$I,'Water Use Calcs'!L374)</f>
        <v>10</v>
      </c>
      <c r="N374" s="567" t="s">
        <v>660</v>
      </c>
      <c r="O374" s="1048">
        <f>SUMIFS('Detailed Fixture Data'!O:O,'Detailed Fixture Data'!C:C,G374,'Detailed Fixture Data'!E:E,I374,'Detailed Fixture Data'!F:F,J374,'Detailed Fixture Data'!L:L,L374)</f>
        <v>0</v>
      </c>
      <c r="P374" s="1030">
        <f>SUMIFS('Intensity of Use Assumptions'!$J:$J,'Intensity of Use Assumptions'!$D:$D,I374,'Intensity of Use Assumptions'!$G:$G,J374,'Intensity of Use Assumptions'!H:H,K374)</f>
        <v>1</v>
      </c>
      <c r="Q374" s="567" t="s">
        <v>67</v>
      </c>
      <c r="R374" s="1032">
        <f>(SUMPRODUCT(M374:M376,O374:O376)*P374)</f>
        <v>0</v>
      </c>
      <c r="S374" s="1033">
        <f>IF(R374=0,0,M376*P374)</f>
        <v>0</v>
      </c>
      <c r="T374" s="225" t="str">
        <f>G374&amp;"-"&amp;J374</f>
        <v>Office Building E-Other 3</v>
      </c>
      <c r="U374" s="1034">
        <f ca="1">IF(ISNA(VLOOKUP(T374,list!$AV$3:$AW$130,2,FALSE)),1,(VLOOKUP(T374,list!$AV$3:$AW$130,2,FALSE)))</f>
        <v>1</v>
      </c>
      <c r="V374" s="1033">
        <f ca="1">R374*U374</f>
        <v>0</v>
      </c>
      <c r="W374" s="1033">
        <f ca="1">S374*U374</f>
        <v>0</v>
      </c>
    </row>
    <row r="375" spans="2:23" x14ac:dyDescent="0.3">
      <c r="B375" s="182"/>
      <c r="C375" s="577"/>
      <c r="D375" s="521" t="s">
        <v>412</v>
      </c>
      <c r="E375" s="521"/>
      <c r="F375" s="85"/>
      <c r="G375" s="494" t="s">
        <v>387</v>
      </c>
      <c r="H375" s="577"/>
      <c r="I375" s="450" t="s">
        <v>8</v>
      </c>
      <c r="J375" s="577" t="s">
        <v>54</v>
      </c>
      <c r="K375" s="577"/>
      <c r="L375" s="1035" t="s">
        <v>65</v>
      </c>
      <c r="M375" s="1036">
        <f>SUMIFS('Level of Efficiency Assumptions'!$J:$J,'Level of Efficiency Assumptions'!$D:$D,I375,'Level of Efficiency Assumptions'!$F:$F,J375,'Level of Efficiency Assumptions'!$I:$I,'Water Use Calcs'!L375)</f>
        <v>7.5</v>
      </c>
      <c r="N375" s="577"/>
      <c r="O375" s="1048">
        <f>SUMIFS('Detailed Fixture Data'!O:O,'Detailed Fixture Data'!C:C,G375,'Detailed Fixture Data'!E:E,I375,'Detailed Fixture Data'!F:F,J375,'Detailed Fixture Data'!L:L,L375)</f>
        <v>0</v>
      </c>
      <c r="P375" s="1049"/>
      <c r="Q375" s="577"/>
      <c r="R375" s="1039"/>
      <c r="S375" s="521"/>
      <c r="T375" s="225"/>
      <c r="U375" s="521"/>
      <c r="V375" s="1040"/>
      <c r="W375" s="1041"/>
    </row>
    <row r="376" spans="2:23" ht="15" thickBot="1" x14ac:dyDescent="0.35">
      <c r="B376" s="182"/>
      <c r="C376" s="577"/>
      <c r="D376" s="618" t="s">
        <v>412</v>
      </c>
      <c r="E376" s="521"/>
      <c r="F376" s="85"/>
      <c r="G376" s="618" t="s">
        <v>387</v>
      </c>
      <c r="H376" s="577"/>
      <c r="I376" s="450" t="s">
        <v>8</v>
      </c>
      <c r="J376" s="577" t="s">
        <v>54</v>
      </c>
      <c r="K376" s="577"/>
      <c r="L376" s="1056" t="s">
        <v>66</v>
      </c>
      <c r="M376" s="1043">
        <f>SUMIFS('Level of Efficiency Assumptions'!$J:$J,'Level of Efficiency Assumptions'!$D:$D,I376,'Level of Efficiency Assumptions'!$F:$F,J376,'Level of Efficiency Assumptions'!$I:$I,'Water Use Calcs'!L376)</f>
        <v>5</v>
      </c>
      <c r="N376" s="577"/>
      <c r="O376" s="1048">
        <f>SUMIFS('Detailed Fixture Data'!O:O,'Detailed Fixture Data'!C:C,G376,'Detailed Fixture Data'!E:E,I376,'Detailed Fixture Data'!F:F,J376,'Detailed Fixture Data'!L:L,L376)</f>
        <v>0</v>
      </c>
      <c r="P376" s="1049"/>
      <c r="Q376" s="577"/>
      <c r="R376" s="1039"/>
      <c r="S376" s="618"/>
      <c r="T376" s="225"/>
      <c r="U376" s="618"/>
      <c r="V376" s="1045"/>
      <c r="W376" s="1046"/>
    </row>
    <row r="377" spans="2:23" x14ac:dyDescent="0.3">
      <c r="B377" s="182"/>
      <c r="C377" s="651" t="str">
        <f>D377</f>
        <v>Rental Car Center</v>
      </c>
      <c r="D377" s="493" t="s">
        <v>11</v>
      </c>
      <c r="E377" s="619" t="str">
        <f>G377</f>
        <v>Rental Car Center A</v>
      </c>
      <c r="F377" s="565" t="str">
        <f>VLOOKUP(E377,'Airport Mapping'!$C$5:$D$39,2,FALSE)</f>
        <v xml:space="preserve"> </v>
      </c>
      <c r="G377" s="494" t="s">
        <v>89</v>
      </c>
      <c r="H377" s="651" t="str">
        <f>I377</f>
        <v>Restrooms</v>
      </c>
      <c r="I377" s="454" t="s">
        <v>37</v>
      </c>
      <c r="J377" s="567" t="s">
        <v>2</v>
      </c>
      <c r="K377" s="577" t="s">
        <v>6</v>
      </c>
      <c r="L377" s="1028" t="s">
        <v>64</v>
      </c>
      <c r="M377" s="1036">
        <f>SUMIFS('Level of Efficiency Assumptions'!$J:$J,'Level of Efficiency Assumptions'!$D:$D,I377,'Level of Efficiency Assumptions'!$F:$F,J377,'Level of Efficiency Assumptions'!$I:$I,'Water Use Calcs'!L377)</f>
        <v>3.5</v>
      </c>
      <c r="N377" s="567" t="s">
        <v>68</v>
      </c>
      <c r="O377" s="1048">
        <f>SUMIFS('Detailed Fixture Data'!O:O,'Detailed Fixture Data'!C:C,G377,'Detailed Fixture Data'!E:E,I377,'Detailed Fixture Data'!F:F,J377,'Detailed Fixture Data'!L:L,L377)</f>
        <v>0</v>
      </c>
      <c r="P377" s="1030">
        <f>SUMIFS('Intensity of Use Assumptions'!$J:$J,'Intensity of Use Assumptions'!$D:$D,I377,'Intensity of Use Assumptions'!$G:$G,J377,'Intensity of Use Assumptions'!H:H,K377)</f>
        <v>2.5</v>
      </c>
      <c r="Q377" s="567" t="s">
        <v>67</v>
      </c>
      <c r="R377" s="1032">
        <f>(SUMPRODUCT(M377:M379,O377:O379)*P377)</f>
        <v>0</v>
      </c>
      <c r="S377" s="1033">
        <f>IF(R377=0,0,M379*P377)</f>
        <v>0</v>
      </c>
      <c r="T377" s="225" t="str">
        <f>G377&amp;"-"&amp;J377</f>
        <v>Rental Car Center A-Toilets</v>
      </c>
      <c r="U377" s="1034">
        <f ca="1">IF(ISNA(VLOOKUP(T377,list!$AV$3:$AW$130,2,FALSE)),1,(VLOOKUP(T377,list!$AV$3:$AW$130,2,FALSE)))</f>
        <v>1</v>
      </c>
      <c r="V377" s="1033">
        <f ca="1">R377*U377</f>
        <v>0</v>
      </c>
      <c r="W377" s="1033">
        <f ca="1">S377*U377</f>
        <v>0</v>
      </c>
    </row>
    <row r="378" spans="2:23" x14ac:dyDescent="0.3">
      <c r="B378" s="182"/>
      <c r="C378" s="577"/>
      <c r="D378" s="493" t="s">
        <v>11</v>
      </c>
      <c r="E378" s="494"/>
      <c r="F378" s="182"/>
      <c r="G378" s="494" t="s">
        <v>89</v>
      </c>
      <c r="H378" s="577"/>
      <c r="I378" s="450" t="s">
        <v>37</v>
      </c>
      <c r="J378" s="577" t="s">
        <v>2</v>
      </c>
      <c r="K378" s="577"/>
      <c r="L378" s="1035" t="s">
        <v>65</v>
      </c>
      <c r="M378" s="1036">
        <f>SUMIFS('Level of Efficiency Assumptions'!$J:$J,'Level of Efficiency Assumptions'!$D:$D,I378,'Level of Efficiency Assumptions'!$F:$F,J378,'Level of Efficiency Assumptions'!$I:$I,'Water Use Calcs'!L378)</f>
        <v>1.6</v>
      </c>
      <c r="N378" s="577"/>
      <c r="O378" s="1048">
        <f>SUMIFS('Detailed Fixture Data'!O:O,'Detailed Fixture Data'!C:C,G378,'Detailed Fixture Data'!E:E,I378,'Detailed Fixture Data'!F:F,J378,'Detailed Fixture Data'!L:L,L378)</f>
        <v>0</v>
      </c>
      <c r="P378" s="1049"/>
      <c r="Q378" s="577"/>
      <c r="R378" s="1039"/>
      <c r="S378" s="521"/>
      <c r="T378" s="225"/>
      <c r="U378" s="521"/>
      <c r="V378" s="1040"/>
      <c r="W378" s="1041"/>
    </row>
    <row r="379" spans="2:23" ht="15" thickBot="1" x14ac:dyDescent="0.35">
      <c r="B379" s="182"/>
      <c r="C379" s="577"/>
      <c r="D379" s="493" t="s">
        <v>11</v>
      </c>
      <c r="E379" s="494"/>
      <c r="F379" s="182"/>
      <c r="G379" s="494" t="s">
        <v>89</v>
      </c>
      <c r="H379" s="577"/>
      <c r="I379" s="450" t="s">
        <v>37</v>
      </c>
      <c r="J379" s="116" t="s">
        <v>2</v>
      </c>
      <c r="K379" s="116"/>
      <c r="L379" s="1042" t="s">
        <v>66</v>
      </c>
      <c r="M379" s="1043">
        <f>SUMIFS('Level of Efficiency Assumptions'!$J:$J,'Level of Efficiency Assumptions'!$D:$D,I379,'Level of Efficiency Assumptions'!$F:$F,J379,'Level of Efficiency Assumptions'!$I:$I,'Water Use Calcs'!L379)</f>
        <v>1.28</v>
      </c>
      <c r="N379" s="577"/>
      <c r="O379" s="1048">
        <f>SUMIFS('Detailed Fixture Data'!O:O,'Detailed Fixture Data'!C:C,G379,'Detailed Fixture Data'!E:E,I379,'Detailed Fixture Data'!F:F,J379,'Detailed Fixture Data'!L:L,L379)</f>
        <v>0</v>
      </c>
      <c r="P379" s="1049"/>
      <c r="Q379" s="577"/>
      <c r="R379" s="1039"/>
      <c r="S379" s="618"/>
      <c r="T379" s="225"/>
      <c r="U379" s="618"/>
      <c r="V379" s="1045"/>
      <c r="W379" s="1046"/>
    </row>
    <row r="380" spans="2:23" x14ac:dyDescent="0.3">
      <c r="B380" s="182"/>
      <c r="C380" s="577"/>
      <c r="D380" s="493" t="s">
        <v>11</v>
      </c>
      <c r="E380" s="494"/>
      <c r="F380" s="182"/>
      <c r="G380" s="494" t="s">
        <v>89</v>
      </c>
      <c r="H380" s="577"/>
      <c r="I380" s="450" t="s">
        <v>37</v>
      </c>
      <c r="J380" s="577" t="s">
        <v>4</v>
      </c>
      <c r="K380" s="577" t="s">
        <v>6</v>
      </c>
      <c r="L380" s="1047" t="s">
        <v>64</v>
      </c>
      <c r="M380" s="1036">
        <f>SUMIFS('Level of Efficiency Assumptions'!$J:$J,'Level of Efficiency Assumptions'!$D:$D,I380,'Level of Efficiency Assumptions'!$F:$F,J380,'Level of Efficiency Assumptions'!$I:$I,'Water Use Calcs'!L380)</f>
        <v>2</v>
      </c>
      <c r="N380" s="567" t="s">
        <v>68</v>
      </c>
      <c r="O380" s="1048">
        <f>SUMIFS('Detailed Fixture Data'!O:O,'Detailed Fixture Data'!C:C,G380,'Detailed Fixture Data'!E:E,I380,'Detailed Fixture Data'!F:F,J380,'Detailed Fixture Data'!L:L,L380)</f>
        <v>0</v>
      </c>
      <c r="P380" s="1030">
        <f>SUMIFS('Intensity of Use Assumptions'!$J:$J,'Intensity of Use Assumptions'!$D:$D,I380,'Intensity of Use Assumptions'!$G:$G,J380,'Intensity of Use Assumptions'!H:H,K380)</f>
        <v>1.5</v>
      </c>
      <c r="Q380" s="567" t="s">
        <v>67</v>
      </c>
      <c r="R380" s="1032">
        <f>(SUMPRODUCT(M380:M382,O380:O382)*P380)</f>
        <v>0</v>
      </c>
      <c r="S380" s="1033">
        <f>IF(R380=0,0,M382*P380)</f>
        <v>0</v>
      </c>
      <c r="T380" s="225" t="str">
        <f>G380&amp;"-"&amp;J380</f>
        <v>Rental Car Center A-Urinals</v>
      </c>
      <c r="U380" s="1034">
        <f ca="1">IF(ISNA(VLOOKUP(T380,list!$AV$3:$AW$130,2,FALSE)),1,(VLOOKUP(T380,list!$AV$3:$AW$130,2,FALSE)))</f>
        <v>1</v>
      </c>
      <c r="V380" s="1033">
        <f ca="1">R380*U380</f>
        <v>0</v>
      </c>
      <c r="W380" s="1033">
        <f ca="1">S380*U380</f>
        <v>0</v>
      </c>
    </row>
    <row r="381" spans="2:23" x14ac:dyDescent="0.3">
      <c r="B381" s="182"/>
      <c r="C381" s="577"/>
      <c r="D381" s="493" t="s">
        <v>11</v>
      </c>
      <c r="E381" s="494"/>
      <c r="F381" s="182"/>
      <c r="G381" s="494" t="s">
        <v>89</v>
      </c>
      <c r="H381" s="577"/>
      <c r="I381" s="450" t="s">
        <v>37</v>
      </c>
      <c r="J381" s="577" t="s">
        <v>4</v>
      </c>
      <c r="K381" s="577"/>
      <c r="L381" s="1035" t="s">
        <v>65</v>
      </c>
      <c r="M381" s="1036">
        <f>SUMIFS('Level of Efficiency Assumptions'!$J:$J,'Level of Efficiency Assumptions'!$D:$D,I381,'Level of Efficiency Assumptions'!$F:$F,J381,'Level of Efficiency Assumptions'!$I:$I,'Water Use Calcs'!L381)</f>
        <v>1</v>
      </c>
      <c r="N381" s="577"/>
      <c r="O381" s="1048">
        <f>SUMIFS('Detailed Fixture Data'!O:O,'Detailed Fixture Data'!C:C,G381,'Detailed Fixture Data'!E:E,I381,'Detailed Fixture Data'!F:F,J381,'Detailed Fixture Data'!L:L,L381)</f>
        <v>0</v>
      </c>
      <c r="P381" s="1049"/>
      <c r="Q381" s="577"/>
      <c r="R381" s="1039"/>
      <c r="S381" s="521"/>
      <c r="T381" s="225"/>
      <c r="U381" s="521"/>
      <c r="V381" s="1040"/>
      <c r="W381" s="1041"/>
    </row>
    <row r="382" spans="2:23" ht="15" thickBot="1" x14ac:dyDescent="0.35">
      <c r="B382" s="182"/>
      <c r="C382" s="577"/>
      <c r="D382" s="493" t="s">
        <v>11</v>
      </c>
      <c r="E382" s="494"/>
      <c r="F382" s="182"/>
      <c r="G382" s="494" t="s">
        <v>89</v>
      </c>
      <c r="H382" s="577"/>
      <c r="I382" s="450" t="s">
        <v>37</v>
      </c>
      <c r="J382" s="116" t="s">
        <v>4</v>
      </c>
      <c r="K382" s="116"/>
      <c r="L382" s="1042" t="s">
        <v>66</v>
      </c>
      <c r="M382" s="1043">
        <f>SUMIFS('Level of Efficiency Assumptions'!$J:$J,'Level of Efficiency Assumptions'!$D:$D,I382,'Level of Efficiency Assumptions'!$F:$F,J382,'Level of Efficiency Assumptions'!$I:$I,'Water Use Calcs'!L382)</f>
        <v>0.125</v>
      </c>
      <c r="N382" s="577"/>
      <c r="O382" s="1048">
        <f>SUMIFS('Detailed Fixture Data'!O:O,'Detailed Fixture Data'!C:C,G382,'Detailed Fixture Data'!E:E,I382,'Detailed Fixture Data'!F:F,J382,'Detailed Fixture Data'!L:L,L382)</f>
        <v>0</v>
      </c>
      <c r="P382" s="1049"/>
      <c r="Q382" s="577"/>
      <c r="R382" s="1039"/>
      <c r="S382" s="618"/>
      <c r="T382" s="225"/>
      <c r="U382" s="618"/>
      <c r="V382" s="1045"/>
      <c r="W382" s="1046"/>
    </row>
    <row r="383" spans="2:23" x14ac:dyDescent="0.3">
      <c r="B383" s="182"/>
      <c r="C383" s="577"/>
      <c r="D383" s="493" t="s">
        <v>11</v>
      </c>
      <c r="E383" s="494"/>
      <c r="F383" s="182"/>
      <c r="G383" s="494" t="s">
        <v>89</v>
      </c>
      <c r="H383" s="577"/>
      <c r="I383" s="450" t="s">
        <v>37</v>
      </c>
      <c r="J383" s="577" t="s">
        <v>33</v>
      </c>
      <c r="K383" s="577" t="s">
        <v>6</v>
      </c>
      <c r="L383" s="1047" t="s">
        <v>64</v>
      </c>
      <c r="M383" s="1036">
        <f>SUMIFS('Level of Efficiency Assumptions'!$J:$J,'Level of Efficiency Assumptions'!$D:$D,I383,'Level of Efficiency Assumptions'!$F:$F,J383,'Level of Efficiency Assumptions'!$I:$I,'Water Use Calcs'!L383)</f>
        <v>2</v>
      </c>
      <c r="N383" s="567" t="s">
        <v>78</v>
      </c>
      <c r="O383" s="1048">
        <f>SUMIFS('Detailed Fixture Data'!O:O,'Detailed Fixture Data'!C:C,G383,'Detailed Fixture Data'!E:E,I383,'Detailed Fixture Data'!F:F,J383,'Detailed Fixture Data'!L:L,L383)</f>
        <v>0</v>
      </c>
      <c r="P383" s="1030">
        <f>SUMIFS('Intensity of Use Assumptions'!$J:$J,'Intensity of Use Assumptions'!$D:$D,I383,'Intensity of Use Assumptions'!$G:$G,J383,'Intensity of Use Assumptions'!H:H,K383)</f>
        <v>0.66666666666666663</v>
      </c>
      <c r="Q383" s="567" t="s">
        <v>133</v>
      </c>
      <c r="R383" s="1032">
        <f>(SUMPRODUCT(M383:M385,O383:O385)*P383)</f>
        <v>0</v>
      </c>
      <c r="S383" s="1033">
        <f>IF(R383=0,0,M385*P383)</f>
        <v>0</v>
      </c>
      <c r="T383" s="225" t="str">
        <f>G383&amp;"-"&amp;J383</f>
        <v>Rental Car Center A-Faucets</v>
      </c>
      <c r="U383" s="1034">
        <f ca="1">IF(ISNA(VLOOKUP(T383,list!$AV$3:$AW$130,2,FALSE)),1,(VLOOKUP(T383,list!$AV$3:$AW$130,2,FALSE)))</f>
        <v>1</v>
      </c>
      <c r="V383" s="1033">
        <f ca="1">R383*U383</f>
        <v>0</v>
      </c>
      <c r="W383" s="1033">
        <f ca="1">S383*U383</f>
        <v>0</v>
      </c>
    </row>
    <row r="384" spans="2:23" x14ac:dyDescent="0.3">
      <c r="B384" s="182"/>
      <c r="C384" s="577"/>
      <c r="D384" s="493" t="s">
        <v>11</v>
      </c>
      <c r="E384" s="494"/>
      <c r="F384" s="182"/>
      <c r="G384" s="494" t="s">
        <v>89</v>
      </c>
      <c r="H384" s="577"/>
      <c r="I384" s="450" t="s">
        <v>37</v>
      </c>
      <c r="J384" s="577" t="s">
        <v>33</v>
      </c>
      <c r="K384" s="577"/>
      <c r="L384" s="1035" t="s">
        <v>65</v>
      </c>
      <c r="M384" s="1036">
        <f>SUMIFS('Level of Efficiency Assumptions'!$J:$J,'Level of Efficiency Assumptions'!$D:$D,I384,'Level of Efficiency Assumptions'!$F:$F,J384,'Level of Efficiency Assumptions'!$I:$I,'Water Use Calcs'!L384)</f>
        <v>1</v>
      </c>
      <c r="N384" s="577"/>
      <c r="O384" s="1048">
        <f>SUMIFS('Detailed Fixture Data'!O:O,'Detailed Fixture Data'!C:C,G384,'Detailed Fixture Data'!E:E,I384,'Detailed Fixture Data'!F:F,J384,'Detailed Fixture Data'!L:L,L384)</f>
        <v>0</v>
      </c>
      <c r="P384" s="1049"/>
      <c r="Q384" s="577"/>
      <c r="R384" s="1039"/>
      <c r="S384" s="521"/>
      <c r="T384" s="225"/>
      <c r="U384" s="521"/>
      <c r="V384" s="1040"/>
      <c r="W384" s="1041"/>
    </row>
    <row r="385" spans="2:23" ht="15" thickBot="1" x14ac:dyDescent="0.35">
      <c r="B385" s="182"/>
      <c r="C385" s="577"/>
      <c r="D385" s="493" t="s">
        <v>11</v>
      </c>
      <c r="E385" s="494"/>
      <c r="F385" s="182"/>
      <c r="G385" s="494" t="s">
        <v>89</v>
      </c>
      <c r="H385" s="577"/>
      <c r="I385" s="451" t="s">
        <v>37</v>
      </c>
      <c r="J385" s="116" t="s">
        <v>33</v>
      </c>
      <c r="K385" s="116"/>
      <c r="L385" s="1042" t="s">
        <v>66</v>
      </c>
      <c r="M385" s="1043">
        <f>SUMIFS('Level of Efficiency Assumptions'!$J:$J,'Level of Efficiency Assumptions'!$D:$D,I385,'Level of Efficiency Assumptions'!$F:$F,J385,'Level of Efficiency Assumptions'!$I:$I,'Water Use Calcs'!L385)</f>
        <v>0.5</v>
      </c>
      <c r="N385" s="577"/>
      <c r="O385" s="1048">
        <f>SUMIFS('Detailed Fixture Data'!O:O,'Detailed Fixture Data'!C:C,G385,'Detailed Fixture Data'!E:E,I385,'Detailed Fixture Data'!F:F,J385,'Detailed Fixture Data'!L:L,L385)</f>
        <v>0</v>
      </c>
      <c r="P385" s="1049"/>
      <c r="Q385" s="577"/>
      <c r="R385" s="1039"/>
      <c r="S385" s="618"/>
      <c r="T385" s="225"/>
      <c r="U385" s="618"/>
      <c r="V385" s="1045"/>
      <c r="W385" s="1046"/>
    </row>
    <row r="386" spans="2:23" x14ac:dyDescent="0.3">
      <c r="B386" s="182"/>
      <c r="C386" s="577"/>
      <c r="D386" s="493" t="s">
        <v>11</v>
      </c>
      <c r="E386" s="494"/>
      <c r="F386" s="182"/>
      <c r="G386" s="494" t="s">
        <v>89</v>
      </c>
      <c r="H386" s="651" t="str">
        <f>I386</f>
        <v>Break rooms</v>
      </c>
      <c r="I386" s="450" t="s">
        <v>5</v>
      </c>
      <c r="J386" s="577" t="s">
        <v>33</v>
      </c>
      <c r="K386" s="577" t="s">
        <v>6</v>
      </c>
      <c r="L386" s="1047" t="s">
        <v>64</v>
      </c>
      <c r="M386" s="1036">
        <f>SUMIFS('Level of Efficiency Assumptions'!$J:$J,'Level of Efficiency Assumptions'!$D:$D,I386,'Level of Efficiency Assumptions'!$F:$F,J386,'Level of Efficiency Assumptions'!$I:$I,'Water Use Calcs'!L386)</f>
        <v>2</v>
      </c>
      <c r="N386" s="567" t="s">
        <v>78</v>
      </c>
      <c r="O386" s="1048">
        <f>SUMIFS('Detailed Fixture Data'!O:O,'Detailed Fixture Data'!C:C,G386,'Detailed Fixture Data'!E:E,I386,'Detailed Fixture Data'!F:F,J386,'Detailed Fixture Data'!L:L,L386)</f>
        <v>0</v>
      </c>
      <c r="P386" s="1030">
        <f>SUMIFS('Intensity of Use Assumptions'!$J:$J,'Intensity of Use Assumptions'!$D:$D,I386,'Intensity of Use Assumptions'!$G:$G,J386,'Intensity of Use Assumptions'!H:H,K386)</f>
        <v>0.16666666666666666</v>
      </c>
      <c r="Q386" s="567" t="s">
        <v>133</v>
      </c>
      <c r="R386" s="1032">
        <f>(SUMPRODUCT(M386:M388,O386:O388)*P386)</f>
        <v>0</v>
      </c>
      <c r="S386" s="1033">
        <f>IF(R386=0,0,M388*P386)</f>
        <v>0</v>
      </c>
      <c r="T386" s="225" t="str">
        <f>G386&amp;"-"&amp;J386</f>
        <v>Rental Car Center A-Faucets</v>
      </c>
      <c r="U386" s="1034">
        <f ca="1">IF(ISNA(VLOOKUP(T386,list!$AV$3:$AW$130,2,FALSE)),1,(VLOOKUP(T386,list!$AV$3:$AW$130,2,FALSE)))</f>
        <v>1</v>
      </c>
      <c r="V386" s="1033">
        <f ca="1">R386*U386</f>
        <v>0</v>
      </c>
      <c r="W386" s="1033">
        <f ca="1">S386*U386</f>
        <v>0</v>
      </c>
    </row>
    <row r="387" spans="2:23" x14ac:dyDescent="0.3">
      <c r="B387" s="182"/>
      <c r="C387" s="577"/>
      <c r="D387" s="493" t="s">
        <v>11</v>
      </c>
      <c r="E387" s="494"/>
      <c r="F387" s="182"/>
      <c r="G387" s="494" t="s">
        <v>89</v>
      </c>
      <c r="H387" s="577"/>
      <c r="I387" s="450" t="s">
        <v>5</v>
      </c>
      <c r="J387" s="577" t="s">
        <v>33</v>
      </c>
      <c r="K387" s="577"/>
      <c r="L387" s="1035" t="s">
        <v>65</v>
      </c>
      <c r="M387" s="1036">
        <f>SUMIFS('Level of Efficiency Assumptions'!$J:$J,'Level of Efficiency Assumptions'!$D:$D,I387,'Level of Efficiency Assumptions'!$F:$F,J387,'Level of Efficiency Assumptions'!$I:$I,'Water Use Calcs'!L387)</f>
        <v>1</v>
      </c>
      <c r="N387" s="577"/>
      <c r="O387" s="1048">
        <f>SUMIFS('Detailed Fixture Data'!O:O,'Detailed Fixture Data'!C:C,G387,'Detailed Fixture Data'!E:E,I387,'Detailed Fixture Data'!F:F,J387,'Detailed Fixture Data'!L:L,L387)</f>
        <v>0</v>
      </c>
      <c r="P387" s="1049"/>
      <c r="Q387" s="577"/>
      <c r="R387" s="1039"/>
      <c r="S387" s="521"/>
      <c r="T387" s="225"/>
      <c r="U387" s="521"/>
      <c r="V387" s="1040"/>
      <c r="W387" s="1041"/>
    </row>
    <row r="388" spans="2:23" ht="15" thickBot="1" x14ac:dyDescent="0.35">
      <c r="B388" s="182"/>
      <c r="C388" s="577"/>
      <c r="D388" s="493" t="s">
        <v>11</v>
      </c>
      <c r="E388" s="494"/>
      <c r="F388" s="182"/>
      <c r="G388" s="494" t="s">
        <v>89</v>
      </c>
      <c r="H388" s="577"/>
      <c r="I388" s="451" t="s">
        <v>5</v>
      </c>
      <c r="J388" s="116" t="s">
        <v>33</v>
      </c>
      <c r="K388" s="116"/>
      <c r="L388" s="1042" t="s">
        <v>66</v>
      </c>
      <c r="M388" s="1043">
        <f>SUMIFS('Level of Efficiency Assumptions'!$J:$J,'Level of Efficiency Assumptions'!$D:$D,I388,'Level of Efficiency Assumptions'!$F:$F,J388,'Level of Efficiency Assumptions'!$I:$I,'Water Use Calcs'!L388)</f>
        <v>0.5</v>
      </c>
      <c r="N388" s="577"/>
      <c r="O388" s="1048">
        <f>SUMIFS('Detailed Fixture Data'!O:O,'Detailed Fixture Data'!C:C,G388,'Detailed Fixture Data'!E:E,I388,'Detailed Fixture Data'!F:F,J388,'Detailed Fixture Data'!L:L,L388)</f>
        <v>0</v>
      </c>
      <c r="P388" s="1049"/>
      <c r="Q388" s="577"/>
      <c r="R388" s="1039"/>
      <c r="S388" s="618"/>
      <c r="T388" s="225"/>
      <c r="U388" s="618"/>
      <c r="V388" s="1045"/>
      <c r="W388" s="1046"/>
    </row>
    <row r="389" spans="2:23" x14ac:dyDescent="0.3">
      <c r="B389" s="182"/>
      <c r="C389" s="577"/>
      <c r="D389" s="493" t="s">
        <v>11</v>
      </c>
      <c r="E389" s="494"/>
      <c r="F389" s="182"/>
      <c r="G389" s="494" t="s">
        <v>89</v>
      </c>
      <c r="H389" s="651" t="str">
        <f>I389</f>
        <v>Landscaping</v>
      </c>
      <c r="I389" s="450" t="s">
        <v>39</v>
      </c>
      <c r="J389" s="577" t="s">
        <v>42</v>
      </c>
      <c r="K389" s="577" t="s">
        <v>32</v>
      </c>
      <c r="L389" s="1047" t="s">
        <v>64</v>
      </c>
      <c r="M389" s="1036">
        <f>SUMIFS('Level of Efficiency Assumptions'!$J:$J,'Level of Efficiency Assumptions'!$D:$D,I389,'Level of Efficiency Assumptions'!$F:$F,J389,'Level of Efficiency Assumptions'!$I:$I,'Water Use Calcs'!L389)</f>
        <v>28.6</v>
      </c>
      <c r="N389" s="567" t="s">
        <v>816</v>
      </c>
      <c r="O389" s="1048">
        <f>SUMIFS('Detailed Fixture Data'!O:O,'Detailed Fixture Data'!C:C,G389,'Detailed Fixture Data'!E:E,I389,'Detailed Fixture Data'!F:F,J389,'Detailed Fixture Data'!L:L,L389)</f>
        <v>0</v>
      </c>
      <c r="P389" s="1030">
        <f>SUMIFS('Intensity of Use Assumptions'!$J:$J,'Intensity of Use Assumptions'!$D:$D,I389,'Intensity of Use Assumptions'!$G:$G,J389,'Intensity of Use Assumptions'!H:H,K389,'Intensity of Use Assumptions'!F:F,D389)</f>
        <v>2.7397260273972603E-3</v>
      </c>
      <c r="Q389" s="567" t="s">
        <v>815</v>
      </c>
      <c r="R389" s="1032">
        <f>(SUMPRODUCT(M389:M391,O389:O391)*P389)</f>
        <v>0</v>
      </c>
      <c r="S389" s="1033">
        <f>IF(R389=0,0,M391*P389)</f>
        <v>0</v>
      </c>
      <c r="T389" s="225" t="str">
        <f>G389&amp;"-"&amp;J389</f>
        <v>Rental Car Center A-Outdoor irrigation</v>
      </c>
      <c r="U389" s="1034">
        <f ca="1">IF(ISNA(VLOOKUP(T389,list!$AV$3:$AW$130,2,FALSE)),1,(VLOOKUP(T389,list!$AV$3:$AW$130,2,FALSE)))</f>
        <v>1</v>
      </c>
      <c r="V389" s="1033">
        <f ca="1">R389*U389</f>
        <v>0</v>
      </c>
      <c r="W389" s="1033">
        <f ca="1">S389*U389</f>
        <v>0</v>
      </c>
    </row>
    <row r="390" spans="2:23" x14ac:dyDescent="0.3">
      <c r="B390" s="182"/>
      <c r="C390" s="577"/>
      <c r="D390" s="493" t="s">
        <v>11</v>
      </c>
      <c r="E390" s="494"/>
      <c r="F390" s="182"/>
      <c r="G390" s="494" t="s">
        <v>89</v>
      </c>
      <c r="H390" s="577"/>
      <c r="I390" s="450" t="s">
        <v>39</v>
      </c>
      <c r="J390" s="577" t="s">
        <v>42</v>
      </c>
      <c r="K390" s="577"/>
      <c r="L390" s="1035" t="s">
        <v>65</v>
      </c>
      <c r="M390" s="1036">
        <f>SUMIFS('Level of Efficiency Assumptions'!$J:$J,'Level of Efficiency Assumptions'!$D:$D,I390,'Level of Efficiency Assumptions'!$F:$F,J390,'Level of Efficiency Assumptions'!$I:$I,'Water Use Calcs'!L390)</f>
        <v>13.980821518350929</v>
      </c>
      <c r="N390" s="577"/>
      <c r="O390" s="1048">
        <f>SUMIFS('Detailed Fixture Data'!O:O,'Detailed Fixture Data'!C:C,G390,'Detailed Fixture Data'!E:E,I390,'Detailed Fixture Data'!F:F,J390,'Detailed Fixture Data'!L:L,L390)</f>
        <v>0</v>
      </c>
      <c r="P390" s="1049"/>
      <c r="Q390" s="577"/>
      <c r="R390" s="1039"/>
      <c r="S390" s="521"/>
      <c r="T390" s="225"/>
      <c r="U390" s="521"/>
      <c r="V390" s="1040"/>
      <c r="W390" s="1041"/>
    </row>
    <row r="391" spans="2:23" ht="15" thickBot="1" x14ac:dyDescent="0.35">
      <c r="B391" s="182"/>
      <c r="C391" s="577"/>
      <c r="D391" s="493" t="s">
        <v>11</v>
      </c>
      <c r="E391" s="494"/>
      <c r="F391" s="182"/>
      <c r="G391" s="494" t="s">
        <v>89</v>
      </c>
      <c r="H391" s="577"/>
      <c r="I391" s="451" t="s">
        <v>39</v>
      </c>
      <c r="J391" s="116" t="s">
        <v>42</v>
      </c>
      <c r="K391" s="116"/>
      <c r="L391" s="1042" t="s">
        <v>66</v>
      </c>
      <c r="M391" s="1043">
        <f>SUMIFS('Level of Efficiency Assumptions'!$J:$J,'Level of Efficiency Assumptions'!$D:$D,I391,'Level of Efficiency Assumptions'!$F:$F,J391,'Level of Efficiency Assumptions'!$I:$I,'Water Use Calcs'!L391)</f>
        <v>0.59137254901960778</v>
      </c>
      <c r="N391" s="577"/>
      <c r="O391" s="1048">
        <f>SUMIFS('Detailed Fixture Data'!O:O,'Detailed Fixture Data'!C:C,G391,'Detailed Fixture Data'!E:E,I391,'Detailed Fixture Data'!F:F,J391,'Detailed Fixture Data'!L:L,L391)</f>
        <v>0</v>
      </c>
      <c r="P391" s="1049"/>
      <c r="Q391" s="577"/>
      <c r="R391" s="1039"/>
      <c r="S391" s="618"/>
      <c r="T391" s="225"/>
      <c r="U391" s="618"/>
      <c r="V391" s="1045"/>
      <c r="W391" s="1046"/>
    </row>
    <row r="392" spans="2:23" x14ac:dyDescent="0.3">
      <c r="B392" s="182"/>
      <c r="C392" s="577"/>
      <c r="D392" s="493" t="s">
        <v>11</v>
      </c>
      <c r="E392" s="494"/>
      <c r="F392" s="182"/>
      <c r="G392" s="494" t="s">
        <v>89</v>
      </c>
      <c r="H392" s="651" t="str">
        <f>I392</f>
        <v>Maintenance</v>
      </c>
      <c r="I392" s="450" t="s">
        <v>43</v>
      </c>
      <c r="J392" s="577" t="s">
        <v>111</v>
      </c>
      <c r="K392" s="217" t="s">
        <v>424</v>
      </c>
      <c r="L392" s="1047" t="s">
        <v>64</v>
      </c>
      <c r="M392" s="1036">
        <f>SUMIFS('Level of Efficiency Assumptions'!$J:$J,'Level of Efficiency Assumptions'!$D:$D,I392,'Level of Efficiency Assumptions'!$F:$F,J392,'Level of Efficiency Assumptions'!$I:$I,'Water Use Calcs'!L392)</f>
        <v>100</v>
      </c>
      <c r="N392" s="567" t="s">
        <v>659</v>
      </c>
      <c r="O392" s="1048">
        <f>SUMIFS('Detailed Fixture Data'!O:O,'Detailed Fixture Data'!C:C,G392,'Detailed Fixture Data'!E:E,I392,'Detailed Fixture Data'!F:F,J392,'Detailed Fixture Data'!L:L,L392)</f>
        <v>0</v>
      </c>
      <c r="P392" s="1030">
        <f>SUMIFS('Intensity of Use Assumptions'!$J:$J,'Intensity of Use Assumptions'!$D:$D,I392,'Intensity of Use Assumptions'!$G:$G,J392,'Intensity of Use Assumptions'!H:H,K392)</f>
        <v>1</v>
      </c>
      <c r="Q392" s="567" t="s">
        <v>67</v>
      </c>
      <c r="R392" s="1032">
        <f>(SUMPRODUCT(M392:M394,O392:O394)*P392)</f>
        <v>0</v>
      </c>
      <c r="S392" s="1033">
        <f>IF(R392=0,0,M394*P392)</f>
        <v>0</v>
      </c>
      <c r="T392" s="225" t="str">
        <f>G392&amp;"-"&amp;J392</f>
        <v>Rental Car Center A-Boiler</v>
      </c>
      <c r="U392" s="1034">
        <f ca="1">IF(ISNA(VLOOKUP(T392,list!$AV$3:$AW$130,2,FALSE)),1,(VLOOKUP(T392,list!$AV$3:$AW$130,2,FALSE)))</f>
        <v>1</v>
      </c>
      <c r="V392" s="1033">
        <f ca="1">R392*U392</f>
        <v>0</v>
      </c>
      <c r="W392" s="1033">
        <f ca="1">S392*U392</f>
        <v>0</v>
      </c>
    </row>
    <row r="393" spans="2:23" x14ac:dyDescent="0.3">
      <c r="B393" s="182"/>
      <c r="C393" s="577"/>
      <c r="D393" s="493" t="s">
        <v>11</v>
      </c>
      <c r="E393" s="494"/>
      <c r="F393" s="182"/>
      <c r="G393" s="494" t="s">
        <v>89</v>
      </c>
      <c r="H393" s="577"/>
      <c r="I393" s="450" t="s">
        <v>43</v>
      </c>
      <c r="J393" s="577" t="s">
        <v>111</v>
      </c>
      <c r="K393" s="382"/>
      <c r="L393" s="1035" t="s">
        <v>65</v>
      </c>
      <c r="M393" s="1036">
        <f>SUMIFS('Level of Efficiency Assumptions'!$J:$J,'Level of Efficiency Assumptions'!$D:$D,I393,'Level of Efficiency Assumptions'!$F:$F,J393,'Level of Efficiency Assumptions'!$I:$I,'Water Use Calcs'!L393)</f>
        <v>75</v>
      </c>
      <c r="N393" s="577"/>
      <c r="O393" s="1048">
        <f>SUMIFS('Detailed Fixture Data'!O:O,'Detailed Fixture Data'!C:C,G393,'Detailed Fixture Data'!E:E,I393,'Detailed Fixture Data'!F:F,J393,'Detailed Fixture Data'!L:L,L393)</f>
        <v>0</v>
      </c>
      <c r="P393" s="1049"/>
      <c r="Q393" s="577"/>
      <c r="R393" s="1039"/>
      <c r="S393" s="521"/>
      <c r="T393" s="225"/>
      <c r="U393" s="521"/>
      <c r="V393" s="1040"/>
      <c r="W393" s="1041"/>
    </row>
    <row r="394" spans="2:23" ht="15" thickBot="1" x14ac:dyDescent="0.35">
      <c r="B394" s="182"/>
      <c r="C394" s="577"/>
      <c r="D394" s="493" t="s">
        <v>11</v>
      </c>
      <c r="E394" s="494"/>
      <c r="F394" s="182"/>
      <c r="G394" s="494" t="s">
        <v>89</v>
      </c>
      <c r="H394" s="577"/>
      <c r="I394" s="450" t="s">
        <v>43</v>
      </c>
      <c r="J394" s="116" t="s">
        <v>111</v>
      </c>
      <c r="K394" s="116"/>
      <c r="L394" s="1042" t="s">
        <v>66</v>
      </c>
      <c r="M394" s="1043">
        <f>SUMIFS('Level of Efficiency Assumptions'!$J:$J,'Level of Efficiency Assumptions'!$D:$D,I394,'Level of Efficiency Assumptions'!$F:$F,J394,'Level of Efficiency Assumptions'!$I:$I,'Water Use Calcs'!L394)</f>
        <v>50</v>
      </c>
      <c r="N394" s="577"/>
      <c r="O394" s="1048">
        <f>SUMIFS('Detailed Fixture Data'!O:O,'Detailed Fixture Data'!C:C,G394,'Detailed Fixture Data'!E:E,I394,'Detailed Fixture Data'!F:F,J394,'Detailed Fixture Data'!L:L,L394)</f>
        <v>0</v>
      </c>
      <c r="P394" s="1049"/>
      <c r="Q394" s="577"/>
      <c r="R394" s="1039"/>
      <c r="S394" s="618"/>
      <c r="T394" s="225"/>
      <c r="U394" s="618"/>
      <c r="V394" s="1045"/>
      <c r="W394" s="1046"/>
    </row>
    <row r="395" spans="2:23" x14ac:dyDescent="0.3">
      <c r="B395" s="182"/>
      <c r="C395" s="577"/>
      <c r="D395" s="493" t="s">
        <v>11</v>
      </c>
      <c r="E395" s="494"/>
      <c r="F395" s="182"/>
      <c r="G395" s="494" t="s">
        <v>89</v>
      </c>
      <c r="H395" s="577"/>
      <c r="I395" s="450" t="s">
        <v>43</v>
      </c>
      <c r="J395" s="577" t="s">
        <v>7</v>
      </c>
      <c r="K395" s="215" t="s">
        <v>365</v>
      </c>
      <c r="L395" s="1012" t="s">
        <v>257</v>
      </c>
      <c r="M395" s="1050"/>
      <c r="N395" s="1050"/>
      <c r="O395" s="1050"/>
      <c r="P395" s="1051"/>
      <c r="Q395" s="981"/>
      <c r="R395" s="1052">
        <f>SUMIFS('Cooling Data'!H:H,'Cooling Data'!$C:$C,$G395,'Cooling Data'!$E:$E,$I395,'Cooling Data'!$F:$F,$J395)</f>
        <v>0</v>
      </c>
      <c r="S395" s="1052">
        <f>SUMIFS('Cooling Data'!J:J,'Cooling Data'!$C:$C,$G395,'Cooling Data'!$E:$E,$I395,'Cooling Data'!$F:$F,$J395)</f>
        <v>0</v>
      </c>
      <c r="T395" s="225" t="str">
        <f>G395&amp;"-"&amp;J395</f>
        <v>Rental Car Center A-Cooling</v>
      </c>
      <c r="U395" s="1034">
        <f ca="1">IF(ISNA(VLOOKUP(T395,list!$AV$3:$AW$130,2,FALSE)),1,(VLOOKUP(T395,list!$AV$3:$AW$130,2,FALSE)))</f>
        <v>1</v>
      </c>
      <c r="V395" s="1033">
        <f ca="1">R395*U395</f>
        <v>0</v>
      </c>
      <c r="W395" s="1033">
        <f ca="1">S395*U395</f>
        <v>0</v>
      </c>
    </row>
    <row r="396" spans="2:23" x14ac:dyDescent="0.3">
      <c r="B396" s="182"/>
      <c r="C396" s="577"/>
      <c r="D396" s="493" t="s">
        <v>11</v>
      </c>
      <c r="E396" s="494"/>
      <c r="F396" s="182"/>
      <c r="G396" s="494" t="s">
        <v>89</v>
      </c>
      <c r="H396" s="577"/>
      <c r="I396" s="450" t="s">
        <v>43</v>
      </c>
      <c r="J396" s="577" t="s">
        <v>7</v>
      </c>
      <c r="K396" s="577"/>
      <c r="L396" s="206"/>
      <c r="M396" s="181"/>
      <c r="N396" s="181"/>
      <c r="O396" s="181"/>
      <c r="P396" s="1053"/>
      <c r="Q396" s="439"/>
      <c r="R396" s="1039"/>
      <c r="S396" s="521"/>
      <c r="T396" s="225"/>
      <c r="U396" s="521"/>
      <c r="V396" s="1040"/>
      <c r="W396" s="1041"/>
    </row>
    <row r="397" spans="2:23" ht="15" thickBot="1" x14ac:dyDescent="0.35">
      <c r="B397" s="182"/>
      <c r="C397" s="577"/>
      <c r="D397" s="493" t="s">
        <v>11</v>
      </c>
      <c r="E397" s="494"/>
      <c r="F397" s="182"/>
      <c r="G397" s="494" t="s">
        <v>89</v>
      </c>
      <c r="H397" s="577"/>
      <c r="I397" s="450" t="s">
        <v>43</v>
      </c>
      <c r="J397" s="116" t="s">
        <v>7</v>
      </c>
      <c r="K397" s="116"/>
      <c r="L397" s="207"/>
      <c r="M397" s="924"/>
      <c r="N397" s="924"/>
      <c r="O397" s="924"/>
      <c r="P397" s="1054"/>
      <c r="Q397" s="606"/>
      <c r="R397" s="1039"/>
      <c r="S397" s="618"/>
      <c r="T397" s="225"/>
      <c r="U397" s="618"/>
      <c r="V397" s="1045"/>
      <c r="W397" s="1046"/>
    </row>
    <row r="398" spans="2:23" x14ac:dyDescent="0.3">
      <c r="B398" s="182"/>
      <c r="C398" s="577"/>
      <c r="D398" s="493" t="s">
        <v>11</v>
      </c>
      <c r="E398" s="494"/>
      <c r="F398" s="182"/>
      <c r="G398" s="494" t="s">
        <v>89</v>
      </c>
      <c r="H398" s="577"/>
      <c r="I398" s="450" t="s">
        <v>43</v>
      </c>
      <c r="J398" s="577" t="s">
        <v>9</v>
      </c>
      <c r="K398" s="577" t="s">
        <v>12</v>
      </c>
      <c r="L398" s="1047" t="s">
        <v>64</v>
      </c>
      <c r="M398" s="1036">
        <f>SUMIFS('Level of Efficiency Assumptions'!$J:$J,'Level of Efficiency Assumptions'!$D:$D,I398,'Level of Efficiency Assumptions'!$F:$F,J398,'Level of Efficiency Assumptions'!$I:$I,'Water Use Calcs'!L398)</f>
        <v>80</v>
      </c>
      <c r="N398" s="567" t="s">
        <v>588</v>
      </c>
      <c r="O398" s="1048">
        <f>SUMIFS('Detailed Fixture Data'!O:O,'Detailed Fixture Data'!C:C,G398,'Detailed Fixture Data'!E:E,I398,'Detailed Fixture Data'!F:F,J398,'Detailed Fixture Data'!L:L,L398)</f>
        <v>0</v>
      </c>
      <c r="P398" s="1030">
        <f>SUMIFS('Intensity of Use Assumptions'!$J:$J,'Intensity of Use Assumptions'!$D:$D,I398,'Intensity of Use Assumptions'!$G:$G,J398,'Intensity of Use Assumptions'!H:H,K398)</f>
        <v>1</v>
      </c>
      <c r="Q398" s="567" t="s">
        <v>67</v>
      </c>
      <c r="R398" s="1032">
        <f>(SUMPRODUCT(M398:M400,O398:O400)*P398)</f>
        <v>0</v>
      </c>
      <c r="S398" s="1033">
        <f>IF(R398=0,0,M400*P398)</f>
        <v>0</v>
      </c>
      <c r="T398" s="225" t="str">
        <f>G398&amp;"-"&amp;J398</f>
        <v>Rental Car Center A-Vehicle washing</v>
      </c>
      <c r="U398" s="1034">
        <f ca="1">IF(ISNA(VLOOKUP(T398,list!$AV$3:$AW$130,2,FALSE)),1,(VLOOKUP(T398,list!$AV$3:$AW$130,2,FALSE)))</f>
        <v>1</v>
      </c>
      <c r="V398" s="1033">
        <f ca="1">R398*U398</f>
        <v>0</v>
      </c>
      <c r="W398" s="1033">
        <f ca="1">S398*U398</f>
        <v>0</v>
      </c>
    </row>
    <row r="399" spans="2:23" x14ac:dyDescent="0.3">
      <c r="B399" s="182"/>
      <c r="C399" s="577"/>
      <c r="D399" s="493" t="s">
        <v>11</v>
      </c>
      <c r="E399" s="494"/>
      <c r="F399" s="182"/>
      <c r="G399" s="494" t="s">
        <v>89</v>
      </c>
      <c r="H399" s="577"/>
      <c r="I399" s="450" t="s">
        <v>43</v>
      </c>
      <c r="J399" s="577" t="s">
        <v>9</v>
      </c>
      <c r="K399" s="577"/>
      <c r="L399" s="1035" t="s">
        <v>65</v>
      </c>
      <c r="M399" s="1036">
        <f>SUMIFS('Level of Efficiency Assumptions'!$J:$J,'Level of Efficiency Assumptions'!$D:$D,I399,'Level of Efficiency Assumptions'!$F:$F,J399,'Level of Efficiency Assumptions'!$I:$I,'Water Use Calcs'!L399)</f>
        <v>40</v>
      </c>
      <c r="N399" s="577"/>
      <c r="O399" s="1048">
        <f>SUMIFS('Detailed Fixture Data'!O:O,'Detailed Fixture Data'!C:C,G399,'Detailed Fixture Data'!E:E,I399,'Detailed Fixture Data'!F:F,J399,'Detailed Fixture Data'!L:L,L399)</f>
        <v>0</v>
      </c>
      <c r="P399" s="1049"/>
      <c r="Q399" s="577"/>
      <c r="R399" s="1039"/>
      <c r="S399" s="521"/>
      <c r="T399" s="225"/>
      <c r="U399" s="521"/>
      <c r="V399" s="1040"/>
      <c r="W399" s="1041"/>
    </row>
    <row r="400" spans="2:23" ht="15" thickBot="1" x14ac:dyDescent="0.35">
      <c r="B400" s="182"/>
      <c r="C400" s="577"/>
      <c r="D400" s="493" t="s">
        <v>11</v>
      </c>
      <c r="E400" s="494"/>
      <c r="F400" s="182"/>
      <c r="G400" s="494" t="s">
        <v>89</v>
      </c>
      <c r="H400" s="577"/>
      <c r="I400" s="450" t="s">
        <v>43</v>
      </c>
      <c r="J400" s="116" t="s">
        <v>9</v>
      </c>
      <c r="K400" s="116"/>
      <c r="L400" s="1042" t="s">
        <v>66</v>
      </c>
      <c r="M400" s="1043">
        <f>SUMIFS('Level of Efficiency Assumptions'!$J:$J,'Level of Efficiency Assumptions'!$D:$D,I400,'Level of Efficiency Assumptions'!$F:$F,J400,'Level of Efficiency Assumptions'!$I:$I,'Water Use Calcs'!L400)</f>
        <v>30</v>
      </c>
      <c r="N400" s="577"/>
      <c r="O400" s="1048">
        <f>SUMIFS('Detailed Fixture Data'!O:O,'Detailed Fixture Data'!C:C,G400,'Detailed Fixture Data'!E:E,I400,'Detailed Fixture Data'!F:F,J400,'Detailed Fixture Data'!L:L,L400)</f>
        <v>0</v>
      </c>
      <c r="P400" s="1049"/>
      <c r="Q400" s="577"/>
      <c r="R400" s="1039"/>
      <c r="S400" s="618"/>
      <c r="T400" s="225"/>
      <c r="U400" s="618"/>
      <c r="V400" s="1045"/>
      <c r="W400" s="1046"/>
    </row>
    <row r="401" spans="2:23" x14ac:dyDescent="0.3">
      <c r="B401" s="182"/>
      <c r="C401" s="577"/>
      <c r="D401" s="493" t="s">
        <v>11</v>
      </c>
      <c r="E401" s="494"/>
      <c r="F401" s="182"/>
      <c r="G401" s="494" t="s">
        <v>89</v>
      </c>
      <c r="H401" s="577"/>
      <c r="I401" s="450" t="s">
        <v>43</v>
      </c>
      <c r="J401" s="577" t="s">
        <v>426</v>
      </c>
      <c r="K401" s="577" t="s">
        <v>12</v>
      </c>
      <c r="L401" s="1047" t="s">
        <v>64</v>
      </c>
      <c r="M401" s="1036">
        <f>SUMIFS('Level of Efficiency Assumptions'!$J:$J,'Level of Efficiency Assumptions'!$D:$D,I401,'Level of Efficiency Assumptions'!$F:$F,J401,'Level of Efficiency Assumptions'!$I:$I,'Water Use Calcs'!L401)</f>
        <v>10</v>
      </c>
      <c r="N401" s="567" t="s">
        <v>588</v>
      </c>
      <c r="O401" s="1048">
        <f>SUMIFS('Detailed Fixture Data'!O:O,'Detailed Fixture Data'!C:C,G401,'Detailed Fixture Data'!E:E,I401,'Detailed Fixture Data'!F:F,J401,'Detailed Fixture Data'!L:L,L401)</f>
        <v>0</v>
      </c>
      <c r="P401" s="1030">
        <f>SUMIFS('Intensity of Use Assumptions'!$J:$J,'Intensity of Use Assumptions'!$D:$D,I401,'Intensity of Use Assumptions'!$G:$G,J401,'Intensity of Use Assumptions'!H:H,K401)</f>
        <v>1E-3</v>
      </c>
      <c r="Q401" s="567" t="s">
        <v>67</v>
      </c>
      <c r="R401" s="1032">
        <f>(SUMPRODUCT(M401:M403,O401:O403)*P401)</f>
        <v>0</v>
      </c>
      <c r="S401" s="1033">
        <f>IF(R401=0,0,M403*P401)</f>
        <v>0</v>
      </c>
      <c r="T401" s="225" t="str">
        <f>G401&amp;"-"&amp;J401</f>
        <v>Rental Car Center A-Pavement cleaning</v>
      </c>
      <c r="U401" s="1034">
        <f ca="1">IF(ISNA(VLOOKUP(T401,list!$AV$3:$AW$130,2,FALSE)),1,(VLOOKUP(T401,list!$AV$3:$AW$130,2,FALSE)))</f>
        <v>1</v>
      </c>
      <c r="V401" s="1033">
        <f ca="1">R401*U401</f>
        <v>0</v>
      </c>
      <c r="W401" s="1033">
        <f ca="1">S401*U401</f>
        <v>0</v>
      </c>
    </row>
    <row r="402" spans="2:23" x14ac:dyDescent="0.3">
      <c r="B402" s="182"/>
      <c r="C402" s="577"/>
      <c r="D402" s="493" t="s">
        <v>11</v>
      </c>
      <c r="E402" s="494"/>
      <c r="F402" s="182"/>
      <c r="G402" s="494" t="s">
        <v>89</v>
      </c>
      <c r="H402" s="577"/>
      <c r="I402" s="450" t="s">
        <v>43</v>
      </c>
      <c r="J402" s="577" t="s">
        <v>426</v>
      </c>
      <c r="K402" s="577"/>
      <c r="L402" s="1035" t="s">
        <v>65</v>
      </c>
      <c r="M402" s="1036">
        <f>SUMIFS('Level of Efficiency Assumptions'!$J:$J,'Level of Efficiency Assumptions'!$D:$D,I402,'Level of Efficiency Assumptions'!$F:$F,J402,'Level of Efficiency Assumptions'!$I:$I,'Water Use Calcs'!L402)</f>
        <v>7.5</v>
      </c>
      <c r="N402" s="577"/>
      <c r="O402" s="1048">
        <f>SUMIFS('Detailed Fixture Data'!O:O,'Detailed Fixture Data'!C:C,G402,'Detailed Fixture Data'!E:E,I402,'Detailed Fixture Data'!F:F,J402,'Detailed Fixture Data'!L:L,L402)</f>
        <v>0</v>
      </c>
      <c r="P402" s="1049"/>
      <c r="Q402" s="577"/>
      <c r="R402" s="1039"/>
      <c r="S402" s="521"/>
      <c r="T402" s="225"/>
      <c r="U402" s="521"/>
      <c r="V402" s="1040"/>
      <c r="W402" s="1041"/>
    </row>
    <row r="403" spans="2:23" ht="15" thickBot="1" x14ac:dyDescent="0.35">
      <c r="B403" s="182"/>
      <c r="C403" s="577"/>
      <c r="D403" s="493" t="s">
        <v>11</v>
      </c>
      <c r="E403" s="494"/>
      <c r="F403" s="182"/>
      <c r="G403" s="494" t="s">
        <v>89</v>
      </c>
      <c r="H403" s="577"/>
      <c r="I403" s="451" t="s">
        <v>43</v>
      </c>
      <c r="J403" s="116" t="s">
        <v>426</v>
      </c>
      <c r="K403" s="116"/>
      <c r="L403" s="1042" t="s">
        <v>66</v>
      </c>
      <c r="M403" s="1043">
        <f>SUMIFS('Level of Efficiency Assumptions'!$J:$J,'Level of Efficiency Assumptions'!$D:$D,I403,'Level of Efficiency Assumptions'!$F:$F,J403,'Level of Efficiency Assumptions'!$I:$I,'Water Use Calcs'!L403)</f>
        <v>5</v>
      </c>
      <c r="N403" s="577"/>
      <c r="O403" s="1048">
        <f>SUMIFS('Detailed Fixture Data'!O:O,'Detailed Fixture Data'!C:C,G403,'Detailed Fixture Data'!E:E,I403,'Detailed Fixture Data'!F:F,J403,'Detailed Fixture Data'!L:L,L403)</f>
        <v>0</v>
      </c>
      <c r="P403" s="1049"/>
      <c r="Q403" s="577"/>
      <c r="R403" s="1039"/>
      <c r="S403" s="618"/>
      <c r="T403" s="225"/>
      <c r="U403" s="618"/>
      <c r="V403" s="1045"/>
      <c r="W403" s="1046"/>
    </row>
    <row r="404" spans="2:23" x14ac:dyDescent="0.3">
      <c r="B404" s="182"/>
      <c r="C404" s="577"/>
      <c r="D404" s="493" t="s">
        <v>11</v>
      </c>
      <c r="E404" s="494"/>
      <c r="F404" s="182"/>
      <c r="G404" s="494" t="s">
        <v>89</v>
      </c>
      <c r="H404" s="651" t="str">
        <f>I404</f>
        <v>Other</v>
      </c>
      <c r="I404" s="450" t="s">
        <v>8</v>
      </c>
      <c r="J404" s="577" t="s">
        <v>52</v>
      </c>
      <c r="K404" s="387" t="s">
        <v>362</v>
      </c>
      <c r="L404" s="1047" t="s">
        <v>64</v>
      </c>
      <c r="M404" s="1036">
        <f>SUMIFS('Level of Efficiency Assumptions'!$J:$J,'Level of Efficiency Assumptions'!$D:$D,I404,'Level of Efficiency Assumptions'!$F:$F,J404,'Level of Efficiency Assumptions'!$I:$I,'Water Use Calcs'!L404)</f>
        <v>10</v>
      </c>
      <c r="N404" s="567" t="s">
        <v>660</v>
      </c>
      <c r="O404" s="1048">
        <f>SUMIFS('Detailed Fixture Data'!O:O,'Detailed Fixture Data'!C:C,G404,'Detailed Fixture Data'!E:E,I404,'Detailed Fixture Data'!F:F,J404,'Detailed Fixture Data'!L:L,L404)</f>
        <v>0</v>
      </c>
      <c r="P404" s="1030">
        <f>SUMIFS('Intensity of Use Assumptions'!$J:$J,'Intensity of Use Assumptions'!$D:$D,I404,'Intensity of Use Assumptions'!$G:$G,J404,'Intensity of Use Assumptions'!H:H,K404)</f>
        <v>1</v>
      </c>
      <c r="Q404" s="567" t="s">
        <v>67</v>
      </c>
      <c r="R404" s="1032">
        <f>(SUMPRODUCT(M404:M406,O404:O406)*P404)</f>
        <v>0</v>
      </c>
      <c r="S404" s="1033">
        <f>IF(R404=0,0,M406*P404)</f>
        <v>0</v>
      </c>
      <c r="T404" s="225" t="str">
        <f>G404&amp;"-"&amp;J404</f>
        <v>Rental Car Center A-Other 1</v>
      </c>
      <c r="U404" s="1034">
        <f ca="1">IF(ISNA(VLOOKUP(T404,list!$AV$3:$AW$130,2,FALSE)),1,(VLOOKUP(T404,list!$AV$3:$AW$130,2,FALSE)))</f>
        <v>1</v>
      </c>
      <c r="V404" s="1033">
        <f ca="1">R404*U404</f>
        <v>0</v>
      </c>
      <c r="W404" s="1033">
        <f ca="1">S404*U404</f>
        <v>0</v>
      </c>
    </row>
    <row r="405" spans="2:23" x14ac:dyDescent="0.3">
      <c r="B405" s="182"/>
      <c r="C405" s="577"/>
      <c r="D405" s="493" t="s">
        <v>11</v>
      </c>
      <c r="E405" s="494"/>
      <c r="F405" s="182"/>
      <c r="G405" s="494" t="s">
        <v>89</v>
      </c>
      <c r="H405" s="577"/>
      <c r="I405" s="450" t="s">
        <v>8</v>
      </c>
      <c r="J405" s="577" t="s">
        <v>52</v>
      </c>
      <c r="K405" s="382"/>
      <c r="L405" s="1035" t="s">
        <v>65</v>
      </c>
      <c r="M405" s="1036">
        <f>SUMIFS('Level of Efficiency Assumptions'!$J:$J,'Level of Efficiency Assumptions'!$D:$D,I405,'Level of Efficiency Assumptions'!$F:$F,J405,'Level of Efficiency Assumptions'!$I:$I,'Water Use Calcs'!L405)</f>
        <v>7.5</v>
      </c>
      <c r="N405" s="577"/>
      <c r="O405" s="1048">
        <f>SUMIFS('Detailed Fixture Data'!O:O,'Detailed Fixture Data'!C:C,G405,'Detailed Fixture Data'!E:E,I405,'Detailed Fixture Data'!F:F,J405,'Detailed Fixture Data'!L:L,L405)</f>
        <v>0</v>
      </c>
      <c r="P405" s="1049"/>
      <c r="Q405" s="577"/>
      <c r="R405" s="1039"/>
      <c r="S405" s="521"/>
      <c r="T405" s="225"/>
      <c r="U405" s="521"/>
      <c r="V405" s="1040"/>
      <c r="W405" s="1041"/>
    </row>
    <row r="406" spans="2:23" ht="15" thickBot="1" x14ac:dyDescent="0.35">
      <c r="B406" s="182"/>
      <c r="C406" s="577"/>
      <c r="D406" s="493" t="s">
        <v>11</v>
      </c>
      <c r="E406" s="494"/>
      <c r="F406" s="182"/>
      <c r="G406" s="494" t="s">
        <v>89</v>
      </c>
      <c r="H406" s="577"/>
      <c r="I406" s="450" t="s">
        <v>8</v>
      </c>
      <c r="J406" s="116" t="s">
        <v>52</v>
      </c>
      <c r="K406" s="382"/>
      <c r="L406" s="1042" t="s">
        <v>66</v>
      </c>
      <c r="M406" s="1043">
        <f>SUMIFS('Level of Efficiency Assumptions'!$J:$J,'Level of Efficiency Assumptions'!$D:$D,I406,'Level of Efficiency Assumptions'!$F:$F,J406,'Level of Efficiency Assumptions'!$I:$I,'Water Use Calcs'!L406)</f>
        <v>5</v>
      </c>
      <c r="N406" s="577"/>
      <c r="O406" s="1048">
        <f>SUMIFS('Detailed Fixture Data'!O:O,'Detailed Fixture Data'!C:C,G406,'Detailed Fixture Data'!E:E,I406,'Detailed Fixture Data'!F:F,J406,'Detailed Fixture Data'!L:L,L406)</f>
        <v>0</v>
      </c>
      <c r="P406" s="1049"/>
      <c r="Q406" s="577"/>
      <c r="R406" s="1039"/>
      <c r="S406" s="618"/>
      <c r="T406" s="225"/>
      <c r="U406" s="618"/>
      <c r="V406" s="1045"/>
      <c r="W406" s="1046"/>
    </row>
    <row r="407" spans="2:23" x14ac:dyDescent="0.3">
      <c r="B407" s="182"/>
      <c r="C407" s="577"/>
      <c r="D407" s="493" t="s">
        <v>11</v>
      </c>
      <c r="E407" s="494"/>
      <c r="F407" s="182"/>
      <c r="G407" s="494" t="s">
        <v>89</v>
      </c>
      <c r="H407" s="577"/>
      <c r="I407" s="450" t="s">
        <v>8</v>
      </c>
      <c r="J407" s="577" t="s">
        <v>53</v>
      </c>
      <c r="K407" s="1055" t="s">
        <v>363</v>
      </c>
      <c r="L407" s="1047" t="s">
        <v>64</v>
      </c>
      <c r="M407" s="1036">
        <f>SUMIFS('Level of Efficiency Assumptions'!$J:$J,'Level of Efficiency Assumptions'!$D:$D,I407,'Level of Efficiency Assumptions'!$F:$F,J407,'Level of Efficiency Assumptions'!$I:$I,'Water Use Calcs'!L407)</f>
        <v>10</v>
      </c>
      <c r="N407" s="567" t="s">
        <v>660</v>
      </c>
      <c r="O407" s="1048">
        <f>SUMIFS('Detailed Fixture Data'!O:O,'Detailed Fixture Data'!C:C,G407,'Detailed Fixture Data'!E:E,I407,'Detailed Fixture Data'!F:F,J407,'Detailed Fixture Data'!L:L,L407)</f>
        <v>0</v>
      </c>
      <c r="P407" s="1030">
        <f>SUMIFS('Intensity of Use Assumptions'!$J:$J,'Intensity of Use Assumptions'!$D:$D,I407,'Intensity of Use Assumptions'!$G:$G,J407,'Intensity of Use Assumptions'!H:H,K407)</f>
        <v>1</v>
      </c>
      <c r="Q407" s="567" t="s">
        <v>67</v>
      </c>
      <c r="R407" s="1032">
        <f>(SUMPRODUCT(M407:M409,O407:O409)*P407)</f>
        <v>0</v>
      </c>
      <c r="S407" s="1033">
        <f>IF(R407=0,0,M409*P407)</f>
        <v>0</v>
      </c>
      <c r="T407" s="225" t="str">
        <f>G407&amp;"-"&amp;J407</f>
        <v>Rental Car Center A-Other 2</v>
      </c>
      <c r="U407" s="1034">
        <f ca="1">IF(ISNA(VLOOKUP(T407,list!$AV$3:$AW$130,2,FALSE)),1,(VLOOKUP(T407,list!$AV$3:$AW$130,2,FALSE)))</f>
        <v>1</v>
      </c>
      <c r="V407" s="1033">
        <f ca="1">R407*U407</f>
        <v>0</v>
      </c>
      <c r="W407" s="1033">
        <f ca="1">S407*U407</f>
        <v>0</v>
      </c>
    </row>
    <row r="408" spans="2:23" x14ac:dyDescent="0.3">
      <c r="C408" s="576"/>
      <c r="D408" s="493" t="s">
        <v>11</v>
      </c>
      <c r="E408" s="494"/>
      <c r="F408" s="182"/>
      <c r="G408" s="494" t="s">
        <v>89</v>
      </c>
      <c r="H408" s="577"/>
      <c r="I408" s="450" t="s">
        <v>8</v>
      </c>
      <c r="J408" s="577" t="s">
        <v>53</v>
      </c>
      <c r="K408" s="577"/>
      <c r="L408" s="1035" t="s">
        <v>65</v>
      </c>
      <c r="M408" s="1036">
        <f>SUMIFS('Level of Efficiency Assumptions'!$J:$J,'Level of Efficiency Assumptions'!$D:$D,I408,'Level of Efficiency Assumptions'!$F:$F,J408,'Level of Efficiency Assumptions'!$I:$I,'Water Use Calcs'!L408)</f>
        <v>7.5</v>
      </c>
      <c r="N408" s="577"/>
      <c r="O408" s="1048">
        <f>SUMIFS('Detailed Fixture Data'!O:O,'Detailed Fixture Data'!C:C,G408,'Detailed Fixture Data'!E:E,I408,'Detailed Fixture Data'!F:F,J408,'Detailed Fixture Data'!L:L,L408)</f>
        <v>0</v>
      </c>
      <c r="P408" s="1049"/>
      <c r="Q408" s="577"/>
      <c r="R408" s="1039"/>
      <c r="S408" s="521"/>
      <c r="T408" s="225"/>
      <c r="U408" s="521"/>
      <c r="V408" s="1040"/>
      <c r="W408" s="1041"/>
    </row>
    <row r="409" spans="2:23" ht="15" thickBot="1" x14ac:dyDescent="0.35">
      <c r="C409" s="576"/>
      <c r="D409" s="493" t="s">
        <v>11</v>
      </c>
      <c r="E409" s="494"/>
      <c r="F409" s="182"/>
      <c r="G409" s="494" t="s">
        <v>89</v>
      </c>
      <c r="H409" s="577"/>
      <c r="I409" s="450" t="s">
        <v>8</v>
      </c>
      <c r="J409" s="116" t="s">
        <v>53</v>
      </c>
      <c r="K409" s="116"/>
      <c r="L409" s="1042" t="s">
        <v>66</v>
      </c>
      <c r="M409" s="1043">
        <f>SUMIFS('Level of Efficiency Assumptions'!$J:$J,'Level of Efficiency Assumptions'!$D:$D,I409,'Level of Efficiency Assumptions'!$F:$F,J409,'Level of Efficiency Assumptions'!$I:$I,'Water Use Calcs'!L409)</f>
        <v>5</v>
      </c>
      <c r="N409" s="577"/>
      <c r="O409" s="1048">
        <f>SUMIFS('Detailed Fixture Data'!O:O,'Detailed Fixture Data'!C:C,G409,'Detailed Fixture Data'!E:E,I409,'Detailed Fixture Data'!F:F,J409,'Detailed Fixture Data'!L:L,L409)</f>
        <v>0</v>
      </c>
      <c r="P409" s="1049"/>
      <c r="Q409" s="577"/>
      <c r="R409" s="1039"/>
      <c r="S409" s="618"/>
      <c r="T409" s="225"/>
      <c r="U409" s="618"/>
      <c r="V409" s="1045"/>
      <c r="W409" s="1046"/>
    </row>
    <row r="410" spans="2:23" x14ac:dyDescent="0.3">
      <c r="C410" s="576"/>
      <c r="D410" s="493" t="s">
        <v>11</v>
      </c>
      <c r="E410" s="494"/>
      <c r="F410" s="182"/>
      <c r="G410" s="494" t="s">
        <v>89</v>
      </c>
      <c r="H410" s="577"/>
      <c r="I410" s="450" t="s">
        <v>8</v>
      </c>
      <c r="J410" s="577" t="s">
        <v>54</v>
      </c>
      <c r="K410" s="379" t="s">
        <v>364</v>
      </c>
      <c r="L410" s="1047" t="s">
        <v>64</v>
      </c>
      <c r="M410" s="1036">
        <f>SUMIFS('Level of Efficiency Assumptions'!$J:$J,'Level of Efficiency Assumptions'!$D:$D,I410,'Level of Efficiency Assumptions'!$F:$F,J410,'Level of Efficiency Assumptions'!$I:$I,'Water Use Calcs'!L410)</f>
        <v>10</v>
      </c>
      <c r="N410" s="567" t="s">
        <v>660</v>
      </c>
      <c r="O410" s="1048">
        <f>SUMIFS('Detailed Fixture Data'!O:O,'Detailed Fixture Data'!C:C,G410,'Detailed Fixture Data'!E:E,I410,'Detailed Fixture Data'!F:F,J410,'Detailed Fixture Data'!L:L,L410)</f>
        <v>0</v>
      </c>
      <c r="P410" s="1030">
        <f>SUMIFS('Intensity of Use Assumptions'!$J:$J,'Intensity of Use Assumptions'!$D:$D,I410,'Intensity of Use Assumptions'!$G:$G,J410,'Intensity of Use Assumptions'!H:H,K410)</f>
        <v>1</v>
      </c>
      <c r="Q410" s="567" t="s">
        <v>67</v>
      </c>
      <c r="R410" s="1032">
        <f>(SUMPRODUCT(M410:M412,O410:O412)*P410)</f>
        <v>0</v>
      </c>
      <c r="S410" s="1033">
        <f>IF(R410=0,0,M412*P410)</f>
        <v>0</v>
      </c>
      <c r="T410" s="225" t="str">
        <f>G410&amp;"-"&amp;J410</f>
        <v>Rental Car Center A-Other 3</v>
      </c>
      <c r="U410" s="1034">
        <f ca="1">IF(ISNA(VLOOKUP(T410,list!$AV$3:$AW$130,2,FALSE)),1,(VLOOKUP(T410,list!$AV$3:$AW$130,2,FALSE)))</f>
        <v>1</v>
      </c>
      <c r="V410" s="1033">
        <f ca="1">R410*U410</f>
        <v>0</v>
      </c>
      <c r="W410" s="1033">
        <f ca="1">S410*U410</f>
        <v>0</v>
      </c>
    </row>
    <row r="411" spans="2:23" x14ac:dyDescent="0.3">
      <c r="C411" s="576"/>
      <c r="D411" s="493" t="s">
        <v>11</v>
      </c>
      <c r="E411" s="494"/>
      <c r="F411" s="182"/>
      <c r="G411" s="494" t="s">
        <v>89</v>
      </c>
      <c r="H411" s="577"/>
      <c r="I411" s="450" t="s">
        <v>8</v>
      </c>
      <c r="J411" s="577" t="s">
        <v>54</v>
      </c>
      <c r="K411" s="577"/>
      <c r="L411" s="1035" t="s">
        <v>65</v>
      </c>
      <c r="M411" s="1036">
        <f>SUMIFS('Level of Efficiency Assumptions'!$J:$J,'Level of Efficiency Assumptions'!$D:$D,I411,'Level of Efficiency Assumptions'!$F:$F,J411,'Level of Efficiency Assumptions'!$I:$I,'Water Use Calcs'!L411)</f>
        <v>7.5</v>
      </c>
      <c r="N411" s="577"/>
      <c r="O411" s="1048">
        <f>SUMIFS('Detailed Fixture Data'!O:O,'Detailed Fixture Data'!C:C,G411,'Detailed Fixture Data'!E:E,I411,'Detailed Fixture Data'!F:F,J411,'Detailed Fixture Data'!L:L,L411)</f>
        <v>0</v>
      </c>
      <c r="P411" s="1049"/>
      <c r="Q411" s="577"/>
      <c r="R411" s="1039"/>
      <c r="S411" s="521"/>
      <c r="T411" s="225"/>
      <c r="U411" s="521"/>
      <c r="V411" s="1040"/>
      <c r="W411" s="1041"/>
    </row>
    <row r="412" spans="2:23" ht="15" thickBot="1" x14ac:dyDescent="0.35">
      <c r="C412" s="576"/>
      <c r="D412" s="493" t="s">
        <v>11</v>
      </c>
      <c r="E412" s="494"/>
      <c r="F412" s="182"/>
      <c r="G412" s="501" t="s">
        <v>89</v>
      </c>
      <c r="H412" s="116"/>
      <c r="I412" s="451" t="s">
        <v>8</v>
      </c>
      <c r="J412" s="116" t="s">
        <v>54</v>
      </c>
      <c r="K412" s="116"/>
      <c r="L412" s="1042" t="s">
        <v>66</v>
      </c>
      <c r="M412" s="1043">
        <f>SUMIFS('Level of Efficiency Assumptions'!$J:$J,'Level of Efficiency Assumptions'!$D:$D,I412,'Level of Efficiency Assumptions'!$F:$F,J412,'Level of Efficiency Assumptions'!$I:$I,'Water Use Calcs'!L412)</f>
        <v>5</v>
      </c>
      <c r="N412" s="116"/>
      <c r="O412" s="1048">
        <f>SUMIFS('Detailed Fixture Data'!O:O,'Detailed Fixture Data'!C:C,G412,'Detailed Fixture Data'!E:E,I412,'Detailed Fixture Data'!F:F,J412,'Detailed Fixture Data'!L:L,L412)</f>
        <v>0</v>
      </c>
      <c r="P412" s="1049"/>
      <c r="Q412" s="116"/>
      <c r="R412" s="1039"/>
      <c r="S412" s="618"/>
      <c r="T412" s="225"/>
      <c r="U412" s="618"/>
      <c r="V412" s="1045"/>
      <c r="W412" s="1046"/>
    </row>
    <row r="413" spans="2:23" x14ac:dyDescent="0.3">
      <c r="C413" s="576"/>
      <c r="D413" s="493" t="s">
        <v>11</v>
      </c>
      <c r="E413" s="619" t="str">
        <f>G413</f>
        <v>Rental Car Center B</v>
      </c>
      <c r="F413" s="565" t="str">
        <f>VLOOKUP(E413,'Airport Mapping'!$C$5:$D$39,2,FALSE)</f>
        <v xml:space="preserve"> </v>
      </c>
      <c r="G413" s="494" t="s">
        <v>90</v>
      </c>
      <c r="H413" s="651" t="str">
        <f>I413</f>
        <v>Restrooms</v>
      </c>
      <c r="I413" s="454" t="s">
        <v>37</v>
      </c>
      <c r="J413" s="567" t="s">
        <v>2</v>
      </c>
      <c r="K413" s="577" t="s">
        <v>6</v>
      </c>
      <c r="L413" s="1028" t="s">
        <v>64</v>
      </c>
      <c r="M413" s="1036">
        <f>SUMIFS('Level of Efficiency Assumptions'!$J:$J,'Level of Efficiency Assumptions'!$D:$D,I413,'Level of Efficiency Assumptions'!$F:$F,J413,'Level of Efficiency Assumptions'!$I:$I,'Water Use Calcs'!L413)</f>
        <v>3.5</v>
      </c>
      <c r="N413" s="567" t="s">
        <v>68</v>
      </c>
      <c r="O413" s="1048">
        <f>SUMIFS('Detailed Fixture Data'!O:O,'Detailed Fixture Data'!C:C,G413,'Detailed Fixture Data'!E:E,I413,'Detailed Fixture Data'!F:F,J413,'Detailed Fixture Data'!L:L,L413)</f>
        <v>0</v>
      </c>
      <c r="P413" s="1030">
        <f>SUMIFS('Intensity of Use Assumptions'!$J:$J,'Intensity of Use Assumptions'!$D:$D,I413,'Intensity of Use Assumptions'!$G:$G,J413,'Intensity of Use Assumptions'!H:H,K413)</f>
        <v>2.5</v>
      </c>
      <c r="Q413" s="567" t="s">
        <v>67</v>
      </c>
      <c r="R413" s="1032">
        <f>(SUMPRODUCT(M413:M415,O413:O415)*P413)</f>
        <v>0</v>
      </c>
      <c r="S413" s="1033">
        <f>IF(R413=0,0,M415*P413)</f>
        <v>0</v>
      </c>
      <c r="T413" s="225" t="str">
        <f>G413&amp;"-"&amp;J413</f>
        <v>Rental Car Center B-Toilets</v>
      </c>
      <c r="U413" s="1034">
        <f ca="1">IF(ISNA(VLOOKUP(T413,list!$AV$3:$AW$130,2,FALSE)),1,(VLOOKUP(T413,list!$AV$3:$AW$130,2,FALSE)))</f>
        <v>1</v>
      </c>
      <c r="V413" s="1033">
        <f ca="1">R413*U413</f>
        <v>0</v>
      </c>
      <c r="W413" s="1033">
        <f ca="1">S413*U413</f>
        <v>0</v>
      </c>
    </row>
    <row r="414" spans="2:23" x14ac:dyDescent="0.3">
      <c r="C414" s="576"/>
      <c r="D414" s="493" t="s">
        <v>11</v>
      </c>
      <c r="E414" s="494"/>
      <c r="F414" s="182"/>
      <c r="G414" s="494" t="s">
        <v>90</v>
      </c>
      <c r="H414" s="577"/>
      <c r="I414" s="450" t="s">
        <v>37</v>
      </c>
      <c r="J414" s="577" t="s">
        <v>2</v>
      </c>
      <c r="K414" s="577"/>
      <c r="L414" s="1035" t="s">
        <v>65</v>
      </c>
      <c r="M414" s="1036">
        <f>SUMIFS('Level of Efficiency Assumptions'!$J:$J,'Level of Efficiency Assumptions'!$D:$D,I414,'Level of Efficiency Assumptions'!$F:$F,J414,'Level of Efficiency Assumptions'!$I:$I,'Water Use Calcs'!L414)</f>
        <v>1.6</v>
      </c>
      <c r="N414" s="577"/>
      <c r="O414" s="1048">
        <f>SUMIFS('Detailed Fixture Data'!O:O,'Detailed Fixture Data'!C:C,G414,'Detailed Fixture Data'!E:E,I414,'Detailed Fixture Data'!F:F,J414,'Detailed Fixture Data'!L:L,L414)</f>
        <v>0</v>
      </c>
      <c r="P414" s="1049"/>
      <c r="Q414" s="577"/>
      <c r="R414" s="1039"/>
      <c r="S414" s="521"/>
      <c r="T414" s="225"/>
      <c r="U414" s="521"/>
      <c r="V414" s="1040"/>
      <c r="W414" s="1041"/>
    </row>
    <row r="415" spans="2:23" ht="15" thickBot="1" x14ac:dyDescent="0.35">
      <c r="C415" s="576"/>
      <c r="D415" s="493" t="s">
        <v>11</v>
      </c>
      <c r="E415" s="494"/>
      <c r="F415" s="182"/>
      <c r="G415" s="494" t="s">
        <v>90</v>
      </c>
      <c r="H415" s="577"/>
      <c r="I415" s="450" t="s">
        <v>37</v>
      </c>
      <c r="J415" s="116" t="s">
        <v>2</v>
      </c>
      <c r="K415" s="116"/>
      <c r="L415" s="1042" t="s">
        <v>66</v>
      </c>
      <c r="M415" s="1043">
        <f>SUMIFS('Level of Efficiency Assumptions'!$J:$J,'Level of Efficiency Assumptions'!$D:$D,I415,'Level of Efficiency Assumptions'!$F:$F,J415,'Level of Efficiency Assumptions'!$I:$I,'Water Use Calcs'!L415)</f>
        <v>1.28</v>
      </c>
      <c r="N415" s="577"/>
      <c r="O415" s="1048">
        <f>SUMIFS('Detailed Fixture Data'!O:O,'Detailed Fixture Data'!C:C,G415,'Detailed Fixture Data'!E:E,I415,'Detailed Fixture Data'!F:F,J415,'Detailed Fixture Data'!L:L,L415)</f>
        <v>0</v>
      </c>
      <c r="P415" s="1049"/>
      <c r="Q415" s="577"/>
      <c r="R415" s="1039"/>
      <c r="S415" s="618"/>
      <c r="T415" s="225"/>
      <c r="U415" s="618"/>
      <c r="V415" s="1045"/>
      <c r="W415" s="1046"/>
    </row>
    <row r="416" spans="2:23" x14ac:dyDescent="0.3">
      <c r="C416" s="576"/>
      <c r="D416" s="493" t="s">
        <v>11</v>
      </c>
      <c r="E416" s="494"/>
      <c r="F416" s="182"/>
      <c r="G416" s="494" t="s">
        <v>90</v>
      </c>
      <c r="H416" s="577"/>
      <c r="I416" s="450" t="s">
        <v>37</v>
      </c>
      <c r="J416" s="577" t="s">
        <v>4</v>
      </c>
      <c r="K416" s="577" t="s">
        <v>6</v>
      </c>
      <c r="L416" s="1047" t="s">
        <v>64</v>
      </c>
      <c r="M416" s="1036">
        <f>SUMIFS('Level of Efficiency Assumptions'!$J:$J,'Level of Efficiency Assumptions'!$D:$D,I416,'Level of Efficiency Assumptions'!$F:$F,J416,'Level of Efficiency Assumptions'!$I:$I,'Water Use Calcs'!L416)</f>
        <v>2</v>
      </c>
      <c r="N416" s="567" t="s">
        <v>68</v>
      </c>
      <c r="O416" s="1048">
        <f>SUMIFS('Detailed Fixture Data'!O:O,'Detailed Fixture Data'!C:C,G416,'Detailed Fixture Data'!E:E,I416,'Detailed Fixture Data'!F:F,J416,'Detailed Fixture Data'!L:L,L416)</f>
        <v>0</v>
      </c>
      <c r="P416" s="1030">
        <f>SUMIFS('Intensity of Use Assumptions'!$J:$J,'Intensity of Use Assumptions'!$D:$D,I416,'Intensity of Use Assumptions'!$G:$G,J416,'Intensity of Use Assumptions'!H:H,K416)</f>
        <v>1.5</v>
      </c>
      <c r="Q416" s="567" t="s">
        <v>67</v>
      </c>
      <c r="R416" s="1032">
        <f>(SUMPRODUCT(M416:M418,O416:O418)*P416)</f>
        <v>0</v>
      </c>
      <c r="S416" s="1033">
        <f>IF(R416=0,0,M418*P416)</f>
        <v>0</v>
      </c>
      <c r="T416" s="225" t="str">
        <f>G416&amp;"-"&amp;J416</f>
        <v>Rental Car Center B-Urinals</v>
      </c>
      <c r="U416" s="1034">
        <f ca="1">IF(ISNA(VLOOKUP(T416,list!$AV$3:$AW$130,2,FALSE)),1,(VLOOKUP(T416,list!$AV$3:$AW$130,2,FALSE)))</f>
        <v>1</v>
      </c>
      <c r="V416" s="1033">
        <f ca="1">R416*U416</f>
        <v>0</v>
      </c>
      <c r="W416" s="1033">
        <f ca="1">S416*U416</f>
        <v>0</v>
      </c>
    </row>
    <row r="417" spans="3:23" x14ac:dyDescent="0.3">
      <c r="C417" s="576"/>
      <c r="D417" s="493" t="s">
        <v>11</v>
      </c>
      <c r="E417" s="494"/>
      <c r="F417" s="182"/>
      <c r="G417" s="494" t="s">
        <v>90</v>
      </c>
      <c r="H417" s="577"/>
      <c r="I417" s="450" t="s">
        <v>37</v>
      </c>
      <c r="J417" s="577" t="s">
        <v>4</v>
      </c>
      <c r="K417" s="577"/>
      <c r="L417" s="1035" t="s">
        <v>65</v>
      </c>
      <c r="M417" s="1036">
        <f>SUMIFS('Level of Efficiency Assumptions'!$J:$J,'Level of Efficiency Assumptions'!$D:$D,I417,'Level of Efficiency Assumptions'!$F:$F,J417,'Level of Efficiency Assumptions'!$I:$I,'Water Use Calcs'!L417)</f>
        <v>1</v>
      </c>
      <c r="N417" s="577"/>
      <c r="O417" s="1048">
        <f>SUMIFS('Detailed Fixture Data'!O:O,'Detailed Fixture Data'!C:C,G417,'Detailed Fixture Data'!E:E,I417,'Detailed Fixture Data'!F:F,J417,'Detailed Fixture Data'!L:L,L417)</f>
        <v>0</v>
      </c>
      <c r="P417" s="1049"/>
      <c r="Q417" s="577"/>
      <c r="R417" s="1039"/>
      <c r="S417" s="521"/>
      <c r="T417" s="225"/>
      <c r="U417" s="521"/>
      <c r="V417" s="1040"/>
      <c r="W417" s="1041"/>
    </row>
    <row r="418" spans="3:23" ht="15" thickBot="1" x14ac:dyDescent="0.35">
      <c r="C418" s="576"/>
      <c r="D418" s="493" t="s">
        <v>11</v>
      </c>
      <c r="E418" s="494"/>
      <c r="F418" s="182"/>
      <c r="G418" s="494" t="s">
        <v>90</v>
      </c>
      <c r="H418" s="577"/>
      <c r="I418" s="450" t="s">
        <v>37</v>
      </c>
      <c r="J418" s="116" t="s">
        <v>4</v>
      </c>
      <c r="K418" s="116"/>
      <c r="L418" s="1042" t="s">
        <v>66</v>
      </c>
      <c r="M418" s="1043">
        <f>SUMIFS('Level of Efficiency Assumptions'!$J:$J,'Level of Efficiency Assumptions'!$D:$D,I418,'Level of Efficiency Assumptions'!$F:$F,J418,'Level of Efficiency Assumptions'!$I:$I,'Water Use Calcs'!L418)</f>
        <v>0.125</v>
      </c>
      <c r="N418" s="577"/>
      <c r="O418" s="1048">
        <f>SUMIFS('Detailed Fixture Data'!O:O,'Detailed Fixture Data'!C:C,G418,'Detailed Fixture Data'!E:E,I418,'Detailed Fixture Data'!F:F,J418,'Detailed Fixture Data'!L:L,L418)</f>
        <v>0</v>
      </c>
      <c r="P418" s="1049"/>
      <c r="Q418" s="577"/>
      <c r="R418" s="1039"/>
      <c r="S418" s="618"/>
      <c r="T418" s="225"/>
      <c r="U418" s="618"/>
      <c r="V418" s="1045"/>
      <c r="W418" s="1046"/>
    </row>
    <row r="419" spans="3:23" x14ac:dyDescent="0.3">
      <c r="C419" s="576"/>
      <c r="D419" s="493" t="s">
        <v>11</v>
      </c>
      <c r="E419" s="494"/>
      <c r="F419" s="182"/>
      <c r="G419" s="494" t="s">
        <v>90</v>
      </c>
      <c r="H419" s="577"/>
      <c r="I419" s="450" t="s">
        <v>37</v>
      </c>
      <c r="J419" s="577" t="s">
        <v>33</v>
      </c>
      <c r="K419" s="577" t="s">
        <v>6</v>
      </c>
      <c r="L419" s="1047" t="s">
        <v>64</v>
      </c>
      <c r="M419" s="1036">
        <f>SUMIFS('Level of Efficiency Assumptions'!$J:$J,'Level of Efficiency Assumptions'!$D:$D,I419,'Level of Efficiency Assumptions'!$F:$F,J419,'Level of Efficiency Assumptions'!$I:$I,'Water Use Calcs'!L419)</f>
        <v>2</v>
      </c>
      <c r="N419" s="567" t="s">
        <v>78</v>
      </c>
      <c r="O419" s="1048">
        <f>SUMIFS('Detailed Fixture Data'!O:O,'Detailed Fixture Data'!C:C,G419,'Detailed Fixture Data'!E:E,I419,'Detailed Fixture Data'!F:F,J419,'Detailed Fixture Data'!L:L,L419)</f>
        <v>0</v>
      </c>
      <c r="P419" s="1030">
        <f>SUMIFS('Intensity of Use Assumptions'!$J:$J,'Intensity of Use Assumptions'!$D:$D,I419,'Intensity of Use Assumptions'!$G:$G,J419,'Intensity of Use Assumptions'!H:H,K419)</f>
        <v>0.66666666666666663</v>
      </c>
      <c r="Q419" s="567" t="s">
        <v>133</v>
      </c>
      <c r="R419" s="1032">
        <f>(SUMPRODUCT(M419:M421,O419:O421)*P419)</f>
        <v>0</v>
      </c>
      <c r="S419" s="1033">
        <f>IF(R419=0,0,M421*P419)</f>
        <v>0</v>
      </c>
      <c r="T419" s="225" t="str">
        <f>G419&amp;"-"&amp;J419</f>
        <v>Rental Car Center B-Faucets</v>
      </c>
      <c r="U419" s="1034">
        <f ca="1">IF(ISNA(VLOOKUP(T419,list!$AV$3:$AW$130,2,FALSE)),1,(VLOOKUP(T419,list!$AV$3:$AW$130,2,FALSE)))</f>
        <v>1</v>
      </c>
      <c r="V419" s="1033">
        <f ca="1">R419*U419</f>
        <v>0</v>
      </c>
      <c r="W419" s="1033">
        <f ca="1">S419*U419</f>
        <v>0</v>
      </c>
    </row>
    <row r="420" spans="3:23" x14ac:dyDescent="0.3">
      <c r="C420" s="576"/>
      <c r="D420" s="493" t="s">
        <v>11</v>
      </c>
      <c r="E420" s="494"/>
      <c r="F420" s="182"/>
      <c r="G420" s="494" t="s">
        <v>90</v>
      </c>
      <c r="H420" s="577"/>
      <c r="I420" s="450" t="s">
        <v>37</v>
      </c>
      <c r="J420" s="577" t="s">
        <v>33</v>
      </c>
      <c r="K420" s="577"/>
      <c r="L420" s="1035" t="s">
        <v>65</v>
      </c>
      <c r="M420" s="1036">
        <f>SUMIFS('Level of Efficiency Assumptions'!$J:$J,'Level of Efficiency Assumptions'!$D:$D,I420,'Level of Efficiency Assumptions'!$F:$F,J420,'Level of Efficiency Assumptions'!$I:$I,'Water Use Calcs'!L420)</f>
        <v>1</v>
      </c>
      <c r="N420" s="577"/>
      <c r="O420" s="1048">
        <f>SUMIFS('Detailed Fixture Data'!O:O,'Detailed Fixture Data'!C:C,G420,'Detailed Fixture Data'!E:E,I420,'Detailed Fixture Data'!F:F,J420,'Detailed Fixture Data'!L:L,L420)</f>
        <v>0</v>
      </c>
      <c r="P420" s="1049"/>
      <c r="Q420" s="577"/>
      <c r="R420" s="1039"/>
      <c r="S420" s="521"/>
      <c r="T420" s="225"/>
      <c r="U420" s="521"/>
      <c r="V420" s="1040"/>
      <c r="W420" s="1041"/>
    </row>
    <row r="421" spans="3:23" ht="15" thickBot="1" x14ac:dyDescent="0.35">
      <c r="C421" s="576"/>
      <c r="D421" s="493" t="s">
        <v>11</v>
      </c>
      <c r="E421" s="494"/>
      <c r="F421" s="182"/>
      <c r="G421" s="494" t="s">
        <v>90</v>
      </c>
      <c r="H421" s="577"/>
      <c r="I421" s="451" t="s">
        <v>37</v>
      </c>
      <c r="J421" s="116" t="s">
        <v>33</v>
      </c>
      <c r="K421" s="116"/>
      <c r="L421" s="1042" t="s">
        <v>66</v>
      </c>
      <c r="M421" s="1043">
        <f>SUMIFS('Level of Efficiency Assumptions'!$J:$J,'Level of Efficiency Assumptions'!$D:$D,I421,'Level of Efficiency Assumptions'!$F:$F,J421,'Level of Efficiency Assumptions'!$I:$I,'Water Use Calcs'!L421)</f>
        <v>0.5</v>
      </c>
      <c r="N421" s="577"/>
      <c r="O421" s="1048">
        <f>SUMIFS('Detailed Fixture Data'!O:O,'Detailed Fixture Data'!C:C,G421,'Detailed Fixture Data'!E:E,I421,'Detailed Fixture Data'!F:F,J421,'Detailed Fixture Data'!L:L,L421)</f>
        <v>0</v>
      </c>
      <c r="P421" s="1049"/>
      <c r="Q421" s="577"/>
      <c r="R421" s="1039"/>
      <c r="S421" s="618"/>
      <c r="T421" s="225"/>
      <c r="U421" s="618"/>
      <c r="V421" s="1045"/>
      <c r="W421" s="1046"/>
    </row>
    <row r="422" spans="3:23" x14ac:dyDescent="0.3">
      <c r="C422" s="576"/>
      <c r="D422" s="493" t="s">
        <v>11</v>
      </c>
      <c r="E422" s="494"/>
      <c r="F422" s="182"/>
      <c r="G422" s="494" t="s">
        <v>90</v>
      </c>
      <c r="H422" s="651" t="str">
        <f>I422</f>
        <v>Break rooms</v>
      </c>
      <c r="I422" s="450" t="s">
        <v>5</v>
      </c>
      <c r="J422" s="577" t="s">
        <v>33</v>
      </c>
      <c r="K422" s="577" t="s">
        <v>6</v>
      </c>
      <c r="L422" s="1047" t="s">
        <v>64</v>
      </c>
      <c r="M422" s="1036">
        <f>SUMIFS('Level of Efficiency Assumptions'!$J:$J,'Level of Efficiency Assumptions'!$D:$D,I422,'Level of Efficiency Assumptions'!$F:$F,J422,'Level of Efficiency Assumptions'!$I:$I,'Water Use Calcs'!L422)</f>
        <v>2</v>
      </c>
      <c r="N422" s="567" t="s">
        <v>78</v>
      </c>
      <c r="O422" s="1048">
        <f>SUMIFS('Detailed Fixture Data'!O:O,'Detailed Fixture Data'!C:C,G422,'Detailed Fixture Data'!E:E,I422,'Detailed Fixture Data'!F:F,J422,'Detailed Fixture Data'!L:L,L422)</f>
        <v>0</v>
      </c>
      <c r="P422" s="1030">
        <f>SUMIFS('Intensity of Use Assumptions'!$J:$J,'Intensity of Use Assumptions'!$D:$D,I422,'Intensity of Use Assumptions'!$G:$G,J422,'Intensity of Use Assumptions'!H:H,K422)</f>
        <v>0.16666666666666666</v>
      </c>
      <c r="Q422" s="567" t="s">
        <v>133</v>
      </c>
      <c r="R422" s="1032">
        <f>(SUMPRODUCT(M422:M424,O422:O424)*P422)</f>
        <v>0</v>
      </c>
      <c r="S422" s="1033">
        <f>IF(R422=0,0,M424*P422)</f>
        <v>0</v>
      </c>
      <c r="T422" s="225" t="str">
        <f>G422&amp;"-"&amp;J422</f>
        <v>Rental Car Center B-Faucets</v>
      </c>
      <c r="U422" s="1034">
        <f ca="1">IF(ISNA(VLOOKUP(T422,list!$AV$3:$AW$130,2,FALSE)),1,(VLOOKUP(T422,list!$AV$3:$AW$130,2,FALSE)))</f>
        <v>1</v>
      </c>
      <c r="V422" s="1033">
        <f ca="1">R422*U422</f>
        <v>0</v>
      </c>
      <c r="W422" s="1033">
        <f ca="1">S422*U422</f>
        <v>0</v>
      </c>
    </row>
    <row r="423" spans="3:23" x14ac:dyDescent="0.3">
      <c r="C423" s="576"/>
      <c r="D423" s="493" t="s">
        <v>11</v>
      </c>
      <c r="E423" s="494"/>
      <c r="F423" s="182"/>
      <c r="G423" s="494" t="s">
        <v>90</v>
      </c>
      <c r="H423" s="577"/>
      <c r="I423" s="450" t="s">
        <v>5</v>
      </c>
      <c r="J423" s="577" t="s">
        <v>33</v>
      </c>
      <c r="K423" s="577"/>
      <c r="L423" s="1035" t="s">
        <v>65</v>
      </c>
      <c r="M423" s="1036">
        <f>SUMIFS('Level of Efficiency Assumptions'!$J:$J,'Level of Efficiency Assumptions'!$D:$D,I423,'Level of Efficiency Assumptions'!$F:$F,J423,'Level of Efficiency Assumptions'!$I:$I,'Water Use Calcs'!L423)</f>
        <v>1</v>
      </c>
      <c r="N423" s="577"/>
      <c r="O423" s="1048">
        <f>SUMIFS('Detailed Fixture Data'!O:O,'Detailed Fixture Data'!C:C,G423,'Detailed Fixture Data'!E:E,I423,'Detailed Fixture Data'!F:F,J423,'Detailed Fixture Data'!L:L,L423)</f>
        <v>0</v>
      </c>
      <c r="P423" s="1049"/>
      <c r="Q423" s="577"/>
      <c r="R423" s="1039"/>
      <c r="S423" s="521"/>
      <c r="T423" s="225"/>
      <c r="U423" s="521"/>
      <c r="V423" s="1040"/>
      <c r="W423" s="1041"/>
    </row>
    <row r="424" spans="3:23" ht="15" thickBot="1" x14ac:dyDescent="0.35">
      <c r="C424" s="576"/>
      <c r="D424" s="493" t="s">
        <v>11</v>
      </c>
      <c r="E424" s="494"/>
      <c r="F424" s="182"/>
      <c r="G424" s="494" t="s">
        <v>90</v>
      </c>
      <c r="H424" s="577"/>
      <c r="I424" s="451" t="s">
        <v>5</v>
      </c>
      <c r="J424" s="116" t="s">
        <v>33</v>
      </c>
      <c r="K424" s="116"/>
      <c r="L424" s="1042" t="s">
        <v>66</v>
      </c>
      <c r="M424" s="1043">
        <f>SUMIFS('Level of Efficiency Assumptions'!$J:$J,'Level of Efficiency Assumptions'!$D:$D,I424,'Level of Efficiency Assumptions'!$F:$F,J424,'Level of Efficiency Assumptions'!$I:$I,'Water Use Calcs'!L424)</f>
        <v>0.5</v>
      </c>
      <c r="N424" s="577"/>
      <c r="O424" s="1048">
        <f>SUMIFS('Detailed Fixture Data'!O:O,'Detailed Fixture Data'!C:C,G424,'Detailed Fixture Data'!E:E,I424,'Detailed Fixture Data'!F:F,J424,'Detailed Fixture Data'!L:L,L424)</f>
        <v>0</v>
      </c>
      <c r="P424" s="1049"/>
      <c r="Q424" s="577"/>
      <c r="R424" s="1039"/>
      <c r="S424" s="618"/>
      <c r="T424" s="225"/>
      <c r="U424" s="618"/>
      <c r="V424" s="1045"/>
      <c r="W424" s="1046"/>
    </row>
    <row r="425" spans="3:23" x14ac:dyDescent="0.3">
      <c r="C425" s="576"/>
      <c r="D425" s="493" t="s">
        <v>11</v>
      </c>
      <c r="E425" s="494"/>
      <c r="F425" s="182"/>
      <c r="G425" s="494" t="s">
        <v>90</v>
      </c>
      <c r="H425" s="651" t="str">
        <f>I425</f>
        <v>Landscaping</v>
      </c>
      <c r="I425" s="450" t="s">
        <v>39</v>
      </c>
      <c r="J425" s="577" t="s">
        <v>42</v>
      </c>
      <c r="K425" s="577" t="s">
        <v>32</v>
      </c>
      <c r="L425" s="1047" t="s">
        <v>64</v>
      </c>
      <c r="M425" s="1036">
        <f>SUMIFS('Level of Efficiency Assumptions'!$J:$J,'Level of Efficiency Assumptions'!$D:$D,I425,'Level of Efficiency Assumptions'!$F:$F,J425,'Level of Efficiency Assumptions'!$I:$I,'Water Use Calcs'!L425)</f>
        <v>28.6</v>
      </c>
      <c r="N425" s="567" t="s">
        <v>816</v>
      </c>
      <c r="O425" s="1048">
        <f>SUMIFS('Detailed Fixture Data'!O:O,'Detailed Fixture Data'!C:C,G425,'Detailed Fixture Data'!E:E,I425,'Detailed Fixture Data'!F:F,J425,'Detailed Fixture Data'!L:L,L425)</f>
        <v>0</v>
      </c>
      <c r="P425" s="1030">
        <f>SUMIFS('Intensity of Use Assumptions'!$J:$J,'Intensity of Use Assumptions'!$D:$D,I425,'Intensity of Use Assumptions'!$G:$G,J425,'Intensity of Use Assumptions'!H:H,K425,'Intensity of Use Assumptions'!F:F,D425)</f>
        <v>2.7397260273972603E-3</v>
      </c>
      <c r="Q425" s="567" t="s">
        <v>815</v>
      </c>
      <c r="R425" s="1032">
        <f>(SUMPRODUCT(M425:M427,O425:O427)*P425)</f>
        <v>0</v>
      </c>
      <c r="S425" s="1033">
        <f>IF(R425=0,0,M427*P425)</f>
        <v>0</v>
      </c>
      <c r="T425" s="225" t="str">
        <f>G425&amp;"-"&amp;J425</f>
        <v>Rental Car Center B-Outdoor irrigation</v>
      </c>
      <c r="U425" s="1034">
        <f ca="1">IF(ISNA(VLOOKUP(T425,list!$AV$3:$AW$130,2,FALSE)),1,(VLOOKUP(T425,list!$AV$3:$AW$130,2,FALSE)))</f>
        <v>1</v>
      </c>
      <c r="V425" s="1033">
        <f ca="1">R425*U425</f>
        <v>0</v>
      </c>
      <c r="W425" s="1033">
        <f ca="1">S425*U425</f>
        <v>0</v>
      </c>
    </row>
    <row r="426" spans="3:23" x14ac:dyDescent="0.3">
      <c r="C426" s="576"/>
      <c r="D426" s="493" t="s">
        <v>11</v>
      </c>
      <c r="E426" s="494"/>
      <c r="F426" s="182"/>
      <c r="G426" s="494" t="s">
        <v>90</v>
      </c>
      <c r="H426" s="577"/>
      <c r="I426" s="450" t="s">
        <v>39</v>
      </c>
      <c r="J426" s="577" t="s">
        <v>42</v>
      </c>
      <c r="K426" s="577"/>
      <c r="L426" s="1035" t="s">
        <v>65</v>
      </c>
      <c r="M426" s="1036">
        <f>SUMIFS('Level of Efficiency Assumptions'!$J:$J,'Level of Efficiency Assumptions'!$D:$D,I426,'Level of Efficiency Assumptions'!$F:$F,J426,'Level of Efficiency Assumptions'!$I:$I,'Water Use Calcs'!L426)</f>
        <v>13.980821518350929</v>
      </c>
      <c r="N426" s="577"/>
      <c r="O426" s="1048">
        <f>SUMIFS('Detailed Fixture Data'!O:O,'Detailed Fixture Data'!C:C,G426,'Detailed Fixture Data'!E:E,I426,'Detailed Fixture Data'!F:F,J426,'Detailed Fixture Data'!L:L,L426)</f>
        <v>0</v>
      </c>
      <c r="P426" s="1049"/>
      <c r="Q426" s="577"/>
      <c r="R426" s="1039"/>
      <c r="S426" s="521"/>
      <c r="T426" s="225"/>
      <c r="U426" s="521"/>
      <c r="V426" s="1040"/>
      <c r="W426" s="1041"/>
    </row>
    <row r="427" spans="3:23" ht="15" thickBot="1" x14ac:dyDescent="0.35">
      <c r="C427" s="576"/>
      <c r="D427" s="493" t="s">
        <v>11</v>
      </c>
      <c r="E427" s="494"/>
      <c r="F427" s="182"/>
      <c r="G427" s="494" t="s">
        <v>90</v>
      </c>
      <c r="H427" s="577"/>
      <c r="I427" s="451" t="s">
        <v>39</v>
      </c>
      <c r="J427" s="116" t="s">
        <v>42</v>
      </c>
      <c r="K427" s="116"/>
      <c r="L427" s="1042" t="s">
        <v>66</v>
      </c>
      <c r="M427" s="1043">
        <f>SUMIFS('Level of Efficiency Assumptions'!$J:$J,'Level of Efficiency Assumptions'!$D:$D,I427,'Level of Efficiency Assumptions'!$F:$F,J427,'Level of Efficiency Assumptions'!$I:$I,'Water Use Calcs'!L427)</f>
        <v>0.59137254901960778</v>
      </c>
      <c r="N427" s="577"/>
      <c r="O427" s="1048">
        <f>SUMIFS('Detailed Fixture Data'!O:O,'Detailed Fixture Data'!C:C,G427,'Detailed Fixture Data'!E:E,I427,'Detailed Fixture Data'!F:F,J427,'Detailed Fixture Data'!L:L,L427)</f>
        <v>0</v>
      </c>
      <c r="P427" s="1049"/>
      <c r="Q427" s="577"/>
      <c r="R427" s="1039"/>
      <c r="S427" s="618"/>
      <c r="T427" s="225"/>
      <c r="U427" s="618"/>
      <c r="V427" s="1045"/>
      <c r="W427" s="1046"/>
    </row>
    <row r="428" spans="3:23" x14ac:dyDescent="0.3">
      <c r="C428" s="576"/>
      <c r="D428" s="493" t="s">
        <v>11</v>
      </c>
      <c r="E428" s="494"/>
      <c r="F428" s="182"/>
      <c r="G428" s="494" t="s">
        <v>90</v>
      </c>
      <c r="H428" s="651" t="str">
        <f>I428</f>
        <v>Maintenance</v>
      </c>
      <c r="I428" s="450" t="s">
        <v>43</v>
      </c>
      <c r="J428" s="577" t="s">
        <v>111</v>
      </c>
      <c r="K428" s="217" t="s">
        <v>424</v>
      </c>
      <c r="L428" s="1047" t="s">
        <v>64</v>
      </c>
      <c r="M428" s="1036">
        <f>SUMIFS('Level of Efficiency Assumptions'!$J:$J,'Level of Efficiency Assumptions'!$D:$D,I428,'Level of Efficiency Assumptions'!$F:$F,J428,'Level of Efficiency Assumptions'!$I:$I,'Water Use Calcs'!L428)</f>
        <v>100</v>
      </c>
      <c r="N428" s="567" t="s">
        <v>659</v>
      </c>
      <c r="O428" s="1048">
        <f>SUMIFS('Detailed Fixture Data'!O:O,'Detailed Fixture Data'!C:C,G428,'Detailed Fixture Data'!E:E,I428,'Detailed Fixture Data'!F:F,J428,'Detailed Fixture Data'!L:L,L428)</f>
        <v>0</v>
      </c>
      <c r="P428" s="1030">
        <f>SUMIFS('Intensity of Use Assumptions'!$J:$J,'Intensity of Use Assumptions'!$D:$D,I428,'Intensity of Use Assumptions'!$G:$G,J428,'Intensity of Use Assumptions'!H:H,K428)</f>
        <v>1</v>
      </c>
      <c r="Q428" s="567" t="s">
        <v>67</v>
      </c>
      <c r="R428" s="1032">
        <f>(SUMPRODUCT(M428:M430,O428:O430)*P428)</f>
        <v>0</v>
      </c>
      <c r="S428" s="1033">
        <f>IF(R428=0,0,M430*P428)</f>
        <v>0</v>
      </c>
      <c r="T428" s="225" t="str">
        <f>G428&amp;"-"&amp;J428</f>
        <v>Rental Car Center B-Boiler</v>
      </c>
      <c r="U428" s="1034">
        <f ca="1">IF(ISNA(VLOOKUP(T428,list!$AV$3:$AW$130,2,FALSE)),1,(VLOOKUP(T428,list!$AV$3:$AW$130,2,FALSE)))</f>
        <v>1</v>
      </c>
      <c r="V428" s="1033">
        <f ca="1">R428*U428</f>
        <v>0</v>
      </c>
      <c r="W428" s="1033">
        <f ca="1">S428*U428</f>
        <v>0</v>
      </c>
    </row>
    <row r="429" spans="3:23" x14ac:dyDescent="0.3">
      <c r="C429" s="576"/>
      <c r="D429" s="493" t="s">
        <v>11</v>
      </c>
      <c r="E429" s="494"/>
      <c r="F429" s="182"/>
      <c r="G429" s="494" t="s">
        <v>90</v>
      </c>
      <c r="H429" s="577"/>
      <c r="I429" s="450" t="s">
        <v>43</v>
      </c>
      <c r="J429" s="577" t="s">
        <v>111</v>
      </c>
      <c r="K429" s="382"/>
      <c r="L429" s="1035" t="s">
        <v>65</v>
      </c>
      <c r="M429" s="1036">
        <f>SUMIFS('Level of Efficiency Assumptions'!$J:$J,'Level of Efficiency Assumptions'!$D:$D,I429,'Level of Efficiency Assumptions'!$F:$F,J429,'Level of Efficiency Assumptions'!$I:$I,'Water Use Calcs'!L429)</f>
        <v>75</v>
      </c>
      <c r="N429" s="577"/>
      <c r="O429" s="1048">
        <f>SUMIFS('Detailed Fixture Data'!O:O,'Detailed Fixture Data'!C:C,G429,'Detailed Fixture Data'!E:E,I429,'Detailed Fixture Data'!F:F,J429,'Detailed Fixture Data'!L:L,L429)</f>
        <v>0</v>
      </c>
      <c r="P429" s="1049"/>
      <c r="Q429" s="577"/>
      <c r="R429" s="1039"/>
      <c r="S429" s="521"/>
      <c r="T429" s="225"/>
      <c r="U429" s="521"/>
      <c r="V429" s="1040"/>
      <c r="W429" s="1041"/>
    </row>
    <row r="430" spans="3:23" ht="15" thickBot="1" x14ac:dyDescent="0.35">
      <c r="C430" s="576"/>
      <c r="D430" s="493" t="s">
        <v>11</v>
      </c>
      <c r="E430" s="494"/>
      <c r="F430" s="182"/>
      <c r="G430" s="494" t="s">
        <v>90</v>
      </c>
      <c r="H430" s="577"/>
      <c r="I430" s="450" t="s">
        <v>43</v>
      </c>
      <c r="J430" s="116" t="s">
        <v>111</v>
      </c>
      <c r="K430" s="116"/>
      <c r="L430" s="1042" t="s">
        <v>66</v>
      </c>
      <c r="M430" s="1043">
        <f>SUMIFS('Level of Efficiency Assumptions'!$J:$J,'Level of Efficiency Assumptions'!$D:$D,I430,'Level of Efficiency Assumptions'!$F:$F,J430,'Level of Efficiency Assumptions'!$I:$I,'Water Use Calcs'!L430)</f>
        <v>50</v>
      </c>
      <c r="N430" s="577"/>
      <c r="O430" s="1048">
        <f>SUMIFS('Detailed Fixture Data'!O:O,'Detailed Fixture Data'!C:C,G430,'Detailed Fixture Data'!E:E,I430,'Detailed Fixture Data'!F:F,J430,'Detailed Fixture Data'!L:L,L430)</f>
        <v>0</v>
      </c>
      <c r="P430" s="1049"/>
      <c r="Q430" s="577"/>
      <c r="R430" s="1039"/>
      <c r="S430" s="618"/>
      <c r="T430" s="225"/>
      <c r="U430" s="618"/>
      <c r="V430" s="1045"/>
      <c r="W430" s="1046"/>
    </row>
    <row r="431" spans="3:23" x14ac:dyDescent="0.3">
      <c r="C431" s="576"/>
      <c r="D431" s="493" t="s">
        <v>11</v>
      </c>
      <c r="E431" s="494"/>
      <c r="F431" s="182"/>
      <c r="G431" s="494" t="s">
        <v>90</v>
      </c>
      <c r="H431" s="577"/>
      <c r="I431" s="450" t="s">
        <v>43</v>
      </c>
      <c r="J431" s="577" t="s">
        <v>7</v>
      </c>
      <c r="K431" s="215" t="s">
        <v>365</v>
      </c>
      <c r="L431" s="1012" t="s">
        <v>257</v>
      </c>
      <c r="M431" s="1050"/>
      <c r="N431" s="1050"/>
      <c r="O431" s="1050"/>
      <c r="P431" s="1051"/>
      <c r="Q431" s="981"/>
      <c r="R431" s="1052">
        <f>SUMIFS('Cooling Data'!H:H,'Cooling Data'!$C:$C,$G431,'Cooling Data'!$E:$E,$I431,'Cooling Data'!$F:$F,$J431)</f>
        <v>0</v>
      </c>
      <c r="S431" s="1052">
        <f>SUMIFS('Cooling Data'!J:J,'Cooling Data'!$C:$C,$G431,'Cooling Data'!$E:$E,$I431,'Cooling Data'!$F:$F,$J431)</f>
        <v>0</v>
      </c>
      <c r="T431" s="225" t="str">
        <f>G431&amp;"-"&amp;J431</f>
        <v>Rental Car Center B-Cooling</v>
      </c>
      <c r="U431" s="1034">
        <f ca="1">IF(ISNA(VLOOKUP(T431,list!$AV$3:$AW$130,2,FALSE)),1,(VLOOKUP(T431,list!$AV$3:$AW$130,2,FALSE)))</f>
        <v>1</v>
      </c>
      <c r="V431" s="1033">
        <f ca="1">R431*U431</f>
        <v>0</v>
      </c>
      <c r="W431" s="1033">
        <f ca="1">S431*U431</f>
        <v>0</v>
      </c>
    </row>
    <row r="432" spans="3:23" x14ac:dyDescent="0.3">
      <c r="C432" s="576"/>
      <c r="D432" s="493" t="s">
        <v>11</v>
      </c>
      <c r="E432" s="494"/>
      <c r="F432" s="182"/>
      <c r="G432" s="494" t="s">
        <v>90</v>
      </c>
      <c r="H432" s="577"/>
      <c r="I432" s="450" t="s">
        <v>43</v>
      </c>
      <c r="J432" s="577" t="s">
        <v>7</v>
      </c>
      <c r="K432" s="577"/>
      <c r="L432" s="206"/>
      <c r="M432" s="181"/>
      <c r="N432" s="181"/>
      <c r="O432" s="181"/>
      <c r="P432" s="1053"/>
      <c r="Q432" s="439"/>
      <c r="R432" s="1039"/>
      <c r="S432" s="521"/>
      <c r="T432" s="225"/>
      <c r="U432" s="521"/>
      <c r="V432" s="1040"/>
      <c r="W432" s="1041"/>
    </row>
    <row r="433" spans="3:23" ht="15" thickBot="1" x14ac:dyDescent="0.35">
      <c r="C433" s="576"/>
      <c r="D433" s="493" t="s">
        <v>11</v>
      </c>
      <c r="E433" s="494"/>
      <c r="F433" s="182"/>
      <c r="G433" s="494" t="s">
        <v>90</v>
      </c>
      <c r="H433" s="577"/>
      <c r="I433" s="450" t="s">
        <v>43</v>
      </c>
      <c r="J433" s="116" t="s">
        <v>7</v>
      </c>
      <c r="K433" s="116"/>
      <c r="L433" s="207"/>
      <c r="M433" s="924"/>
      <c r="N433" s="924"/>
      <c r="O433" s="924"/>
      <c r="P433" s="1054"/>
      <c r="Q433" s="606"/>
      <c r="R433" s="1039"/>
      <c r="S433" s="618"/>
      <c r="T433" s="225"/>
      <c r="U433" s="618"/>
      <c r="V433" s="1045"/>
      <c r="W433" s="1046"/>
    </row>
    <row r="434" spans="3:23" x14ac:dyDescent="0.3">
      <c r="C434" s="576"/>
      <c r="D434" s="493" t="s">
        <v>11</v>
      </c>
      <c r="E434" s="494"/>
      <c r="F434" s="182"/>
      <c r="G434" s="494" t="s">
        <v>90</v>
      </c>
      <c r="H434" s="577"/>
      <c r="I434" s="450" t="s">
        <v>43</v>
      </c>
      <c r="J434" s="577" t="s">
        <v>9</v>
      </c>
      <c r="K434" s="577" t="s">
        <v>12</v>
      </c>
      <c r="L434" s="1047" t="s">
        <v>64</v>
      </c>
      <c r="M434" s="1036">
        <f>SUMIFS('Level of Efficiency Assumptions'!$J:$J,'Level of Efficiency Assumptions'!$D:$D,I434,'Level of Efficiency Assumptions'!$F:$F,J434,'Level of Efficiency Assumptions'!$I:$I,'Water Use Calcs'!L434)</f>
        <v>80</v>
      </c>
      <c r="N434" s="567" t="s">
        <v>588</v>
      </c>
      <c r="O434" s="1048">
        <f>SUMIFS('Detailed Fixture Data'!O:O,'Detailed Fixture Data'!C:C,G434,'Detailed Fixture Data'!E:E,I434,'Detailed Fixture Data'!F:F,J434,'Detailed Fixture Data'!L:L,L434)</f>
        <v>0</v>
      </c>
      <c r="P434" s="1030">
        <f>SUMIFS('Intensity of Use Assumptions'!$J:$J,'Intensity of Use Assumptions'!$D:$D,I434,'Intensity of Use Assumptions'!$G:$G,J434,'Intensity of Use Assumptions'!H:H,K434)</f>
        <v>1</v>
      </c>
      <c r="Q434" s="567" t="s">
        <v>67</v>
      </c>
      <c r="R434" s="1032">
        <f>(SUMPRODUCT(M434:M436,O434:O436)*P434)</f>
        <v>0</v>
      </c>
      <c r="S434" s="1033">
        <f>IF(R434=0,0,M436*P434)</f>
        <v>0</v>
      </c>
      <c r="T434" s="225" t="str">
        <f>G434&amp;"-"&amp;J434</f>
        <v>Rental Car Center B-Vehicle washing</v>
      </c>
      <c r="U434" s="1034">
        <f ca="1">IF(ISNA(VLOOKUP(T434,list!$AV$3:$AW$130,2,FALSE)),1,(VLOOKUP(T434,list!$AV$3:$AW$130,2,FALSE)))</f>
        <v>1</v>
      </c>
      <c r="V434" s="1033">
        <f ca="1">R434*U434</f>
        <v>0</v>
      </c>
      <c r="W434" s="1033">
        <f ca="1">S434*U434</f>
        <v>0</v>
      </c>
    </row>
    <row r="435" spans="3:23" x14ac:dyDescent="0.3">
      <c r="C435" s="576"/>
      <c r="D435" s="493" t="s">
        <v>11</v>
      </c>
      <c r="E435" s="494"/>
      <c r="F435" s="182"/>
      <c r="G435" s="494" t="s">
        <v>90</v>
      </c>
      <c r="H435" s="577"/>
      <c r="I435" s="450" t="s">
        <v>43</v>
      </c>
      <c r="J435" s="577" t="s">
        <v>9</v>
      </c>
      <c r="K435" s="577"/>
      <c r="L435" s="1035" t="s">
        <v>65</v>
      </c>
      <c r="M435" s="1036">
        <f>SUMIFS('Level of Efficiency Assumptions'!$J:$J,'Level of Efficiency Assumptions'!$D:$D,I435,'Level of Efficiency Assumptions'!$F:$F,J435,'Level of Efficiency Assumptions'!$I:$I,'Water Use Calcs'!L435)</f>
        <v>40</v>
      </c>
      <c r="N435" s="577"/>
      <c r="O435" s="1048">
        <f>SUMIFS('Detailed Fixture Data'!O:O,'Detailed Fixture Data'!C:C,G435,'Detailed Fixture Data'!E:E,I435,'Detailed Fixture Data'!F:F,J435,'Detailed Fixture Data'!L:L,L435)</f>
        <v>0</v>
      </c>
      <c r="P435" s="1049"/>
      <c r="Q435" s="577"/>
      <c r="R435" s="1039"/>
      <c r="S435" s="521"/>
      <c r="T435" s="225"/>
      <c r="U435" s="521"/>
      <c r="V435" s="1040"/>
      <c r="W435" s="1041"/>
    </row>
    <row r="436" spans="3:23" ht="15" thickBot="1" x14ac:dyDescent="0.35">
      <c r="C436" s="576"/>
      <c r="D436" s="493" t="s">
        <v>11</v>
      </c>
      <c r="E436" s="494"/>
      <c r="F436" s="182"/>
      <c r="G436" s="494" t="s">
        <v>90</v>
      </c>
      <c r="H436" s="577"/>
      <c r="I436" s="450" t="s">
        <v>43</v>
      </c>
      <c r="J436" s="116" t="s">
        <v>9</v>
      </c>
      <c r="K436" s="116"/>
      <c r="L436" s="1042" t="s">
        <v>66</v>
      </c>
      <c r="M436" s="1043">
        <f>SUMIFS('Level of Efficiency Assumptions'!$J:$J,'Level of Efficiency Assumptions'!$D:$D,I436,'Level of Efficiency Assumptions'!$F:$F,J436,'Level of Efficiency Assumptions'!$I:$I,'Water Use Calcs'!L436)</f>
        <v>30</v>
      </c>
      <c r="N436" s="577"/>
      <c r="O436" s="1048">
        <f>SUMIFS('Detailed Fixture Data'!O:O,'Detailed Fixture Data'!C:C,G436,'Detailed Fixture Data'!E:E,I436,'Detailed Fixture Data'!F:F,J436,'Detailed Fixture Data'!L:L,L436)</f>
        <v>0</v>
      </c>
      <c r="P436" s="1049"/>
      <c r="Q436" s="577"/>
      <c r="R436" s="1039"/>
      <c r="S436" s="618"/>
      <c r="T436" s="225"/>
      <c r="U436" s="618"/>
      <c r="V436" s="1045"/>
      <c r="W436" s="1046"/>
    </row>
    <row r="437" spans="3:23" x14ac:dyDescent="0.3">
      <c r="C437" s="576"/>
      <c r="D437" s="493" t="s">
        <v>11</v>
      </c>
      <c r="E437" s="494"/>
      <c r="F437" s="182"/>
      <c r="G437" s="494" t="s">
        <v>90</v>
      </c>
      <c r="H437" s="577"/>
      <c r="I437" s="450" t="s">
        <v>43</v>
      </c>
      <c r="J437" s="577" t="s">
        <v>426</v>
      </c>
      <c r="K437" s="577" t="s">
        <v>12</v>
      </c>
      <c r="L437" s="1047" t="s">
        <v>64</v>
      </c>
      <c r="M437" s="1036">
        <f>SUMIFS('Level of Efficiency Assumptions'!$J:$J,'Level of Efficiency Assumptions'!$D:$D,I437,'Level of Efficiency Assumptions'!$F:$F,J437,'Level of Efficiency Assumptions'!$I:$I,'Water Use Calcs'!L437)</f>
        <v>10</v>
      </c>
      <c r="N437" s="567" t="s">
        <v>588</v>
      </c>
      <c r="O437" s="1048">
        <f>SUMIFS('Detailed Fixture Data'!O:O,'Detailed Fixture Data'!C:C,G437,'Detailed Fixture Data'!E:E,I437,'Detailed Fixture Data'!F:F,J437,'Detailed Fixture Data'!L:L,L437)</f>
        <v>0</v>
      </c>
      <c r="P437" s="1030">
        <f>SUMIFS('Intensity of Use Assumptions'!$J:$J,'Intensity of Use Assumptions'!$D:$D,I437,'Intensity of Use Assumptions'!$G:$G,J437,'Intensity of Use Assumptions'!H:H,K437)</f>
        <v>1E-3</v>
      </c>
      <c r="Q437" s="567" t="s">
        <v>67</v>
      </c>
      <c r="R437" s="1032">
        <f>(SUMPRODUCT(M437:M439,O437:O439)*P437)</f>
        <v>0</v>
      </c>
      <c r="S437" s="1033">
        <f>IF(R437=0,0,M439*P437)</f>
        <v>0</v>
      </c>
      <c r="T437" s="225" t="str">
        <f>G437&amp;"-"&amp;J437</f>
        <v>Rental Car Center B-Pavement cleaning</v>
      </c>
      <c r="U437" s="1034">
        <f ca="1">IF(ISNA(VLOOKUP(T437,list!$AV$3:$AW$130,2,FALSE)),1,(VLOOKUP(T437,list!$AV$3:$AW$130,2,FALSE)))</f>
        <v>1</v>
      </c>
      <c r="V437" s="1033">
        <f ca="1">R437*U437</f>
        <v>0</v>
      </c>
      <c r="W437" s="1033">
        <f ca="1">S437*U437</f>
        <v>0</v>
      </c>
    </row>
    <row r="438" spans="3:23" x14ac:dyDescent="0.3">
      <c r="C438" s="576"/>
      <c r="D438" s="493" t="s">
        <v>11</v>
      </c>
      <c r="E438" s="494"/>
      <c r="F438" s="182"/>
      <c r="G438" s="494" t="s">
        <v>90</v>
      </c>
      <c r="H438" s="577"/>
      <c r="I438" s="450" t="s">
        <v>43</v>
      </c>
      <c r="J438" s="577" t="s">
        <v>426</v>
      </c>
      <c r="K438" s="577"/>
      <c r="L438" s="1035" t="s">
        <v>65</v>
      </c>
      <c r="M438" s="1036">
        <f>SUMIFS('Level of Efficiency Assumptions'!$J:$J,'Level of Efficiency Assumptions'!$D:$D,I438,'Level of Efficiency Assumptions'!$F:$F,J438,'Level of Efficiency Assumptions'!$I:$I,'Water Use Calcs'!L438)</f>
        <v>7.5</v>
      </c>
      <c r="N438" s="577"/>
      <c r="O438" s="1048">
        <f>SUMIFS('Detailed Fixture Data'!O:O,'Detailed Fixture Data'!C:C,G438,'Detailed Fixture Data'!E:E,I438,'Detailed Fixture Data'!F:F,J438,'Detailed Fixture Data'!L:L,L438)</f>
        <v>0</v>
      </c>
      <c r="P438" s="1049"/>
      <c r="Q438" s="577"/>
      <c r="R438" s="1039"/>
      <c r="S438" s="521"/>
      <c r="T438" s="225"/>
      <c r="U438" s="521"/>
      <c r="V438" s="1040"/>
      <c r="W438" s="1041"/>
    </row>
    <row r="439" spans="3:23" ht="15" thickBot="1" x14ac:dyDescent="0.35">
      <c r="C439" s="576"/>
      <c r="D439" s="493" t="s">
        <v>11</v>
      </c>
      <c r="E439" s="494"/>
      <c r="F439" s="182"/>
      <c r="G439" s="494" t="s">
        <v>90</v>
      </c>
      <c r="H439" s="577"/>
      <c r="I439" s="451" t="s">
        <v>43</v>
      </c>
      <c r="J439" s="116" t="s">
        <v>426</v>
      </c>
      <c r="K439" s="116"/>
      <c r="L439" s="1042" t="s">
        <v>66</v>
      </c>
      <c r="M439" s="1043">
        <f>SUMIFS('Level of Efficiency Assumptions'!$J:$J,'Level of Efficiency Assumptions'!$D:$D,I439,'Level of Efficiency Assumptions'!$F:$F,J439,'Level of Efficiency Assumptions'!$I:$I,'Water Use Calcs'!L439)</f>
        <v>5</v>
      </c>
      <c r="N439" s="577"/>
      <c r="O439" s="1048">
        <f>SUMIFS('Detailed Fixture Data'!O:O,'Detailed Fixture Data'!C:C,G439,'Detailed Fixture Data'!E:E,I439,'Detailed Fixture Data'!F:F,J439,'Detailed Fixture Data'!L:L,L439)</f>
        <v>0</v>
      </c>
      <c r="P439" s="1049"/>
      <c r="Q439" s="577"/>
      <c r="R439" s="1039"/>
      <c r="S439" s="618"/>
      <c r="T439" s="225"/>
      <c r="U439" s="618"/>
      <c r="V439" s="1045"/>
      <c r="W439" s="1046"/>
    </row>
    <row r="440" spans="3:23" x14ac:dyDescent="0.3">
      <c r="C440" s="576"/>
      <c r="D440" s="493" t="s">
        <v>11</v>
      </c>
      <c r="E440" s="494"/>
      <c r="F440" s="182"/>
      <c r="G440" s="494" t="s">
        <v>90</v>
      </c>
      <c r="H440" s="651" t="str">
        <f>I440</f>
        <v>Other</v>
      </c>
      <c r="I440" s="450" t="s">
        <v>8</v>
      </c>
      <c r="J440" s="577" t="s">
        <v>52</v>
      </c>
      <c r="K440" s="387" t="s">
        <v>362</v>
      </c>
      <c r="L440" s="1047" t="s">
        <v>64</v>
      </c>
      <c r="M440" s="1036">
        <f>SUMIFS('Level of Efficiency Assumptions'!$J:$J,'Level of Efficiency Assumptions'!$D:$D,I440,'Level of Efficiency Assumptions'!$F:$F,J440,'Level of Efficiency Assumptions'!$I:$I,'Water Use Calcs'!L440)</f>
        <v>10</v>
      </c>
      <c r="N440" s="567" t="s">
        <v>660</v>
      </c>
      <c r="O440" s="1048">
        <f>SUMIFS('Detailed Fixture Data'!O:O,'Detailed Fixture Data'!C:C,G440,'Detailed Fixture Data'!E:E,I440,'Detailed Fixture Data'!F:F,J440,'Detailed Fixture Data'!L:L,L440)</f>
        <v>0</v>
      </c>
      <c r="P440" s="1030">
        <f>SUMIFS('Intensity of Use Assumptions'!$J:$J,'Intensity of Use Assumptions'!$D:$D,I440,'Intensity of Use Assumptions'!$G:$G,J440,'Intensity of Use Assumptions'!H:H,K440)</f>
        <v>1</v>
      </c>
      <c r="Q440" s="567" t="s">
        <v>67</v>
      </c>
      <c r="R440" s="1032">
        <f>(SUMPRODUCT(M440:M442,O440:O442)*P440)</f>
        <v>0</v>
      </c>
      <c r="S440" s="1033">
        <f>IF(R440=0,0,M442*P440)</f>
        <v>0</v>
      </c>
      <c r="T440" s="225" t="str">
        <f>G440&amp;"-"&amp;J440</f>
        <v>Rental Car Center B-Other 1</v>
      </c>
      <c r="U440" s="1034">
        <f ca="1">IF(ISNA(VLOOKUP(T440,list!$AV$3:$AW$130,2,FALSE)),1,(VLOOKUP(T440,list!$AV$3:$AW$130,2,FALSE)))</f>
        <v>1</v>
      </c>
      <c r="V440" s="1033">
        <f ca="1">R440*U440</f>
        <v>0</v>
      </c>
      <c r="W440" s="1033">
        <f ca="1">S440*U440</f>
        <v>0</v>
      </c>
    </row>
    <row r="441" spans="3:23" x14ac:dyDescent="0.3">
      <c r="C441" s="576"/>
      <c r="D441" s="493" t="s">
        <v>11</v>
      </c>
      <c r="E441" s="494"/>
      <c r="F441" s="182"/>
      <c r="G441" s="494" t="s">
        <v>90</v>
      </c>
      <c r="H441" s="577"/>
      <c r="I441" s="450" t="s">
        <v>8</v>
      </c>
      <c r="J441" s="577" t="s">
        <v>52</v>
      </c>
      <c r="K441" s="382"/>
      <c r="L441" s="1035" t="s">
        <v>65</v>
      </c>
      <c r="M441" s="1036">
        <f>SUMIFS('Level of Efficiency Assumptions'!$J:$J,'Level of Efficiency Assumptions'!$D:$D,I441,'Level of Efficiency Assumptions'!$F:$F,J441,'Level of Efficiency Assumptions'!$I:$I,'Water Use Calcs'!L441)</f>
        <v>7.5</v>
      </c>
      <c r="N441" s="577"/>
      <c r="O441" s="1048">
        <f>SUMIFS('Detailed Fixture Data'!O:O,'Detailed Fixture Data'!C:C,G441,'Detailed Fixture Data'!E:E,I441,'Detailed Fixture Data'!F:F,J441,'Detailed Fixture Data'!L:L,L441)</f>
        <v>0</v>
      </c>
      <c r="P441" s="1049"/>
      <c r="Q441" s="577"/>
      <c r="R441" s="1039"/>
      <c r="S441" s="521"/>
      <c r="T441" s="225"/>
      <c r="U441" s="521"/>
      <c r="V441" s="1040"/>
      <c r="W441" s="1041"/>
    </row>
    <row r="442" spans="3:23" ht="15" thickBot="1" x14ac:dyDescent="0.35">
      <c r="C442" s="576"/>
      <c r="D442" s="493" t="s">
        <v>11</v>
      </c>
      <c r="E442" s="494"/>
      <c r="F442" s="182"/>
      <c r="G442" s="494" t="s">
        <v>90</v>
      </c>
      <c r="H442" s="577"/>
      <c r="I442" s="450" t="s">
        <v>8</v>
      </c>
      <c r="J442" s="116" t="s">
        <v>52</v>
      </c>
      <c r="K442" s="382"/>
      <c r="L442" s="1042" t="s">
        <v>66</v>
      </c>
      <c r="M442" s="1043">
        <f>SUMIFS('Level of Efficiency Assumptions'!$J:$J,'Level of Efficiency Assumptions'!$D:$D,I442,'Level of Efficiency Assumptions'!$F:$F,J442,'Level of Efficiency Assumptions'!$I:$I,'Water Use Calcs'!L442)</f>
        <v>5</v>
      </c>
      <c r="N442" s="577"/>
      <c r="O442" s="1048">
        <f>SUMIFS('Detailed Fixture Data'!O:O,'Detailed Fixture Data'!C:C,G442,'Detailed Fixture Data'!E:E,I442,'Detailed Fixture Data'!F:F,J442,'Detailed Fixture Data'!L:L,L442)</f>
        <v>0</v>
      </c>
      <c r="P442" s="1049"/>
      <c r="Q442" s="577"/>
      <c r="R442" s="1039"/>
      <c r="S442" s="618"/>
      <c r="T442" s="225"/>
      <c r="U442" s="618"/>
      <c r="V442" s="1045"/>
      <c r="W442" s="1046"/>
    </row>
    <row r="443" spans="3:23" x14ac:dyDescent="0.3">
      <c r="C443" s="576"/>
      <c r="D443" s="493" t="s">
        <v>11</v>
      </c>
      <c r="E443" s="494"/>
      <c r="F443" s="182"/>
      <c r="G443" s="494" t="s">
        <v>90</v>
      </c>
      <c r="H443" s="577"/>
      <c r="I443" s="450" t="s">
        <v>8</v>
      </c>
      <c r="J443" s="577" t="s">
        <v>53</v>
      </c>
      <c r="K443" s="1055" t="s">
        <v>363</v>
      </c>
      <c r="L443" s="1047" t="s">
        <v>64</v>
      </c>
      <c r="M443" s="1036">
        <f>SUMIFS('Level of Efficiency Assumptions'!$J:$J,'Level of Efficiency Assumptions'!$D:$D,I443,'Level of Efficiency Assumptions'!$F:$F,J443,'Level of Efficiency Assumptions'!$I:$I,'Water Use Calcs'!L443)</f>
        <v>10</v>
      </c>
      <c r="N443" s="567" t="s">
        <v>660</v>
      </c>
      <c r="O443" s="1048">
        <f>SUMIFS('Detailed Fixture Data'!O:O,'Detailed Fixture Data'!C:C,G443,'Detailed Fixture Data'!E:E,I443,'Detailed Fixture Data'!F:F,J443,'Detailed Fixture Data'!L:L,L443)</f>
        <v>0</v>
      </c>
      <c r="P443" s="1030">
        <f>SUMIFS('Intensity of Use Assumptions'!$J:$J,'Intensity of Use Assumptions'!$D:$D,I443,'Intensity of Use Assumptions'!$G:$G,J443,'Intensity of Use Assumptions'!H:H,K443)</f>
        <v>1</v>
      </c>
      <c r="Q443" s="567" t="s">
        <v>67</v>
      </c>
      <c r="R443" s="1032">
        <f>(SUMPRODUCT(M443:M445,O443:O445)*P443)</f>
        <v>0</v>
      </c>
      <c r="S443" s="1033">
        <f>IF(R443=0,0,M445*P443)</f>
        <v>0</v>
      </c>
      <c r="T443" s="225" t="str">
        <f>G443&amp;"-"&amp;J443</f>
        <v>Rental Car Center B-Other 2</v>
      </c>
      <c r="U443" s="1034">
        <f ca="1">IF(ISNA(VLOOKUP(T443,list!$AV$3:$AW$130,2,FALSE)),1,(VLOOKUP(T443,list!$AV$3:$AW$130,2,FALSE)))</f>
        <v>1</v>
      </c>
      <c r="V443" s="1033">
        <f ca="1">R443*U443</f>
        <v>0</v>
      </c>
      <c r="W443" s="1033">
        <f ca="1">S443*U443</f>
        <v>0</v>
      </c>
    </row>
    <row r="444" spans="3:23" x14ac:dyDescent="0.3">
      <c r="C444" s="576"/>
      <c r="D444" s="493" t="s">
        <v>11</v>
      </c>
      <c r="E444" s="494"/>
      <c r="F444" s="182"/>
      <c r="G444" s="494" t="s">
        <v>90</v>
      </c>
      <c r="H444" s="577"/>
      <c r="I444" s="450" t="s">
        <v>8</v>
      </c>
      <c r="J444" s="577" t="s">
        <v>53</v>
      </c>
      <c r="K444" s="577"/>
      <c r="L444" s="1035" t="s">
        <v>65</v>
      </c>
      <c r="M444" s="1036">
        <f>SUMIFS('Level of Efficiency Assumptions'!$J:$J,'Level of Efficiency Assumptions'!$D:$D,I444,'Level of Efficiency Assumptions'!$F:$F,J444,'Level of Efficiency Assumptions'!$I:$I,'Water Use Calcs'!L444)</f>
        <v>7.5</v>
      </c>
      <c r="N444" s="577"/>
      <c r="O444" s="1048">
        <f>SUMIFS('Detailed Fixture Data'!O:O,'Detailed Fixture Data'!C:C,G444,'Detailed Fixture Data'!E:E,I444,'Detailed Fixture Data'!F:F,J444,'Detailed Fixture Data'!L:L,L444)</f>
        <v>0</v>
      </c>
      <c r="P444" s="1049"/>
      <c r="Q444" s="577"/>
      <c r="R444" s="1039"/>
      <c r="S444" s="521"/>
      <c r="T444" s="225"/>
      <c r="U444" s="521"/>
      <c r="V444" s="1040"/>
      <c r="W444" s="1041"/>
    </row>
    <row r="445" spans="3:23" ht="15" thickBot="1" x14ac:dyDescent="0.35">
      <c r="C445" s="576"/>
      <c r="D445" s="493" t="s">
        <v>11</v>
      </c>
      <c r="E445" s="494"/>
      <c r="F445" s="182"/>
      <c r="G445" s="494" t="s">
        <v>90</v>
      </c>
      <c r="H445" s="577"/>
      <c r="I445" s="450" t="s">
        <v>8</v>
      </c>
      <c r="J445" s="116" t="s">
        <v>53</v>
      </c>
      <c r="K445" s="116"/>
      <c r="L445" s="1042" t="s">
        <v>66</v>
      </c>
      <c r="M445" s="1043">
        <f>SUMIFS('Level of Efficiency Assumptions'!$J:$J,'Level of Efficiency Assumptions'!$D:$D,I445,'Level of Efficiency Assumptions'!$F:$F,J445,'Level of Efficiency Assumptions'!$I:$I,'Water Use Calcs'!L445)</f>
        <v>5</v>
      </c>
      <c r="N445" s="577"/>
      <c r="O445" s="1048">
        <f>SUMIFS('Detailed Fixture Data'!O:O,'Detailed Fixture Data'!C:C,G445,'Detailed Fixture Data'!E:E,I445,'Detailed Fixture Data'!F:F,J445,'Detailed Fixture Data'!L:L,L445)</f>
        <v>0</v>
      </c>
      <c r="P445" s="1049"/>
      <c r="Q445" s="577"/>
      <c r="R445" s="1039"/>
      <c r="S445" s="618"/>
      <c r="T445" s="225"/>
      <c r="U445" s="618"/>
      <c r="V445" s="1045"/>
      <c r="W445" s="1046"/>
    </row>
    <row r="446" spans="3:23" x14ac:dyDescent="0.3">
      <c r="C446" s="576"/>
      <c r="D446" s="493" t="s">
        <v>11</v>
      </c>
      <c r="E446" s="494"/>
      <c r="F446" s="182"/>
      <c r="G446" s="494" t="s">
        <v>90</v>
      </c>
      <c r="H446" s="577"/>
      <c r="I446" s="450" t="s">
        <v>8</v>
      </c>
      <c r="J446" s="577" t="s">
        <v>54</v>
      </c>
      <c r="K446" s="379" t="s">
        <v>364</v>
      </c>
      <c r="L446" s="1047" t="s">
        <v>64</v>
      </c>
      <c r="M446" s="1036">
        <f>SUMIFS('Level of Efficiency Assumptions'!$J:$J,'Level of Efficiency Assumptions'!$D:$D,I446,'Level of Efficiency Assumptions'!$F:$F,J446,'Level of Efficiency Assumptions'!$I:$I,'Water Use Calcs'!L446)</f>
        <v>10</v>
      </c>
      <c r="N446" s="567" t="s">
        <v>660</v>
      </c>
      <c r="O446" s="1048">
        <f>SUMIFS('Detailed Fixture Data'!O:O,'Detailed Fixture Data'!C:C,G446,'Detailed Fixture Data'!E:E,I446,'Detailed Fixture Data'!F:F,J446,'Detailed Fixture Data'!L:L,L446)</f>
        <v>0</v>
      </c>
      <c r="P446" s="1030">
        <f>SUMIFS('Intensity of Use Assumptions'!$J:$J,'Intensity of Use Assumptions'!$D:$D,I446,'Intensity of Use Assumptions'!$G:$G,J446,'Intensity of Use Assumptions'!H:H,K446)</f>
        <v>1</v>
      </c>
      <c r="Q446" s="567" t="s">
        <v>67</v>
      </c>
      <c r="R446" s="1032">
        <f>(SUMPRODUCT(M446:M448,O446:O448)*P446)</f>
        <v>0</v>
      </c>
      <c r="S446" s="1033">
        <f>IF(R446=0,0,M448*P446)</f>
        <v>0</v>
      </c>
      <c r="T446" s="225" t="str">
        <f>G446&amp;"-"&amp;J446</f>
        <v>Rental Car Center B-Other 3</v>
      </c>
      <c r="U446" s="1034">
        <f ca="1">IF(ISNA(VLOOKUP(T446,list!$AV$3:$AW$130,2,FALSE)),1,(VLOOKUP(T446,list!$AV$3:$AW$130,2,FALSE)))</f>
        <v>1</v>
      </c>
      <c r="V446" s="1033">
        <f ca="1">R446*U446</f>
        <v>0</v>
      </c>
      <c r="W446" s="1033">
        <f ca="1">S446*U446</f>
        <v>0</v>
      </c>
    </row>
    <row r="447" spans="3:23" x14ac:dyDescent="0.3">
      <c r="C447" s="576"/>
      <c r="D447" s="493" t="s">
        <v>11</v>
      </c>
      <c r="E447" s="494"/>
      <c r="F447" s="182"/>
      <c r="G447" s="494" t="s">
        <v>90</v>
      </c>
      <c r="H447" s="577"/>
      <c r="I447" s="450" t="s">
        <v>8</v>
      </c>
      <c r="J447" s="577" t="s">
        <v>54</v>
      </c>
      <c r="K447" s="577"/>
      <c r="L447" s="1035" t="s">
        <v>65</v>
      </c>
      <c r="M447" s="1036">
        <f>SUMIFS('Level of Efficiency Assumptions'!$J:$J,'Level of Efficiency Assumptions'!$D:$D,I447,'Level of Efficiency Assumptions'!$F:$F,J447,'Level of Efficiency Assumptions'!$I:$I,'Water Use Calcs'!L447)</f>
        <v>7.5</v>
      </c>
      <c r="N447" s="577"/>
      <c r="O447" s="1048">
        <f>SUMIFS('Detailed Fixture Data'!O:O,'Detailed Fixture Data'!C:C,G447,'Detailed Fixture Data'!E:E,I447,'Detailed Fixture Data'!F:F,J447,'Detailed Fixture Data'!L:L,L447)</f>
        <v>0</v>
      </c>
      <c r="P447" s="1049"/>
      <c r="Q447" s="577"/>
      <c r="R447" s="1039"/>
      <c r="S447" s="521"/>
      <c r="T447" s="225"/>
      <c r="U447" s="521"/>
      <c r="V447" s="1040"/>
      <c r="W447" s="1041"/>
    </row>
    <row r="448" spans="3:23" ht="15" thickBot="1" x14ac:dyDescent="0.35">
      <c r="C448" s="576"/>
      <c r="D448" s="493" t="s">
        <v>11</v>
      </c>
      <c r="E448" s="494"/>
      <c r="F448" s="182"/>
      <c r="G448" s="501" t="s">
        <v>90</v>
      </c>
      <c r="H448" s="116"/>
      <c r="I448" s="451" t="s">
        <v>8</v>
      </c>
      <c r="J448" s="116" t="s">
        <v>54</v>
      </c>
      <c r="K448" s="116"/>
      <c r="L448" s="1042" t="s">
        <v>66</v>
      </c>
      <c r="M448" s="1043">
        <f>SUMIFS('Level of Efficiency Assumptions'!$J:$J,'Level of Efficiency Assumptions'!$D:$D,I448,'Level of Efficiency Assumptions'!$F:$F,J448,'Level of Efficiency Assumptions'!$I:$I,'Water Use Calcs'!L448)</f>
        <v>5</v>
      </c>
      <c r="N448" s="116"/>
      <c r="O448" s="1048">
        <f>SUMIFS('Detailed Fixture Data'!O:O,'Detailed Fixture Data'!C:C,G448,'Detailed Fixture Data'!E:E,I448,'Detailed Fixture Data'!F:F,J448,'Detailed Fixture Data'!L:L,L448)</f>
        <v>0</v>
      </c>
      <c r="P448" s="1049"/>
      <c r="Q448" s="116"/>
      <c r="R448" s="1039"/>
      <c r="S448" s="618"/>
      <c r="T448" s="225"/>
      <c r="U448" s="618"/>
      <c r="V448" s="1045"/>
      <c r="W448" s="1046"/>
    </row>
    <row r="449" spans="3:23" x14ac:dyDescent="0.3">
      <c r="C449" s="576"/>
      <c r="D449" s="493" t="s">
        <v>11</v>
      </c>
      <c r="E449" s="619" t="str">
        <f>G449</f>
        <v>Rental Car Center C</v>
      </c>
      <c r="F449" s="565" t="str">
        <f>VLOOKUP(E449,'Airport Mapping'!$C$5:$D$39,2,FALSE)</f>
        <v xml:space="preserve"> </v>
      </c>
      <c r="G449" s="494" t="s">
        <v>766</v>
      </c>
      <c r="H449" s="651" t="str">
        <f>I449</f>
        <v>Restrooms</v>
      </c>
      <c r="I449" s="454" t="s">
        <v>37</v>
      </c>
      <c r="J449" s="567" t="s">
        <v>2</v>
      </c>
      <c r="K449" s="577" t="s">
        <v>6</v>
      </c>
      <c r="L449" s="1028" t="s">
        <v>64</v>
      </c>
      <c r="M449" s="1036">
        <f>SUMIFS('Level of Efficiency Assumptions'!$J:$J,'Level of Efficiency Assumptions'!$D:$D,I449,'Level of Efficiency Assumptions'!$F:$F,J449,'Level of Efficiency Assumptions'!$I:$I,'Water Use Calcs'!L449)</f>
        <v>3.5</v>
      </c>
      <c r="N449" s="567" t="s">
        <v>68</v>
      </c>
      <c r="O449" s="1048">
        <f>SUMIFS('Detailed Fixture Data'!O:O,'Detailed Fixture Data'!C:C,G449,'Detailed Fixture Data'!E:E,I449,'Detailed Fixture Data'!F:F,J449,'Detailed Fixture Data'!L:L,L449)</f>
        <v>0</v>
      </c>
      <c r="P449" s="1030">
        <f>SUMIFS('Intensity of Use Assumptions'!$J:$J,'Intensity of Use Assumptions'!$D:$D,I449,'Intensity of Use Assumptions'!$G:$G,J449,'Intensity of Use Assumptions'!H:H,K449)</f>
        <v>2.5</v>
      </c>
      <c r="Q449" s="567" t="s">
        <v>67</v>
      </c>
      <c r="R449" s="1032">
        <f>(SUMPRODUCT(M449:M451,O449:O451)*P449)</f>
        <v>0</v>
      </c>
      <c r="S449" s="1033">
        <f>IF(R449=0,0,M451*P449)</f>
        <v>0</v>
      </c>
      <c r="T449" s="225" t="str">
        <f>G449&amp;"-"&amp;J449</f>
        <v>Rental Car Center C-Toilets</v>
      </c>
      <c r="U449" s="1034">
        <f ca="1">IF(ISNA(VLOOKUP(T449,list!$AV$3:$AW$130,2,FALSE)),1,(VLOOKUP(T449,list!$AV$3:$AW$130,2,FALSE)))</f>
        <v>1</v>
      </c>
      <c r="V449" s="1033">
        <f ca="1">R449*U449</f>
        <v>0</v>
      </c>
      <c r="W449" s="1033">
        <f ca="1">S449*U449</f>
        <v>0</v>
      </c>
    </row>
    <row r="450" spans="3:23" x14ac:dyDescent="0.3">
      <c r="C450" s="576"/>
      <c r="D450" s="493" t="s">
        <v>11</v>
      </c>
      <c r="E450" s="494"/>
      <c r="F450" s="182"/>
      <c r="G450" s="494" t="s">
        <v>766</v>
      </c>
      <c r="H450" s="577"/>
      <c r="I450" s="450" t="s">
        <v>37</v>
      </c>
      <c r="J450" s="577" t="s">
        <v>2</v>
      </c>
      <c r="K450" s="577"/>
      <c r="L450" s="1035" t="s">
        <v>65</v>
      </c>
      <c r="M450" s="1036">
        <f>SUMIFS('Level of Efficiency Assumptions'!$J:$J,'Level of Efficiency Assumptions'!$D:$D,I450,'Level of Efficiency Assumptions'!$F:$F,J450,'Level of Efficiency Assumptions'!$I:$I,'Water Use Calcs'!L450)</f>
        <v>1.6</v>
      </c>
      <c r="N450" s="577"/>
      <c r="O450" s="1048">
        <f>SUMIFS('Detailed Fixture Data'!O:O,'Detailed Fixture Data'!C:C,G450,'Detailed Fixture Data'!E:E,I450,'Detailed Fixture Data'!F:F,J450,'Detailed Fixture Data'!L:L,L450)</f>
        <v>0</v>
      </c>
      <c r="P450" s="1049"/>
      <c r="Q450" s="577"/>
      <c r="R450" s="1039"/>
      <c r="S450" s="521"/>
      <c r="T450" s="225"/>
      <c r="U450" s="521"/>
      <c r="V450" s="1040"/>
      <c r="W450" s="1041"/>
    </row>
    <row r="451" spans="3:23" ht="15" thickBot="1" x14ac:dyDescent="0.35">
      <c r="C451" s="576"/>
      <c r="D451" s="493" t="s">
        <v>11</v>
      </c>
      <c r="E451" s="494"/>
      <c r="F451" s="182"/>
      <c r="G451" s="494" t="s">
        <v>766</v>
      </c>
      <c r="H451" s="577"/>
      <c r="I451" s="450" t="s">
        <v>37</v>
      </c>
      <c r="J451" s="116" t="s">
        <v>2</v>
      </c>
      <c r="K451" s="116"/>
      <c r="L451" s="1042" t="s">
        <v>66</v>
      </c>
      <c r="M451" s="1043">
        <f>SUMIFS('Level of Efficiency Assumptions'!$J:$J,'Level of Efficiency Assumptions'!$D:$D,I451,'Level of Efficiency Assumptions'!$F:$F,J451,'Level of Efficiency Assumptions'!$I:$I,'Water Use Calcs'!L451)</f>
        <v>1.28</v>
      </c>
      <c r="N451" s="577"/>
      <c r="O451" s="1048">
        <f>SUMIFS('Detailed Fixture Data'!O:O,'Detailed Fixture Data'!C:C,G451,'Detailed Fixture Data'!E:E,I451,'Detailed Fixture Data'!F:F,J451,'Detailed Fixture Data'!L:L,L451)</f>
        <v>0</v>
      </c>
      <c r="P451" s="1049"/>
      <c r="Q451" s="577"/>
      <c r="R451" s="1039"/>
      <c r="S451" s="618"/>
      <c r="T451" s="225"/>
      <c r="U451" s="618"/>
      <c r="V451" s="1045"/>
      <c r="W451" s="1046"/>
    </row>
    <row r="452" spans="3:23" x14ac:dyDescent="0.3">
      <c r="C452" s="576"/>
      <c r="D452" s="493" t="s">
        <v>11</v>
      </c>
      <c r="E452" s="494"/>
      <c r="F452" s="182"/>
      <c r="G452" s="494" t="s">
        <v>766</v>
      </c>
      <c r="H452" s="577"/>
      <c r="I452" s="450" t="s">
        <v>37</v>
      </c>
      <c r="J452" s="577" t="s">
        <v>4</v>
      </c>
      <c r="K452" s="577" t="s">
        <v>6</v>
      </c>
      <c r="L452" s="1047" t="s">
        <v>64</v>
      </c>
      <c r="M452" s="1036">
        <f>SUMIFS('Level of Efficiency Assumptions'!$J:$J,'Level of Efficiency Assumptions'!$D:$D,I452,'Level of Efficiency Assumptions'!$F:$F,J452,'Level of Efficiency Assumptions'!$I:$I,'Water Use Calcs'!L452)</f>
        <v>2</v>
      </c>
      <c r="N452" s="567" t="s">
        <v>68</v>
      </c>
      <c r="O452" s="1048">
        <f>SUMIFS('Detailed Fixture Data'!O:O,'Detailed Fixture Data'!C:C,G452,'Detailed Fixture Data'!E:E,I452,'Detailed Fixture Data'!F:F,J452,'Detailed Fixture Data'!L:L,L452)</f>
        <v>0</v>
      </c>
      <c r="P452" s="1030">
        <f>SUMIFS('Intensity of Use Assumptions'!$J:$J,'Intensity of Use Assumptions'!$D:$D,I452,'Intensity of Use Assumptions'!$G:$G,J452,'Intensity of Use Assumptions'!H:H,K452)</f>
        <v>1.5</v>
      </c>
      <c r="Q452" s="567" t="s">
        <v>67</v>
      </c>
      <c r="R452" s="1032">
        <f>(SUMPRODUCT(M452:M454,O452:O454)*P452)</f>
        <v>0</v>
      </c>
      <c r="S452" s="1033">
        <f>IF(R452=0,0,M454*P452)</f>
        <v>0</v>
      </c>
      <c r="T452" s="225" t="str">
        <f>G452&amp;"-"&amp;J452</f>
        <v>Rental Car Center C-Urinals</v>
      </c>
      <c r="U452" s="1034">
        <f ca="1">IF(ISNA(VLOOKUP(T452,list!$AV$3:$AW$130,2,FALSE)),1,(VLOOKUP(T452,list!$AV$3:$AW$130,2,FALSE)))</f>
        <v>1</v>
      </c>
      <c r="V452" s="1033">
        <f ca="1">R452*U452</f>
        <v>0</v>
      </c>
      <c r="W452" s="1033">
        <f ca="1">S452*U452</f>
        <v>0</v>
      </c>
    </row>
    <row r="453" spans="3:23" x14ac:dyDescent="0.3">
      <c r="C453" s="576"/>
      <c r="D453" s="493" t="s">
        <v>11</v>
      </c>
      <c r="E453" s="494"/>
      <c r="F453" s="182"/>
      <c r="G453" s="494" t="s">
        <v>766</v>
      </c>
      <c r="H453" s="577"/>
      <c r="I453" s="450" t="s">
        <v>37</v>
      </c>
      <c r="J453" s="577" t="s">
        <v>4</v>
      </c>
      <c r="K453" s="577"/>
      <c r="L453" s="1035" t="s">
        <v>65</v>
      </c>
      <c r="M453" s="1036">
        <f>SUMIFS('Level of Efficiency Assumptions'!$J:$J,'Level of Efficiency Assumptions'!$D:$D,I453,'Level of Efficiency Assumptions'!$F:$F,J453,'Level of Efficiency Assumptions'!$I:$I,'Water Use Calcs'!L453)</f>
        <v>1</v>
      </c>
      <c r="N453" s="577"/>
      <c r="O453" s="1048">
        <f>SUMIFS('Detailed Fixture Data'!O:O,'Detailed Fixture Data'!C:C,G453,'Detailed Fixture Data'!E:E,I453,'Detailed Fixture Data'!F:F,J453,'Detailed Fixture Data'!L:L,L453)</f>
        <v>0</v>
      </c>
      <c r="P453" s="1049"/>
      <c r="Q453" s="577"/>
      <c r="R453" s="1039"/>
      <c r="S453" s="521"/>
      <c r="T453" s="225"/>
      <c r="U453" s="521"/>
      <c r="V453" s="1040"/>
      <c r="W453" s="1041"/>
    </row>
    <row r="454" spans="3:23" ht="15" thickBot="1" x14ac:dyDescent="0.35">
      <c r="C454" s="576"/>
      <c r="D454" s="493" t="s">
        <v>11</v>
      </c>
      <c r="E454" s="494"/>
      <c r="F454" s="182"/>
      <c r="G454" s="494" t="s">
        <v>766</v>
      </c>
      <c r="H454" s="577"/>
      <c r="I454" s="450" t="s">
        <v>37</v>
      </c>
      <c r="J454" s="116" t="s">
        <v>4</v>
      </c>
      <c r="K454" s="116"/>
      <c r="L454" s="1042" t="s">
        <v>66</v>
      </c>
      <c r="M454" s="1043">
        <f>SUMIFS('Level of Efficiency Assumptions'!$J:$J,'Level of Efficiency Assumptions'!$D:$D,I454,'Level of Efficiency Assumptions'!$F:$F,J454,'Level of Efficiency Assumptions'!$I:$I,'Water Use Calcs'!L454)</f>
        <v>0.125</v>
      </c>
      <c r="N454" s="577"/>
      <c r="O454" s="1048">
        <f>SUMIFS('Detailed Fixture Data'!O:O,'Detailed Fixture Data'!C:C,G454,'Detailed Fixture Data'!E:E,I454,'Detailed Fixture Data'!F:F,J454,'Detailed Fixture Data'!L:L,L454)</f>
        <v>0</v>
      </c>
      <c r="P454" s="1049"/>
      <c r="Q454" s="577"/>
      <c r="R454" s="1039"/>
      <c r="S454" s="618"/>
      <c r="T454" s="225"/>
      <c r="U454" s="618"/>
      <c r="V454" s="1045"/>
      <c r="W454" s="1046"/>
    </row>
    <row r="455" spans="3:23" x14ac:dyDescent="0.3">
      <c r="C455" s="576"/>
      <c r="D455" s="493" t="s">
        <v>11</v>
      </c>
      <c r="E455" s="494"/>
      <c r="F455" s="182"/>
      <c r="G455" s="494" t="s">
        <v>766</v>
      </c>
      <c r="H455" s="577"/>
      <c r="I455" s="450" t="s">
        <v>37</v>
      </c>
      <c r="J455" s="577" t="s">
        <v>33</v>
      </c>
      <c r="K455" s="577" t="s">
        <v>6</v>
      </c>
      <c r="L455" s="1047" t="s">
        <v>64</v>
      </c>
      <c r="M455" s="1036">
        <f>SUMIFS('Level of Efficiency Assumptions'!$J:$J,'Level of Efficiency Assumptions'!$D:$D,I455,'Level of Efficiency Assumptions'!$F:$F,J455,'Level of Efficiency Assumptions'!$I:$I,'Water Use Calcs'!L455)</f>
        <v>2</v>
      </c>
      <c r="N455" s="567" t="s">
        <v>78</v>
      </c>
      <c r="O455" s="1048">
        <f>SUMIFS('Detailed Fixture Data'!O:O,'Detailed Fixture Data'!C:C,G455,'Detailed Fixture Data'!E:E,I455,'Detailed Fixture Data'!F:F,J455,'Detailed Fixture Data'!L:L,L455)</f>
        <v>0</v>
      </c>
      <c r="P455" s="1030">
        <f>SUMIFS('Intensity of Use Assumptions'!$J:$J,'Intensity of Use Assumptions'!$D:$D,I455,'Intensity of Use Assumptions'!$G:$G,J455,'Intensity of Use Assumptions'!H:H,K455)</f>
        <v>0.66666666666666663</v>
      </c>
      <c r="Q455" s="567" t="s">
        <v>133</v>
      </c>
      <c r="R455" s="1032">
        <f>(SUMPRODUCT(M455:M457,O455:O457)*P455)</f>
        <v>0</v>
      </c>
      <c r="S455" s="1033">
        <f>IF(R455=0,0,M457*P455)</f>
        <v>0</v>
      </c>
      <c r="T455" s="225" t="str">
        <f>G455&amp;"-"&amp;J455</f>
        <v>Rental Car Center C-Faucets</v>
      </c>
      <c r="U455" s="1034">
        <f ca="1">IF(ISNA(VLOOKUP(T455,list!$AV$3:$AW$130,2,FALSE)),1,(VLOOKUP(T455,list!$AV$3:$AW$130,2,FALSE)))</f>
        <v>1</v>
      </c>
      <c r="V455" s="1033">
        <f ca="1">R455*U455</f>
        <v>0</v>
      </c>
      <c r="W455" s="1033">
        <f ca="1">S455*U455</f>
        <v>0</v>
      </c>
    </row>
    <row r="456" spans="3:23" x14ac:dyDescent="0.3">
      <c r="C456" s="576"/>
      <c r="D456" s="493" t="s">
        <v>11</v>
      </c>
      <c r="E456" s="494"/>
      <c r="F456" s="182"/>
      <c r="G456" s="494" t="s">
        <v>766</v>
      </c>
      <c r="H456" s="577"/>
      <c r="I456" s="450" t="s">
        <v>37</v>
      </c>
      <c r="J456" s="577" t="s">
        <v>33</v>
      </c>
      <c r="K456" s="577"/>
      <c r="L456" s="1035" t="s">
        <v>65</v>
      </c>
      <c r="M456" s="1036">
        <f>SUMIFS('Level of Efficiency Assumptions'!$J:$J,'Level of Efficiency Assumptions'!$D:$D,I456,'Level of Efficiency Assumptions'!$F:$F,J456,'Level of Efficiency Assumptions'!$I:$I,'Water Use Calcs'!L456)</f>
        <v>1</v>
      </c>
      <c r="N456" s="577"/>
      <c r="O456" s="1048">
        <f>SUMIFS('Detailed Fixture Data'!O:O,'Detailed Fixture Data'!C:C,G456,'Detailed Fixture Data'!E:E,I456,'Detailed Fixture Data'!F:F,J456,'Detailed Fixture Data'!L:L,L456)</f>
        <v>0</v>
      </c>
      <c r="P456" s="1049"/>
      <c r="Q456" s="577"/>
      <c r="R456" s="1039"/>
      <c r="S456" s="521"/>
      <c r="T456" s="225"/>
      <c r="U456" s="521"/>
      <c r="V456" s="1040"/>
      <c r="W456" s="1041"/>
    </row>
    <row r="457" spans="3:23" ht="15" thickBot="1" x14ac:dyDescent="0.35">
      <c r="C457" s="576"/>
      <c r="D457" s="493" t="s">
        <v>11</v>
      </c>
      <c r="E457" s="494"/>
      <c r="F457" s="182"/>
      <c r="G457" s="494" t="s">
        <v>766</v>
      </c>
      <c r="H457" s="577"/>
      <c r="I457" s="451" t="s">
        <v>37</v>
      </c>
      <c r="J457" s="116" t="s">
        <v>33</v>
      </c>
      <c r="K457" s="116"/>
      <c r="L457" s="1042" t="s">
        <v>66</v>
      </c>
      <c r="M457" s="1043">
        <f>SUMIFS('Level of Efficiency Assumptions'!$J:$J,'Level of Efficiency Assumptions'!$D:$D,I457,'Level of Efficiency Assumptions'!$F:$F,J457,'Level of Efficiency Assumptions'!$I:$I,'Water Use Calcs'!L457)</f>
        <v>0.5</v>
      </c>
      <c r="N457" s="577"/>
      <c r="O457" s="1048">
        <f>SUMIFS('Detailed Fixture Data'!O:O,'Detailed Fixture Data'!C:C,G457,'Detailed Fixture Data'!E:E,I457,'Detailed Fixture Data'!F:F,J457,'Detailed Fixture Data'!L:L,L457)</f>
        <v>0</v>
      </c>
      <c r="P457" s="1049"/>
      <c r="Q457" s="577"/>
      <c r="R457" s="1039"/>
      <c r="S457" s="618"/>
      <c r="T457" s="225"/>
      <c r="U457" s="618"/>
      <c r="V457" s="1045"/>
      <c r="W457" s="1046"/>
    </row>
    <row r="458" spans="3:23" x14ac:dyDescent="0.3">
      <c r="C458" s="576"/>
      <c r="D458" s="493" t="s">
        <v>11</v>
      </c>
      <c r="E458" s="494"/>
      <c r="F458" s="182"/>
      <c r="G458" s="494" t="s">
        <v>766</v>
      </c>
      <c r="H458" s="651" t="str">
        <f>I458</f>
        <v>Break rooms</v>
      </c>
      <c r="I458" s="450" t="s">
        <v>5</v>
      </c>
      <c r="J458" s="577" t="s">
        <v>33</v>
      </c>
      <c r="K458" s="577" t="s">
        <v>6</v>
      </c>
      <c r="L458" s="1047" t="s">
        <v>64</v>
      </c>
      <c r="M458" s="1036">
        <f>SUMIFS('Level of Efficiency Assumptions'!$J:$J,'Level of Efficiency Assumptions'!$D:$D,I458,'Level of Efficiency Assumptions'!$F:$F,J458,'Level of Efficiency Assumptions'!$I:$I,'Water Use Calcs'!L458)</f>
        <v>2</v>
      </c>
      <c r="N458" s="567" t="s">
        <v>78</v>
      </c>
      <c r="O458" s="1048">
        <f>SUMIFS('Detailed Fixture Data'!O:O,'Detailed Fixture Data'!C:C,G458,'Detailed Fixture Data'!E:E,I458,'Detailed Fixture Data'!F:F,J458,'Detailed Fixture Data'!L:L,L458)</f>
        <v>0</v>
      </c>
      <c r="P458" s="1030">
        <f>SUMIFS('Intensity of Use Assumptions'!$J:$J,'Intensity of Use Assumptions'!$D:$D,I458,'Intensity of Use Assumptions'!$G:$G,J458,'Intensity of Use Assumptions'!H:H,K458)</f>
        <v>0.16666666666666666</v>
      </c>
      <c r="Q458" s="567" t="s">
        <v>133</v>
      </c>
      <c r="R458" s="1032">
        <f>(SUMPRODUCT(M458:M460,O458:O460)*P458)</f>
        <v>0</v>
      </c>
      <c r="S458" s="1033">
        <f>IF(R458=0,0,M460*P458)</f>
        <v>0</v>
      </c>
      <c r="T458" s="225" t="str">
        <f>G458&amp;"-"&amp;J458</f>
        <v>Rental Car Center C-Faucets</v>
      </c>
      <c r="U458" s="1034">
        <f ca="1">IF(ISNA(VLOOKUP(T458,list!$AV$3:$AW$130,2,FALSE)),1,(VLOOKUP(T458,list!$AV$3:$AW$130,2,FALSE)))</f>
        <v>1</v>
      </c>
      <c r="V458" s="1033">
        <f ca="1">R458*U458</f>
        <v>0</v>
      </c>
      <c r="W458" s="1033">
        <f ca="1">S458*U458</f>
        <v>0</v>
      </c>
    </row>
    <row r="459" spans="3:23" x14ac:dyDescent="0.3">
      <c r="C459" s="576"/>
      <c r="D459" s="493" t="s">
        <v>11</v>
      </c>
      <c r="E459" s="494"/>
      <c r="F459" s="182"/>
      <c r="G459" s="494" t="s">
        <v>766</v>
      </c>
      <c r="H459" s="577"/>
      <c r="I459" s="450" t="s">
        <v>5</v>
      </c>
      <c r="J459" s="577" t="s">
        <v>33</v>
      </c>
      <c r="K459" s="577"/>
      <c r="L459" s="1035" t="s">
        <v>65</v>
      </c>
      <c r="M459" s="1036">
        <f>SUMIFS('Level of Efficiency Assumptions'!$J:$J,'Level of Efficiency Assumptions'!$D:$D,I459,'Level of Efficiency Assumptions'!$F:$F,J459,'Level of Efficiency Assumptions'!$I:$I,'Water Use Calcs'!L459)</f>
        <v>1</v>
      </c>
      <c r="N459" s="577"/>
      <c r="O459" s="1048">
        <f>SUMIFS('Detailed Fixture Data'!O:O,'Detailed Fixture Data'!C:C,G459,'Detailed Fixture Data'!E:E,I459,'Detailed Fixture Data'!F:F,J459,'Detailed Fixture Data'!L:L,L459)</f>
        <v>0</v>
      </c>
      <c r="P459" s="1049"/>
      <c r="Q459" s="577"/>
      <c r="R459" s="1039"/>
      <c r="S459" s="521"/>
      <c r="T459" s="225"/>
      <c r="U459" s="521"/>
      <c r="V459" s="1040"/>
      <c r="W459" s="1041"/>
    </row>
    <row r="460" spans="3:23" ht="15" thickBot="1" x14ac:dyDescent="0.35">
      <c r="C460" s="576"/>
      <c r="D460" s="493" t="s">
        <v>11</v>
      </c>
      <c r="E460" s="494"/>
      <c r="F460" s="182"/>
      <c r="G460" s="494" t="s">
        <v>766</v>
      </c>
      <c r="H460" s="577"/>
      <c r="I460" s="451" t="s">
        <v>5</v>
      </c>
      <c r="J460" s="116" t="s">
        <v>33</v>
      </c>
      <c r="K460" s="116"/>
      <c r="L460" s="1042" t="s">
        <v>66</v>
      </c>
      <c r="M460" s="1043">
        <f>SUMIFS('Level of Efficiency Assumptions'!$J:$J,'Level of Efficiency Assumptions'!$D:$D,I460,'Level of Efficiency Assumptions'!$F:$F,J460,'Level of Efficiency Assumptions'!$I:$I,'Water Use Calcs'!L460)</f>
        <v>0.5</v>
      </c>
      <c r="N460" s="577"/>
      <c r="O460" s="1048">
        <f>SUMIFS('Detailed Fixture Data'!O:O,'Detailed Fixture Data'!C:C,G460,'Detailed Fixture Data'!E:E,I460,'Detailed Fixture Data'!F:F,J460,'Detailed Fixture Data'!L:L,L460)</f>
        <v>0</v>
      </c>
      <c r="P460" s="1049"/>
      <c r="Q460" s="577"/>
      <c r="R460" s="1039"/>
      <c r="S460" s="618"/>
      <c r="T460" s="225"/>
      <c r="U460" s="618"/>
      <c r="V460" s="1045"/>
      <c r="W460" s="1046"/>
    </row>
    <row r="461" spans="3:23" x14ac:dyDescent="0.3">
      <c r="C461" s="576"/>
      <c r="D461" s="493" t="s">
        <v>11</v>
      </c>
      <c r="E461" s="494"/>
      <c r="F461" s="182"/>
      <c r="G461" s="494" t="s">
        <v>766</v>
      </c>
      <c r="H461" s="651" t="str">
        <f>I461</f>
        <v>Landscaping</v>
      </c>
      <c r="I461" s="450" t="s">
        <v>39</v>
      </c>
      <c r="J461" s="577" t="s">
        <v>42</v>
      </c>
      <c r="K461" s="577" t="s">
        <v>32</v>
      </c>
      <c r="L461" s="1047" t="s">
        <v>64</v>
      </c>
      <c r="M461" s="1036">
        <f>SUMIFS('Level of Efficiency Assumptions'!$J:$J,'Level of Efficiency Assumptions'!$D:$D,I461,'Level of Efficiency Assumptions'!$F:$F,J461,'Level of Efficiency Assumptions'!$I:$I,'Water Use Calcs'!L461)</f>
        <v>28.6</v>
      </c>
      <c r="N461" s="567" t="s">
        <v>816</v>
      </c>
      <c r="O461" s="1048">
        <f>SUMIFS('Detailed Fixture Data'!O:O,'Detailed Fixture Data'!C:C,G461,'Detailed Fixture Data'!E:E,I461,'Detailed Fixture Data'!F:F,J461,'Detailed Fixture Data'!L:L,L461)</f>
        <v>0</v>
      </c>
      <c r="P461" s="1030">
        <f>SUMIFS('Intensity of Use Assumptions'!$J:$J,'Intensity of Use Assumptions'!$D:$D,I461,'Intensity of Use Assumptions'!$G:$G,J461,'Intensity of Use Assumptions'!H:H,K461,'Intensity of Use Assumptions'!F:F,D461)</f>
        <v>2.7397260273972603E-3</v>
      </c>
      <c r="Q461" s="567" t="s">
        <v>815</v>
      </c>
      <c r="R461" s="1032">
        <f>(SUMPRODUCT(M461:M463,O461:O463)*P461)</f>
        <v>0</v>
      </c>
      <c r="S461" s="1033">
        <f>IF(R461=0,0,M463*P461)</f>
        <v>0</v>
      </c>
      <c r="T461" s="225" t="str">
        <f>G461&amp;"-"&amp;J461</f>
        <v>Rental Car Center C-Outdoor irrigation</v>
      </c>
      <c r="U461" s="1034">
        <f ca="1">IF(ISNA(VLOOKUP(T461,list!$AV$3:$AW$130,2,FALSE)),1,(VLOOKUP(T461,list!$AV$3:$AW$130,2,FALSE)))</f>
        <v>1</v>
      </c>
      <c r="V461" s="1033">
        <f ca="1">R461*U461</f>
        <v>0</v>
      </c>
      <c r="W461" s="1033">
        <f ca="1">S461*U461</f>
        <v>0</v>
      </c>
    </row>
    <row r="462" spans="3:23" x14ac:dyDescent="0.3">
      <c r="C462" s="576"/>
      <c r="D462" s="493" t="s">
        <v>11</v>
      </c>
      <c r="E462" s="494"/>
      <c r="F462" s="182"/>
      <c r="G462" s="494" t="s">
        <v>766</v>
      </c>
      <c r="H462" s="577"/>
      <c r="I462" s="450" t="s">
        <v>39</v>
      </c>
      <c r="J462" s="577" t="s">
        <v>42</v>
      </c>
      <c r="K462" s="577"/>
      <c r="L462" s="1035" t="s">
        <v>65</v>
      </c>
      <c r="M462" s="1036">
        <f>SUMIFS('Level of Efficiency Assumptions'!$J:$J,'Level of Efficiency Assumptions'!$D:$D,I462,'Level of Efficiency Assumptions'!$F:$F,J462,'Level of Efficiency Assumptions'!$I:$I,'Water Use Calcs'!L462)</f>
        <v>13.980821518350929</v>
      </c>
      <c r="N462" s="577"/>
      <c r="O462" s="1048">
        <f>SUMIFS('Detailed Fixture Data'!O:O,'Detailed Fixture Data'!C:C,G462,'Detailed Fixture Data'!E:E,I462,'Detailed Fixture Data'!F:F,J462,'Detailed Fixture Data'!L:L,L462)</f>
        <v>0</v>
      </c>
      <c r="P462" s="1049"/>
      <c r="Q462" s="577"/>
      <c r="R462" s="1039"/>
      <c r="S462" s="521"/>
      <c r="T462" s="225"/>
      <c r="U462" s="521"/>
      <c r="V462" s="1040"/>
      <c r="W462" s="1041"/>
    </row>
    <row r="463" spans="3:23" ht="15" thickBot="1" x14ac:dyDescent="0.35">
      <c r="C463" s="576"/>
      <c r="D463" s="493" t="s">
        <v>11</v>
      </c>
      <c r="E463" s="494"/>
      <c r="F463" s="182"/>
      <c r="G463" s="494" t="s">
        <v>766</v>
      </c>
      <c r="H463" s="577"/>
      <c r="I463" s="451" t="s">
        <v>39</v>
      </c>
      <c r="J463" s="116" t="s">
        <v>42</v>
      </c>
      <c r="K463" s="116"/>
      <c r="L463" s="1042" t="s">
        <v>66</v>
      </c>
      <c r="M463" s="1043">
        <f>SUMIFS('Level of Efficiency Assumptions'!$J:$J,'Level of Efficiency Assumptions'!$D:$D,I463,'Level of Efficiency Assumptions'!$F:$F,J463,'Level of Efficiency Assumptions'!$I:$I,'Water Use Calcs'!L463)</f>
        <v>0.59137254901960778</v>
      </c>
      <c r="N463" s="577"/>
      <c r="O463" s="1048">
        <f>SUMIFS('Detailed Fixture Data'!O:O,'Detailed Fixture Data'!C:C,G463,'Detailed Fixture Data'!E:E,I463,'Detailed Fixture Data'!F:F,J463,'Detailed Fixture Data'!L:L,L463)</f>
        <v>0</v>
      </c>
      <c r="P463" s="1049"/>
      <c r="Q463" s="577"/>
      <c r="R463" s="1039"/>
      <c r="S463" s="618"/>
      <c r="T463" s="225"/>
      <c r="U463" s="618"/>
      <c r="V463" s="1045"/>
      <c r="W463" s="1046"/>
    </row>
    <row r="464" spans="3:23" x14ac:dyDescent="0.3">
      <c r="C464" s="576"/>
      <c r="D464" s="493" t="s">
        <v>11</v>
      </c>
      <c r="E464" s="494"/>
      <c r="F464" s="182"/>
      <c r="G464" s="494" t="s">
        <v>766</v>
      </c>
      <c r="H464" s="651" t="str">
        <f>I464</f>
        <v>Maintenance</v>
      </c>
      <c r="I464" s="450" t="s">
        <v>43</v>
      </c>
      <c r="J464" s="577" t="s">
        <v>111</v>
      </c>
      <c r="K464" s="217" t="s">
        <v>424</v>
      </c>
      <c r="L464" s="1047" t="s">
        <v>64</v>
      </c>
      <c r="M464" s="1036">
        <f>SUMIFS('Level of Efficiency Assumptions'!$J:$J,'Level of Efficiency Assumptions'!$D:$D,I464,'Level of Efficiency Assumptions'!$F:$F,J464,'Level of Efficiency Assumptions'!$I:$I,'Water Use Calcs'!L464)</f>
        <v>100</v>
      </c>
      <c r="N464" s="567" t="s">
        <v>659</v>
      </c>
      <c r="O464" s="1048">
        <f>SUMIFS('Detailed Fixture Data'!O:O,'Detailed Fixture Data'!C:C,G464,'Detailed Fixture Data'!E:E,I464,'Detailed Fixture Data'!F:F,J464,'Detailed Fixture Data'!L:L,L464)</f>
        <v>0</v>
      </c>
      <c r="P464" s="1030">
        <f>SUMIFS('Intensity of Use Assumptions'!$J:$J,'Intensity of Use Assumptions'!$D:$D,I464,'Intensity of Use Assumptions'!$G:$G,J464,'Intensity of Use Assumptions'!H:H,K464)</f>
        <v>1</v>
      </c>
      <c r="Q464" s="567" t="s">
        <v>67</v>
      </c>
      <c r="R464" s="1032">
        <f>(SUMPRODUCT(M464:M466,O464:O466)*P464)</f>
        <v>0</v>
      </c>
      <c r="S464" s="1033">
        <f>IF(R464=0,0,M466*P464)</f>
        <v>0</v>
      </c>
      <c r="T464" s="225" t="str">
        <f>G464&amp;"-"&amp;J464</f>
        <v>Rental Car Center C-Boiler</v>
      </c>
      <c r="U464" s="1034">
        <f ca="1">IF(ISNA(VLOOKUP(T464,list!$AV$3:$AW$130,2,FALSE)),1,(VLOOKUP(T464,list!$AV$3:$AW$130,2,FALSE)))</f>
        <v>1</v>
      </c>
      <c r="V464" s="1033">
        <f ca="1">R464*U464</f>
        <v>0</v>
      </c>
      <c r="W464" s="1033">
        <f ca="1">S464*U464</f>
        <v>0</v>
      </c>
    </row>
    <row r="465" spans="3:23" x14ac:dyDescent="0.3">
      <c r="C465" s="576"/>
      <c r="D465" s="493" t="s">
        <v>11</v>
      </c>
      <c r="E465" s="494"/>
      <c r="F465" s="182"/>
      <c r="G465" s="494" t="s">
        <v>766</v>
      </c>
      <c r="H465" s="577"/>
      <c r="I465" s="450" t="s">
        <v>43</v>
      </c>
      <c r="J465" s="577" t="s">
        <v>111</v>
      </c>
      <c r="K465" s="382"/>
      <c r="L465" s="1035" t="s">
        <v>65</v>
      </c>
      <c r="M465" s="1036">
        <f>SUMIFS('Level of Efficiency Assumptions'!$J:$J,'Level of Efficiency Assumptions'!$D:$D,I465,'Level of Efficiency Assumptions'!$F:$F,J465,'Level of Efficiency Assumptions'!$I:$I,'Water Use Calcs'!L465)</f>
        <v>75</v>
      </c>
      <c r="N465" s="577"/>
      <c r="O465" s="1048">
        <f>SUMIFS('Detailed Fixture Data'!O:O,'Detailed Fixture Data'!C:C,G465,'Detailed Fixture Data'!E:E,I465,'Detailed Fixture Data'!F:F,J465,'Detailed Fixture Data'!L:L,L465)</f>
        <v>0</v>
      </c>
      <c r="P465" s="1049"/>
      <c r="Q465" s="577"/>
      <c r="R465" s="1039"/>
      <c r="S465" s="521"/>
      <c r="T465" s="225"/>
      <c r="U465" s="521"/>
      <c r="V465" s="1040"/>
      <c r="W465" s="1041"/>
    </row>
    <row r="466" spans="3:23" ht="15" thickBot="1" x14ac:dyDescent="0.35">
      <c r="C466" s="576"/>
      <c r="D466" s="493" t="s">
        <v>11</v>
      </c>
      <c r="E466" s="494"/>
      <c r="F466" s="182"/>
      <c r="G466" s="494" t="s">
        <v>766</v>
      </c>
      <c r="H466" s="577"/>
      <c r="I466" s="450" t="s">
        <v>43</v>
      </c>
      <c r="J466" s="116" t="s">
        <v>111</v>
      </c>
      <c r="K466" s="116"/>
      <c r="L466" s="1042" t="s">
        <v>66</v>
      </c>
      <c r="M466" s="1043">
        <f>SUMIFS('Level of Efficiency Assumptions'!$J:$J,'Level of Efficiency Assumptions'!$D:$D,I466,'Level of Efficiency Assumptions'!$F:$F,J466,'Level of Efficiency Assumptions'!$I:$I,'Water Use Calcs'!L466)</f>
        <v>50</v>
      </c>
      <c r="N466" s="577"/>
      <c r="O466" s="1048">
        <f>SUMIFS('Detailed Fixture Data'!O:O,'Detailed Fixture Data'!C:C,G466,'Detailed Fixture Data'!E:E,I466,'Detailed Fixture Data'!F:F,J466,'Detailed Fixture Data'!L:L,L466)</f>
        <v>0</v>
      </c>
      <c r="P466" s="1049"/>
      <c r="Q466" s="577"/>
      <c r="R466" s="1039"/>
      <c r="S466" s="618"/>
      <c r="T466" s="225"/>
      <c r="U466" s="618"/>
      <c r="V466" s="1045"/>
      <c r="W466" s="1046"/>
    </row>
    <row r="467" spans="3:23" x14ac:dyDescent="0.3">
      <c r="C467" s="576"/>
      <c r="D467" s="493" t="s">
        <v>11</v>
      </c>
      <c r="E467" s="494"/>
      <c r="F467" s="182"/>
      <c r="G467" s="494" t="s">
        <v>766</v>
      </c>
      <c r="H467" s="577"/>
      <c r="I467" s="450" t="s">
        <v>43</v>
      </c>
      <c r="J467" s="577" t="s">
        <v>7</v>
      </c>
      <c r="K467" s="215" t="s">
        <v>365</v>
      </c>
      <c r="L467" s="1012" t="s">
        <v>257</v>
      </c>
      <c r="M467" s="1050"/>
      <c r="N467" s="1050"/>
      <c r="O467" s="1050"/>
      <c r="P467" s="1051"/>
      <c r="Q467" s="981"/>
      <c r="R467" s="1052">
        <f>SUMIFS('Cooling Data'!H:H,'Cooling Data'!$C:$C,$G467,'Cooling Data'!$E:$E,$I467,'Cooling Data'!$F:$F,$J467)</f>
        <v>0</v>
      </c>
      <c r="S467" s="1052">
        <f>SUMIFS('Cooling Data'!J:J,'Cooling Data'!$C:$C,$G467,'Cooling Data'!$E:$E,$I467,'Cooling Data'!$F:$F,$J467)</f>
        <v>0</v>
      </c>
      <c r="T467" s="225" t="str">
        <f>G467&amp;"-"&amp;J467</f>
        <v>Rental Car Center C-Cooling</v>
      </c>
      <c r="U467" s="1034">
        <f ca="1">IF(ISNA(VLOOKUP(T467,list!$AV$3:$AW$130,2,FALSE)),1,(VLOOKUP(T467,list!$AV$3:$AW$130,2,FALSE)))</f>
        <v>1</v>
      </c>
      <c r="V467" s="1033">
        <f ca="1">R467*U467</f>
        <v>0</v>
      </c>
      <c r="W467" s="1033">
        <f ca="1">S467*U467</f>
        <v>0</v>
      </c>
    </row>
    <row r="468" spans="3:23" x14ac:dyDescent="0.3">
      <c r="C468" s="576"/>
      <c r="D468" s="493" t="s">
        <v>11</v>
      </c>
      <c r="E468" s="494"/>
      <c r="F468" s="182"/>
      <c r="G468" s="494" t="s">
        <v>766</v>
      </c>
      <c r="H468" s="577"/>
      <c r="I468" s="450" t="s">
        <v>43</v>
      </c>
      <c r="J468" s="577" t="s">
        <v>7</v>
      </c>
      <c r="K468" s="577"/>
      <c r="L468" s="206"/>
      <c r="M468" s="181"/>
      <c r="N468" s="181"/>
      <c r="O468" s="181"/>
      <c r="P468" s="1053"/>
      <c r="Q468" s="439"/>
      <c r="R468" s="1039"/>
      <c r="S468" s="521"/>
      <c r="T468" s="225"/>
      <c r="U468" s="521"/>
      <c r="V468" s="1040"/>
      <c r="W468" s="1041"/>
    </row>
    <row r="469" spans="3:23" ht="15" thickBot="1" x14ac:dyDescent="0.35">
      <c r="C469" s="576"/>
      <c r="D469" s="493" t="s">
        <v>11</v>
      </c>
      <c r="E469" s="494"/>
      <c r="F469" s="182"/>
      <c r="G469" s="494" t="s">
        <v>766</v>
      </c>
      <c r="H469" s="577"/>
      <c r="I469" s="450" t="s">
        <v>43</v>
      </c>
      <c r="J469" s="116" t="s">
        <v>7</v>
      </c>
      <c r="K469" s="116"/>
      <c r="L469" s="207"/>
      <c r="M469" s="924"/>
      <c r="N469" s="924"/>
      <c r="O469" s="924"/>
      <c r="P469" s="1054"/>
      <c r="Q469" s="606"/>
      <c r="R469" s="1039"/>
      <c r="S469" s="618"/>
      <c r="T469" s="225"/>
      <c r="U469" s="618"/>
      <c r="V469" s="1045"/>
      <c r="W469" s="1046"/>
    </row>
    <row r="470" spans="3:23" x14ac:dyDescent="0.3">
      <c r="C470" s="576"/>
      <c r="D470" s="493" t="s">
        <v>11</v>
      </c>
      <c r="E470" s="494"/>
      <c r="F470" s="182"/>
      <c r="G470" s="494" t="s">
        <v>766</v>
      </c>
      <c r="H470" s="577"/>
      <c r="I470" s="450" t="s">
        <v>43</v>
      </c>
      <c r="J470" s="577" t="s">
        <v>9</v>
      </c>
      <c r="K470" s="577" t="s">
        <v>12</v>
      </c>
      <c r="L470" s="1047" t="s">
        <v>64</v>
      </c>
      <c r="M470" s="1036">
        <f>SUMIFS('Level of Efficiency Assumptions'!$J:$J,'Level of Efficiency Assumptions'!$D:$D,I470,'Level of Efficiency Assumptions'!$F:$F,J470,'Level of Efficiency Assumptions'!$I:$I,'Water Use Calcs'!L470)</f>
        <v>80</v>
      </c>
      <c r="N470" s="567" t="s">
        <v>588</v>
      </c>
      <c r="O470" s="1048">
        <f>SUMIFS('Detailed Fixture Data'!O:O,'Detailed Fixture Data'!C:C,G470,'Detailed Fixture Data'!E:E,I470,'Detailed Fixture Data'!F:F,J470,'Detailed Fixture Data'!L:L,L470)</f>
        <v>0</v>
      </c>
      <c r="P470" s="1030">
        <f>SUMIFS('Intensity of Use Assumptions'!$J:$J,'Intensity of Use Assumptions'!$D:$D,I470,'Intensity of Use Assumptions'!$G:$G,J470,'Intensity of Use Assumptions'!H:H,K470)</f>
        <v>1</v>
      </c>
      <c r="Q470" s="567" t="s">
        <v>67</v>
      </c>
      <c r="R470" s="1032">
        <f>(SUMPRODUCT(M470:M472,O470:O472)*P470)</f>
        <v>0</v>
      </c>
      <c r="S470" s="1033">
        <f>IF(R470=0,0,M472*P470)</f>
        <v>0</v>
      </c>
      <c r="T470" s="225" t="str">
        <f>G470&amp;"-"&amp;J470</f>
        <v>Rental Car Center C-Vehicle washing</v>
      </c>
      <c r="U470" s="1034">
        <f ca="1">IF(ISNA(VLOOKUP(T470,list!$AV$3:$AW$130,2,FALSE)),1,(VLOOKUP(T470,list!$AV$3:$AW$130,2,FALSE)))</f>
        <v>1</v>
      </c>
      <c r="V470" s="1033">
        <f ca="1">R470*U470</f>
        <v>0</v>
      </c>
      <c r="W470" s="1033">
        <f ca="1">S470*U470</f>
        <v>0</v>
      </c>
    </row>
    <row r="471" spans="3:23" x14ac:dyDescent="0.3">
      <c r="C471" s="576"/>
      <c r="D471" s="493" t="s">
        <v>11</v>
      </c>
      <c r="E471" s="494"/>
      <c r="F471" s="182"/>
      <c r="G471" s="494" t="s">
        <v>766</v>
      </c>
      <c r="H471" s="577"/>
      <c r="I471" s="450" t="s">
        <v>43</v>
      </c>
      <c r="J471" s="577" t="s">
        <v>9</v>
      </c>
      <c r="K471" s="577"/>
      <c r="L471" s="1035" t="s">
        <v>65</v>
      </c>
      <c r="M471" s="1036">
        <f>SUMIFS('Level of Efficiency Assumptions'!$J:$J,'Level of Efficiency Assumptions'!$D:$D,I471,'Level of Efficiency Assumptions'!$F:$F,J471,'Level of Efficiency Assumptions'!$I:$I,'Water Use Calcs'!L471)</f>
        <v>40</v>
      </c>
      <c r="N471" s="577"/>
      <c r="O471" s="1048">
        <f>SUMIFS('Detailed Fixture Data'!O:O,'Detailed Fixture Data'!C:C,G471,'Detailed Fixture Data'!E:E,I471,'Detailed Fixture Data'!F:F,J471,'Detailed Fixture Data'!L:L,L471)</f>
        <v>0</v>
      </c>
      <c r="P471" s="1049"/>
      <c r="Q471" s="577"/>
      <c r="R471" s="1039"/>
      <c r="S471" s="521"/>
      <c r="T471" s="225"/>
      <c r="U471" s="521"/>
      <c r="V471" s="1040"/>
      <c r="W471" s="1041"/>
    </row>
    <row r="472" spans="3:23" ht="15" thickBot="1" x14ac:dyDescent="0.35">
      <c r="C472" s="576"/>
      <c r="D472" s="493" t="s">
        <v>11</v>
      </c>
      <c r="E472" s="494"/>
      <c r="F472" s="182"/>
      <c r="G472" s="494" t="s">
        <v>766</v>
      </c>
      <c r="H472" s="577"/>
      <c r="I472" s="450" t="s">
        <v>43</v>
      </c>
      <c r="J472" s="116" t="s">
        <v>9</v>
      </c>
      <c r="K472" s="116"/>
      <c r="L472" s="1042" t="s">
        <v>66</v>
      </c>
      <c r="M472" s="1043">
        <f>SUMIFS('Level of Efficiency Assumptions'!$J:$J,'Level of Efficiency Assumptions'!$D:$D,I472,'Level of Efficiency Assumptions'!$F:$F,J472,'Level of Efficiency Assumptions'!$I:$I,'Water Use Calcs'!L472)</f>
        <v>30</v>
      </c>
      <c r="N472" s="577"/>
      <c r="O472" s="1048">
        <f>SUMIFS('Detailed Fixture Data'!O:O,'Detailed Fixture Data'!C:C,G472,'Detailed Fixture Data'!E:E,I472,'Detailed Fixture Data'!F:F,J472,'Detailed Fixture Data'!L:L,L472)</f>
        <v>0</v>
      </c>
      <c r="P472" s="1049"/>
      <c r="Q472" s="577"/>
      <c r="R472" s="1039"/>
      <c r="S472" s="618"/>
      <c r="T472" s="225"/>
      <c r="U472" s="618"/>
      <c r="V472" s="1045"/>
      <c r="W472" s="1046"/>
    </row>
    <row r="473" spans="3:23" x14ac:dyDescent="0.3">
      <c r="C473" s="576"/>
      <c r="D473" s="493" t="s">
        <v>11</v>
      </c>
      <c r="E473" s="494"/>
      <c r="F473" s="182"/>
      <c r="G473" s="494" t="s">
        <v>766</v>
      </c>
      <c r="H473" s="577"/>
      <c r="I473" s="450" t="s">
        <v>43</v>
      </c>
      <c r="J473" s="577" t="s">
        <v>426</v>
      </c>
      <c r="K473" s="577" t="s">
        <v>12</v>
      </c>
      <c r="L473" s="1047" t="s">
        <v>64</v>
      </c>
      <c r="M473" s="1036">
        <f>SUMIFS('Level of Efficiency Assumptions'!$J:$J,'Level of Efficiency Assumptions'!$D:$D,I473,'Level of Efficiency Assumptions'!$F:$F,J473,'Level of Efficiency Assumptions'!$I:$I,'Water Use Calcs'!L473)</f>
        <v>10</v>
      </c>
      <c r="N473" s="567" t="s">
        <v>588</v>
      </c>
      <c r="O473" s="1048">
        <f>SUMIFS('Detailed Fixture Data'!O:O,'Detailed Fixture Data'!C:C,G473,'Detailed Fixture Data'!E:E,I473,'Detailed Fixture Data'!F:F,J473,'Detailed Fixture Data'!L:L,L473)</f>
        <v>0</v>
      </c>
      <c r="P473" s="1030">
        <f>SUMIFS('Intensity of Use Assumptions'!$J:$J,'Intensity of Use Assumptions'!$D:$D,I473,'Intensity of Use Assumptions'!$G:$G,J473,'Intensity of Use Assumptions'!H:H,K473)</f>
        <v>1E-3</v>
      </c>
      <c r="Q473" s="567" t="s">
        <v>67</v>
      </c>
      <c r="R473" s="1032">
        <f>(SUMPRODUCT(M473:M475,O473:O475)*P473)</f>
        <v>0</v>
      </c>
      <c r="S473" s="1033">
        <f>IF(R473=0,0,M475*P473)</f>
        <v>0</v>
      </c>
      <c r="T473" s="225" t="str">
        <f>G473&amp;"-"&amp;J473</f>
        <v>Rental Car Center C-Pavement cleaning</v>
      </c>
      <c r="U473" s="1034">
        <f ca="1">IF(ISNA(VLOOKUP(T473,list!$AV$3:$AW$130,2,FALSE)),1,(VLOOKUP(T473,list!$AV$3:$AW$130,2,FALSE)))</f>
        <v>1</v>
      </c>
      <c r="V473" s="1033">
        <f ca="1">R473*U473</f>
        <v>0</v>
      </c>
      <c r="W473" s="1033">
        <f ca="1">S473*U473</f>
        <v>0</v>
      </c>
    </row>
    <row r="474" spans="3:23" x14ac:dyDescent="0.3">
      <c r="C474" s="576"/>
      <c r="D474" s="493" t="s">
        <v>11</v>
      </c>
      <c r="E474" s="494"/>
      <c r="F474" s="182"/>
      <c r="G474" s="494" t="s">
        <v>766</v>
      </c>
      <c r="H474" s="577"/>
      <c r="I474" s="450" t="s">
        <v>43</v>
      </c>
      <c r="J474" s="577" t="s">
        <v>426</v>
      </c>
      <c r="K474" s="577"/>
      <c r="L474" s="1035" t="s">
        <v>65</v>
      </c>
      <c r="M474" s="1036">
        <f>SUMIFS('Level of Efficiency Assumptions'!$J:$J,'Level of Efficiency Assumptions'!$D:$D,I474,'Level of Efficiency Assumptions'!$F:$F,J474,'Level of Efficiency Assumptions'!$I:$I,'Water Use Calcs'!L474)</f>
        <v>7.5</v>
      </c>
      <c r="N474" s="577"/>
      <c r="O474" s="1048">
        <f>SUMIFS('Detailed Fixture Data'!O:O,'Detailed Fixture Data'!C:C,G474,'Detailed Fixture Data'!E:E,I474,'Detailed Fixture Data'!F:F,J474,'Detailed Fixture Data'!L:L,L474)</f>
        <v>0</v>
      </c>
      <c r="P474" s="1049"/>
      <c r="Q474" s="577"/>
      <c r="R474" s="1039"/>
      <c r="S474" s="521"/>
      <c r="T474" s="225"/>
      <c r="U474" s="521"/>
      <c r="V474" s="1040"/>
      <c r="W474" s="1041"/>
    </row>
    <row r="475" spans="3:23" ht="15" thickBot="1" x14ac:dyDescent="0.35">
      <c r="C475" s="576"/>
      <c r="D475" s="493" t="s">
        <v>11</v>
      </c>
      <c r="E475" s="494"/>
      <c r="F475" s="182"/>
      <c r="G475" s="494" t="s">
        <v>766</v>
      </c>
      <c r="H475" s="577"/>
      <c r="I475" s="451" t="s">
        <v>43</v>
      </c>
      <c r="J475" s="116" t="s">
        <v>426</v>
      </c>
      <c r="K475" s="116"/>
      <c r="L475" s="1042" t="s">
        <v>66</v>
      </c>
      <c r="M475" s="1043">
        <f>SUMIFS('Level of Efficiency Assumptions'!$J:$J,'Level of Efficiency Assumptions'!$D:$D,I475,'Level of Efficiency Assumptions'!$F:$F,J475,'Level of Efficiency Assumptions'!$I:$I,'Water Use Calcs'!L475)</f>
        <v>5</v>
      </c>
      <c r="N475" s="577"/>
      <c r="O475" s="1048">
        <f>SUMIFS('Detailed Fixture Data'!O:O,'Detailed Fixture Data'!C:C,G475,'Detailed Fixture Data'!E:E,I475,'Detailed Fixture Data'!F:F,J475,'Detailed Fixture Data'!L:L,L475)</f>
        <v>0</v>
      </c>
      <c r="P475" s="1049"/>
      <c r="Q475" s="577"/>
      <c r="R475" s="1039"/>
      <c r="S475" s="618"/>
      <c r="T475" s="225"/>
      <c r="U475" s="618"/>
      <c r="V475" s="1045"/>
      <c r="W475" s="1046"/>
    </row>
    <row r="476" spans="3:23" x14ac:dyDescent="0.3">
      <c r="C476" s="576"/>
      <c r="D476" s="493" t="s">
        <v>11</v>
      </c>
      <c r="E476" s="494"/>
      <c r="F476" s="182"/>
      <c r="G476" s="494" t="s">
        <v>766</v>
      </c>
      <c r="H476" s="651" t="str">
        <f>I476</f>
        <v>Other</v>
      </c>
      <c r="I476" s="450" t="s">
        <v>8</v>
      </c>
      <c r="J476" s="577" t="s">
        <v>52</v>
      </c>
      <c r="K476" s="387" t="s">
        <v>362</v>
      </c>
      <c r="L476" s="1047" t="s">
        <v>64</v>
      </c>
      <c r="M476" s="1036">
        <f>SUMIFS('Level of Efficiency Assumptions'!$J:$J,'Level of Efficiency Assumptions'!$D:$D,I476,'Level of Efficiency Assumptions'!$F:$F,J476,'Level of Efficiency Assumptions'!$I:$I,'Water Use Calcs'!L476)</f>
        <v>10</v>
      </c>
      <c r="N476" s="567" t="s">
        <v>660</v>
      </c>
      <c r="O476" s="1048">
        <f>SUMIFS('Detailed Fixture Data'!O:O,'Detailed Fixture Data'!C:C,G476,'Detailed Fixture Data'!E:E,I476,'Detailed Fixture Data'!F:F,J476,'Detailed Fixture Data'!L:L,L476)</f>
        <v>0</v>
      </c>
      <c r="P476" s="1030">
        <f>SUMIFS('Intensity of Use Assumptions'!$J:$J,'Intensity of Use Assumptions'!$D:$D,I476,'Intensity of Use Assumptions'!$G:$G,J476,'Intensity of Use Assumptions'!H:H,K476)</f>
        <v>1</v>
      </c>
      <c r="Q476" s="567" t="s">
        <v>67</v>
      </c>
      <c r="R476" s="1032">
        <f>(SUMPRODUCT(M476:M478,O476:O478)*P476)</f>
        <v>0</v>
      </c>
      <c r="S476" s="1033">
        <f>IF(R476=0,0,M478*P476)</f>
        <v>0</v>
      </c>
      <c r="T476" s="225" t="str">
        <f>G476&amp;"-"&amp;J476</f>
        <v>Rental Car Center C-Other 1</v>
      </c>
      <c r="U476" s="1034">
        <f ca="1">IF(ISNA(VLOOKUP(T476,list!$AV$3:$AW$130,2,FALSE)),1,(VLOOKUP(T476,list!$AV$3:$AW$130,2,FALSE)))</f>
        <v>1</v>
      </c>
      <c r="V476" s="1033">
        <f ca="1">R476*U476</f>
        <v>0</v>
      </c>
      <c r="W476" s="1033">
        <f ca="1">S476*U476</f>
        <v>0</v>
      </c>
    </row>
    <row r="477" spans="3:23" x14ac:dyDescent="0.3">
      <c r="C477" s="576"/>
      <c r="D477" s="493" t="s">
        <v>11</v>
      </c>
      <c r="E477" s="494"/>
      <c r="F477" s="182"/>
      <c r="G477" s="494" t="s">
        <v>766</v>
      </c>
      <c r="H477" s="577"/>
      <c r="I477" s="450" t="s">
        <v>8</v>
      </c>
      <c r="J477" s="577" t="s">
        <v>52</v>
      </c>
      <c r="K477" s="382"/>
      <c r="L477" s="1035" t="s">
        <v>65</v>
      </c>
      <c r="M477" s="1036">
        <f>SUMIFS('Level of Efficiency Assumptions'!$J:$J,'Level of Efficiency Assumptions'!$D:$D,I477,'Level of Efficiency Assumptions'!$F:$F,J477,'Level of Efficiency Assumptions'!$I:$I,'Water Use Calcs'!L477)</f>
        <v>7.5</v>
      </c>
      <c r="N477" s="577"/>
      <c r="O477" s="1048">
        <f>SUMIFS('Detailed Fixture Data'!O:O,'Detailed Fixture Data'!C:C,G477,'Detailed Fixture Data'!E:E,I477,'Detailed Fixture Data'!F:F,J477,'Detailed Fixture Data'!L:L,L477)</f>
        <v>0</v>
      </c>
      <c r="P477" s="1049"/>
      <c r="Q477" s="577"/>
      <c r="R477" s="1039"/>
      <c r="S477" s="521"/>
      <c r="T477" s="225"/>
      <c r="U477" s="521"/>
      <c r="V477" s="1040"/>
      <c r="W477" s="1041"/>
    </row>
    <row r="478" spans="3:23" ht="15" thickBot="1" x14ac:dyDescent="0.35">
      <c r="C478" s="576"/>
      <c r="D478" s="493" t="s">
        <v>11</v>
      </c>
      <c r="E478" s="494"/>
      <c r="F478" s="182"/>
      <c r="G478" s="494" t="s">
        <v>766</v>
      </c>
      <c r="H478" s="577"/>
      <c r="I478" s="450" t="s">
        <v>8</v>
      </c>
      <c r="J478" s="116" t="s">
        <v>52</v>
      </c>
      <c r="K478" s="382"/>
      <c r="L478" s="1042" t="s">
        <v>66</v>
      </c>
      <c r="M478" s="1043">
        <f>SUMIFS('Level of Efficiency Assumptions'!$J:$J,'Level of Efficiency Assumptions'!$D:$D,I478,'Level of Efficiency Assumptions'!$F:$F,J478,'Level of Efficiency Assumptions'!$I:$I,'Water Use Calcs'!L478)</f>
        <v>5</v>
      </c>
      <c r="N478" s="577"/>
      <c r="O478" s="1048">
        <f>SUMIFS('Detailed Fixture Data'!O:O,'Detailed Fixture Data'!C:C,G478,'Detailed Fixture Data'!E:E,I478,'Detailed Fixture Data'!F:F,J478,'Detailed Fixture Data'!L:L,L478)</f>
        <v>0</v>
      </c>
      <c r="P478" s="1049"/>
      <c r="Q478" s="577"/>
      <c r="R478" s="1039"/>
      <c r="S478" s="618"/>
      <c r="T478" s="225"/>
      <c r="U478" s="618"/>
      <c r="V478" s="1045"/>
      <c r="W478" s="1046"/>
    </row>
    <row r="479" spans="3:23" x14ac:dyDescent="0.3">
      <c r="C479" s="576"/>
      <c r="D479" s="493" t="s">
        <v>11</v>
      </c>
      <c r="E479" s="494"/>
      <c r="F479" s="182"/>
      <c r="G479" s="494" t="s">
        <v>766</v>
      </c>
      <c r="H479" s="577"/>
      <c r="I479" s="450" t="s">
        <v>8</v>
      </c>
      <c r="J479" s="577" t="s">
        <v>53</v>
      </c>
      <c r="K479" s="1055" t="s">
        <v>363</v>
      </c>
      <c r="L479" s="1047" t="s">
        <v>64</v>
      </c>
      <c r="M479" s="1036">
        <f>SUMIFS('Level of Efficiency Assumptions'!$J:$J,'Level of Efficiency Assumptions'!$D:$D,I479,'Level of Efficiency Assumptions'!$F:$F,J479,'Level of Efficiency Assumptions'!$I:$I,'Water Use Calcs'!L479)</f>
        <v>10</v>
      </c>
      <c r="N479" s="567" t="s">
        <v>660</v>
      </c>
      <c r="O479" s="1048">
        <f>SUMIFS('Detailed Fixture Data'!O:O,'Detailed Fixture Data'!C:C,G479,'Detailed Fixture Data'!E:E,I479,'Detailed Fixture Data'!F:F,J479,'Detailed Fixture Data'!L:L,L479)</f>
        <v>0</v>
      </c>
      <c r="P479" s="1030">
        <f>SUMIFS('Intensity of Use Assumptions'!$J:$J,'Intensity of Use Assumptions'!$D:$D,I479,'Intensity of Use Assumptions'!$G:$G,J479,'Intensity of Use Assumptions'!H:H,K479)</f>
        <v>1</v>
      </c>
      <c r="Q479" s="567" t="s">
        <v>67</v>
      </c>
      <c r="R479" s="1032">
        <f>(SUMPRODUCT(M479:M481,O479:O481)*P479)</f>
        <v>0</v>
      </c>
      <c r="S479" s="1033">
        <f>IF(R479=0,0,M481*P479)</f>
        <v>0</v>
      </c>
      <c r="T479" s="225" t="str">
        <f>G479&amp;"-"&amp;J479</f>
        <v>Rental Car Center C-Other 2</v>
      </c>
      <c r="U479" s="1034">
        <f ca="1">IF(ISNA(VLOOKUP(T479,list!$AV$3:$AW$130,2,FALSE)),1,(VLOOKUP(T479,list!$AV$3:$AW$130,2,FALSE)))</f>
        <v>1</v>
      </c>
      <c r="V479" s="1033">
        <f ca="1">R479*U479</f>
        <v>0</v>
      </c>
      <c r="W479" s="1033">
        <f ca="1">S479*U479</f>
        <v>0</v>
      </c>
    </row>
    <row r="480" spans="3:23" x14ac:dyDescent="0.3">
      <c r="C480" s="576"/>
      <c r="D480" s="493" t="s">
        <v>11</v>
      </c>
      <c r="E480" s="494"/>
      <c r="F480" s="182"/>
      <c r="G480" s="494" t="s">
        <v>766</v>
      </c>
      <c r="H480" s="577"/>
      <c r="I480" s="450" t="s">
        <v>8</v>
      </c>
      <c r="J480" s="577" t="s">
        <v>53</v>
      </c>
      <c r="K480" s="577"/>
      <c r="L480" s="1035" t="s">
        <v>65</v>
      </c>
      <c r="M480" s="1036">
        <f>SUMIFS('Level of Efficiency Assumptions'!$J:$J,'Level of Efficiency Assumptions'!$D:$D,I480,'Level of Efficiency Assumptions'!$F:$F,J480,'Level of Efficiency Assumptions'!$I:$I,'Water Use Calcs'!L480)</f>
        <v>7.5</v>
      </c>
      <c r="N480" s="577"/>
      <c r="O480" s="1048">
        <f>SUMIFS('Detailed Fixture Data'!O:O,'Detailed Fixture Data'!C:C,G480,'Detailed Fixture Data'!E:E,I480,'Detailed Fixture Data'!F:F,J480,'Detailed Fixture Data'!L:L,L480)</f>
        <v>0</v>
      </c>
      <c r="P480" s="1049"/>
      <c r="Q480" s="577"/>
      <c r="R480" s="1039"/>
      <c r="S480" s="521"/>
      <c r="T480" s="225"/>
      <c r="U480" s="521"/>
      <c r="V480" s="1040"/>
      <c r="W480" s="1041"/>
    </row>
    <row r="481" spans="3:23" ht="15" thickBot="1" x14ac:dyDescent="0.35">
      <c r="C481" s="576"/>
      <c r="D481" s="493" t="s">
        <v>11</v>
      </c>
      <c r="E481" s="494"/>
      <c r="F481" s="182"/>
      <c r="G481" s="494" t="s">
        <v>766</v>
      </c>
      <c r="H481" s="577"/>
      <c r="I481" s="450" t="s">
        <v>8</v>
      </c>
      <c r="J481" s="116" t="s">
        <v>53</v>
      </c>
      <c r="K481" s="116"/>
      <c r="L481" s="1042" t="s">
        <v>66</v>
      </c>
      <c r="M481" s="1043">
        <f>SUMIFS('Level of Efficiency Assumptions'!$J:$J,'Level of Efficiency Assumptions'!$D:$D,I481,'Level of Efficiency Assumptions'!$F:$F,J481,'Level of Efficiency Assumptions'!$I:$I,'Water Use Calcs'!L481)</f>
        <v>5</v>
      </c>
      <c r="N481" s="577"/>
      <c r="O481" s="1048">
        <f>SUMIFS('Detailed Fixture Data'!O:O,'Detailed Fixture Data'!C:C,G481,'Detailed Fixture Data'!E:E,I481,'Detailed Fixture Data'!F:F,J481,'Detailed Fixture Data'!L:L,L481)</f>
        <v>0</v>
      </c>
      <c r="P481" s="1049"/>
      <c r="Q481" s="577"/>
      <c r="R481" s="1039"/>
      <c r="S481" s="618"/>
      <c r="T481" s="225"/>
      <c r="U481" s="618"/>
      <c r="V481" s="1045"/>
      <c r="W481" s="1046"/>
    </row>
    <row r="482" spans="3:23" x14ac:dyDescent="0.3">
      <c r="C482" s="576"/>
      <c r="D482" s="493" t="s">
        <v>11</v>
      </c>
      <c r="E482" s="494"/>
      <c r="F482" s="182"/>
      <c r="G482" s="494" t="s">
        <v>766</v>
      </c>
      <c r="H482" s="577"/>
      <c r="I482" s="450" t="s">
        <v>8</v>
      </c>
      <c r="J482" s="577" t="s">
        <v>54</v>
      </c>
      <c r="K482" s="379" t="s">
        <v>364</v>
      </c>
      <c r="L482" s="1047" t="s">
        <v>64</v>
      </c>
      <c r="M482" s="1036">
        <f>SUMIFS('Level of Efficiency Assumptions'!$J:$J,'Level of Efficiency Assumptions'!$D:$D,I482,'Level of Efficiency Assumptions'!$F:$F,J482,'Level of Efficiency Assumptions'!$I:$I,'Water Use Calcs'!L482)</f>
        <v>10</v>
      </c>
      <c r="N482" s="567" t="s">
        <v>660</v>
      </c>
      <c r="O482" s="1048">
        <f>SUMIFS('Detailed Fixture Data'!O:O,'Detailed Fixture Data'!C:C,G482,'Detailed Fixture Data'!E:E,I482,'Detailed Fixture Data'!F:F,J482,'Detailed Fixture Data'!L:L,L482)</f>
        <v>0</v>
      </c>
      <c r="P482" s="1030">
        <f>SUMIFS('Intensity of Use Assumptions'!$J:$J,'Intensity of Use Assumptions'!$D:$D,I482,'Intensity of Use Assumptions'!$G:$G,J482,'Intensity of Use Assumptions'!H:H,K482)</f>
        <v>1</v>
      </c>
      <c r="Q482" s="567" t="s">
        <v>67</v>
      </c>
      <c r="R482" s="1032">
        <f>(SUMPRODUCT(M482:M484,O482:O484)*P482)</f>
        <v>0</v>
      </c>
      <c r="S482" s="1033">
        <f>IF(R482=0,0,M484*P482)</f>
        <v>0</v>
      </c>
      <c r="T482" s="225" t="str">
        <f>G482&amp;"-"&amp;J482</f>
        <v>Rental Car Center C-Other 3</v>
      </c>
      <c r="U482" s="1034">
        <f ca="1">IF(ISNA(VLOOKUP(T482,list!$AV$3:$AW$130,2,FALSE)),1,(VLOOKUP(T482,list!$AV$3:$AW$130,2,FALSE)))</f>
        <v>1</v>
      </c>
      <c r="V482" s="1033">
        <f ca="1">R482*U482</f>
        <v>0</v>
      </c>
      <c r="W482" s="1033">
        <f ca="1">S482*U482</f>
        <v>0</v>
      </c>
    </row>
    <row r="483" spans="3:23" x14ac:dyDescent="0.3">
      <c r="C483" s="576"/>
      <c r="D483" s="493" t="s">
        <v>11</v>
      </c>
      <c r="E483" s="494"/>
      <c r="F483" s="182"/>
      <c r="G483" s="494" t="s">
        <v>766</v>
      </c>
      <c r="H483" s="577"/>
      <c r="I483" s="450" t="s">
        <v>8</v>
      </c>
      <c r="J483" s="577" t="s">
        <v>54</v>
      </c>
      <c r="K483" s="577"/>
      <c r="L483" s="1035" t="s">
        <v>65</v>
      </c>
      <c r="M483" s="1036">
        <f>SUMIFS('Level of Efficiency Assumptions'!$J:$J,'Level of Efficiency Assumptions'!$D:$D,I483,'Level of Efficiency Assumptions'!$F:$F,J483,'Level of Efficiency Assumptions'!$I:$I,'Water Use Calcs'!L483)</f>
        <v>7.5</v>
      </c>
      <c r="N483" s="577"/>
      <c r="O483" s="1048">
        <f>SUMIFS('Detailed Fixture Data'!O:O,'Detailed Fixture Data'!C:C,G483,'Detailed Fixture Data'!E:E,I483,'Detailed Fixture Data'!F:F,J483,'Detailed Fixture Data'!L:L,L483)</f>
        <v>0</v>
      </c>
      <c r="P483" s="1049"/>
      <c r="Q483" s="577"/>
      <c r="R483" s="1039"/>
      <c r="S483" s="521"/>
      <c r="T483" s="225"/>
      <c r="U483" s="521"/>
      <c r="V483" s="1040"/>
      <c r="W483" s="1041"/>
    </row>
    <row r="484" spans="3:23" ht="15" thickBot="1" x14ac:dyDescent="0.35">
      <c r="C484" s="576"/>
      <c r="D484" s="493" t="s">
        <v>11</v>
      </c>
      <c r="E484" s="494"/>
      <c r="F484" s="182"/>
      <c r="G484" s="501" t="s">
        <v>766</v>
      </c>
      <c r="H484" s="116"/>
      <c r="I484" s="451" t="s">
        <v>8</v>
      </c>
      <c r="J484" s="116" t="s">
        <v>54</v>
      </c>
      <c r="K484" s="116"/>
      <c r="L484" s="1042" t="s">
        <v>66</v>
      </c>
      <c r="M484" s="1043">
        <f>SUMIFS('Level of Efficiency Assumptions'!$J:$J,'Level of Efficiency Assumptions'!$D:$D,I484,'Level of Efficiency Assumptions'!$F:$F,J484,'Level of Efficiency Assumptions'!$I:$I,'Water Use Calcs'!L484)</f>
        <v>5</v>
      </c>
      <c r="N484" s="116"/>
      <c r="O484" s="1048">
        <f>SUMIFS('Detailed Fixture Data'!O:O,'Detailed Fixture Data'!C:C,G484,'Detailed Fixture Data'!E:E,I484,'Detailed Fixture Data'!F:F,J484,'Detailed Fixture Data'!L:L,L484)</f>
        <v>0</v>
      </c>
      <c r="P484" s="1049"/>
      <c r="Q484" s="116"/>
      <c r="R484" s="1039"/>
      <c r="S484" s="618"/>
      <c r="T484" s="225"/>
      <c r="U484" s="618"/>
      <c r="V484" s="1045"/>
      <c r="W484" s="1046"/>
    </row>
    <row r="485" spans="3:23" x14ac:dyDescent="0.3">
      <c r="C485" s="576"/>
      <c r="D485" s="493" t="s">
        <v>11</v>
      </c>
      <c r="E485" s="619" t="str">
        <f>G485</f>
        <v>Rental Car Center D</v>
      </c>
      <c r="F485" s="565" t="str">
        <f>VLOOKUP(E485,'Airport Mapping'!$C$5:$D$39,2,FALSE)</f>
        <v xml:space="preserve"> </v>
      </c>
      <c r="G485" s="494" t="s">
        <v>767</v>
      </c>
      <c r="H485" s="651" t="str">
        <f>I485</f>
        <v>Restrooms</v>
      </c>
      <c r="I485" s="454" t="s">
        <v>37</v>
      </c>
      <c r="J485" s="567" t="s">
        <v>2</v>
      </c>
      <c r="K485" s="577" t="s">
        <v>6</v>
      </c>
      <c r="L485" s="1028" t="s">
        <v>64</v>
      </c>
      <c r="M485" s="1036">
        <f>SUMIFS('Level of Efficiency Assumptions'!$J:$J,'Level of Efficiency Assumptions'!$D:$D,I485,'Level of Efficiency Assumptions'!$F:$F,J485,'Level of Efficiency Assumptions'!$I:$I,'Water Use Calcs'!L485)</f>
        <v>3.5</v>
      </c>
      <c r="N485" s="567" t="s">
        <v>68</v>
      </c>
      <c r="O485" s="1048">
        <f>SUMIFS('Detailed Fixture Data'!O:O,'Detailed Fixture Data'!C:C,G485,'Detailed Fixture Data'!E:E,I485,'Detailed Fixture Data'!F:F,J485,'Detailed Fixture Data'!L:L,L485)</f>
        <v>0</v>
      </c>
      <c r="P485" s="1030">
        <f>SUMIFS('Intensity of Use Assumptions'!$J:$J,'Intensity of Use Assumptions'!$D:$D,I485,'Intensity of Use Assumptions'!$G:$G,J485,'Intensity of Use Assumptions'!H:H,K485)</f>
        <v>2.5</v>
      </c>
      <c r="Q485" s="567" t="s">
        <v>67</v>
      </c>
      <c r="R485" s="1032">
        <f>(SUMPRODUCT(M485:M487,O485:O487)*P485)</f>
        <v>0</v>
      </c>
      <c r="S485" s="1033">
        <f>IF(R485=0,0,M487*P485)</f>
        <v>0</v>
      </c>
      <c r="T485" s="225" t="str">
        <f>G485&amp;"-"&amp;J485</f>
        <v>Rental Car Center D-Toilets</v>
      </c>
      <c r="U485" s="1034">
        <f ca="1">IF(ISNA(VLOOKUP(T485,list!$AV$3:$AW$130,2,FALSE)),1,(VLOOKUP(T485,list!$AV$3:$AW$130,2,FALSE)))</f>
        <v>1</v>
      </c>
      <c r="V485" s="1033">
        <f ca="1">R485*U485</f>
        <v>0</v>
      </c>
      <c r="W485" s="1033">
        <f ca="1">S485*U485</f>
        <v>0</v>
      </c>
    </row>
    <row r="486" spans="3:23" x14ac:dyDescent="0.3">
      <c r="C486" s="576"/>
      <c r="D486" s="493" t="s">
        <v>11</v>
      </c>
      <c r="E486" s="494"/>
      <c r="F486" s="182"/>
      <c r="G486" s="494" t="s">
        <v>767</v>
      </c>
      <c r="H486" s="577"/>
      <c r="I486" s="450" t="s">
        <v>37</v>
      </c>
      <c r="J486" s="577" t="s">
        <v>2</v>
      </c>
      <c r="K486" s="577"/>
      <c r="L486" s="1035" t="s">
        <v>65</v>
      </c>
      <c r="M486" s="1036">
        <f>SUMIFS('Level of Efficiency Assumptions'!$J:$J,'Level of Efficiency Assumptions'!$D:$D,I486,'Level of Efficiency Assumptions'!$F:$F,J486,'Level of Efficiency Assumptions'!$I:$I,'Water Use Calcs'!L486)</f>
        <v>1.6</v>
      </c>
      <c r="N486" s="577"/>
      <c r="O486" s="1048">
        <f>SUMIFS('Detailed Fixture Data'!O:O,'Detailed Fixture Data'!C:C,G486,'Detailed Fixture Data'!E:E,I486,'Detailed Fixture Data'!F:F,J486,'Detailed Fixture Data'!L:L,L486)</f>
        <v>0</v>
      </c>
      <c r="P486" s="1049"/>
      <c r="Q486" s="577"/>
      <c r="R486" s="1039"/>
      <c r="S486" s="521"/>
      <c r="T486" s="225"/>
      <c r="U486" s="521"/>
      <c r="V486" s="1040"/>
      <c r="W486" s="1041"/>
    </row>
    <row r="487" spans="3:23" ht="15" thickBot="1" x14ac:dyDescent="0.35">
      <c r="C487" s="576"/>
      <c r="D487" s="493" t="s">
        <v>11</v>
      </c>
      <c r="E487" s="494"/>
      <c r="F487" s="182"/>
      <c r="G487" s="494" t="s">
        <v>767</v>
      </c>
      <c r="H487" s="577"/>
      <c r="I487" s="450" t="s">
        <v>37</v>
      </c>
      <c r="J487" s="116" t="s">
        <v>2</v>
      </c>
      <c r="K487" s="116"/>
      <c r="L487" s="1042" t="s">
        <v>66</v>
      </c>
      <c r="M487" s="1043">
        <f>SUMIFS('Level of Efficiency Assumptions'!$J:$J,'Level of Efficiency Assumptions'!$D:$D,I487,'Level of Efficiency Assumptions'!$F:$F,J487,'Level of Efficiency Assumptions'!$I:$I,'Water Use Calcs'!L487)</f>
        <v>1.28</v>
      </c>
      <c r="N487" s="577"/>
      <c r="O487" s="1048">
        <f>SUMIFS('Detailed Fixture Data'!O:O,'Detailed Fixture Data'!C:C,G487,'Detailed Fixture Data'!E:E,I487,'Detailed Fixture Data'!F:F,J487,'Detailed Fixture Data'!L:L,L487)</f>
        <v>0</v>
      </c>
      <c r="P487" s="1049"/>
      <c r="Q487" s="577"/>
      <c r="R487" s="1039"/>
      <c r="S487" s="618"/>
      <c r="T487" s="225"/>
      <c r="U487" s="618"/>
      <c r="V487" s="1045"/>
      <c r="W487" s="1046"/>
    </row>
    <row r="488" spans="3:23" x14ac:dyDescent="0.3">
      <c r="C488" s="576"/>
      <c r="D488" s="493" t="s">
        <v>11</v>
      </c>
      <c r="E488" s="494"/>
      <c r="F488" s="182"/>
      <c r="G488" s="494" t="s">
        <v>767</v>
      </c>
      <c r="H488" s="577"/>
      <c r="I488" s="450" t="s">
        <v>37</v>
      </c>
      <c r="J488" s="577" t="s">
        <v>4</v>
      </c>
      <c r="K488" s="577" t="s">
        <v>6</v>
      </c>
      <c r="L488" s="1047" t="s">
        <v>64</v>
      </c>
      <c r="M488" s="1036">
        <f>SUMIFS('Level of Efficiency Assumptions'!$J:$J,'Level of Efficiency Assumptions'!$D:$D,I488,'Level of Efficiency Assumptions'!$F:$F,J488,'Level of Efficiency Assumptions'!$I:$I,'Water Use Calcs'!L488)</f>
        <v>2</v>
      </c>
      <c r="N488" s="567" t="s">
        <v>68</v>
      </c>
      <c r="O488" s="1048">
        <f>SUMIFS('Detailed Fixture Data'!O:O,'Detailed Fixture Data'!C:C,G488,'Detailed Fixture Data'!E:E,I488,'Detailed Fixture Data'!F:F,J488,'Detailed Fixture Data'!L:L,L488)</f>
        <v>0</v>
      </c>
      <c r="P488" s="1030">
        <f>SUMIFS('Intensity of Use Assumptions'!$J:$J,'Intensity of Use Assumptions'!$D:$D,I488,'Intensity of Use Assumptions'!$G:$G,J488,'Intensity of Use Assumptions'!H:H,K488)</f>
        <v>1.5</v>
      </c>
      <c r="Q488" s="567" t="s">
        <v>67</v>
      </c>
      <c r="R488" s="1032">
        <f>(SUMPRODUCT(M488:M490,O488:O490)*P488)</f>
        <v>0</v>
      </c>
      <c r="S488" s="1033">
        <f>IF(R488=0,0,M490*P488)</f>
        <v>0</v>
      </c>
      <c r="T488" s="225" t="str">
        <f>G488&amp;"-"&amp;J488</f>
        <v>Rental Car Center D-Urinals</v>
      </c>
      <c r="U488" s="1034">
        <f ca="1">IF(ISNA(VLOOKUP(T488,list!$AV$3:$AW$130,2,FALSE)),1,(VLOOKUP(T488,list!$AV$3:$AW$130,2,FALSE)))</f>
        <v>1</v>
      </c>
      <c r="V488" s="1033">
        <f ca="1">R488*U488</f>
        <v>0</v>
      </c>
      <c r="W488" s="1033">
        <f ca="1">S488*U488</f>
        <v>0</v>
      </c>
    </row>
    <row r="489" spans="3:23" x14ac:dyDescent="0.3">
      <c r="C489" s="576"/>
      <c r="D489" s="493" t="s">
        <v>11</v>
      </c>
      <c r="E489" s="494"/>
      <c r="F489" s="182"/>
      <c r="G489" s="494" t="s">
        <v>767</v>
      </c>
      <c r="H489" s="577"/>
      <c r="I489" s="450" t="s">
        <v>37</v>
      </c>
      <c r="J489" s="577" t="s">
        <v>4</v>
      </c>
      <c r="K489" s="577"/>
      <c r="L489" s="1035" t="s">
        <v>65</v>
      </c>
      <c r="M489" s="1036">
        <f>SUMIFS('Level of Efficiency Assumptions'!$J:$J,'Level of Efficiency Assumptions'!$D:$D,I489,'Level of Efficiency Assumptions'!$F:$F,J489,'Level of Efficiency Assumptions'!$I:$I,'Water Use Calcs'!L489)</f>
        <v>1</v>
      </c>
      <c r="N489" s="577"/>
      <c r="O489" s="1048">
        <f>SUMIFS('Detailed Fixture Data'!O:O,'Detailed Fixture Data'!C:C,G489,'Detailed Fixture Data'!E:E,I489,'Detailed Fixture Data'!F:F,J489,'Detailed Fixture Data'!L:L,L489)</f>
        <v>0</v>
      </c>
      <c r="P489" s="1049"/>
      <c r="Q489" s="577"/>
      <c r="R489" s="1039"/>
      <c r="S489" s="521"/>
      <c r="T489" s="225"/>
      <c r="U489" s="521"/>
      <c r="V489" s="1040"/>
      <c r="W489" s="1041"/>
    </row>
    <row r="490" spans="3:23" ht="15" thickBot="1" x14ac:dyDescent="0.35">
      <c r="C490" s="576"/>
      <c r="D490" s="493" t="s">
        <v>11</v>
      </c>
      <c r="E490" s="494"/>
      <c r="F490" s="182"/>
      <c r="G490" s="494" t="s">
        <v>767</v>
      </c>
      <c r="H490" s="577"/>
      <c r="I490" s="450" t="s">
        <v>37</v>
      </c>
      <c r="J490" s="116" t="s">
        <v>4</v>
      </c>
      <c r="K490" s="116"/>
      <c r="L490" s="1042" t="s">
        <v>66</v>
      </c>
      <c r="M490" s="1043">
        <f>SUMIFS('Level of Efficiency Assumptions'!$J:$J,'Level of Efficiency Assumptions'!$D:$D,I490,'Level of Efficiency Assumptions'!$F:$F,J490,'Level of Efficiency Assumptions'!$I:$I,'Water Use Calcs'!L490)</f>
        <v>0.125</v>
      </c>
      <c r="N490" s="577"/>
      <c r="O490" s="1048">
        <f>SUMIFS('Detailed Fixture Data'!O:O,'Detailed Fixture Data'!C:C,G490,'Detailed Fixture Data'!E:E,I490,'Detailed Fixture Data'!F:F,J490,'Detailed Fixture Data'!L:L,L490)</f>
        <v>0</v>
      </c>
      <c r="P490" s="1049"/>
      <c r="Q490" s="577"/>
      <c r="R490" s="1039"/>
      <c r="S490" s="618"/>
      <c r="T490" s="225"/>
      <c r="U490" s="618"/>
      <c r="V490" s="1045"/>
      <c r="W490" s="1046"/>
    </row>
    <row r="491" spans="3:23" x14ac:dyDescent="0.3">
      <c r="C491" s="576"/>
      <c r="D491" s="493" t="s">
        <v>11</v>
      </c>
      <c r="E491" s="494"/>
      <c r="F491" s="182"/>
      <c r="G491" s="494" t="s">
        <v>767</v>
      </c>
      <c r="H491" s="577"/>
      <c r="I491" s="450" t="s">
        <v>37</v>
      </c>
      <c r="J491" s="577" t="s">
        <v>33</v>
      </c>
      <c r="K491" s="577" t="s">
        <v>6</v>
      </c>
      <c r="L491" s="1047" t="s">
        <v>64</v>
      </c>
      <c r="M491" s="1036">
        <f>SUMIFS('Level of Efficiency Assumptions'!$J:$J,'Level of Efficiency Assumptions'!$D:$D,I491,'Level of Efficiency Assumptions'!$F:$F,J491,'Level of Efficiency Assumptions'!$I:$I,'Water Use Calcs'!L491)</f>
        <v>2</v>
      </c>
      <c r="N491" s="567" t="s">
        <v>78</v>
      </c>
      <c r="O491" s="1048">
        <f>SUMIFS('Detailed Fixture Data'!O:O,'Detailed Fixture Data'!C:C,G491,'Detailed Fixture Data'!E:E,I491,'Detailed Fixture Data'!F:F,J491,'Detailed Fixture Data'!L:L,L491)</f>
        <v>0</v>
      </c>
      <c r="P491" s="1030">
        <f>SUMIFS('Intensity of Use Assumptions'!$J:$J,'Intensity of Use Assumptions'!$D:$D,I491,'Intensity of Use Assumptions'!$G:$G,J491,'Intensity of Use Assumptions'!H:H,K491)</f>
        <v>0.66666666666666663</v>
      </c>
      <c r="Q491" s="567" t="s">
        <v>133</v>
      </c>
      <c r="R491" s="1032">
        <f>(SUMPRODUCT(M491:M493,O491:O493)*P491)</f>
        <v>0</v>
      </c>
      <c r="S491" s="1033">
        <f>IF(R491=0,0,M493*P491)</f>
        <v>0</v>
      </c>
      <c r="T491" s="225" t="str">
        <f>G491&amp;"-"&amp;J491</f>
        <v>Rental Car Center D-Faucets</v>
      </c>
      <c r="U491" s="1034">
        <f ca="1">IF(ISNA(VLOOKUP(T491,list!$AV$3:$AW$130,2,FALSE)),1,(VLOOKUP(T491,list!$AV$3:$AW$130,2,FALSE)))</f>
        <v>1</v>
      </c>
      <c r="V491" s="1033">
        <f ca="1">R491*U491</f>
        <v>0</v>
      </c>
      <c r="W491" s="1033">
        <f ca="1">S491*U491</f>
        <v>0</v>
      </c>
    </row>
    <row r="492" spans="3:23" x14ac:dyDescent="0.3">
      <c r="C492" s="576"/>
      <c r="D492" s="493" t="s">
        <v>11</v>
      </c>
      <c r="E492" s="494"/>
      <c r="F492" s="182"/>
      <c r="G492" s="494" t="s">
        <v>767</v>
      </c>
      <c r="H492" s="577"/>
      <c r="I492" s="450" t="s">
        <v>37</v>
      </c>
      <c r="J492" s="577" t="s">
        <v>33</v>
      </c>
      <c r="K492" s="577"/>
      <c r="L492" s="1035" t="s">
        <v>65</v>
      </c>
      <c r="M492" s="1036">
        <f>SUMIFS('Level of Efficiency Assumptions'!$J:$J,'Level of Efficiency Assumptions'!$D:$D,I492,'Level of Efficiency Assumptions'!$F:$F,J492,'Level of Efficiency Assumptions'!$I:$I,'Water Use Calcs'!L492)</f>
        <v>1</v>
      </c>
      <c r="N492" s="577"/>
      <c r="O492" s="1048">
        <f>SUMIFS('Detailed Fixture Data'!O:O,'Detailed Fixture Data'!C:C,G492,'Detailed Fixture Data'!E:E,I492,'Detailed Fixture Data'!F:F,J492,'Detailed Fixture Data'!L:L,L492)</f>
        <v>0</v>
      </c>
      <c r="P492" s="1049"/>
      <c r="Q492" s="577"/>
      <c r="R492" s="1039"/>
      <c r="S492" s="521"/>
      <c r="T492" s="225"/>
      <c r="U492" s="521"/>
      <c r="V492" s="1040"/>
      <c r="W492" s="1041"/>
    </row>
    <row r="493" spans="3:23" ht="15" thickBot="1" x14ac:dyDescent="0.35">
      <c r="C493" s="576"/>
      <c r="D493" s="493" t="s">
        <v>11</v>
      </c>
      <c r="E493" s="494"/>
      <c r="F493" s="182"/>
      <c r="G493" s="494" t="s">
        <v>767</v>
      </c>
      <c r="H493" s="577"/>
      <c r="I493" s="451" t="s">
        <v>37</v>
      </c>
      <c r="J493" s="116" t="s">
        <v>33</v>
      </c>
      <c r="K493" s="116"/>
      <c r="L493" s="1042" t="s">
        <v>66</v>
      </c>
      <c r="M493" s="1043">
        <f>SUMIFS('Level of Efficiency Assumptions'!$J:$J,'Level of Efficiency Assumptions'!$D:$D,I493,'Level of Efficiency Assumptions'!$F:$F,J493,'Level of Efficiency Assumptions'!$I:$I,'Water Use Calcs'!L493)</f>
        <v>0.5</v>
      </c>
      <c r="N493" s="577"/>
      <c r="O493" s="1048">
        <f>SUMIFS('Detailed Fixture Data'!O:O,'Detailed Fixture Data'!C:C,G493,'Detailed Fixture Data'!E:E,I493,'Detailed Fixture Data'!F:F,J493,'Detailed Fixture Data'!L:L,L493)</f>
        <v>0</v>
      </c>
      <c r="P493" s="1049"/>
      <c r="Q493" s="577"/>
      <c r="R493" s="1039"/>
      <c r="S493" s="618"/>
      <c r="T493" s="225"/>
      <c r="U493" s="618"/>
      <c r="V493" s="1045"/>
      <c r="W493" s="1046"/>
    </row>
    <row r="494" spans="3:23" x14ac:dyDescent="0.3">
      <c r="C494" s="576"/>
      <c r="D494" s="493" t="s">
        <v>11</v>
      </c>
      <c r="E494" s="494"/>
      <c r="F494" s="182"/>
      <c r="G494" s="494" t="s">
        <v>767</v>
      </c>
      <c r="H494" s="651" t="str">
        <f>I494</f>
        <v>Break rooms</v>
      </c>
      <c r="I494" s="450" t="s">
        <v>5</v>
      </c>
      <c r="J494" s="577" t="s">
        <v>33</v>
      </c>
      <c r="K494" s="577" t="s">
        <v>6</v>
      </c>
      <c r="L494" s="1047" t="s">
        <v>64</v>
      </c>
      <c r="M494" s="1036">
        <f>SUMIFS('Level of Efficiency Assumptions'!$J:$J,'Level of Efficiency Assumptions'!$D:$D,I494,'Level of Efficiency Assumptions'!$F:$F,J494,'Level of Efficiency Assumptions'!$I:$I,'Water Use Calcs'!L494)</f>
        <v>2</v>
      </c>
      <c r="N494" s="567" t="s">
        <v>78</v>
      </c>
      <c r="O494" s="1048">
        <f>SUMIFS('Detailed Fixture Data'!O:O,'Detailed Fixture Data'!C:C,G494,'Detailed Fixture Data'!E:E,I494,'Detailed Fixture Data'!F:F,J494,'Detailed Fixture Data'!L:L,L494)</f>
        <v>0</v>
      </c>
      <c r="P494" s="1030">
        <f>SUMIFS('Intensity of Use Assumptions'!$J:$J,'Intensity of Use Assumptions'!$D:$D,I494,'Intensity of Use Assumptions'!$G:$G,J494,'Intensity of Use Assumptions'!H:H,K494)</f>
        <v>0.16666666666666666</v>
      </c>
      <c r="Q494" s="567" t="s">
        <v>133</v>
      </c>
      <c r="R494" s="1032">
        <f>(SUMPRODUCT(M494:M496,O494:O496)*P494)</f>
        <v>0</v>
      </c>
      <c r="S494" s="1033">
        <f>IF(R494=0,0,M496*P494)</f>
        <v>0</v>
      </c>
      <c r="T494" s="225" t="str">
        <f>G494&amp;"-"&amp;J494</f>
        <v>Rental Car Center D-Faucets</v>
      </c>
      <c r="U494" s="1034">
        <f ca="1">IF(ISNA(VLOOKUP(T494,list!$AV$3:$AW$130,2,FALSE)),1,(VLOOKUP(T494,list!$AV$3:$AW$130,2,FALSE)))</f>
        <v>1</v>
      </c>
      <c r="V494" s="1033">
        <f ca="1">R494*U494</f>
        <v>0</v>
      </c>
      <c r="W494" s="1033">
        <f ca="1">S494*U494</f>
        <v>0</v>
      </c>
    </row>
    <row r="495" spans="3:23" x14ac:dyDescent="0.3">
      <c r="C495" s="576"/>
      <c r="D495" s="493" t="s">
        <v>11</v>
      </c>
      <c r="E495" s="494"/>
      <c r="F495" s="182"/>
      <c r="G495" s="494" t="s">
        <v>767</v>
      </c>
      <c r="H495" s="577"/>
      <c r="I495" s="450" t="s">
        <v>5</v>
      </c>
      <c r="J495" s="577" t="s">
        <v>33</v>
      </c>
      <c r="K495" s="577"/>
      <c r="L495" s="1035" t="s">
        <v>65</v>
      </c>
      <c r="M495" s="1036">
        <f>SUMIFS('Level of Efficiency Assumptions'!$J:$J,'Level of Efficiency Assumptions'!$D:$D,I495,'Level of Efficiency Assumptions'!$F:$F,J495,'Level of Efficiency Assumptions'!$I:$I,'Water Use Calcs'!L495)</f>
        <v>1</v>
      </c>
      <c r="N495" s="577"/>
      <c r="O495" s="1048">
        <f>SUMIFS('Detailed Fixture Data'!O:O,'Detailed Fixture Data'!C:C,G495,'Detailed Fixture Data'!E:E,I495,'Detailed Fixture Data'!F:F,J495,'Detailed Fixture Data'!L:L,L495)</f>
        <v>0</v>
      </c>
      <c r="P495" s="1049"/>
      <c r="Q495" s="577"/>
      <c r="R495" s="1039"/>
      <c r="S495" s="521"/>
      <c r="T495" s="225"/>
      <c r="U495" s="521"/>
      <c r="V495" s="1040"/>
      <c r="W495" s="1041"/>
    </row>
    <row r="496" spans="3:23" ht="15" thickBot="1" x14ac:dyDescent="0.35">
      <c r="C496" s="576"/>
      <c r="D496" s="493" t="s">
        <v>11</v>
      </c>
      <c r="E496" s="494"/>
      <c r="F496" s="182"/>
      <c r="G496" s="494" t="s">
        <v>767</v>
      </c>
      <c r="H496" s="577"/>
      <c r="I496" s="451" t="s">
        <v>5</v>
      </c>
      <c r="J496" s="116" t="s">
        <v>33</v>
      </c>
      <c r="K496" s="116"/>
      <c r="L496" s="1042" t="s">
        <v>66</v>
      </c>
      <c r="M496" s="1043">
        <f>SUMIFS('Level of Efficiency Assumptions'!$J:$J,'Level of Efficiency Assumptions'!$D:$D,I496,'Level of Efficiency Assumptions'!$F:$F,J496,'Level of Efficiency Assumptions'!$I:$I,'Water Use Calcs'!L496)</f>
        <v>0.5</v>
      </c>
      <c r="N496" s="577"/>
      <c r="O496" s="1048">
        <f>SUMIFS('Detailed Fixture Data'!O:O,'Detailed Fixture Data'!C:C,G496,'Detailed Fixture Data'!E:E,I496,'Detailed Fixture Data'!F:F,J496,'Detailed Fixture Data'!L:L,L496)</f>
        <v>0</v>
      </c>
      <c r="P496" s="1049"/>
      <c r="Q496" s="577"/>
      <c r="R496" s="1039"/>
      <c r="S496" s="618"/>
      <c r="T496" s="225"/>
      <c r="U496" s="618"/>
      <c r="V496" s="1045"/>
      <c r="W496" s="1046"/>
    </row>
    <row r="497" spans="3:23" x14ac:dyDescent="0.3">
      <c r="C497" s="576"/>
      <c r="D497" s="493" t="s">
        <v>11</v>
      </c>
      <c r="E497" s="494"/>
      <c r="F497" s="182"/>
      <c r="G497" s="494" t="s">
        <v>767</v>
      </c>
      <c r="H497" s="651" t="str">
        <f>I497</f>
        <v>Landscaping</v>
      </c>
      <c r="I497" s="450" t="s">
        <v>39</v>
      </c>
      <c r="J497" s="577" t="s">
        <v>42</v>
      </c>
      <c r="K497" s="577" t="s">
        <v>32</v>
      </c>
      <c r="L497" s="1047" t="s">
        <v>64</v>
      </c>
      <c r="M497" s="1036">
        <f>SUMIFS('Level of Efficiency Assumptions'!$J:$J,'Level of Efficiency Assumptions'!$D:$D,I497,'Level of Efficiency Assumptions'!$F:$F,J497,'Level of Efficiency Assumptions'!$I:$I,'Water Use Calcs'!L497)</f>
        <v>28.6</v>
      </c>
      <c r="N497" s="567" t="s">
        <v>816</v>
      </c>
      <c r="O497" s="1048">
        <f>SUMIFS('Detailed Fixture Data'!O:O,'Detailed Fixture Data'!C:C,G497,'Detailed Fixture Data'!E:E,I497,'Detailed Fixture Data'!F:F,J497,'Detailed Fixture Data'!L:L,L497)</f>
        <v>0</v>
      </c>
      <c r="P497" s="1030">
        <f>SUMIFS('Intensity of Use Assumptions'!$J:$J,'Intensity of Use Assumptions'!$D:$D,I497,'Intensity of Use Assumptions'!$G:$G,J497,'Intensity of Use Assumptions'!H:H,K497,'Intensity of Use Assumptions'!F:F,D497)</f>
        <v>2.7397260273972603E-3</v>
      </c>
      <c r="Q497" s="567" t="s">
        <v>815</v>
      </c>
      <c r="R497" s="1032">
        <f>(SUMPRODUCT(M497:M499,O497:O499)*P497)</f>
        <v>0</v>
      </c>
      <c r="S497" s="1033">
        <f>IF(R497=0,0,M499*P497)</f>
        <v>0</v>
      </c>
      <c r="T497" s="225" t="str">
        <f>G497&amp;"-"&amp;J497</f>
        <v>Rental Car Center D-Outdoor irrigation</v>
      </c>
      <c r="U497" s="1034">
        <f ca="1">IF(ISNA(VLOOKUP(T497,list!$AV$3:$AW$130,2,FALSE)),1,(VLOOKUP(T497,list!$AV$3:$AW$130,2,FALSE)))</f>
        <v>1</v>
      </c>
      <c r="V497" s="1033">
        <f ca="1">R497*U497</f>
        <v>0</v>
      </c>
      <c r="W497" s="1033">
        <f ca="1">S497*U497</f>
        <v>0</v>
      </c>
    </row>
    <row r="498" spans="3:23" x14ac:dyDescent="0.3">
      <c r="C498" s="576"/>
      <c r="D498" s="493" t="s">
        <v>11</v>
      </c>
      <c r="E498" s="494"/>
      <c r="F498" s="182"/>
      <c r="G498" s="494" t="s">
        <v>767</v>
      </c>
      <c r="H498" s="577"/>
      <c r="I498" s="450" t="s">
        <v>39</v>
      </c>
      <c r="J498" s="577" t="s">
        <v>42</v>
      </c>
      <c r="K498" s="577"/>
      <c r="L498" s="1035" t="s">
        <v>65</v>
      </c>
      <c r="M498" s="1036">
        <f>SUMIFS('Level of Efficiency Assumptions'!$J:$J,'Level of Efficiency Assumptions'!$D:$D,I498,'Level of Efficiency Assumptions'!$F:$F,J498,'Level of Efficiency Assumptions'!$I:$I,'Water Use Calcs'!L498)</f>
        <v>13.980821518350929</v>
      </c>
      <c r="N498" s="577"/>
      <c r="O498" s="1048">
        <f>SUMIFS('Detailed Fixture Data'!O:O,'Detailed Fixture Data'!C:C,G498,'Detailed Fixture Data'!E:E,I498,'Detailed Fixture Data'!F:F,J498,'Detailed Fixture Data'!L:L,L498)</f>
        <v>0</v>
      </c>
      <c r="P498" s="1049"/>
      <c r="Q498" s="577"/>
      <c r="R498" s="1039"/>
      <c r="S498" s="521"/>
      <c r="T498" s="225"/>
      <c r="U498" s="521"/>
      <c r="V498" s="1040"/>
      <c r="W498" s="1041"/>
    </row>
    <row r="499" spans="3:23" ht="15" thickBot="1" x14ac:dyDescent="0.35">
      <c r="C499" s="576"/>
      <c r="D499" s="493" t="s">
        <v>11</v>
      </c>
      <c r="E499" s="494"/>
      <c r="F499" s="182"/>
      <c r="G499" s="494" t="s">
        <v>767</v>
      </c>
      <c r="H499" s="577"/>
      <c r="I499" s="451" t="s">
        <v>39</v>
      </c>
      <c r="J499" s="116" t="s">
        <v>42</v>
      </c>
      <c r="K499" s="116"/>
      <c r="L499" s="1042" t="s">
        <v>66</v>
      </c>
      <c r="M499" s="1043">
        <f>SUMIFS('Level of Efficiency Assumptions'!$J:$J,'Level of Efficiency Assumptions'!$D:$D,I499,'Level of Efficiency Assumptions'!$F:$F,J499,'Level of Efficiency Assumptions'!$I:$I,'Water Use Calcs'!L499)</f>
        <v>0.59137254901960778</v>
      </c>
      <c r="N499" s="577"/>
      <c r="O499" s="1048">
        <f>SUMIFS('Detailed Fixture Data'!O:O,'Detailed Fixture Data'!C:C,G499,'Detailed Fixture Data'!E:E,I499,'Detailed Fixture Data'!F:F,J499,'Detailed Fixture Data'!L:L,L499)</f>
        <v>0</v>
      </c>
      <c r="P499" s="1049"/>
      <c r="Q499" s="577"/>
      <c r="R499" s="1039"/>
      <c r="S499" s="618"/>
      <c r="T499" s="225"/>
      <c r="U499" s="618"/>
      <c r="V499" s="1045"/>
      <c r="W499" s="1046"/>
    </row>
    <row r="500" spans="3:23" x14ac:dyDescent="0.3">
      <c r="C500" s="576"/>
      <c r="D500" s="493" t="s">
        <v>11</v>
      </c>
      <c r="E500" s="494"/>
      <c r="F500" s="182"/>
      <c r="G500" s="494" t="s">
        <v>767</v>
      </c>
      <c r="H500" s="651" t="str">
        <f>I500</f>
        <v>Maintenance</v>
      </c>
      <c r="I500" s="450" t="s">
        <v>43</v>
      </c>
      <c r="J500" s="577" t="s">
        <v>111</v>
      </c>
      <c r="K500" s="217" t="s">
        <v>424</v>
      </c>
      <c r="L500" s="1047" t="s">
        <v>64</v>
      </c>
      <c r="M500" s="1036">
        <f>SUMIFS('Level of Efficiency Assumptions'!$J:$J,'Level of Efficiency Assumptions'!$D:$D,I500,'Level of Efficiency Assumptions'!$F:$F,J500,'Level of Efficiency Assumptions'!$I:$I,'Water Use Calcs'!L500)</f>
        <v>100</v>
      </c>
      <c r="N500" s="567" t="s">
        <v>659</v>
      </c>
      <c r="O500" s="1048">
        <f>SUMIFS('Detailed Fixture Data'!O:O,'Detailed Fixture Data'!C:C,G500,'Detailed Fixture Data'!E:E,I500,'Detailed Fixture Data'!F:F,J500,'Detailed Fixture Data'!L:L,L500)</f>
        <v>0</v>
      </c>
      <c r="P500" s="1030">
        <f>SUMIFS('Intensity of Use Assumptions'!$J:$J,'Intensity of Use Assumptions'!$D:$D,I500,'Intensity of Use Assumptions'!$G:$G,J500,'Intensity of Use Assumptions'!H:H,K500)</f>
        <v>1</v>
      </c>
      <c r="Q500" s="567" t="s">
        <v>67</v>
      </c>
      <c r="R500" s="1032">
        <f>(SUMPRODUCT(M500:M502,O500:O502)*P500)</f>
        <v>0</v>
      </c>
      <c r="S500" s="1033">
        <f>IF(R500=0,0,M502*P500)</f>
        <v>0</v>
      </c>
      <c r="T500" s="225" t="str">
        <f>G500&amp;"-"&amp;J500</f>
        <v>Rental Car Center D-Boiler</v>
      </c>
      <c r="U500" s="1034">
        <f ca="1">IF(ISNA(VLOOKUP(T500,list!$AV$3:$AW$130,2,FALSE)),1,(VLOOKUP(T500,list!$AV$3:$AW$130,2,FALSE)))</f>
        <v>1</v>
      </c>
      <c r="V500" s="1033">
        <f ca="1">R500*U500</f>
        <v>0</v>
      </c>
      <c r="W500" s="1033">
        <f ca="1">S500*U500</f>
        <v>0</v>
      </c>
    </row>
    <row r="501" spans="3:23" x14ac:dyDescent="0.3">
      <c r="C501" s="576"/>
      <c r="D501" s="493" t="s">
        <v>11</v>
      </c>
      <c r="E501" s="494"/>
      <c r="F501" s="182"/>
      <c r="G501" s="494" t="s">
        <v>767</v>
      </c>
      <c r="H501" s="577"/>
      <c r="I501" s="450" t="s">
        <v>43</v>
      </c>
      <c r="J501" s="577" t="s">
        <v>111</v>
      </c>
      <c r="K501" s="382"/>
      <c r="L501" s="1035" t="s">
        <v>65</v>
      </c>
      <c r="M501" s="1036">
        <f>SUMIFS('Level of Efficiency Assumptions'!$J:$J,'Level of Efficiency Assumptions'!$D:$D,I501,'Level of Efficiency Assumptions'!$F:$F,J501,'Level of Efficiency Assumptions'!$I:$I,'Water Use Calcs'!L501)</f>
        <v>75</v>
      </c>
      <c r="N501" s="577"/>
      <c r="O501" s="1048">
        <f>SUMIFS('Detailed Fixture Data'!O:O,'Detailed Fixture Data'!C:C,G501,'Detailed Fixture Data'!E:E,I501,'Detailed Fixture Data'!F:F,J501,'Detailed Fixture Data'!L:L,L501)</f>
        <v>0</v>
      </c>
      <c r="P501" s="1049"/>
      <c r="Q501" s="577"/>
      <c r="R501" s="1039"/>
      <c r="S501" s="521"/>
      <c r="T501" s="225"/>
      <c r="U501" s="521"/>
      <c r="V501" s="1040"/>
      <c r="W501" s="1041"/>
    </row>
    <row r="502" spans="3:23" ht="15" thickBot="1" x14ac:dyDescent="0.35">
      <c r="C502" s="576"/>
      <c r="D502" s="493" t="s">
        <v>11</v>
      </c>
      <c r="E502" s="494"/>
      <c r="F502" s="182"/>
      <c r="G502" s="494" t="s">
        <v>767</v>
      </c>
      <c r="H502" s="577"/>
      <c r="I502" s="450" t="s">
        <v>43</v>
      </c>
      <c r="J502" s="116" t="s">
        <v>111</v>
      </c>
      <c r="K502" s="116"/>
      <c r="L502" s="1042" t="s">
        <v>66</v>
      </c>
      <c r="M502" s="1043">
        <f>SUMIFS('Level of Efficiency Assumptions'!$J:$J,'Level of Efficiency Assumptions'!$D:$D,I502,'Level of Efficiency Assumptions'!$F:$F,J502,'Level of Efficiency Assumptions'!$I:$I,'Water Use Calcs'!L502)</f>
        <v>50</v>
      </c>
      <c r="N502" s="577"/>
      <c r="O502" s="1048">
        <f>SUMIFS('Detailed Fixture Data'!O:O,'Detailed Fixture Data'!C:C,G502,'Detailed Fixture Data'!E:E,I502,'Detailed Fixture Data'!F:F,J502,'Detailed Fixture Data'!L:L,L502)</f>
        <v>0</v>
      </c>
      <c r="P502" s="1049"/>
      <c r="Q502" s="577"/>
      <c r="R502" s="1039"/>
      <c r="S502" s="618"/>
      <c r="T502" s="225"/>
      <c r="U502" s="618"/>
      <c r="V502" s="1045"/>
      <c r="W502" s="1046"/>
    </row>
    <row r="503" spans="3:23" x14ac:dyDescent="0.3">
      <c r="C503" s="576"/>
      <c r="D503" s="493" t="s">
        <v>11</v>
      </c>
      <c r="E503" s="494"/>
      <c r="F503" s="182"/>
      <c r="G503" s="494" t="s">
        <v>767</v>
      </c>
      <c r="H503" s="577"/>
      <c r="I503" s="450" t="s">
        <v>43</v>
      </c>
      <c r="J503" s="577" t="s">
        <v>7</v>
      </c>
      <c r="K503" s="215" t="s">
        <v>365</v>
      </c>
      <c r="L503" s="1012" t="s">
        <v>257</v>
      </c>
      <c r="M503" s="1050"/>
      <c r="N503" s="1050"/>
      <c r="O503" s="1050"/>
      <c r="P503" s="1051"/>
      <c r="Q503" s="981"/>
      <c r="R503" s="1052">
        <f>SUMIFS('Cooling Data'!H:H,'Cooling Data'!$C:$C,$G503,'Cooling Data'!$E:$E,$I503,'Cooling Data'!$F:$F,$J503)</f>
        <v>0</v>
      </c>
      <c r="S503" s="1052">
        <f>SUMIFS('Cooling Data'!J:J,'Cooling Data'!$C:$C,$G503,'Cooling Data'!$E:$E,$I503,'Cooling Data'!$F:$F,$J503)</f>
        <v>0</v>
      </c>
      <c r="T503" s="225" t="str">
        <f>G503&amp;"-"&amp;J503</f>
        <v>Rental Car Center D-Cooling</v>
      </c>
      <c r="U503" s="1034">
        <f ca="1">IF(ISNA(VLOOKUP(T503,list!$AV$3:$AW$130,2,FALSE)),1,(VLOOKUP(T503,list!$AV$3:$AW$130,2,FALSE)))</f>
        <v>1</v>
      </c>
      <c r="V503" s="1033">
        <f ca="1">R503*U503</f>
        <v>0</v>
      </c>
      <c r="W503" s="1033">
        <f ca="1">S503*U503</f>
        <v>0</v>
      </c>
    </row>
    <row r="504" spans="3:23" x14ac:dyDescent="0.3">
      <c r="C504" s="576"/>
      <c r="D504" s="493" t="s">
        <v>11</v>
      </c>
      <c r="E504" s="494"/>
      <c r="F504" s="182"/>
      <c r="G504" s="494" t="s">
        <v>767</v>
      </c>
      <c r="H504" s="577"/>
      <c r="I504" s="450" t="s">
        <v>43</v>
      </c>
      <c r="J504" s="577" t="s">
        <v>7</v>
      </c>
      <c r="K504" s="577"/>
      <c r="L504" s="206"/>
      <c r="M504" s="181"/>
      <c r="N504" s="181"/>
      <c r="O504" s="181"/>
      <c r="P504" s="1053"/>
      <c r="Q504" s="439"/>
      <c r="R504" s="1039"/>
      <c r="S504" s="521"/>
      <c r="T504" s="225"/>
      <c r="U504" s="521"/>
      <c r="V504" s="1040"/>
      <c r="W504" s="1041"/>
    </row>
    <row r="505" spans="3:23" ht="15" thickBot="1" x14ac:dyDescent="0.35">
      <c r="C505" s="576"/>
      <c r="D505" s="493" t="s">
        <v>11</v>
      </c>
      <c r="E505" s="494"/>
      <c r="F505" s="182"/>
      <c r="G505" s="494" t="s">
        <v>767</v>
      </c>
      <c r="H505" s="577"/>
      <c r="I505" s="450" t="s">
        <v>43</v>
      </c>
      <c r="J505" s="116" t="s">
        <v>7</v>
      </c>
      <c r="K505" s="116"/>
      <c r="L505" s="207"/>
      <c r="M505" s="924"/>
      <c r="N505" s="924"/>
      <c r="O505" s="924"/>
      <c r="P505" s="1054"/>
      <c r="Q505" s="606"/>
      <c r="R505" s="1039"/>
      <c r="S505" s="618"/>
      <c r="T505" s="225"/>
      <c r="U505" s="618"/>
      <c r="V505" s="1045"/>
      <c r="W505" s="1046"/>
    </row>
    <row r="506" spans="3:23" x14ac:dyDescent="0.3">
      <c r="C506" s="576"/>
      <c r="D506" s="493" t="s">
        <v>11</v>
      </c>
      <c r="E506" s="494"/>
      <c r="F506" s="182"/>
      <c r="G506" s="494" t="s">
        <v>767</v>
      </c>
      <c r="H506" s="577"/>
      <c r="I506" s="450" t="s">
        <v>43</v>
      </c>
      <c r="J506" s="577" t="s">
        <v>9</v>
      </c>
      <c r="K506" s="577" t="s">
        <v>12</v>
      </c>
      <c r="L506" s="1047" t="s">
        <v>64</v>
      </c>
      <c r="M506" s="1036">
        <f>SUMIFS('Level of Efficiency Assumptions'!$J:$J,'Level of Efficiency Assumptions'!$D:$D,I506,'Level of Efficiency Assumptions'!$F:$F,J506,'Level of Efficiency Assumptions'!$I:$I,'Water Use Calcs'!L506)</f>
        <v>80</v>
      </c>
      <c r="N506" s="567" t="s">
        <v>588</v>
      </c>
      <c r="O506" s="1048">
        <f>SUMIFS('Detailed Fixture Data'!O:O,'Detailed Fixture Data'!C:C,G506,'Detailed Fixture Data'!E:E,I506,'Detailed Fixture Data'!F:F,J506,'Detailed Fixture Data'!L:L,L506)</f>
        <v>0</v>
      </c>
      <c r="P506" s="1030">
        <f>SUMIFS('Intensity of Use Assumptions'!$J:$J,'Intensity of Use Assumptions'!$D:$D,I506,'Intensity of Use Assumptions'!$G:$G,J506,'Intensity of Use Assumptions'!H:H,K506)</f>
        <v>1</v>
      </c>
      <c r="Q506" s="567" t="s">
        <v>67</v>
      </c>
      <c r="R506" s="1032">
        <f>(SUMPRODUCT(M506:M508,O506:O508)*P506)</f>
        <v>0</v>
      </c>
      <c r="S506" s="1033">
        <f>IF(R506=0,0,M508*P506)</f>
        <v>0</v>
      </c>
      <c r="T506" s="225" t="str">
        <f>G506&amp;"-"&amp;J506</f>
        <v>Rental Car Center D-Vehicle washing</v>
      </c>
      <c r="U506" s="1034">
        <f ca="1">IF(ISNA(VLOOKUP(T506,list!$AV$3:$AW$130,2,FALSE)),1,(VLOOKUP(T506,list!$AV$3:$AW$130,2,FALSE)))</f>
        <v>1</v>
      </c>
      <c r="V506" s="1033">
        <f ca="1">R506*U506</f>
        <v>0</v>
      </c>
      <c r="W506" s="1033">
        <f ca="1">S506*U506</f>
        <v>0</v>
      </c>
    </row>
    <row r="507" spans="3:23" x14ac:dyDescent="0.3">
      <c r="C507" s="576"/>
      <c r="D507" s="493" t="s">
        <v>11</v>
      </c>
      <c r="E507" s="494"/>
      <c r="F507" s="182"/>
      <c r="G507" s="494" t="s">
        <v>767</v>
      </c>
      <c r="H507" s="577"/>
      <c r="I507" s="450" t="s">
        <v>43</v>
      </c>
      <c r="J507" s="577" t="s">
        <v>9</v>
      </c>
      <c r="K507" s="577"/>
      <c r="L507" s="1035" t="s">
        <v>65</v>
      </c>
      <c r="M507" s="1036">
        <f>SUMIFS('Level of Efficiency Assumptions'!$J:$J,'Level of Efficiency Assumptions'!$D:$D,I507,'Level of Efficiency Assumptions'!$F:$F,J507,'Level of Efficiency Assumptions'!$I:$I,'Water Use Calcs'!L507)</f>
        <v>40</v>
      </c>
      <c r="N507" s="577"/>
      <c r="O507" s="1048">
        <f>SUMIFS('Detailed Fixture Data'!O:O,'Detailed Fixture Data'!C:C,G507,'Detailed Fixture Data'!E:E,I507,'Detailed Fixture Data'!F:F,J507,'Detailed Fixture Data'!L:L,L507)</f>
        <v>0</v>
      </c>
      <c r="P507" s="1049"/>
      <c r="Q507" s="577"/>
      <c r="R507" s="1039"/>
      <c r="S507" s="521"/>
      <c r="T507" s="225"/>
      <c r="U507" s="521"/>
      <c r="V507" s="1040"/>
      <c r="W507" s="1041"/>
    </row>
    <row r="508" spans="3:23" ht="15" thickBot="1" x14ac:dyDescent="0.35">
      <c r="C508" s="576"/>
      <c r="D508" s="493" t="s">
        <v>11</v>
      </c>
      <c r="E508" s="494"/>
      <c r="F508" s="182"/>
      <c r="G508" s="494" t="s">
        <v>767</v>
      </c>
      <c r="H508" s="577"/>
      <c r="I508" s="450" t="s">
        <v>43</v>
      </c>
      <c r="J508" s="116" t="s">
        <v>9</v>
      </c>
      <c r="K508" s="116"/>
      <c r="L508" s="1042" t="s">
        <v>66</v>
      </c>
      <c r="M508" s="1043">
        <f>SUMIFS('Level of Efficiency Assumptions'!$J:$J,'Level of Efficiency Assumptions'!$D:$D,I508,'Level of Efficiency Assumptions'!$F:$F,J508,'Level of Efficiency Assumptions'!$I:$I,'Water Use Calcs'!L508)</f>
        <v>30</v>
      </c>
      <c r="N508" s="577"/>
      <c r="O508" s="1048">
        <f>SUMIFS('Detailed Fixture Data'!O:O,'Detailed Fixture Data'!C:C,G508,'Detailed Fixture Data'!E:E,I508,'Detailed Fixture Data'!F:F,J508,'Detailed Fixture Data'!L:L,L508)</f>
        <v>0</v>
      </c>
      <c r="P508" s="1049"/>
      <c r="Q508" s="577"/>
      <c r="R508" s="1039"/>
      <c r="S508" s="618"/>
      <c r="T508" s="225"/>
      <c r="U508" s="618"/>
      <c r="V508" s="1045"/>
      <c r="W508" s="1046"/>
    </row>
    <row r="509" spans="3:23" x14ac:dyDescent="0.3">
      <c r="C509" s="576"/>
      <c r="D509" s="493" t="s">
        <v>11</v>
      </c>
      <c r="E509" s="494"/>
      <c r="F509" s="182"/>
      <c r="G509" s="494" t="s">
        <v>767</v>
      </c>
      <c r="H509" s="577"/>
      <c r="I509" s="450" t="s">
        <v>43</v>
      </c>
      <c r="J509" s="577" t="s">
        <v>426</v>
      </c>
      <c r="K509" s="577" t="s">
        <v>12</v>
      </c>
      <c r="L509" s="1047" t="s">
        <v>64</v>
      </c>
      <c r="M509" s="1036">
        <f>SUMIFS('Level of Efficiency Assumptions'!$J:$J,'Level of Efficiency Assumptions'!$D:$D,I509,'Level of Efficiency Assumptions'!$F:$F,J509,'Level of Efficiency Assumptions'!$I:$I,'Water Use Calcs'!L509)</f>
        <v>10</v>
      </c>
      <c r="N509" s="567" t="s">
        <v>588</v>
      </c>
      <c r="O509" s="1048">
        <f>SUMIFS('Detailed Fixture Data'!O:O,'Detailed Fixture Data'!C:C,G509,'Detailed Fixture Data'!E:E,I509,'Detailed Fixture Data'!F:F,J509,'Detailed Fixture Data'!L:L,L509)</f>
        <v>0</v>
      </c>
      <c r="P509" s="1030">
        <f>SUMIFS('Intensity of Use Assumptions'!$J:$J,'Intensity of Use Assumptions'!$D:$D,I509,'Intensity of Use Assumptions'!$G:$G,J509,'Intensity of Use Assumptions'!H:H,K509)</f>
        <v>1E-3</v>
      </c>
      <c r="Q509" s="567" t="s">
        <v>67</v>
      </c>
      <c r="R509" s="1032">
        <f>(SUMPRODUCT(M509:M511,O509:O511)*P509)</f>
        <v>0</v>
      </c>
      <c r="S509" s="1033">
        <f>IF(R509=0,0,M511*P509)</f>
        <v>0</v>
      </c>
      <c r="T509" s="225" t="str">
        <f>G509&amp;"-"&amp;J509</f>
        <v>Rental Car Center D-Pavement cleaning</v>
      </c>
      <c r="U509" s="1034">
        <f ca="1">IF(ISNA(VLOOKUP(T509,list!$AV$3:$AW$130,2,FALSE)),1,(VLOOKUP(T509,list!$AV$3:$AW$130,2,FALSE)))</f>
        <v>1</v>
      </c>
      <c r="V509" s="1033">
        <f ca="1">R509*U509</f>
        <v>0</v>
      </c>
      <c r="W509" s="1033">
        <f ca="1">S509*U509</f>
        <v>0</v>
      </c>
    </row>
    <row r="510" spans="3:23" x14ac:dyDescent="0.3">
      <c r="C510" s="576"/>
      <c r="D510" s="493" t="s">
        <v>11</v>
      </c>
      <c r="E510" s="494"/>
      <c r="F510" s="182"/>
      <c r="G510" s="494" t="s">
        <v>767</v>
      </c>
      <c r="H510" s="577"/>
      <c r="I510" s="450" t="s">
        <v>43</v>
      </c>
      <c r="J510" s="577" t="s">
        <v>426</v>
      </c>
      <c r="K510" s="577"/>
      <c r="L510" s="1035" t="s">
        <v>65</v>
      </c>
      <c r="M510" s="1036">
        <f>SUMIFS('Level of Efficiency Assumptions'!$J:$J,'Level of Efficiency Assumptions'!$D:$D,I510,'Level of Efficiency Assumptions'!$F:$F,J510,'Level of Efficiency Assumptions'!$I:$I,'Water Use Calcs'!L510)</f>
        <v>7.5</v>
      </c>
      <c r="N510" s="577"/>
      <c r="O510" s="1048">
        <f>SUMIFS('Detailed Fixture Data'!O:O,'Detailed Fixture Data'!C:C,G510,'Detailed Fixture Data'!E:E,I510,'Detailed Fixture Data'!F:F,J510,'Detailed Fixture Data'!L:L,L510)</f>
        <v>0</v>
      </c>
      <c r="P510" s="1049"/>
      <c r="Q510" s="577"/>
      <c r="R510" s="1039"/>
      <c r="S510" s="521"/>
      <c r="T510" s="225"/>
      <c r="U510" s="521"/>
      <c r="V510" s="1040"/>
      <c r="W510" s="1041"/>
    </row>
    <row r="511" spans="3:23" ht="15" thickBot="1" x14ac:dyDescent="0.35">
      <c r="C511" s="576"/>
      <c r="D511" s="493" t="s">
        <v>11</v>
      </c>
      <c r="E511" s="494"/>
      <c r="F511" s="182"/>
      <c r="G511" s="494" t="s">
        <v>767</v>
      </c>
      <c r="H511" s="577"/>
      <c r="I511" s="451" t="s">
        <v>43</v>
      </c>
      <c r="J511" s="116" t="s">
        <v>426</v>
      </c>
      <c r="K511" s="116"/>
      <c r="L511" s="1042" t="s">
        <v>66</v>
      </c>
      <c r="M511" s="1043">
        <f>SUMIFS('Level of Efficiency Assumptions'!$J:$J,'Level of Efficiency Assumptions'!$D:$D,I511,'Level of Efficiency Assumptions'!$F:$F,J511,'Level of Efficiency Assumptions'!$I:$I,'Water Use Calcs'!L511)</f>
        <v>5</v>
      </c>
      <c r="N511" s="577"/>
      <c r="O511" s="1048">
        <f>SUMIFS('Detailed Fixture Data'!O:O,'Detailed Fixture Data'!C:C,G511,'Detailed Fixture Data'!E:E,I511,'Detailed Fixture Data'!F:F,J511,'Detailed Fixture Data'!L:L,L511)</f>
        <v>0</v>
      </c>
      <c r="P511" s="1049"/>
      <c r="Q511" s="577"/>
      <c r="R511" s="1039"/>
      <c r="S511" s="618"/>
      <c r="T511" s="225"/>
      <c r="U511" s="618"/>
      <c r="V511" s="1045"/>
      <c r="W511" s="1046"/>
    </row>
    <row r="512" spans="3:23" x14ac:dyDescent="0.3">
      <c r="C512" s="576"/>
      <c r="D512" s="493" t="s">
        <v>11</v>
      </c>
      <c r="E512" s="494"/>
      <c r="F512" s="182"/>
      <c r="G512" s="494" t="s">
        <v>767</v>
      </c>
      <c r="H512" s="651" t="str">
        <f>I512</f>
        <v>Other</v>
      </c>
      <c r="I512" s="450" t="s">
        <v>8</v>
      </c>
      <c r="J512" s="577" t="s">
        <v>52</v>
      </c>
      <c r="K512" s="387" t="s">
        <v>362</v>
      </c>
      <c r="L512" s="1047" t="s">
        <v>64</v>
      </c>
      <c r="M512" s="1036">
        <f>SUMIFS('Level of Efficiency Assumptions'!$J:$J,'Level of Efficiency Assumptions'!$D:$D,I512,'Level of Efficiency Assumptions'!$F:$F,J512,'Level of Efficiency Assumptions'!$I:$I,'Water Use Calcs'!L512)</f>
        <v>10</v>
      </c>
      <c r="N512" s="567" t="s">
        <v>660</v>
      </c>
      <c r="O512" s="1048">
        <f>SUMIFS('Detailed Fixture Data'!O:O,'Detailed Fixture Data'!C:C,G512,'Detailed Fixture Data'!E:E,I512,'Detailed Fixture Data'!F:F,J512,'Detailed Fixture Data'!L:L,L512)</f>
        <v>0</v>
      </c>
      <c r="P512" s="1030">
        <f>SUMIFS('Intensity of Use Assumptions'!$J:$J,'Intensity of Use Assumptions'!$D:$D,I512,'Intensity of Use Assumptions'!$G:$G,J512,'Intensity of Use Assumptions'!H:H,K512)</f>
        <v>1</v>
      </c>
      <c r="Q512" s="567" t="s">
        <v>67</v>
      </c>
      <c r="R512" s="1032">
        <f>(SUMPRODUCT(M512:M514,O512:O514)*P512)</f>
        <v>0</v>
      </c>
      <c r="S512" s="1033">
        <f>IF(R512=0,0,M514*P512)</f>
        <v>0</v>
      </c>
      <c r="T512" s="225" t="str">
        <f>G512&amp;"-"&amp;J512</f>
        <v>Rental Car Center D-Other 1</v>
      </c>
      <c r="U512" s="1034">
        <f ca="1">IF(ISNA(VLOOKUP(T512,list!$AV$3:$AW$130,2,FALSE)),1,(VLOOKUP(T512,list!$AV$3:$AW$130,2,FALSE)))</f>
        <v>1</v>
      </c>
      <c r="V512" s="1033">
        <f ca="1">R512*U512</f>
        <v>0</v>
      </c>
      <c r="W512" s="1033">
        <f ca="1">S512*U512</f>
        <v>0</v>
      </c>
    </row>
    <row r="513" spans="3:23" x14ac:dyDescent="0.3">
      <c r="C513" s="576"/>
      <c r="D513" s="493" t="s">
        <v>11</v>
      </c>
      <c r="E513" s="494"/>
      <c r="F513" s="182"/>
      <c r="G513" s="494" t="s">
        <v>767</v>
      </c>
      <c r="H513" s="577"/>
      <c r="I513" s="450" t="s">
        <v>8</v>
      </c>
      <c r="J513" s="577" t="s">
        <v>52</v>
      </c>
      <c r="K513" s="382"/>
      <c r="L513" s="1035" t="s">
        <v>65</v>
      </c>
      <c r="M513" s="1036">
        <f>SUMIFS('Level of Efficiency Assumptions'!$J:$J,'Level of Efficiency Assumptions'!$D:$D,I513,'Level of Efficiency Assumptions'!$F:$F,J513,'Level of Efficiency Assumptions'!$I:$I,'Water Use Calcs'!L513)</f>
        <v>7.5</v>
      </c>
      <c r="N513" s="577"/>
      <c r="O513" s="1048">
        <f>SUMIFS('Detailed Fixture Data'!O:O,'Detailed Fixture Data'!C:C,G513,'Detailed Fixture Data'!E:E,I513,'Detailed Fixture Data'!F:F,J513,'Detailed Fixture Data'!L:L,L513)</f>
        <v>0</v>
      </c>
      <c r="P513" s="1049"/>
      <c r="Q513" s="577"/>
      <c r="R513" s="1039"/>
      <c r="S513" s="521"/>
      <c r="T513" s="225"/>
      <c r="U513" s="521"/>
      <c r="V513" s="1040"/>
      <c r="W513" s="1041"/>
    </row>
    <row r="514" spans="3:23" ht="15" thickBot="1" x14ac:dyDescent="0.35">
      <c r="C514" s="576"/>
      <c r="D514" s="493" t="s">
        <v>11</v>
      </c>
      <c r="E514" s="494"/>
      <c r="F514" s="182"/>
      <c r="G514" s="494" t="s">
        <v>767</v>
      </c>
      <c r="H514" s="577"/>
      <c r="I514" s="450" t="s">
        <v>8</v>
      </c>
      <c r="J514" s="116" t="s">
        <v>52</v>
      </c>
      <c r="K514" s="382"/>
      <c r="L514" s="1042" t="s">
        <v>66</v>
      </c>
      <c r="M514" s="1043">
        <f>SUMIFS('Level of Efficiency Assumptions'!$J:$J,'Level of Efficiency Assumptions'!$D:$D,I514,'Level of Efficiency Assumptions'!$F:$F,J514,'Level of Efficiency Assumptions'!$I:$I,'Water Use Calcs'!L514)</f>
        <v>5</v>
      </c>
      <c r="N514" s="577"/>
      <c r="O514" s="1048">
        <f>SUMIFS('Detailed Fixture Data'!O:O,'Detailed Fixture Data'!C:C,G514,'Detailed Fixture Data'!E:E,I514,'Detailed Fixture Data'!F:F,J514,'Detailed Fixture Data'!L:L,L514)</f>
        <v>0</v>
      </c>
      <c r="P514" s="1049"/>
      <c r="Q514" s="577"/>
      <c r="R514" s="1039"/>
      <c r="S514" s="618"/>
      <c r="T514" s="225"/>
      <c r="U514" s="618"/>
      <c r="V514" s="1045"/>
      <c r="W514" s="1046"/>
    </row>
    <row r="515" spans="3:23" x14ac:dyDescent="0.3">
      <c r="C515" s="576"/>
      <c r="D515" s="493" t="s">
        <v>11</v>
      </c>
      <c r="E515" s="494"/>
      <c r="F515" s="182"/>
      <c r="G515" s="494" t="s">
        <v>767</v>
      </c>
      <c r="H515" s="577"/>
      <c r="I515" s="450" t="s">
        <v>8</v>
      </c>
      <c r="J515" s="577" t="s">
        <v>53</v>
      </c>
      <c r="K515" s="1055" t="s">
        <v>363</v>
      </c>
      <c r="L515" s="1047" t="s">
        <v>64</v>
      </c>
      <c r="M515" s="1036">
        <f>SUMIFS('Level of Efficiency Assumptions'!$J:$J,'Level of Efficiency Assumptions'!$D:$D,I515,'Level of Efficiency Assumptions'!$F:$F,J515,'Level of Efficiency Assumptions'!$I:$I,'Water Use Calcs'!L515)</f>
        <v>10</v>
      </c>
      <c r="N515" s="567" t="s">
        <v>660</v>
      </c>
      <c r="O515" s="1048">
        <f>SUMIFS('Detailed Fixture Data'!O:O,'Detailed Fixture Data'!C:C,G515,'Detailed Fixture Data'!E:E,I515,'Detailed Fixture Data'!F:F,J515,'Detailed Fixture Data'!L:L,L515)</f>
        <v>0</v>
      </c>
      <c r="P515" s="1030">
        <f>SUMIFS('Intensity of Use Assumptions'!$J:$J,'Intensity of Use Assumptions'!$D:$D,I515,'Intensity of Use Assumptions'!$G:$G,J515,'Intensity of Use Assumptions'!H:H,K515)</f>
        <v>1</v>
      </c>
      <c r="Q515" s="567" t="s">
        <v>67</v>
      </c>
      <c r="R515" s="1032">
        <f>(SUMPRODUCT(M515:M517,O515:O517)*P515)</f>
        <v>0</v>
      </c>
      <c r="S515" s="1033">
        <f>IF(R515=0,0,M517*P515)</f>
        <v>0</v>
      </c>
      <c r="T515" s="225" t="str">
        <f>G515&amp;"-"&amp;J515</f>
        <v>Rental Car Center D-Other 2</v>
      </c>
      <c r="U515" s="1034">
        <f ca="1">IF(ISNA(VLOOKUP(T515,list!$AV$3:$AW$130,2,FALSE)),1,(VLOOKUP(T515,list!$AV$3:$AW$130,2,FALSE)))</f>
        <v>1</v>
      </c>
      <c r="V515" s="1033">
        <f ca="1">R515*U515</f>
        <v>0</v>
      </c>
      <c r="W515" s="1033">
        <f ca="1">S515*U515</f>
        <v>0</v>
      </c>
    </row>
    <row r="516" spans="3:23" x14ac:dyDescent="0.3">
      <c r="C516" s="576"/>
      <c r="D516" s="493" t="s">
        <v>11</v>
      </c>
      <c r="E516" s="494"/>
      <c r="F516" s="182"/>
      <c r="G516" s="494" t="s">
        <v>767</v>
      </c>
      <c r="H516" s="577"/>
      <c r="I516" s="450" t="s">
        <v>8</v>
      </c>
      <c r="J516" s="577" t="s">
        <v>53</v>
      </c>
      <c r="K516" s="577"/>
      <c r="L516" s="1035" t="s">
        <v>65</v>
      </c>
      <c r="M516" s="1036">
        <f>SUMIFS('Level of Efficiency Assumptions'!$J:$J,'Level of Efficiency Assumptions'!$D:$D,I516,'Level of Efficiency Assumptions'!$F:$F,J516,'Level of Efficiency Assumptions'!$I:$I,'Water Use Calcs'!L516)</f>
        <v>7.5</v>
      </c>
      <c r="N516" s="577"/>
      <c r="O516" s="1048">
        <f>SUMIFS('Detailed Fixture Data'!O:O,'Detailed Fixture Data'!C:C,G516,'Detailed Fixture Data'!E:E,I516,'Detailed Fixture Data'!F:F,J516,'Detailed Fixture Data'!L:L,L516)</f>
        <v>0</v>
      </c>
      <c r="P516" s="1049"/>
      <c r="Q516" s="577"/>
      <c r="R516" s="1039"/>
      <c r="S516" s="521"/>
      <c r="T516" s="225"/>
      <c r="U516" s="521"/>
      <c r="V516" s="1040"/>
      <c r="W516" s="1041"/>
    </row>
    <row r="517" spans="3:23" ht="15" thickBot="1" x14ac:dyDescent="0.35">
      <c r="C517" s="576"/>
      <c r="D517" s="493" t="s">
        <v>11</v>
      </c>
      <c r="E517" s="494"/>
      <c r="F517" s="182"/>
      <c r="G517" s="494" t="s">
        <v>767</v>
      </c>
      <c r="H517" s="577"/>
      <c r="I517" s="450" t="s">
        <v>8</v>
      </c>
      <c r="J517" s="116" t="s">
        <v>53</v>
      </c>
      <c r="K517" s="116"/>
      <c r="L517" s="1042" t="s">
        <v>66</v>
      </c>
      <c r="M517" s="1043">
        <f>SUMIFS('Level of Efficiency Assumptions'!$J:$J,'Level of Efficiency Assumptions'!$D:$D,I517,'Level of Efficiency Assumptions'!$F:$F,J517,'Level of Efficiency Assumptions'!$I:$I,'Water Use Calcs'!L517)</f>
        <v>5</v>
      </c>
      <c r="N517" s="577"/>
      <c r="O517" s="1048">
        <f>SUMIFS('Detailed Fixture Data'!O:O,'Detailed Fixture Data'!C:C,G517,'Detailed Fixture Data'!E:E,I517,'Detailed Fixture Data'!F:F,J517,'Detailed Fixture Data'!L:L,L517)</f>
        <v>0</v>
      </c>
      <c r="P517" s="1049"/>
      <c r="Q517" s="577"/>
      <c r="R517" s="1039"/>
      <c r="S517" s="618"/>
      <c r="T517" s="225"/>
      <c r="U517" s="618"/>
      <c r="V517" s="1045"/>
      <c r="W517" s="1046"/>
    </row>
    <row r="518" spans="3:23" x14ac:dyDescent="0.3">
      <c r="C518" s="576"/>
      <c r="D518" s="493" t="s">
        <v>11</v>
      </c>
      <c r="E518" s="494"/>
      <c r="F518" s="182"/>
      <c r="G518" s="494" t="s">
        <v>767</v>
      </c>
      <c r="H518" s="577"/>
      <c r="I518" s="450" t="s">
        <v>8</v>
      </c>
      <c r="J518" s="577" t="s">
        <v>54</v>
      </c>
      <c r="K518" s="379" t="s">
        <v>364</v>
      </c>
      <c r="L518" s="1047" t="s">
        <v>64</v>
      </c>
      <c r="M518" s="1036">
        <f>SUMIFS('Level of Efficiency Assumptions'!$J:$J,'Level of Efficiency Assumptions'!$D:$D,I518,'Level of Efficiency Assumptions'!$F:$F,J518,'Level of Efficiency Assumptions'!$I:$I,'Water Use Calcs'!L518)</f>
        <v>10</v>
      </c>
      <c r="N518" s="567" t="s">
        <v>660</v>
      </c>
      <c r="O518" s="1048">
        <f>SUMIFS('Detailed Fixture Data'!O:O,'Detailed Fixture Data'!C:C,G518,'Detailed Fixture Data'!E:E,I518,'Detailed Fixture Data'!F:F,J518,'Detailed Fixture Data'!L:L,L518)</f>
        <v>0</v>
      </c>
      <c r="P518" s="1030">
        <f>SUMIFS('Intensity of Use Assumptions'!$J:$J,'Intensity of Use Assumptions'!$D:$D,I518,'Intensity of Use Assumptions'!$G:$G,J518,'Intensity of Use Assumptions'!H:H,K518)</f>
        <v>1</v>
      </c>
      <c r="Q518" s="567" t="s">
        <v>67</v>
      </c>
      <c r="R518" s="1032">
        <f>(SUMPRODUCT(M518:M520,O518:O520)*P518)</f>
        <v>0</v>
      </c>
      <c r="S518" s="1033">
        <f>IF(R518=0,0,M520*P518)</f>
        <v>0</v>
      </c>
      <c r="T518" s="225" t="str">
        <f>G518&amp;"-"&amp;J518</f>
        <v>Rental Car Center D-Other 3</v>
      </c>
      <c r="U518" s="1034">
        <f ca="1">IF(ISNA(VLOOKUP(T518,list!$AV$3:$AW$130,2,FALSE)),1,(VLOOKUP(T518,list!$AV$3:$AW$130,2,FALSE)))</f>
        <v>1</v>
      </c>
      <c r="V518" s="1033">
        <f ca="1">R518*U518</f>
        <v>0</v>
      </c>
      <c r="W518" s="1033">
        <f ca="1">S518*U518</f>
        <v>0</v>
      </c>
    </row>
    <row r="519" spans="3:23" x14ac:dyDescent="0.3">
      <c r="C519" s="576"/>
      <c r="D519" s="493" t="s">
        <v>11</v>
      </c>
      <c r="E519" s="494"/>
      <c r="F519" s="182"/>
      <c r="G519" s="494" t="s">
        <v>767</v>
      </c>
      <c r="H519" s="577"/>
      <c r="I519" s="450" t="s">
        <v>8</v>
      </c>
      <c r="J519" s="577" t="s">
        <v>54</v>
      </c>
      <c r="K519" s="577"/>
      <c r="L519" s="1035" t="s">
        <v>65</v>
      </c>
      <c r="M519" s="1036">
        <f>SUMIFS('Level of Efficiency Assumptions'!$J:$J,'Level of Efficiency Assumptions'!$D:$D,I519,'Level of Efficiency Assumptions'!$F:$F,J519,'Level of Efficiency Assumptions'!$I:$I,'Water Use Calcs'!L519)</f>
        <v>7.5</v>
      </c>
      <c r="N519" s="577"/>
      <c r="O519" s="1048">
        <f>SUMIFS('Detailed Fixture Data'!O:O,'Detailed Fixture Data'!C:C,G519,'Detailed Fixture Data'!E:E,I519,'Detailed Fixture Data'!F:F,J519,'Detailed Fixture Data'!L:L,L519)</f>
        <v>0</v>
      </c>
      <c r="P519" s="1049"/>
      <c r="Q519" s="577"/>
      <c r="R519" s="1039"/>
      <c r="S519" s="521"/>
      <c r="T519" s="225"/>
      <c r="U519" s="521"/>
      <c r="V519" s="1040"/>
      <c r="W519" s="1041"/>
    </row>
    <row r="520" spans="3:23" ht="15" thickBot="1" x14ac:dyDescent="0.35">
      <c r="C520" s="576"/>
      <c r="D520" s="493" t="s">
        <v>11</v>
      </c>
      <c r="E520" s="494"/>
      <c r="F520" s="182"/>
      <c r="G520" s="501" t="s">
        <v>767</v>
      </c>
      <c r="H520" s="116"/>
      <c r="I520" s="451" t="s">
        <v>8</v>
      </c>
      <c r="J520" s="116" t="s">
        <v>54</v>
      </c>
      <c r="K520" s="116"/>
      <c r="L520" s="1042" t="s">
        <v>66</v>
      </c>
      <c r="M520" s="1043">
        <f>SUMIFS('Level of Efficiency Assumptions'!$J:$J,'Level of Efficiency Assumptions'!$D:$D,I520,'Level of Efficiency Assumptions'!$F:$F,J520,'Level of Efficiency Assumptions'!$I:$I,'Water Use Calcs'!L520)</f>
        <v>5</v>
      </c>
      <c r="N520" s="116"/>
      <c r="O520" s="1048">
        <f>SUMIFS('Detailed Fixture Data'!O:O,'Detailed Fixture Data'!C:C,G520,'Detailed Fixture Data'!E:E,I520,'Detailed Fixture Data'!F:F,J520,'Detailed Fixture Data'!L:L,L520)</f>
        <v>0</v>
      </c>
      <c r="P520" s="1049"/>
      <c r="Q520" s="116"/>
      <c r="R520" s="1039"/>
      <c r="S520" s="618"/>
      <c r="T520" s="225"/>
      <c r="U520" s="618"/>
      <c r="V520" s="1045"/>
      <c r="W520" s="1046"/>
    </row>
    <row r="521" spans="3:23" x14ac:dyDescent="0.3">
      <c r="C521" s="576"/>
      <c r="D521" s="493" t="s">
        <v>11</v>
      </c>
      <c r="E521" s="619" t="str">
        <f>G521</f>
        <v>Rental Car Center E</v>
      </c>
      <c r="F521" s="565" t="str">
        <f>VLOOKUP(E521,'Airport Mapping'!$C$5:$D$39,2,FALSE)</f>
        <v xml:space="preserve"> </v>
      </c>
      <c r="G521" s="494" t="s">
        <v>765</v>
      </c>
      <c r="H521" s="651" t="str">
        <f>I521</f>
        <v>Restrooms</v>
      </c>
      <c r="I521" s="454" t="s">
        <v>37</v>
      </c>
      <c r="J521" s="567" t="s">
        <v>2</v>
      </c>
      <c r="K521" s="567" t="s">
        <v>3</v>
      </c>
      <c r="L521" s="1028" t="s">
        <v>64</v>
      </c>
      <c r="M521" s="1036">
        <f>SUMIFS('Level of Efficiency Assumptions'!$J:$J,'Level of Efficiency Assumptions'!$D:$D,I521,'Level of Efficiency Assumptions'!$F:$F,J521,'Level of Efficiency Assumptions'!$I:$I,'Water Use Calcs'!L521)</f>
        <v>3.5</v>
      </c>
      <c r="N521" s="567" t="s">
        <v>68</v>
      </c>
      <c r="O521" s="1048">
        <f>SUMIFS('Detailed Fixture Data'!O:O,'Detailed Fixture Data'!C:C,G521,'Detailed Fixture Data'!E:E,I521,'Detailed Fixture Data'!F:F,J521,'Detailed Fixture Data'!L:L,L521)</f>
        <v>0</v>
      </c>
      <c r="P521" s="1030">
        <f>SUMIFS('Intensity of Use Assumptions'!$J:$J,'Intensity of Use Assumptions'!$D:$D,I521,'Intensity of Use Assumptions'!$G:$G,J521,'Intensity of Use Assumptions'!H:H,K521)</f>
        <v>0.625</v>
      </c>
      <c r="Q521" s="567" t="s">
        <v>67</v>
      </c>
      <c r="R521" s="1032">
        <f>(SUMPRODUCT(M521:M523,O521:O523)*P521)</f>
        <v>0</v>
      </c>
      <c r="S521" s="1033">
        <f>IF(R521=0,0,M523*P521)</f>
        <v>0</v>
      </c>
      <c r="T521" s="225" t="str">
        <f>G521&amp;"-"&amp;J521</f>
        <v>Rental Car Center E-Toilets</v>
      </c>
      <c r="U521" s="1034">
        <f ca="1">IF(ISNA(VLOOKUP(T521,list!$AV$3:$AW$130,2,FALSE)),1,(VLOOKUP(T521,list!$AV$3:$AW$130,2,FALSE)))</f>
        <v>1</v>
      </c>
      <c r="V521" s="1033">
        <f ca="1">R521*U521</f>
        <v>0</v>
      </c>
      <c r="W521" s="1033">
        <f ca="1">S521*U521</f>
        <v>0</v>
      </c>
    </row>
    <row r="522" spans="3:23" x14ac:dyDescent="0.3">
      <c r="C522" s="576"/>
      <c r="D522" s="493" t="s">
        <v>11</v>
      </c>
      <c r="E522" s="494"/>
      <c r="F522" s="182"/>
      <c r="G522" s="494" t="s">
        <v>765</v>
      </c>
      <c r="H522" s="577"/>
      <c r="I522" s="450" t="s">
        <v>37</v>
      </c>
      <c r="J522" s="577" t="s">
        <v>2</v>
      </c>
      <c r="K522" s="577"/>
      <c r="L522" s="1035" t="s">
        <v>65</v>
      </c>
      <c r="M522" s="1036">
        <f>SUMIFS('Level of Efficiency Assumptions'!$J:$J,'Level of Efficiency Assumptions'!$D:$D,I522,'Level of Efficiency Assumptions'!$F:$F,J522,'Level of Efficiency Assumptions'!$I:$I,'Water Use Calcs'!L522)</f>
        <v>1.6</v>
      </c>
      <c r="N522" s="577"/>
      <c r="O522" s="1048">
        <f>SUMIFS('Detailed Fixture Data'!O:O,'Detailed Fixture Data'!C:C,G522,'Detailed Fixture Data'!E:E,I522,'Detailed Fixture Data'!F:F,J522,'Detailed Fixture Data'!L:L,L522)</f>
        <v>0</v>
      </c>
      <c r="P522" s="1049"/>
      <c r="Q522" s="577"/>
      <c r="R522" s="1039"/>
      <c r="S522" s="521"/>
      <c r="T522" s="225"/>
      <c r="U522" s="521"/>
      <c r="V522" s="1040"/>
      <c r="W522" s="1041"/>
    </row>
    <row r="523" spans="3:23" ht="15" thickBot="1" x14ac:dyDescent="0.35">
      <c r="C523" s="576"/>
      <c r="D523" s="493" t="s">
        <v>11</v>
      </c>
      <c r="E523" s="494"/>
      <c r="F523" s="182"/>
      <c r="G523" s="494" t="s">
        <v>765</v>
      </c>
      <c r="H523" s="577"/>
      <c r="I523" s="450" t="s">
        <v>37</v>
      </c>
      <c r="J523" s="116" t="s">
        <v>2</v>
      </c>
      <c r="K523" s="116"/>
      <c r="L523" s="1042" t="s">
        <v>66</v>
      </c>
      <c r="M523" s="1043">
        <f>SUMIFS('Level of Efficiency Assumptions'!$J:$J,'Level of Efficiency Assumptions'!$D:$D,I523,'Level of Efficiency Assumptions'!$F:$F,J523,'Level of Efficiency Assumptions'!$I:$I,'Water Use Calcs'!L523)</f>
        <v>1.28</v>
      </c>
      <c r="N523" s="577"/>
      <c r="O523" s="1048">
        <f>SUMIFS('Detailed Fixture Data'!O:O,'Detailed Fixture Data'!C:C,G523,'Detailed Fixture Data'!E:E,I523,'Detailed Fixture Data'!F:F,J523,'Detailed Fixture Data'!L:L,L523)</f>
        <v>0</v>
      </c>
      <c r="P523" s="1049"/>
      <c r="Q523" s="577"/>
      <c r="R523" s="1039"/>
      <c r="S523" s="618"/>
      <c r="T523" s="225"/>
      <c r="U523" s="618"/>
      <c r="V523" s="1045"/>
      <c r="W523" s="1046"/>
    </row>
    <row r="524" spans="3:23" x14ac:dyDescent="0.3">
      <c r="C524" s="576"/>
      <c r="D524" s="493" t="s">
        <v>11</v>
      </c>
      <c r="E524" s="494"/>
      <c r="F524" s="182"/>
      <c r="G524" s="494" t="s">
        <v>765</v>
      </c>
      <c r="H524" s="577"/>
      <c r="I524" s="450" t="s">
        <v>37</v>
      </c>
      <c r="J524" s="577" t="s">
        <v>4</v>
      </c>
      <c r="K524" s="577" t="s">
        <v>3</v>
      </c>
      <c r="L524" s="1047" t="s">
        <v>64</v>
      </c>
      <c r="M524" s="1036">
        <f>SUMIFS('Level of Efficiency Assumptions'!$J:$J,'Level of Efficiency Assumptions'!$D:$D,I524,'Level of Efficiency Assumptions'!$F:$F,J524,'Level of Efficiency Assumptions'!$I:$I,'Water Use Calcs'!L524)</f>
        <v>2</v>
      </c>
      <c r="N524" s="567" t="s">
        <v>68</v>
      </c>
      <c r="O524" s="1048">
        <f>SUMIFS('Detailed Fixture Data'!O:O,'Detailed Fixture Data'!C:C,G524,'Detailed Fixture Data'!E:E,I524,'Detailed Fixture Data'!F:F,J524,'Detailed Fixture Data'!L:L,L524)</f>
        <v>0</v>
      </c>
      <c r="P524" s="1030">
        <f>SUMIFS('Intensity of Use Assumptions'!$J:$J,'Intensity of Use Assumptions'!$D:$D,I524,'Intensity of Use Assumptions'!$G:$G,J524,'Intensity of Use Assumptions'!H:H,K524)</f>
        <v>0.375</v>
      </c>
      <c r="Q524" s="567" t="s">
        <v>67</v>
      </c>
      <c r="R524" s="1032">
        <f>(SUMPRODUCT(M524:M526,O524:O526)*P524)</f>
        <v>0</v>
      </c>
      <c r="S524" s="1033">
        <f>IF(R524=0,0,M526*P524)</f>
        <v>0</v>
      </c>
      <c r="T524" s="225" t="str">
        <f>G524&amp;"-"&amp;J524</f>
        <v>Rental Car Center E-Urinals</v>
      </c>
      <c r="U524" s="1034">
        <f ca="1">IF(ISNA(VLOOKUP(T524,list!$AV$3:$AW$130,2,FALSE)),1,(VLOOKUP(T524,list!$AV$3:$AW$130,2,FALSE)))</f>
        <v>1</v>
      </c>
      <c r="V524" s="1033">
        <f ca="1">R524*U524</f>
        <v>0</v>
      </c>
      <c r="W524" s="1033">
        <f ca="1">S524*U524</f>
        <v>0</v>
      </c>
    </row>
    <row r="525" spans="3:23" x14ac:dyDescent="0.3">
      <c r="C525" s="576"/>
      <c r="D525" s="493" t="s">
        <v>11</v>
      </c>
      <c r="E525" s="494"/>
      <c r="F525" s="182"/>
      <c r="G525" s="494" t="s">
        <v>765</v>
      </c>
      <c r="H525" s="577"/>
      <c r="I525" s="450" t="s">
        <v>37</v>
      </c>
      <c r="J525" s="577" t="s">
        <v>4</v>
      </c>
      <c r="K525" s="577"/>
      <c r="L525" s="1035" t="s">
        <v>65</v>
      </c>
      <c r="M525" s="1036">
        <f>SUMIFS('Level of Efficiency Assumptions'!$J:$J,'Level of Efficiency Assumptions'!$D:$D,I525,'Level of Efficiency Assumptions'!$F:$F,J525,'Level of Efficiency Assumptions'!$I:$I,'Water Use Calcs'!L525)</f>
        <v>1</v>
      </c>
      <c r="N525" s="577"/>
      <c r="O525" s="1048">
        <f>SUMIFS('Detailed Fixture Data'!O:O,'Detailed Fixture Data'!C:C,G525,'Detailed Fixture Data'!E:E,I525,'Detailed Fixture Data'!F:F,J525,'Detailed Fixture Data'!L:L,L525)</f>
        <v>0</v>
      </c>
      <c r="P525" s="1049"/>
      <c r="Q525" s="577"/>
      <c r="R525" s="1039"/>
      <c r="S525" s="521"/>
      <c r="T525" s="225"/>
      <c r="U525" s="521"/>
      <c r="V525" s="1040"/>
      <c r="W525" s="1041"/>
    </row>
    <row r="526" spans="3:23" ht="15" thickBot="1" x14ac:dyDescent="0.35">
      <c r="C526" s="576"/>
      <c r="D526" s="493" t="s">
        <v>11</v>
      </c>
      <c r="E526" s="494"/>
      <c r="F526" s="182"/>
      <c r="G526" s="494" t="s">
        <v>765</v>
      </c>
      <c r="H526" s="577"/>
      <c r="I526" s="450" t="s">
        <v>37</v>
      </c>
      <c r="J526" s="116" t="s">
        <v>4</v>
      </c>
      <c r="K526" s="116"/>
      <c r="L526" s="1042" t="s">
        <v>66</v>
      </c>
      <c r="M526" s="1043">
        <f>SUMIFS('Level of Efficiency Assumptions'!$J:$J,'Level of Efficiency Assumptions'!$D:$D,I526,'Level of Efficiency Assumptions'!$F:$F,J526,'Level of Efficiency Assumptions'!$I:$I,'Water Use Calcs'!L526)</f>
        <v>0.125</v>
      </c>
      <c r="N526" s="577"/>
      <c r="O526" s="1048">
        <f>SUMIFS('Detailed Fixture Data'!O:O,'Detailed Fixture Data'!C:C,G526,'Detailed Fixture Data'!E:E,I526,'Detailed Fixture Data'!F:F,J526,'Detailed Fixture Data'!L:L,L526)</f>
        <v>0</v>
      </c>
      <c r="P526" s="1049"/>
      <c r="Q526" s="577"/>
      <c r="R526" s="1039"/>
      <c r="S526" s="618"/>
      <c r="T526" s="225"/>
      <c r="U526" s="618"/>
      <c r="V526" s="1045"/>
      <c r="W526" s="1046"/>
    </row>
    <row r="527" spans="3:23" x14ac:dyDescent="0.3">
      <c r="C527" s="576"/>
      <c r="D527" s="493" t="s">
        <v>11</v>
      </c>
      <c r="E527" s="494"/>
      <c r="F527" s="182"/>
      <c r="G527" s="494" t="s">
        <v>765</v>
      </c>
      <c r="H527" s="577"/>
      <c r="I527" s="450" t="s">
        <v>37</v>
      </c>
      <c r="J527" s="577" t="s">
        <v>33</v>
      </c>
      <c r="K527" s="577" t="s">
        <v>3</v>
      </c>
      <c r="L527" s="1047" t="s">
        <v>64</v>
      </c>
      <c r="M527" s="1036">
        <f>SUMIFS('Level of Efficiency Assumptions'!$J:$J,'Level of Efficiency Assumptions'!$D:$D,I527,'Level of Efficiency Assumptions'!$F:$F,J527,'Level of Efficiency Assumptions'!$I:$I,'Water Use Calcs'!L527)</f>
        <v>2</v>
      </c>
      <c r="N527" s="567" t="s">
        <v>78</v>
      </c>
      <c r="O527" s="1048">
        <f>SUMIFS('Detailed Fixture Data'!O:O,'Detailed Fixture Data'!C:C,G527,'Detailed Fixture Data'!E:E,I527,'Detailed Fixture Data'!F:F,J527,'Detailed Fixture Data'!L:L,L527)</f>
        <v>0</v>
      </c>
      <c r="P527" s="1030">
        <f>SUMIFS('Intensity of Use Assumptions'!$J:$J,'Intensity of Use Assumptions'!$D:$D,I527,'Intensity of Use Assumptions'!$G:$G,J527,'Intensity of Use Assumptions'!H:H,K527)</f>
        <v>0.16666666666666666</v>
      </c>
      <c r="Q527" s="567" t="s">
        <v>133</v>
      </c>
      <c r="R527" s="1032">
        <f>(SUMPRODUCT(M527:M529,O527:O529)*P527)</f>
        <v>0</v>
      </c>
      <c r="S527" s="1033">
        <f>IF(R527=0,0,M529*P527)</f>
        <v>0</v>
      </c>
      <c r="T527" s="225" t="str">
        <f>G527&amp;"-"&amp;J527</f>
        <v>Rental Car Center E-Faucets</v>
      </c>
      <c r="U527" s="1034">
        <f ca="1">IF(ISNA(VLOOKUP(T527,list!$AV$3:$AW$130,2,FALSE)),1,(VLOOKUP(T527,list!$AV$3:$AW$130,2,FALSE)))</f>
        <v>1</v>
      </c>
      <c r="V527" s="1033">
        <f ca="1">R527*U527</f>
        <v>0</v>
      </c>
      <c r="W527" s="1033">
        <f ca="1">S527*U527</f>
        <v>0</v>
      </c>
    </row>
    <row r="528" spans="3:23" x14ac:dyDescent="0.3">
      <c r="C528" s="576"/>
      <c r="D528" s="493" t="s">
        <v>11</v>
      </c>
      <c r="E528" s="494"/>
      <c r="F528" s="182"/>
      <c r="G528" s="494" t="s">
        <v>765</v>
      </c>
      <c r="H528" s="577"/>
      <c r="I528" s="450" t="s">
        <v>37</v>
      </c>
      <c r="J528" s="577" t="s">
        <v>33</v>
      </c>
      <c r="K528" s="577"/>
      <c r="L528" s="1035" t="s">
        <v>65</v>
      </c>
      <c r="M528" s="1036">
        <f>SUMIFS('Level of Efficiency Assumptions'!$J:$J,'Level of Efficiency Assumptions'!$D:$D,I528,'Level of Efficiency Assumptions'!$F:$F,J528,'Level of Efficiency Assumptions'!$I:$I,'Water Use Calcs'!L528)</f>
        <v>1</v>
      </c>
      <c r="N528" s="577"/>
      <c r="O528" s="1048">
        <f>SUMIFS('Detailed Fixture Data'!O:O,'Detailed Fixture Data'!C:C,G528,'Detailed Fixture Data'!E:E,I528,'Detailed Fixture Data'!F:F,J528,'Detailed Fixture Data'!L:L,L528)</f>
        <v>0</v>
      </c>
      <c r="P528" s="1049"/>
      <c r="Q528" s="577"/>
      <c r="R528" s="1039"/>
      <c r="S528" s="521"/>
      <c r="T528" s="225"/>
      <c r="U528" s="521"/>
      <c r="V528" s="1040"/>
      <c r="W528" s="1041"/>
    </row>
    <row r="529" spans="3:23" ht="15" thickBot="1" x14ac:dyDescent="0.35">
      <c r="C529" s="576"/>
      <c r="D529" s="493" t="s">
        <v>11</v>
      </c>
      <c r="E529" s="494"/>
      <c r="F529" s="182"/>
      <c r="G529" s="494" t="s">
        <v>765</v>
      </c>
      <c r="H529" s="577"/>
      <c r="I529" s="451" t="s">
        <v>37</v>
      </c>
      <c r="J529" s="116" t="s">
        <v>33</v>
      </c>
      <c r="K529" s="116"/>
      <c r="L529" s="1042" t="s">
        <v>66</v>
      </c>
      <c r="M529" s="1043">
        <f>SUMIFS('Level of Efficiency Assumptions'!$J:$J,'Level of Efficiency Assumptions'!$D:$D,I529,'Level of Efficiency Assumptions'!$F:$F,J529,'Level of Efficiency Assumptions'!$I:$I,'Water Use Calcs'!L529)</f>
        <v>0.5</v>
      </c>
      <c r="N529" s="577"/>
      <c r="O529" s="1048">
        <f>SUMIFS('Detailed Fixture Data'!O:O,'Detailed Fixture Data'!C:C,G529,'Detailed Fixture Data'!E:E,I529,'Detailed Fixture Data'!F:F,J529,'Detailed Fixture Data'!L:L,L529)</f>
        <v>0</v>
      </c>
      <c r="P529" s="1049"/>
      <c r="Q529" s="577"/>
      <c r="R529" s="1039"/>
      <c r="S529" s="618"/>
      <c r="T529" s="225"/>
      <c r="U529" s="618"/>
      <c r="V529" s="1045"/>
      <c r="W529" s="1046"/>
    </row>
    <row r="530" spans="3:23" x14ac:dyDescent="0.3">
      <c r="C530" s="576"/>
      <c r="D530" s="493" t="s">
        <v>11</v>
      </c>
      <c r="E530" s="494"/>
      <c r="F530" s="182"/>
      <c r="G530" s="494" t="s">
        <v>765</v>
      </c>
      <c r="H530" s="651" t="str">
        <f>I530</f>
        <v>Break rooms</v>
      </c>
      <c r="I530" s="450" t="s">
        <v>5</v>
      </c>
      <c r="J530" s="577" t="s">
        <v>33</v>
      </c>
      <c r="K530" s="577" t="s">
        <v>6</v>
      </c>
      <c r="L530" s="1047" t="s">
        <v>64</v>
      </c>
      <c r="M530" s="1036">
        <f>SUMIFS('Level of Efficiency Assumptions'!$J:$J,'Level of Efficiency Assumptions'!$D:$D,I530,'Level of Efficiency Assumptions'!$F:$F,J530,'Level of Efficiency Assumptions'!$I:$I,'Water Use Calcs'!L530)</f>
        <v>2</v>
      </c>
      <c r="N530" s="567" t="s">
        <v>78</v>
      </c>
      <c r="O530" s="1048">
        <f>SUMIFS('Detailed Fixture Data'!O:O,'Detailed Fixture Data'!C:C,G530,'Detailed Fixture Data'!E:E,I530,'Detailed Fixture Data'!F:F,J530,'Detailed Fixture Data'!L:L,L530)</f>
        <v>0</v>
      </c>
      <c r="P530" s="1030">
        <f>SUMIFS('Intensity of Use Assumptions'!$J:$J,'Intensity of Use Assumptions'!$D:$D,I530,'Intensity of Use Assumptions'!$G:$G,J530,'Intensity of Use Assumptions'!H:H,K530)</f>
        <v>0.16666666666666666</v>
      </c>
      <c r="Q530" s="567" t="s">
        <v>133</v>
      </c>
      <c r="R530" s="1032">
        <f>(SUMPRODUCT(M530:M532,O530:O532)*P530)</f>
        <v>0</v>
      </c>
      <c r="S530" s="1033">
        <f>IF(R530=0,0,M532*P530)</f>
        <v>0</v>
      </c>
      <c r="T530" s="225" t="str">
        <f>G530&amp;"-"&amp;J530</f>
        <v>Rental Car Center E-Faucets</v>
      </c>
      <c r="U530" s="1034">
        <f ca="1">IF(ISNA(VLOOKUP(T530,list!$AV$3:$AW$130,2,FALSE)),1,(VLOOKUP(T530,list!$AV$3:$AW$130,2,FALSE)))</f>
        <v>1</v>
      </c>
      <c r="V530" s="1033">
        <f ca="1">R530*U530</f>
        <v>0</v>
      </c>
      <c r="W530" s="1033">
        <f ca="1">S530*U530</f>
        <v>0</v>
      </c>
    </row>
    <row r="531" spans="3:23" x14ac:dyDescent="0.3">
      <c r="C531" s="576"/>
      <c r="D531" s="493" t="s">
        <v>11</v>
      </c>
      <c r="E531" s="494"/>
      <c r="F531" s="182"/>
      <c r="G531" s="494" t="s">
        <v>765</v>
      </c>
      <c r="H531" s="577"/>
      <c r="I531" s="450" t="s">
        <v>5</v>
      </c>
      <c r="J531" s="577" t="s">
        <v>33</v>
      </c>
      <c r="K531" s="577"/>
      <c r="L531" s="1035" t="s">
        <v>65</v>
      </c>
      <c r="M531" s="1036">
        <f>SUMIFS('Level of Efficiency Assumptions'!$J:$J,'Level of Efficiency Assumptions'!$D:$D,I531,'Level of Efficiency Assumptions'!$F:$F,J531,'Level of Efficiency Assumptions'!$I:$I,'Water Use Calcs'!L531)</f>
        <v>1</v>
      </c>
      <c r="N531" s="577"/>
      <c r="O531" s="1048">
        <f>SUMIFS('Detailed Fixture Data'!O:O,'Detailed Fixture Data'!C:C,G531,'Detailed Fixture Data'!E:E,I531,'Detailed Fixture Data'!F:F,J531,'Detailed Fixture Data'!L:L,L531)</f>
        <v>0</v>
      </c>
      <c r="P531" s="1049"/>
      <c r="Q531" s="577"/>
      <c r="R531" s="1039"/>
      <c r="S531" s="521"/>
      <c r="T531" s="225"/>
      <c r="U531" s="521"/>
      <c r="V531" s="1040"/>
      <c r="W531" s="1041"/>
    </row>
    <row r="532" spans="3:23" ht="15" thickBot="1" x14ac:dyDescent="0.35">
      <c r="C532" s="576"/>
      <c r="D532" s="493" t="s">
        <v>11</v>
      </c>
      <c r="E532" s="494"/>
      <c r="F532" s="182"/>
      <c r="G532" s="494" t="s">
        <v>765</v>
      </c>
      <c r="H532" s="577"/>
      <c r="I532" s="451" t="s">
        <v>5</v>
      </c>
      <c r="J532" s="116" t="s">
        <v>33</v>
      </c>
      <c r="K532" s="116"/>
      <c r="L532" s="1042" t="s">
        <v>66</v>
      </c>
      <c r="M532" s="1043">
        <f>SUMIFS('Level of Efficiency Assumptions'!$J:$J,'Level of Efficiency Assumptions'!$D:$D,I532,'Level of Efficiency Assumptions'!$F:$F,J532,'Level of Efficiency Assumptions'!$I:$I,'Water Use Calcs'!L532)</f>
        <v>0.5</v>
      </c>
      <c r="N532" s="577"/>
      <c r="O532" s="1048">
        <f>SUMIFS('Detailed Fixture Data'!O:O,'Detailed Fixture Data'!C:C,G532,'Detailed Fixture Data'!E:E,I532,'Detailed Fixture Data'!F:F,J532,'Detailed Fixture Data'!L:L,L532)</f>
        <v>0</v>
      </c>
      <c r="P532" s="1049"/>
      <c r="Q532" s="577"/>
      <c r="R532" s="1039"/>
      <c r="S532" s="618"/>
      <c r="T532" s="225"/>
      <c r="U532" s="618"/>
      <c r="V532" s="1045"/>
      <c r="W532" s="1046"/>
    </row>
    <row r="533" spans="3:23" x14ac:dyDescent="0.3">
      <c r="C533" s="576"/>
      <c r="D533" s="493" t="s">
        <v>11</v>
      </c>
      <c r="E533" s="494"/>
      <c r="F533" s="182"/>
      <c r="G533" s="494" t="s">
        <v>765</v>
      </c>
      <c r="H533" s="651" t="str">
        <f>I533</f>
        <v>Landscaping</v>
      </c>
      <c r="I533" s="450" t="s">
        <v>39</v>
      </c>
      <c r="J533" s="577" t="s">
        <v>42</v>
      </c>
      <c r="K533" s="577" t="s">
        <v>32</v>
      </c>
      <c r="L533" s="1047" t="s">
        <v>64</v>
      </c>
      <c r="M533" s="1036">
        <f>SUMIFS('Level of Efficiency Assumptions'!$J:$J,'Level of Efficiency Assumptions'!$D:$D,I533,'Level of Efficiency Assumptions'!$F:$F,J533,'Level of Efficiency Assumptions'!$I:$I,'Water Use Calcs'!L533)</f>
        <v>28.6</v>
      </c>
      <c r="N533" s="567" t="s">
        <v>816</v>
      </c>
      <c r="O533" s="1048">
        <f>SUMIFS('Detailed Fixture Data'!O:O,'Detailed Fixture Data'!C:C,G533,'Detailed Fixture Data'!E:E,I533,'Detailed Fixture Data'!F:F,J533,'Detailed Fixture Data'!L:L,L533)</f>
        <v>0</v>
      </c>
      <c r="P533" s="1030">
        <f>SUMIFS('Intensity of Use Assumptions'!$J:$J,'Intensity of Use Assumptions'!$D:$D,I533,'Intensity of Use Assumptions'!$G:$G,J533,'Intensity of Use Assumptions'!H:H,K533,'Intensity of Use Assumptions'!F:F,D533)</f>
        <v>2.7397260273972603E-3</v>
      </c>
      <c r="Q533" s="567" t="s">
        <v>815</v>
      </c>
      <c r="R533" s="1032">
        <f>(SUMPRODUCT(M533:M535,O533:O535)*P533)</f>
        <v>0</v>
      </c>
      <c r="S533" s="1033">
        <f>IF(R533=0,0,M535*P533)</f>
        <v>0</v>
      </c>
      <c r="T533" s="225" t="str">
        <f>G533&amp;"-"&amp;J533</f>
        <v>Rental Car Center E-Outdoor irrigation</v>
      </c>
      <c r="U533" s="1034">
        <f ca="1">IF(ISNA(VLOOKUP(T533,list!$AV$3:$AW$130,2,FALSE)),1,(VLOOKUP(T533,list!$AV$3:$AW$130,2,FALSE)))</f>
        <v>1</v>
      </c>
      <c r="V533" s="1033">
        <f ca="1">R533*U533</f>
        <v>0</v>
      </c>
      <c r="W533" s="1033">
        <f ca="1">S533*U533</f>
        <v>0</v>
      </c>
    </row>
    <row r="534" spans="3:23" x14ac:dyDescent="0.3">
      <c r="C534" s="576"/>
      <c r="D534" s="493" t="s">
        <v>11</v>
      </c>
      <c r="E534" s="494"/>
      <c r="F534" s="182"/>
      <c r="G534" s="494" t="s">
        <v>765</v>
      </c>
      <c r="H534" s="577"/>
      <c r="I534" s="450" t="s">
        <v>39</v>
      </c>
      <c r="J534" s="577" t="s">
        <v>42</v>
      </c>
      <c r="K534" s="577"/>
      <c r="L534" s="1035" t="s">
        <v>65</v>
      </c>
      <c r="M534" s="1036">
        <f>SUMIFS('Level of Efficiency Assumptions'!$J:$J,'Level of Efficiency Assumptions'!$D:$D,I534,'Level of Efficiency Assumptions'!$F:$F,J534,'Level of Efficiency Assumptions'!$I:$I,'Water Use Calcs'!L534)</f>
        <v>13.980821518350929</v>
      </c>
      <c r="N534" s="577"/>
      <c r="O534" s="1048">
        <f>SUMIFS('Detailed Fixture Data'!O:O,'Detailed Fixture Data'!C:C,G534,'Detailed Fixture Data'!E:E,I534,'Detailed Fixture Data'!F:F,J534,'Detailed Fixture Data'!L:L,L534)</f>
        <v>0</v>
      </c>
      <c r="P534" s="1049"/>
      <c r="Q534" s="577"/>
      <c r="R534" s="1039"/>
      <c r="S534" s="521"/>
      <c r="T534" s="225"/>
      <c r="U534" s="521"/>
      <c r="V534" s="1040"/>
      <c r="W534" s="1041"/>
    </row>
    <row r="535" spans="3:23" ht="15" thickBot="1" x14ac:dyDescent="0.35">
      <c r="C535" s="576"/>
      <c r="D535" s="493" t="s">
        <v>11</v>
      </c>
      <c r="E535" s="494"/>
      <c r="F535" s="182"/>
      <c r="G535" s="494" t="s">
        <v>765</v>
      </c>
      <c r="H535" s="577"/>
      <c r="I535" s="451" t="s">
        <v>39</v>
      </c>
      <c r="J535" s="116" t="s">
        <v>42</v>
      </c>
      <c r="K535" s="116"/>
      <c r="L535" s="1042" t="s">
        <v>66</v>
      </c>
      <c r="M535" s="1043">
        <f>SUMIFS('Level of Efficiency Assumptions'!$J:$J,'Level of Efficiency Assumptions'!$D:$D,I535,'Level of Efficiency Assumptions'!$F:$F,J535,'Level of Efficiency Assumptions'!$I:$I,'Water Use Calcs'!L535)</f>
        <v>0.59137254901960778</v>
      </c>
      <c r="N535" s="577"/>
      <c r="O535" s="1048">
        <f>SUMIFS('Detailed Fixture Data'!O:O,'Detailed Fixture Data'!C:C,G535,'Detailed Fixture Data'!E:E,I535,'Detailed Fixture Data'!F:F,J535,'Detailed Fixture Data'!L:L,L535)</f>
        <v>0</v>
      </c>
      <c r="P535" s="1049"/>
      <c r="Q535" s="577"/>
      <c r="R535" s="1039"/>
      <c r="S535" s="618"/>
      <c r="T535" s="225"/>
      <c r="U535" s="618"/>
      <c r="V535" s="1045"/>
      <c r="W535" s="1046"/>
    </row>
    <row r="536" spans="3:23" x14ac:dyDescent="0.3">
      <c r="C536" s="576"/>
      <c r="D536" s="493" t="s">
        <v>11</v>
      </c>
      <c r="E536" s="494"/>
      <c r="F536" s="182"/>
      <c r="G536" s="494" t="s">
        <v>765</v>
      </c>
      <c r="H536" s="651" t="str">
        <f>I536</f>
        <v>Maintenance</v>
      </c>
      <c r="I536" s="450" t="s">
        <v>43</v>
      </c>
      <c r="J536" s="577" t="s">
        <v>111</v>
      </c>
      <c r="K536" s="217" t="s">
        <v>424</v>
      </c>
      <c r="L536" s="1047" t="s">
        <v>64</v>
      </c>
      <c r="M536" s="1036">
        <f>SUMIFS('Level of Efficiency Assumptions'!$J:$J,'Level of Efficiency Assumptions'!$D:$D,I536,'Level of Efficiency Assumptions'!$F:$F,J536,'Level of Efficiency Assumptions'!$I:$I,'Water Use Calcs'!L536)</f>
        <v>100</v>
      </c>
      <c r="N536" s="567" t="s">
        <v>659</v>
      </c>
      <c r="O536" s="1048">
        <f>SUMIFS('Detailed Fixture Data'!O:O,'Detailed Fixture Data'!C:C,G536,'Detailed Fixture Data'!E:E,I536,'Detailed Fixture Data'!F:F,J536,'Detailed Fixture Data'!L:L,L536)</f>
        <v>0</v>
      </c>
      <c r="P536" s="1030">
        <f>SUMIFS('Intensity of Use Assumptions'!$J:$J,'Intensity of Use Assumptions'!$D:$D,I536,'Intensity of Use Assumptions'!$G:$G,J536,'Intensity of Use Assumptions'!H:H,K536)</f>
        <v>1</v>
      </c>
      <c r="Q536" s="567" t="s">
        <v>67</v>
      </c>
      <c r="R536" s="1032">
        <f>(SUMPRODUCT(M536:M538,O536:O538)*P536)</f>
        <v>0</v>
      </c>
      <c r="S536" s="1033">
        <f>IF(R536=0,0,M538*P536)</f>
        <v>0</v>
      </c>
      <c r="T536" s="225" t="str">
        <f>G536&amp;"-"&amp;J536</f>
        <v>Rental Car Center E-Boiler</v>
      </c>
      <c r="U536" s="1034">
        <f ca="1">IF(ISNA(VLOOKUP(T536,list!$AV$3:$AW$130,2,FALSE)),1,(VLOOKUP(T536,list!$AV$3:$AW$130,2,FALSE)))</f>
        <v>1</v>
      </c>
      <c r="V536" s="1033">
        <f ca="1">R536*U536</f>
        <v>0</v>
      </c>
      <c r="W536" s="1033">
        <f ca="1">S536*U536</f>
        <v>0</v>
      </c>
    </row>
    <row r="537" spans="3:23" x14ac:dyDescent="0.3">
      <c r="C537" s="576"/>
      <c r="D537" s="493" t="s">
        <v>11</v>
      </c>
      <c r="E537" s="494"/>
      <c r="F537" s="182"/>
      <c r="G537" s="494" t="s">
        <v>765</v>
      </c>
      <c r="H537" s="577"/>
      <c r="I537" s="450" t="s">
        <v>43</v>
      </c>
      <c r="J537" s="577" t="s">
        <v>111</v>
      </c>
      <c r="K537" s="382"/>
      <c r="L537" s="1035" t="s">
        <v>65</v>
      </c>
      <c r="M537" s="1036">
        <f>SUMIFS('Level of Efficiency Assumptions'!$J:$J,'Level of Efficiency Assumptions'!$D:$D,I537,'Level of Efficiency Assumptions'!$F:$F,J537,'Level of Efficiency Assumptions'!$I:$I,'Water Use Calcs'!L537)</f>
        <v>75</v>
      </c>
      <c r="N537" s="577"/>
      <c r="O537" s="1048">
        <f>SUMIFS('Detailed Fixture Data'!O:O,'Detailed Fixture Data'!C:C,G537,'Detailed Fixture Data'!E:E,I537,'Detailed Fixture Data'!F:F,J537,'Detailed Fixture Data'!L:L,L537)</f>
        <v>0</v>
      </c>
      <c r="P537" s="1049"/>
      <c r="Q537" s="577"/>
      <c r="R537" s="1039"/>
      <c r="S537" s="521"/>
      <c r="T537" s="225"/>
      <c r="U537" s="521"/>
      <c r="V537" s="1040"/>
      <c r="W537" s="1041"/>
    </row>
    <row r="538" spans="3:23" ht="15" thickBot="1" x14ac:dyDescent="0.35">
      <c r="C538" s="576"/>
      <c r="D538" s="493" t="s">
        <v>11</v>
      </c>
      <c r="E538" s="494"/>
      <c r="F538" s="182"/>
      <c r="G538" s="494" t="s">
        <v>765</v>
      </c>
      <c r="H538" s="577"/>
      <c r="I538" s="450" t="s">
        <v>43</v>
      </c>
      <c r="J538" s="116" t="s">
        <v>111</v>
      </c>
      <c r="K538" s="116"/>
      <c r="L538" s="1042" t="s">
        <v>66</v>
      </c>
      <c r="M538" s="1043">
        <f>SUMIFS('Level of Efficiency Assumptions'!$J:$J,'Level of Efficiency Assumptions'!$D:$D,I538,'Level of Efficiency Assumptions'!$F:$F,J538,'Level of Efficiency Assumptions'!$I:$I,'Water Use Calcs'!L538)</f>
        <v>50</v>
      </c>
      <c r="N538" s="577"/>
      <c r="O538" s="1048">
        <f>SUMIFS('Detailed Fixture Data'!O:O,'Detailed Fixture Data'!C:C,G538,'Detailed Fixture Data'!E:E,I538,'Detailed Fixture Data'!F:F,J538,'Detailed Fixture Data'!L:L,L538)</f>
        <v>0</v>
      </c>
      <c r="P538" s="1049"/>
      <c r="Q538" s="577"/>
      <c r="R538" s="1039"/>
      <c r="S538" s="618"/>
      <c r="T538" s="225"/>
      <c r="U538" s="618"/>
      <c r="V538" s="1045"/>
      <c r="W538" s="1046"/>
    </row>
    <row r="539" spans="3:23" x14ac:dyDescent="0.3">
      <c r="C539" s="576"/>
      <c r="D539" s="493" t="s">
        <v>11</v>
      </c>
      <c r="E539" s="494"/>
      <c r="F539" s="182"/>
      <c r="G539" s="494" t="s">
        <v>765</v>
      </c>
      <c r="H539" s="577"/>
      <c r="I539" s="450" t="s">
        <v>43</v>
      </c>
      <c r="J539" s="577" t="s">
        <v>7</v>
      </c>
      <c r="K539" s="215" t="s">
        <v>365</v>
      </c>
      <c r="L539" s="1012" t="s">
        <v>257</v>
      </c>
      <c r="M539" s="1050"/>
      <c r="N539" s="1050"/>
      <c r="O539" s="1050"/>
      <c r="P539" s="1051"/>
      <c r="Q539" s="981"/>
      <c r="R539" s="1052">
        <f>SUMIFS('Cooling Data'!H:H,'Cooling Data'!$C:$C,$G539,'Cooling Data'!$E:$E,$I539,'Cooling Data'!$F:$F,$J539)</f>
        <v>0</v>
      </c>
      <c r="S539" s="1052">
        <f>SUMIFS('Cooling Data'!J:J,'Cooling Data'!$C:$C,$G539,'Cooling Data'!$E:$E,$I539,'Cooling Data'!$F:$F,$J539)</f>
        <v>0</v>
      </c>
      <c r="T539" s="225" t="str">
        <f>G539&amp;"-"&amp;J539</f>
        <v>Rental Car Center E-Cooling</v>
      </c>
      <c r="U539" s="1034">
        <f ca="1">IF(ISNA(VLOOKUP(T539,list!$AV$3:$AW$130,2,FALSE)),1,(VLOOKUP(T539,list!$AV$3:$AW$130,2,FALSE)))</f>
        <v>1</v>
      </c>
      <c r="V539" s="1033">
        <f ca="1">R539*U539</f>
        <v>0</v>
      </c>
      <c r="W539" s="1033">
        <f ca="1">S539*U539</f>
        <v>0</v>
      </c>
    </row>
    <row r="540" spans="3:23" x14ac:dyDescent="0.3">
      <c r="C540" s="576"/>
      <c r="D540" s="493" t="s">
        <v>11</v>
      </c>
      <c r="E540" s="494"/>
      <c r="F540" s="182"/>
      <c r="G540" s="494" t="s">
        <v>765</v>
      </c>
      <c r="H540" s="577"/>
      <c r="I540" s="450" t="s">
        <v>43</v>
      </c>
      <c r="J540" s="577" t="s">
        <v>7</v>
      </c>
      <c r="K540" s="577"/>
      <c r="L540" s="206"/>
      <c r="M540" s="181"/>
      <c r="N540" s="181"/>
      <c r="O540" s="181"/>
      <c r="P540" s="1053"/>
      <c r="Q540" s="439"/>
      <c r="R540" s="1039"/>
      <c r="S540" s="521"/>
      <c r="T540" s="225"/>
      <c r="U540" s="521"/>
      <c r="V540" s="1040"/>
      <c r="W540" s="1041"/>
    </row>
    <row r="541" spans="3:23" ht="15" thickBot="1" x14ac:dyDescent="0.35">
      <c r="C541" s="576"/>
      <c r="D541" s="493" t="s">
        <v>11</v>
      </c>
      <c r="E541" s="494"/>
      <c r="F541" s="182"/>
      <c r="G541" s="494" t="s">
        <v>765</v>
      </c>
      <c r="H541" s="577"/>
      <c r="I541" s="450" t="s">
        <v>43</v>
      </c>
      <c r="J541" s="116" t="s">
        <v>7</v>
      </c>
      <c r="K541" s="116"/>
      <c r="L541" s="207"/>
      <c r="M541" s="924"/>
      <c r="N541" s="924"/>
      <c r="O541" s="924"/>
      <c r="P541" s="1054"/>
      <c r="Q541" s="606"/>
      <c r="R541" s="1039"/>
      <c r="S541" s="618"/>
      <c r="T541" s="225"/>
      <c r="U541" s="618"/>
      <c r="V541" s="1045"/>
      <c r="W541" s="1046"/>
    </row>
    <row r="542" spans="3:23" x14ac:dyDescent="0.3">
      <c r="C542" s="576"/>
      <c r="D542" s="493" t="s">
        <v>11</v>
      </c>
      <c r="E542" s="494"/>
      <c r="F542" s="182"/>
      <c r="G542" s="494" t="s">
        <v>765</v>
      </c>
      <c r="H542" s="577"/>
      <c r="I542" s="450" t="s">
        <v>43</v>
      </c>
      <c r="J542" s="577" t="s">
        <v>9</v>
      </c>
      <c r="K542" s="577" t="s">
        <v>12</v>
      </c>
      <c r="L542" s="1047" t="s">
        <v>64</v>
      </c>
      <c r="M542" s="1036">
        <f>SUMIFS('Level of Efficiency Assumptions'!$J:$J,'Level of Efficiency Assumptions'!$D:$D,I542,'Level of Efficiency Assumptions'!$F:$F,J542,'Level of Efficiency Assumptions'!$I:$I,'Water Use Calcs'!L542)</f>
        <v>80</v>
      </c>
      <c r="N542" s="567" t="s">
        <v>588</v>
      </c>
      <c r="O542" s="1048">
        <f>SUMIFS('Detailed Fixture Data'!O:O,'Detailed Fixture Data'!C:C,G542,'Detailed Fixture Data'!E:E,I542,'Detailed Fixture Data'!F:F,J542,'Detailed Fixture Data'!L:L,L542)</f>
        <v>0</v>
      </c>
      <c r="P542" s="1030">
        <f>SUMIFS('Intensity of Use Assumptions'!$J:$J,'Intensity of Use Assumptions'!$D:$D,I542,'Intensity of Use Assumptions'!$G:$G,J542,'Intensity of Use Assumptions'!H:H,K542)</f>
        <v>1</v>
      </c>
      <c r="Q542" s="567" t="s">
        <v>67</v>
      </c>
      <c r="R542" s="1032">
        <f>(SUMPRODUCT(M542:M544,O542:O544)*P542)</f>
        <v>0</v>
      </c>
      <c r="S542" s="1033">
        <f>IF(R542=0,0,M544*P542)</f>
        <v>0</v>
      </c>
      <c r="T542" s="225" t="str">
        <f>G542&amp;"-"&amp;J542</f>
        <v>Rental Car Center E-Vehicle washing</v>
      </c>
      <c r="U542" s="1034">
        <f ca="1">IF(ISNA(VLOOKUP(T542,list!$AV$3:$AW$130,2,FALSE)),1,(VLOOKUP(T542,list!$AV$3:$AW$130,2,FALSE)))</f>
        <v>1</v>
      </c>
      <c r="V542" s="1033">
        <f ca="1">R542*U542</f>
        <v>0</v>
      </c>
      <c r="W542" s="1033">
        <f ca="1">S542*U542</f>
        <v>0</v>
      </c>
    </row>
    <row r="543" spans="3:23" x14ac:dyDescent="0.3">
      <c r="C543" s="576"/>
      <c r="D543" s="493" t="s">
        <v>11</v>
      </c>
      <c r="E543" s="494"/>
      <c r="F543" s="182"/>
      <c r="G543" s="494" t="s">
        <v>765</v>
      </c>
      <c r="H543" s="577"/>
      <c r="I543" s="450" t="s">
        <v>43</v>
      </c>
      <c r="J543" s="577" t="s">
        <v>9</v>
      </c>
      <c r="K543" s="577"/>
      <c r="L543" s="1035" t="s">
        <v>65</v>
      </c>
      <c r="M543" s="1036">
        <f>SUMIFS('Level of Efficiency Assumptions'!$J:$J,'Level of Efficiency Assumptions'!$D:$D,I543,'Level of Efficiency Assumptions'!$F:$F,J543,'Level of Efficiency Assumptions'!$I:$I,'Water Use Calcs'!L543)</f>
        <v>40</v>
      </c>
      <c r="N543" s="577"/>
      <c r="O543" s="1048">
        <f>SUMIFS('Detailed Fixture Data'!O:O,'Detailed Fixture Data'!C:C,G543,'Detailed Fixture Data'!E:E,I543,'Detailed Fixture Data'!F:F,J543,'Detailed Fixture Data'!L:L,L543)</f>
        <v>0</v>
      </c>
      <c r="P543" s="1049"/>
      <c r="Q543" s="577"/>
      <c r="R543" s="1039"/>
      <c r="S543" s="521"/>
      <c r="T543" s="225"/>
      <c r="U543" s="521"/>
      <c r="V543" s="1040"/>
      <c r="W543" s="1041"/>
    </row>
    <row r="544" spans="3:23" ht="15" thickBot="1" x14ac:dyDescent="0.35">
      <c r="C544" s="576"/>
      <c r="D544" s="493" t="s">
        <v>11</v>
      </c>
      <c r="E544" s="494"/>
      <c r="F544" s="182"/>
      <c r="G544" s="494" t="s">
        <v>765</v>
      </c>
      <c r="H544" s="577"/>
      <c r="I544" s="450" t="s">
        <v>43</v>
      </c>
      <c r="J544" s="116" t="s">
        <v>9</v>
      </c>
      <c r="K544" s="116"/>
      <c r="L544" s="1042" t="s">
        <v>66</v>
      </c>
      <c r="M544" s="1043">
        <f>SUMIFS('Level of Efficiency Assumptions'!$J:$J,'Level of Efficiency Assumptions'!$D:$D,I544,'Level of Efficiency Assumptions'!$F:$F,J544,'Level of Efficiency Assumptions'!$I:$I,'Water Use Calcs'!L544)</f>
        <v>30</v>
      </c>
      <c r="N544" s="577"/>
      <c r="O544" s="1048">
        <f>SUMIFS('Detailed Fixture Data'!O:O,'Detailed Fixture Data'!C:C,G544,'Detailed Fixture Data'!E:E,I544,'Detailed Fixture Data'!F:F,J544,'Detailed Fixture Data'!L:L,L544)</f>
        <v>0</v>
      </c>
      <c r="P544" s="1049"/>
      <c r="Q544" s="577"/>
      <c r="R544" s="1039"/>
      <c r="S544" s="618"/>
      <c r="T544" s="225"/>
      <c r="U544" s="618"/>
      <c r="V544" s="1045"/>
      <c r="W544" s="1046"/>
    </row>
    <row r="545" spans="3:23" x14ac:dyDescent="0.3">
      <c r="C545" s="576"/>
      <c r="D545" s="493" t="s">
        <v>11</v>
      </c>
      <c r="E545" s="494"/>
      <c r="F545" s="182"/>
      <c r="G545" s="494" t="s">
        <v>765</v>
      </c>
      <c r="H545" s="577"/>
      <c r="I545" s="450" t="s">
        <v>43</v>
      </c>
      <c r="J545" s="577" t="s">
        <v>426</v>
      </c>
      <c r="K545" s="577" t="s">
        <v>12</v>
      </c>
      <c r="L545" s="1047" t="s">
        <v>64</v>
      </c>
      <c r="M545" s="1036">
        <f>SUMIFS('Level of Efficiency Assumptions'!$J:$J,'Level of Efficiency Assumptions'!$D:$D,I545,'Level of Efficiency Assumptions'!$F:$F,J545,'Level of Efficiency Assumptions'!$I:$I,'Water Use Calcs'!L545)</f>
        <v>10</v>
      </c>
      <c r="N545" s="567" t="s">
        <v>588</v>
      </c>
      <c r="O545" s="1048">
        <f>SUMIFS('Detailed Fixture Data'!O:O,'Detailed Fixture Data'!C:C,G545,'Detailed Fixture Data'!E:E,I545,'Detailed Fixture Data'!F:F,J545,'Detailed Fixture Data'!L:L,L545)</f>
        <v>0</v>
      </c>
      <c r="P545" s="1030">
        <f>SUMIFS('Intensity of Use Assumptions'!$J:$J,'Intensity of Use Assumptions'!$D:$D,I545,'Intensity of Use Assumptions'!$G:$G,J545,'Intensity of Use Assumptions'!H:H,K545)</f>
        <v>1E-3</v>
      </c>
      <c r="Q545" s="567" t="s">
        <v>67</v>
      </c>
      <c r="R545" s="1032">
        <f>(SUMPRODUCT(M545:M547,O545:O547)*P545)</f>
        <v>0</v>
      </c>
      <c r="S545" s="1033">
        <f>IF(R545=0,0,M547*P545)</f>
        <v>0</v>
      </c>
      <c r="T545" s="225" t="str">
        <f>G545&amp;"-"&amp;J545</f>
        <v>Rental Car Center E-Pavement cleaning</v>
      </c>
      <c r="U545" s="1034">
        <f ca="1">IF(ISNA(VLOOKUP(T545,list!$AV$3:$AW$130,2,FALSE)),1,(VLOOKUP(T545,list!$AV$3:$AW$130,2,FALSE)))</f>
        <v>1</v>
      </c>
      <c r="V545" s="1033">
        <f ca="1">R545*U545</f>
        <v>0</v>
      </c>
      <c r="W545" s="1033">
        <f ca="1">S545*U545</f>
        <v>0</v>
      </c>
    </row>
    <row r="546" spans="3:23" x14ac:dyDescent="0.3">
      <c r="C546" s="576"/>
      <c r="D546" s="493" t="s">
        <v>11</v>
      </c>
      <c r="E546" s="494"/>
      <c r="F546" s="182"/>
      <c r="G546" s="494" t="s">
        <v>765</v>
      </c>
      <c r="H546" s="577"/>
      <c r="I546" s="450" t="s">
        <v>43</v>
      </c>
      <c r="J546" s="577" t="s">
        <v>426</v>
      </c>
      <c r="K546" s="577"/>
      <c r="L546" s="1035" t="s">
        <v>65</v>
      </c>
      <c r="M546" s="1036">
        <f>SUMIFS('Level of Efficiency Assumptions'!$J:$J,'Level of Efficiency Assumptions'!$D:$D,I546,'Level of Efficiency Assumptions'!$F:$F,J546,'Level of Efficiency Assumptions'!$I:$I,'Water Use Calcs'!L546)</f>
        <v>7.5</v>
      </c>
      <c r="N546" s="577"/>
      <c r="O546" s="1048">
        <f>SUMIFS('Detailed Fixture Data'!O:O,'Detailed Fixture Data'!C:C,G546,'Detailed Fixture Data'!E:E,I546,'Detailed Fixture Data'!F:F,J546,'Detailed Fixture Data'!L:L,L546)</f>
        <v>0</v>
      </c>
      <c r="P546" s="1049"/>
      <c r="Q546" s="577"/>
      <c r="R546" s="1039"/>
      <c r="S546" s="521"/>
      <c r="T546" s="225"/>
      <c r="U546" s="521"/>
      <c r="V546" s="1040"/>
      <c r="W546" s="1041"/>
    </row>
    <row r="547" spans="3:23" ht="15" thickBot="1" x14ac:dyDescent="0.35">
      <c r="C547" s="576"/>
      <c r="D547" s="493" t="s">
        <v>11</v>
      </c>
      <c r="E547" s="494"/>
      <c r="F547" s="182"/>
      <c r="G547" s="494" t="s">
        <v>765</v>
      </c>
      <c r="H547" s="577"/>
      <c r="I547" s="451" t="s">
        <v>43</v>
      </c>
      <c r="J547" s="116" t="s">
        <v>426</v>
      </c>
      <c r="K547" s="116"/>
      <c r="L547" s="1042" t="s">
        <v>66</v>
      </c>
      <c r="M547" s="1043">
        <f>SUMIFS('Level of Efficiency Assumptions'!$J:$J,'Level of Efficiency Assumptions'!$D:$D,I547,'Level of Efficiency Assumptions'!$F:$F,J547,'Level of Efficiency Assumptions'!$I:$I,'Water Use Calcs'!L547)</f>
        <v>5</v>
      </c>
      <c r="N547" s="577"/>
      <c r="O547" s="1048">
        <f>SUMIFS('Detailed Fixture Data'!O:O,'Detailed Fixture Data'!C:C,G547,'Detailed Fixture Data'!E:E,I547,'Detailed Fixture Data'!F:F,J547,'Detailed Fixture Data'!L:L,L547)</f>
        <v>0</v>
      </c>
      <c r="P547" s="1049"/>
      <c r="Q547" s="577"/>
      <c r="R547" s="1039"/>
      <c r="S547" s="618"/>
      <c r="T547" s="225"/>
      <c r="U547" s="618"/>
      <c r="V547" s="1045"/>
      <c r="W547" s="1046"/>
    </row>
    <row r="548" spans="3:23" x14ac:dyDescent="0.3">
      <c r="C548" s="576"/>
      <c r="D548" s="493" t="s">
        <v>11</v>
      </c>
      <c r="E548" s="494"/>
      <c r="F548" s="182"/>
      <c r="G548" s="494" t="s">
        <v>765</v>
      </c>
      <c r="H548" s="651" t="str">
        <f>I548</f>
        <v>Other</v>
      </c>
      <c r="I548" s="450" t="s">
        <v>8</v>
      </c>
      <c r="J548" s="577" t="s">
        <v>52</v>
      </c>
      <c r="K548" s="387" t="s">
        <v>362</v>
      </c>
      <c r="L548" s="1047" t="s">
        <v>64</v>
      </c>
      <c r="M548" s="1036">
        <f>SUMIFS('Level of Efficiency Assumptions'!$J:$J,'Level of Efficiency Assumptions'!$D:$D,I548,'Level of Efficiency Assumptions'!$F:$F,J548,'Level of Efficiency Assumptions'!$I:$I,'Water Use Calcs'!L548)</f>
        <v>10</v>
      </c>
      <c r="N548" s="567" t="s">
        <v>660</v>
      </c>
      <c r="O548" s="1048">
        <f>SUMIFS('Detailed Fixture Data'!O:O,'Detailed Fixture Data'!C:C,G548,'Detailed Fixture Data'!E:E,I548,'Detailed Fixture Data'!F:F,J548,'Detailed Fixture Data'!L:L,L548)</f>
        <v>0</v>
      </c>
      <c r="P548" s="1030">
        <f>SUMIFS('Intensity of Use Assumptions'!$J:$J,'Intensity of Use Assumptions'!$D:$D,I548,'Intensity of Use Assumptions'!$G:$G,J548,'Intensity of Use Assumptions'!H:H,K548)</f>
        <v>1</v>
      </c>
      <c r="Q548" s="567" t="s">
        <v>67</v>
      </c>
      <c r="R548" s="1032">
        <f>(SUMPRODUCT(M548:M550,O548:O550)*P548)</f>
        <v>0</v>
      </c>
      <c r="S548" s="1033">
        <f>IF(R548=0,0,M550*P548)</f>
        <v>0</v>
      </c>
      <c r="T548" s="225" t="str">
        <f>G548&amp;"-"&amp;J548</f>
        <v>Rental Car Center E-Other 1</v>
      </c>
      <c r="U548" s="1034">
        <f ca="1">IF(ISNA(VLOOKUP(T548,list!$AV$3:$AW$130,2,FALSE)),1,(VLOOKUP(T548,list!$AV$3:$AW$130,2,FALSE)))</f>
        <v>1</v>
      </c>
      <c r="V548" s="1033">
        <f ca="1">R548*U548</f>
        <v>0</v>
      </c>
      <c r="W548" s="1033">
        <f ca="1">S548*U548</f>
        <v>0</v>
      </c>
    </row>
    <row r="549" spans="3:23" x14ac:dyDescent="0.3">
      <c r="C549" s="576"/>
      <c r="D549" s="493" t="s">
        <v>11</v>
      </c>
      <c r="E549" s="494"/>
      <c r="F549" s="182"/>
      <c r="G549" s="494" t="s">
        <v>765</v>
      </c>
      <c r="H549" s="577"/>
      <c r="I549" s="450" t="s">
        <v>8</v>
      </c>
      <c r="J549" s="577" t="s">
        <v>52</v>
      </c>
      <c r="K549" s="382"/>
      <c r="L549" s="1035" t="s">
        <v>65</v>
      </c>
      <c r="M549" s="1036">
        <f>SUMIFS('Level of Efficiency Assumptions'!$J:$J,'Level of Efficiency Assumptions'!$D:$D,I549,'Level of Efficiency Assumptions'!$F:$F,J549,'Level of Efficiency Assumptions'!$I:$I,'Water Use Calcs'!L549)</f>
        <v>7.5</v>
      </c>
      <c r="N549" s="577"/>
      <c r="O549" s="1048">
        <f>SUMIFS('Detailed Fixture Data'!O:O,'Detailed Fixture Data'!C:C,G549,'Detailed Fixture Data'!E:E,I549,'Detailed Fixture Data'!F:F,J549,'Detailed Fixture Data'!L:L,L549)</f>
        <v>0</v>
      </c>
      <c r="P549" s="1049"/>
      <c r="Q549" s="577"/>
      <c r="R549" s="1039"/>
      <c r="S549" s="521"/>
      <c r="T549" s="225"/>
      <c r="U549" s="521"/>
      <c r="V549" s="1040"/>
      <c r="W549" s="1041"/>
    </row>
    <row r="550" spans="3:23" ht="15" thickBot="1" x14ac:dyDescent="0.35">
      <c r="C550" s="576"/>
      <c r="D550" s="493" t="s">
        <v>11</v>
      </c>
      <c r="E550" s="494"/>
      <c r="F550" s="182"/>
      <c r="G550" s="494" t="s">
        <v>765</v>
      </c>
      <c r="H550" s="577"/>
      <c r="I550" s="450" t="s">
        <v>8</v>
      </c>
      <c r="J550" s="116" t="s">
        <v>52</v>
      </c>
      <c r="K550" s="382"/>
      <c r="L550" s="1042" t="s">
        <v>66</v>
      </c>
      <c r="M550" s="1043">
        <f>SUMIFS('Level of Efficiency Assumptions'!$J:$J,'Level of Efficiency Assumptions'!$D:$D,I550,'Level of Efficiency Assumptions'!$F:$F,J550,'Level of Efficiency Assumptions'!$I:$I,'Water Use Calcs'!L550)</f>
        <v>5</v>
      </c>
      <c r="N550" s="577"/>
      <c r="O550" s="1048">
        <f>SUMIFS('Detailed Fixture Data'!O:O,'Detailed Fixture Data'!C:C,G550,'Detailed Fixture Data'!E:E,I550,'Detailed Fixture Data'!F:F,J550,'Detailed Fixture Data'!L:L,L550)</f>
        <v>0</v>
      </c>
      <c r="P550" s="1049"/>
      <c r="Q550" s="577"/>
      <c r="R550" s="1039"/>
      <c r="S550" s="618"/>
      <c r="T550" s="225"/>
      <c r="U550" s="618"/>
      <c r="V550" s="1045"/>
      <c r="W550" s="1046"/>
    </row>
    <row r="551" spans="3:23" x14ac:dyDescent="0.3">
      <c r="C551" s="576"/>
      <c r="D551" s="493" t="s">
        <v>11</v>
      </c>
      <c r="E551" s="494"/>
      <c r="F551" s="182"/>
      <c r="G551" s="494" t="s">
        <v>765</v>
      </c>
      <c r="H551" s="577"/>
      <c r="I551" s="450" t="s">
        <v>8</v>
      </c>
      <c r="J551" s="577" t="s">
        <v>53</v>
      </c>
      <c r="K551" s="1055" t="s">
        <v>363</v>
      </c>
      <c r="L551" s="1047" t="s">
        <v>64</v>
      </c>
      <c r="M551" s="1036">
        <f>SUMIFS('Level of Efficiency Assumptions'!$J:$J,'Level of Efficiency Assumptions'!$D:$D,I551,'Level of Efficiency Assumptions'!$F:$F,J551,'Level of Efficiency Assumptions'!$I:$I,'Water Use Calcs'!L551)</f>
        <v>10</v>
      </c>
      <c r="N551" s="567" t="s">
        <v>660</v>
      </c>
      <c r="O551" s="1048">
        <f>SUMIFS('Detailed Fixture Data'!O:O,'Detailed Fixture Data'!C:C,G551,'Detailed Fixture Data'!E:E,I551,'Detailed Fixture Data'!F:F,J551,'Detailed Fixture Data'!L:L,L551)</f>
        <v>0</v>
      </c>
      <c r="P551" s="1030">
        <f>SUMIFS('Intensity of Use Assumptions'!$J:$J,'Intensity of Use Assumptions'!$D:$D,I551,'Intensity of Use Assumptions'!$G:$G,J551,'Intensity of Use Assumptions'!H:H,K551)</f>
        <v>1</v>
      </c>
      <c r="Q551" s="567" t="s">
        <v>67</v>
      </c>
      <c r="R551" s="1032">
        <f>(SUMPRODUCT(M551:M553,O551:O553)*P551)</f>
        <v>0</v>
      </c>
      <c r="S551" s="1033">
        <f>IF(R551=0,0,M553*P551)</f>
        <v>0</v>
      </c>
      <c r="T551" s="225" t="str">
        <f>G551&amp;"-"&amp;J551</f>
        <v>Rental Car Center E-Other 2</v>
      </c>
      <c r="U551" s="1034">
        <f ca="1">IF(ISNA(VLOOKUP(T551,list!$AV$3:$AW$130,2,FALSE)),1,(VLOOKUP(T551,list!$AV$3:$AW$130,2,FALSE)))</f>
        <v>1</v>
      </c>
      <c r="V551" s="1033">
        <f ca="1">R551*U551</f>
        <v>0</v>
      </c>
      <c r="W551" s="1033">
        <f ca="1">S551*U551</f>
        <v>0</v>
      </c>
    </row>
    <row r="552" spans="3:23" x14ac:dyDescent="0.3">
      <c r="C552" s="576"/>
      <c r="D552" s="493" t="s">
        <v>11</v>
      </c>
      <c r="E552" s="494"/>
      <c r="F552" s="182"/>
      <c r="G552" s="494" t="s">
        <v>765</v>
      </c>
      <c r="H552" s="577"/>
      <c r="I552" s="450" t="s">
        <v>8</v>
      </c>
      <c r="J552" s="577" t="s">
        <v>53</v>
      </c>
      <c r="K552" s="577"/>
      <c r="L552" s="1035" t="s">
        <v>65</v>
      </c>
      <c r="M552" s="1036">
        <f>SUMIFS('Level of Efficiency Assumptions'!$J:$J,'Level of Efficiency Assumptions'!$D:$D,I552,'Level of Efficiency Assumptions'!$F:$F,J552,'Level of Efficiency Assumptions'!$I:$I,'Water Use Calcs'!L552)</f>
        <v>7.5</v>
      </c>
      <c r="N552" s="577"/>
      <c r="O552" s="1048">
        <f>SUMIFS('Detailed Fixture Data'!O:O,'Detailed Fixture Data'!C:C,G552,'Detailed Fixture Data'!E:E,I552,'Detailed Fixture Data'!F:F,J552,'Detailed Fixture Data'!L:L,L552)</f>
        <v>0</v>
      </c>
      <c r="P552" s="1049"/>
      <c r="Q552" s="577"/>
      <c r="R552" s="1039"/>
      <c r="S552" s="521"/>
      <c r="T552" s="225"/>
      <c r="U552" s="521"/>
      <c r="V552" s="1040"/>
      <c r="W552" s="1041"/>
    </row>
    <row r="553" spans="3:23" ht="15" thickBot="1" x14ac:dyDescent="0.35">
      <c r="C553" s="576"/>
      <c r="D553" s="493" t="s">
        <v>11</v>
      </c>
      <c r="E553" s="494"/>
      <c r="F553" s="182"/>
      <c r="G553" s="494" t="s">
        <v>765</v>
      </c>
      <c r="H553" s="577"/>
      <c r="I553" s="450" t="s">
        <v>8</v>
      </c>
      <c r="J553" s="116" t="s">
        <v>53</v>
      </c>
      <c r="K553" s="116"/>
      <c r="L553" s="1042" t="s">
        <v>66</v>
      </c>
      <c r="M553" s="1043">
        <f>SUMIFS('Level of Efficiency Assumptions'!$J:$J,'Level of Efficiency Assumptions'!$D:$D,I553,'Level of Efficiency Assumptions'!$F:$F,J553,'Level of Efficiency Assumptions'!$I:$I,'Water Use Calcs'!L553)</f>
        <v>5</v>
      </c>
      <c r="N553" s="577"/>
      <c r="O553" s="1048">
        <f>SUMIFS('Detailed Fixture Data'!O:O,'Detailed Fixture Data'!C:C,G553,'Detailed Fixture Data'!E:E,I553,'Detailed Fixture Data'!F:F,J553,'Detailed Fixture Data'!L:L,L553)</f>
        <v>0</v>
      </c>
      <c r="P553" s="1049"/>
      <c r="Q553" s="577"/>
      <c r="R553" s="1039"/>
      <c r="S553" s="618"/>
      <c r="T553" s="225"/>
      <c r="U553" s="618"/>
      <c r="V553" s="1045"/>
      <c r="W553" s="1046"/>
    </row>
    <row r="554" spans="3:23" x14ac:dyDescent="0.3">
      <c r="C554" s="576"/>
      <c r="D554" s="493" t="s">
        <v>11</v>
      </c>
      <c r="E554" s="494"/>
      <c r="F554" s="182"/>
      <c r="G554" s="494" t="s">
        <v>765</v>
      </c>
      <c r="H554" s="577"/>
      <c r="I554" s="450" t="s">
        <v>8</v>
      </c>
      <c r="J554" s="577" t="s">
        <v>54</v>
      </c>
      <c r="K554" s="379" t="s">
        <v>364</v>
      </c>
      <c r="L554" s="1047" t="s">
        <v>64</v>
      </c>
      <c r="M554" s="1036">
        <f>SUMIFS('Level of Efficiency Assumptions'!$J:$J,'Level of Efficiency Assumptions'!$D:$D,I554,'Level of Efficiency Assumptions'!$F:$F,J554,'Level of Efficiency Assumptions'!$I:$I,'Water Use Calcs'!L554)</f>
        <v>10</v>
      </c>
      <c r="N554" s="567" t="s">
        <v>660</v>
      </c>
      <c r="O554" s="1048">
        <f>SUMIFS('Detailed Fixture Data'!O:O,'Detailed Fixture Data'!C:C,G554,'Detailed Fixture Data'!E:E,I554,'Detailed Fixture Data'!F:F,J554,'Detailed Fixture Data'!L:L,L554)</f>
        <v>0</v>
      </c>
      <c r="P554" s="1030">
        <f>SUMIFS('Intensity of Use Assumptions'!$J:$J,'Intensity of Use Assumptions'!$D:$D,I554,'Intensity of Use Assumptions'!$G:$G,J554,'Intensity of Use Assumptions'!H:H,K554)</f>
        <v>1</v>
      </c>
      <c r="Q554" s="567" t="s">
        <v>67</v>
      </c>
      <c r="R554" s="1032">
        <f>(SUMPRODUCT(M554:M556,O554:O556)*P554)</f>
        <v>0</v>
      </c>
      <c r="S554" s="1033">
        <f>IF(R554=0,0,M556*P554)</f>
        <v>0</v>
      </c>
      <c r="T554" s="225" t="str">
        <f>G554&amp;"-"&amp;J554</f>
        <v>Rental Car Center E-Other 3</v>
      </c>
      <c r="U554" s="1034">
        <f ca="1">IF(ISNA(VLOOKUP(T554,list!$AV$3:$AW$130,2,FALSE)),1,(VLOOKUP(T554,list!$AV$3:$AW$130,2,FALSE)))</f>
        <v>1</v>
      </c>
      <c r="V554" s="1033">
        <f ca="1">R554*U554</f>
        <v>0</v>
      </c>
      <c r="W554" s="1033">
        <f ca="1">S554*U554</f>
        <v>0</v>
      </c>
    </row>
    <row r="555" spans="3:23" x14ac:dyDescent="0.3">
      <c r="C555" s="576"/>
      <c r="D555" s="493" t="s">
        <v>11</v>
      </c>
      <c r="E555" s="494"/>
      <c r="F555" s="182"/>
      <c r="G555" s="494" t="s">
        <v>765</v>
      </c>
      <c r="H555" s="577"/>
      <c r="I555" s="450" t="s">
        <v>8</v>
      </c>
      <c r="J555" s="577" t="s">
        <v>54</v>
      </c>
      <c r="K555" s="577"/>
      <c r="L555" s="1035" t="s">
        <v>65</v>
      </c>
      <c r="M555" s="1036">
        <f>SUMIFS('Level of Efficiency Assumptions'!$J:$J,'Level of Efficiency Assumptions'!$D:$D,I555,'Level of Efficiency Assumptions'!$F:$F,J555,'Level of Efficiency Assumptions'!$I:$I,'Water Use Calcs'!L555)</f>
        <v>7.5</v>
      </c>
      <c r="N555" s="577"/>
      <c r="O555" s="1048">
        <f>SUMIFS('Detailed Fixture Data'!O:O,'Detailed Fixture Data'!C:C,G555,'Detailed Fixture Data'!E:E,I555,'Detailed Fixture Data'!F:F,J555,'Detailed Fixture Data'!L:L,L555)</f>
        <v>0</v>
      </c>
      <c r="P555" s="1049"/>
      <c r="Q555" s="577"/>
      <c r="R555" s="1039"/>
      <c r="S555" s="521"/>
      <c r="T555" s="225"/>
      <c r="U555" s="521"/>
      <c r="V555" s="1040"/>
      <c r="W555" s="1041"/>
    </row>
    <row r="556" spans="3:23" ht="15" thickBot="1" x14ac:dyDescent="0.35">
      <c r="C556" s="576"/>
      <c r="D556" s="493" t="s">
        <v>11</v>
      </c>
      <c r="E556" s="494"/>
      <c r="F556" s="182"/>
      <c r="G556" s="501" t="s">
        <v>765</v>
      </c>
      <c r="H556" s="116"/>
      <c r="I556" s="451" t="s">
        <v>8</v>
      </c>
      <c r="J556" s="116" t="s">
        <v>54</v>
      </c>
      <c r="K556" s="116"/>
      <c r="L556" s="1042" t="s">
        <v>66</v>
      </c>
      <c r="M556" s="1043">
        <f>SUMIFS('Level of Efficiency Assumptions'!$J:$J,'Level of Efficiency Assumptions'!$D:$D,I556,'Level of Efficiency Assumptions'!$F:$F,J556,'Level of Efficiency Assumptions'!$I:$I,'Water Use Calcs'!L556)</f>
        <v>5</v>
      </c>
      <c r="N556" s="116"/>
      <c r="O556" s="1048">
        <f>SUMIFS('Detailed Fixture Data'!O:O,'Detailed Fixture Data'!C:C,G556,'Detailed Fixture Data'!E:E,I556,'Detailed Fixture Data'!F:F,J556,'Detailed Fixture Data'!L:L,L556)</f>
        <v>0</v>
      </c>
      <c r="P556" s="1049"/>
      <c r="Q556" s="116"/>
      <c r="R556" s="1039"/>
      <c r="S556" s="618"/>
      <c r="T556" s="225"/>
      <c r="U556" s="618"/>
      <c r="V556" s="1045"/>
      <c r="W556" s="1046"/>
    </row>
    <row r="557" spans="3:23" x14ac:dyDescent="0.3">
      <c r="C557" s="651" t="str">
        <f>D557</f>
        <v>Ground Transportation</v>
      </c>
      <c r="D557" s="566" t="s">
        <v>420</v>
      </c>
      <c r="E557" s="619" t="str">
        <f>G557</f>
        <v>Ground Transportation A</v>
      </c>
      <c r="F557" s="565" t="str">
        <f>VLOOKUP(E557,'Airport Mapping'!$C$5:$D$39,2,FALSE)</f>
        <v xml:space="preserve"> </v>
      </c>
      <c r="G557" s="494" t="s">
        <v>421</v>
      </c>
      <c r="H557" s="651" t="str">
        <f>I557</f>
        <v>Restrooms</v>
      </c>
      <c r="I557" s="450" t="s">
        <v>37</v>
      </c>
      <c r="J557" s="577" t="s">
        <v>2</v>
      </c>
      <c r="K557" s="577" t="s">
        <v>3</v>
      </c>
      <c r="L557" s="1047" t="s">
        <v>64</v>
      </c>
      <c r="M557" s="1036">
        <f>SUMIFS('Level of Efficiency Assumptions'!$J:$J,'Level of Efficiency Assumptions'!$D:$D,I557,'Level of Efficiency Assumptions'!$F:$F,J557,'Level of Efficiency Assumptions'!$I:$I,'Water Use Calcs'!L557)</f>
        <v>3.5</v>
      </c>
      <c r="N557" s="577" t="s">
        <v>68</v>
      </c>
      <c r="O557" s="1048">
        <f>SUMIFS('Detailed Fixture Data'!O:O,'Detailed Fixture Data'!C:C,G557,'Detailed Fixture Data'!E:E,I557,'Detailed Fixture Data'!F:F,J557,'Detailed Fixture Data'!L:L,L557)</f>
        <v>0</v>
      </c>
      <c r="P557" s="1030">
        <f>SUMIFS('Intensity of Use Assumptions'!$J:$J,'Intensity of Use Assumptions'!$D:$D,I557,'Intensity of Use Assumptions'!$G:$G,J557,'Intensity of Use Assumptions'!H:H,K557)</f>
        <v>0.625</v>
      </c>
      <c r="Q557" s="577" t="s">
        <v>67</v>
      </c>
      <c r="R557" s="1032">
        <f>(SUMPRODUCT(M557:M559,O557:O559)*P557)</f>
        <v>0</v>
      </c>
      <c r="S557" s="1033">
        <f>IF(R557=0,0,M559*P557)</f>
        <v>0</v>
      </c>
      <c r="T557" s="225" t="str">
        <f>G557&amp;"-"&amp;J557</f>
        <v>Ground Transportation A-Toilets</v>
      </c>
      <c r="U557" s="1034">
        <f ca="1">IF(ISNA(VLOOKUP(T557,list!$AV$3:$AW$130,2,FALSE)),1,(VLOOKUP(T557,list!$AV$3:$AW$130,2,FALSE)))</f>
        <v>1</v>
      </c>
      <c r="V557" s="1033">
        <f ca="1">R557*U557</f>
        <v>0</v>
      </c>
      <c r="W557" s="1033">
        <f ca="1">S557*U557</f>
        <v>0</v>
      </c>
    </row>
    <row r="558" spans="3:23" x14ac:dyDescent="0.3">
      <c r="C558" s="576"/>
      <c r="D558" s="494" t="s">
        <v>420</v>
      </c>
      <c r="E558" s="494"/>
      <c r="F558" s="182"/>
      <c r="G558" s="494" t="s">
        <v>421</v>
      </c>
      <c r="H558" s="577"/>
      <c r="I558" s="450" t="s">
        <v>37</v>
      </c>
      <c r="J558" s="577" t="s">
        <v>2</v>
      </c>
      <c r="K558" s="577"/>
      <c r="L558" s="1035" t="s">
        <v>65</v>
      </c>
      <c r="M558" s="1036">
        <f>SUMIFS('Level of Efficiency Assumptions'!$J:$J,'Level of Efficiency Assumptions'!$D:$D,I558,'Level of Efficiency Assumptions'!$F:$F,J558,'Level of Efficiency Assumptions'!$I:$I,'Water Use Calcs'!L558)</f>
        <v>1.6</v>
      </c>
      <c r="N558" s="577"/>
      <c r="O558" s="1048">
        <f>SUMIFS('Detailed Fixture Data'!O:O,'Detailed Fixture Data'!C:C,G558,'Detailed Fixture Data'!E:E,I558,'Detailed Fixture Data'!F:F,J558,'Detailed Fixture Data'!L:L,L558)</f>
        <v>0</v>
      </c>
      <c r="P558" s="1049"/>
      <c r="Q558" s="577"/>
      <c r="R558" s="1039"/>
      <c r="S558" s="521"/>
      <c r="T558" s="225"/>
      <c r="U558" s="521"/>
      <c r="V558" s="1040"/>
      <c r="W558" s="1041"/>
    </row>
    <row r="559" spans="3:23" ht="15" thickBot="1" x14ac:dyDescent="0.35">
      <c r="C559" s="576"/>
      <c r="D559" s="494" t="s">
        <v>420</v>
      </c>
      <c r="E559" s="494"/>
      <c r="F559" s="182"/>
      <c r="G559" s="494" t="s">
        <v>421</v>
      </c>
      <c r="H559" s="577"/>
      <c r="I559" s="450" t="s">
        <v>37</v>
      </c>
      <c r="J559" s="116" t="s">
        <v>2</v>
      </c>
      <c r="K559" s="116"/>
      <c r="L559" s="1042" t="s">
        <v>66</v>
      </c>
      <c r="M559" s="1043">
        <f>SUMIFS('Level of Efficiency Assumptions'!$J:$J,'Level of Efficiency Assumptions'!$D:$D,I559,'Level of Efficiency Assumptions'!$F:$F,J559,'Level of Efficiency Assumptions'!$I:$I,'Water Use Calcs'!L559)</f>
        <v>1.28</v>
      </c>
      <c r="N559" s="577"/>
      <c r="O559" s="1048">
        <f>SUMIFS('Detailed Fixture Data'!O:O,'Detailed Fixture Data'!C:C,G559,'Detailed Fixture Data'!E:E,I559,'Detailed Fixture Data'!F:F,J559,'Detailed Fixture Data'!L:L,L559)</f>
        <v>0</v>
      </c>
      <c r="P559" s="1049"/>
      <c r="Q559" s="577"/>
      <c r="R559" s="1039"/>
      <c r="S559" s="618"/>
      <c r="T559" s="225"/>
      <c r="U559" s="618"/>
      <c r="V559" s="1045"/>
      <c r="W559" s="1046"/>
    </row>
    <row r="560" spans="3:23" x14ac:dyDescent="0.3">
      <c r="C560" s="576"/>
      <c r="D560" s="494" t="s">
        <v>420</v>
      </c>
      <c r="E560" s="494"/>
      <c r="F560" s="182"/>
      <c r="G560" s="494" t="s">
        <v>421</v>
      </c>
      <c r="H560" s="577"/>
      <c r="I560" s="450" t="s">
        <v>37</v>
      </c>
      <c r="J560" s="577" t="s">
        <v>4</v>
      </c>
      <c r="K560" s="577" t="s">
        <v>3</v>
      </c>
      <c r="L560" s="1047" t="s">
        <v>64</v>
      </c>
      <c r="M560" s="1036">
        <f>SUMIFS('Level of Efficiency Assumptions'!$J:$J,'Level of Efficiency Assumptions'!$D:$D,I560,'Level of Efficiency Assumptions'!$F:$F,J560,'Level of Efficiency Assumptions'!$I:$I,'Water Use Calcs'!L560)</f>
        <v>2</v>
      </c>
      <c r="N560" s="567" t="s">
        <v>68</v>
      </c>
      <c r="O560" s="1048">
        <f>SUMIFS('Detailed Fixture Data'!O:O,'Detailed Fixture Data'!C:C,G560,'Detailed Fixture Data'!E:E,I560,'Detailed Fixture Data'!F:F,J560,'Detailed Fixture Data'!L:L,L560)</f>
        <v>0</v>
      </c>
      <c r="P560" s="1030">
        <f>SUMIFS('Intensity of Use Assumptions'!$J:$J,'Intensity of Use Assumptions'!$D:$D,I560,'Intensity of Use Assumptions'!$G:$G,J560,'Intensity of Use Assumptions'!H:H,K560)</f>
        <v>0.375</v>
      </c>
      <c r="Q560" s="567" t="s">
        <v>67</v>
      </c>
      <c r="R560" s="1032">
        <f>(SUMPRODUCT(M560:M562,O560:O562)*P560)</f>
        <v>0</v>
      </c>
      <c r="S560" s="1033">
        <f>IF(R560=0,0,M562*P560)</f>
        <v>0</v>
      </c>
      <c r="T560" s="225" t="str">
        <f>G560&amp;"-"&amp;J560</f>
        <v>Ground Transportation A-Urinals</v>
      </c>
      <c r="U560" s="1034">
        <f ca="1">IF(ISNA(VLOOKUP(T560,list!$AV$3:$AW$130,2,FALSE)),1,(VLOOKUP(T560,list!$AV$3:$AW$130,2,FALSE)))</f>
        <v>1</v>
      </c>
      <c r="V560" s="1033">
        <f ca="1">R560*U560</f>
        <v>0</v>
      </c>
      <c r="W560" s="1033">
        <f ca="1">S560*U560</f>
        <v>0</v>
      </c>
    </row>
    <row r="561" spans="3:23" x14ac:dyDescent="0.3">
      <c r="C561" s="576"/>
      <c r="D561" s="494" t="s">
        <v>420</v>
      </c>
      <c r="E561" s="494"/>
      <c r="F561" s="182"/>
      <c r="G561" s="494" t="s">
        <v>421</v>
      </c>
      <c r="H561" s="577"/>
      <c r="I561" s="450" t="s">
        <v>37</v>
      </c>
      <c r="J561" s="577" t="s">
        <v>4</v>
      </c>
      <c r="K561" s="577"/>
      <c r="L561" s="1035" t="s">
        <v>65</v>
      </c>
      <c r="M561" s="1036">
        <f>SUMIFS('Level of Efficiency Assumptions'!$J:$J,'Level of Efficiency Assumptions'!$D:$D,I561,'Level of Efficiency Assumptions'!$F:$F,J561,'Level of Efficiency Assumptions'!$I:$I,'Water Use Calcs'!L561)</f>
        <v>1</v>
      </c>
      <c r="N561" s="577"/>
      <c r="O561" s="1048">
        <f>SUMIFS('Detailed Fixture Data'!O:O,'Detailed Fixture Data'!C:C,G561,'Detailed Fixture Data'!E:E,I561,'Detailed Fixture Data'!F:F,J561,'Detailed Fixture Data'!L:L,L561)</f>
        <v>0</v>
      </c>
      <c r="P561" s="1049"/>
      <c r="Q561" s="577"/>
      <c r="R561" s="1039"/>
      <c r="S561" s="521"/>
      <c r="T561" s="225"/>
      <c r="U561" s="521"/>
      <c r="V561" s="1040"/>
      <c r="W561" s="1041"/>
    </row>
    <row r="562" spans="3:23" ht="15" thickBot="1" x14ac:dyDescent="0.35">
      <c r="C562" s="576"/>
      <c r="D562" s="494" t="s">
        <v>420</v>
      </c>
      <c r="E562" s="494"/>
      <c r="F562" s="182"/>
      <c r="G562" s="494" t="s">
        <v>421</v>
      </c>
      <c r="H562" s="577"/>
      <c r="I562" s="450" t="s">
        <v>37</v>
      </c>
      <c r="J562" s="116" t="s">
        <v>4</v>
      </c>
      <c r="K562" s="116"/>
      <c r="L562" s="1042" t="s">
        <v>66</v>
      </c>
      <c r="M562" s="1043">
        <f>SUMIFS('Level of Efficiency Assumptions'!$J:$J,'Level of Efficiency Assumptions'!$D:$D,I562,'Level of Efficiency Assumptions'!$F:$F,J562,'Level of Efficiency Assumptions'!$I:$I,'Water Use Calcs'!L562)</f>
        <v>0.125</v>
      </c>
      <c r="N562" s="577"/>
      <c r="O562" s="1048">
        <f>SUMIFS('Detailed Fixture Data'!O:O,'Detailed Fixture Data'!C:C,G562,'Detailed Fixture Data'!E:E,I562,'Detailed Fixture Data'!F:F,J562,'Detailed Fixture Data'!L:L,L562)</f>
        <v>0</v>
      </c>
      <c r="P562" s="1049"/>
      <c r="Q562" s="577"/>
      <c r="R562" s="1039"/>
      <c r="S562" s="618"/>
      <c r="T562" s="225"/>
      <c r="U562" s="618"/>
      <c r="V562" s="1045"/>
      <c r="W562" s="1046"/>
    </row>
    <row r="563" spans="3:23" x14ac:dyDescent="0.3">
      <c r="C563" s="576"/>
      <c r="D563" s="494" t="s">
        <v>420</v>
      </c>
      <c r="E563" s="494"/>
      <c r="F563" s="182"/>
      <c r="G563" s="494" t="s">
        <v>421</v>
      </c>
      <c r="H563" s="577"/>
      <c r="I563" s="450" t="s">
        <v>37</v>
      </c>
      <c r="J563" s="577" t="s">
        <v>33</v>
      </c>
      <c r="K563" s="577" t="s">
        <v>3</v>
      </c>
      <c r="L563" s="1047" t="s">
        <v>64</v>
      </c>
      <c r="M563" s="1036">
        <f>SUMIFS('Level of Efficiency Assumptions'!$J:$J,'Level of Efficiency Assumptions'!$D:$D,I563,'Level of Efficiency Assumptions'!$F:$F,J563,'Level of Efficiency Assumptions'!$I:$I,'Water Use Calcs'!L563)</f>
        <v>2</v>
      </c>
      <c r="N563" s="567" t="s">
        <v>78</v>
      </c>
      <c r="O563" s="1048">
        <f>SUMIFS('Detailed Fixture Data'!O:O,'Detailed Fixture Data'!C:C,G563,'Detailed Fixture Data'!E:E,I563,'Detailed Fixture Data'!F:F,J563,'Detailed Fixture Data'!L:L,L563)</f>
        <v>0</v>
      </c>
      <c r="P563" s="1030">
        <f>SUMIFS('Intensity of Use Assumptions'!$J:$J,'Intensity of Use Assumptions'!$D:$D,I563,'Intensity of Use Assumptions'!$G:$G,J563,'Intensity of Use Assumptions'!H:H,K563)</f>
        <v>0.16666666666666666</v>
      </c>
      <c r="Q563" s="567" t="s">
        <v>133</v>
      </c>
      <c r="R563" s="1032">
        <f>(SUMPRODUCT(M563:M565,O563:O565)*P563)</f>
        <v>0</v>
      </c>
      <c r="S563" s="1033">
        <f>IF(R563=0,0,M565*P563)</f>
        <v>0</v>
      </c>
      <c r="T563" s="225" t="str">
        <f>G563&amp;"-"&amp;J563</f>
        <v>Ground Transportation A-Faucets</v>
      </c>
      <c r="U563" s="1034">
        <f ca="1">IF(ISNA(VLOOKUP(T563,list!$AV$3:$AW$130,2,FALSE)),1,(VLOOKUP(T563,list!$AV$3:$AW$130,2,FALSE)))</f>
        <v>1</v>
      </c>
      <c r="V563" s="1033">
        <f ca="1">R563*U563</f>
        <v>0</v>
      </c>
      <c r="W563" s="1033">
        <f ca="1">S563*U563</f>
        <v>0</v>
      </c>
    </row>
    <row r="564" spans="3:23" x14ac:dyDescent="0.3">
      <c r="C564" s="576"/>
      <c r="D564" s="494" t="s">
        <v>420</v>
      </c>
      <c r="E564" s="494"/>
      <c r="F564" s="182"/>
      <c r="G564" s="494" t="s">
        <v>421</v>
      </c>
      <c r="H564" s="577"/>
      <c r="I564" s="450" t="s">
        <v>37</v>
      </c>
      <c r="J564" s="577" t="s">
        <v>33</v>
      </c>
      <c r="K564" s="577"/>
      <c r="L564" s="1035" t="s">
        <v>65</v>
      </c>
      <c r="M564" s="1036">
        <f>SUMIFS('Level of Efficiency Assumptions'!$J:$J,'Level of Efficiency Assumptions'!$D:$D,I564,'Level of Efficiency Assumptions'!$F:$F,J564,'Level of Efficiency Assumptions'!$I:$I,'Water Use Calcs'!L564)</f>
        <v>1</v>
      </c>
      <c r="N564" s="577"/>
      <c r="O564" s="1048">
        <f>SUMIFS('Detailed Fixture Data'!O:O,'Detailed Fixture Data'!C:C,G564,'Detailed Fixture Data'!E:E,I564,'Detailed Fixture Data'!F:F,J564,'Detailed Fixture Data'!L:L,L564)</f>
        <v>0</v>
      </c>
      <c r="P564" s="1049"/>
      <c r="Q564" s="577"/>
      <c r="R564" s="1039"/>
      <c r="S564" s="521"/>
      <c r="T564" s="225"/>
      <c r="U564" s="521"/>
      <c r="V564" s="1040"/>
      <c r="W564" s="1041"/>
    </row>
    <row r="565" spans="3:23" ht="15" thickBot="1" x14ac:dyDescent="0.35">
      <c r="C565" s="576"/>
      <c r="D565" s="494" t="s">
        <v>420</v>
      </c>
      <c r="E565" s="494"/>
      <c r="F565" s="182"/>
      <c r="G565" s="494" t="s">
        <v>421</v>
      </c>
      <c r="H565" s="577"/>
      <c r="I565" s="451" t="s">
        <v>37</v>
      </c>
      <c r="J565" s="116" t="s">
        <v>33</v>
      </c>
      <c r="K565" s="116"/>
      <c r="L565" s="1042" t="s">
        <v>66</v>
      </c>
      <c r="M565" s="1043">
        <f>SUMIFS('Level of Efficiency Assumptions'!$J:$J,'Level of Efficiency Assumptions'!$D:$D,I565,'Level of Efficiency Assumptions'!$F:$F,J565,'Level of Efficiency Assumptions'!$I:$I,'Water Use Calcs'!L565)</f>
        <v>0.5</v>
      </c>
      <c r="N565" s="577"/>
      <c r="O565" s="1048">
        <f>SUMIFS('Detailed Fixture Data'!O:O,'Detailed Fixture Data'!C:C,G565,'Detailed Fixture Data'!E:E,I565,'Detailed Fixture Data'!F:F,J565,'Detailed Fixture Data'!L:L,L565)</f>
        <v>0</v>
      </c>
      <c r="P565" s="1049"/>
      <c r="Q565" s="577"/>
      <c r="R565" s="1039"/>
      <c r="S565" s="618"/>
      <c r="T565" s="225"/>
      <c r="U565" s="618"/>
      <c r="V565" s="1045"/>
      <c r="W565" s="1046"/>
    </row>
    <row r="566" spans="3:23" x14ac:dyDescent="0.3">
      <c r="C566" s="576"/>
      <c r="D566" s="494" t="s">
        <v>420</v>
      </c>
      <c r="E566" s="494"/>
      <c r="F566" s="182"/>
      <c r="G566" s="494" t="s">
        <v>421</v>
      </c>
      <c r="H566" s="651" t="str">
        <f>I566</f>
        <v>Break rooms</v>
      </c>
      <c r="I566" s="450" t="s">
        <v>5</v>
      </c>
      <c r="J566" s="577" t="s">
        <v>33</v>
      </c>
      <c r="K566" s="577" t="s">
        <v>6</v>
      </c>
      <c r="L566" s="1047" t="s">
        <v>64</v>
      </c>
      <c r="M566" s="1036">
        <f>SUMIFS('Level of Efficiency Assumptions'!$J:$J,'Level of Efficiency Assumptions'!$D:$D,I566,'Level of Efficiency Assumptions'!$F:$F,J566,'Level of Efficiency Assumptions'!$I:$I,'Water Use Calcs'!L566)</f>
        <v>2</v>
      </c>
      <c r="N566" s="567" t="s">
        <v>78</v>
      </c>
      <c r="O566" s="1048">
        <f>SUMIFS('Detailed Fixture Data'!O:O,'Detailed Fixture Data'!C:C,G566,'Detailed Fixture Data'!E:E,I566,'Detailed Fixture Data'!F:F,J566,'Detailed Fixture Data'!L:L,L566)</f>
        <v>0</v>
      </c>
      <c r="P566" s="1030">
        <f>SUMIFS('Intensity of Use Assumptions'!$J:$J,'Intensity of Use Assumptions'!$D:$D,I566,'Intensity of Use Assumptions'!$G:$G,J566,'Intensity of Use Assumptions'!H:H,K566)</f>
        <v>0.16666666666666666</v>
      </c>
      <c r="Q566" s="567" t="s">
        <v>133</v>
      </c>
      <c r="R566" s="1032">
        <f>(SUMPRODUCT(M566:M568,O566:O568)*P566)</f>
        <v>0</v>
      </c>
      <c r="S566" s="1033">
        <f>IF(R566=0,0,M568*P566)</f>
        <v>0</v>
      </c>
      <c r="T566" s="225" t="str">
        <f>G566&amp;"-"&amp;J566</f>
        <v>Ground Transportation A-Faucets</v>
      </c>
      <c r="U566" s="1034">
        <f ca="1">IF(ISNA(VLOOKUP(T566,list!$AV$3:$AW$130,2,FALSE)),1,(VLOOKUP(T566,list!$AV$3:$AW$130,2,FALSE)))</f>
        <v>1</v>
      </c>
      <c r="V566" s="1033">
        <f ca="1">R566*U566</f>
        <v>0</v>
      </c>
      <c r="W566" s="1033">
        <f ca="1">S566*U566</f>
        <v>0</v>
      </c>
    </row>
    <row r="567" spans="3:23" x14ac:dyDescent="0.3">
      <c r="C567" s="576"/>
      <c r="D567" s="494" t="s">
        <v>420</v>
      </c>
      <c r="E567" s="494"/>
      <c r="F567" s="182"/>
      <c r="G567" s="494" t="s">
        <v>421</v>
      </c>
      <c r="H567" s="577"/>
      <c r="I567" s="450" t="s">
        <v>5</v>
      </c>
      <c r="J567" s="577" t="s">
        <v>33</v>
      </c>
      <c r="K567" s="577"/>
      <c r="L567" s="1035" t="s">
        <v>65</v>
      </c>
      <c r="M567" s="1036">
        <f>SUMIFS('Level of Efficiency Assumptions'!$J:$J,'Level of Efficiency Assumptions'!$D:$D,I567,'Level of Efficiency Assumptions'!$F:$F,J567,'Level of Efficiency Assumptions'!$I:$I,'Water Use Calcs'!L567)</f>
        <v>1</v>
      </c>
      <c r="N567" s="577"/>
      <c r="O567" s="1048">
        <f>SUMIFS('Detailed Fixture Data'!O:O,'Detailed Fixture Data'!C:C,G567,'Detailed Fixture Data'!E:E,I567,'Detailed Fixture Data'!F:F,J567,'Detailed Fixture Data'!L:L,L567)</f>
        <v>0</v>
      </c>
      <c r="P567" s="1049"/>
      <c r="Q567" s="577"/>
      <c r="R567" s="1039"/>
      <c r="S567" s="521"/>
      <c r="T567" s="225"/>
      <c r="U567" s="521"/>
      <c r="V567" s="1040"/>
      <c r="W567" s="1041"/>
    </row>
    <row r="568" spans="3:23" ht="15" thickBot="1" x14ac:dyDescent="0.35">
      <c r="C568" s="576"/>
      <c r="D568" s="494" t="s">
        <v>420</v>
      </c>
      <c r="E568" s="494"/>
      <c r="F568" s="182"/>
      <c r="G568" s="494" t="s">
        <v>421</v>
      </c>
      <c r="H568" s="577"/>
      <c r="I568" s="451" t="s">
        <v>5</v>
      </c>
      <c r="J568" s="116" t="s">
        <v>33</v>
      </c>
      <c r="K568" s="116"/>
      <c r="L568" s="1042" t="s">
        <v>66</v>
      </c>
      <c r="M568" s="1043">
        <f>SUMIFS('Level of Efficiency Assumptions'!$J:$J,'Level of Efficiency Assumptions'!$D:$D,I568,'Level of Efficiency Assumptions'!$F:$F,J568,'Level of Efficiency Assumptions'!$I:$I,'Water Use Calcs'!L568)</f>
        <v>0.5</v>
      </c>
      <c r="N568" s="577"/>
      <c r="O568" s="1048">
        <f>SUMIFS('Detailed Fixture Data'!O:O,'Detailed Fixture Data'!C:C,G568,'Detailed Fixture Data'!E:E,I568,'Detailed Fixture Data'!F:F,J568,'Detailed Fixture Data'!L:L,L568)</f>
        <v>0</v>
      </c>
      <c r="P568" s="1049"/>
      <c r="Q568" s="577"/>
      <c r="R568" s="1039"/>
      <c r="S568" s="618"/>
      <c r="T568" s="225"/>
      <c r="U568" s="618"/>
      <c r="V568" s="1045"/>
      <c r="W568" s="1046"/>
    </row>
    <row r="569" spans="3:23" x14ac:dyDescent="0.3">
      <c r="C569" s="576"/>
      <c r="D569" s="494" t="s">
        <v>420</v>
      </c>
      <c r="E569" s="494"/>
      <c r="F569" s="182"/>
      <c r="G569" s="494" t="s">
        <v>421</v>
      </c>
      <c r="H569" s="651" t="str">
        <f>I569</f>
        <v>Landscaping</v>
      </c>
      <c r="I569" s="450" t="s">
        <v>39</v>
      </c>
      <c r="J569" s="577" t="s">
        <v>42</v>
      </c>
      <c r="K569" s="577" t="s">
        <v>32</v>
      </c>
      <c r="L569" s="1047" t="s">
        <v>64</v>
      </c>
      <c r="M569" s="1036">
        <f>SUMIFS('Level of Efficiency Assumptions'!$J:$J,'Level of Efficiency Assumptions'!$D:$D,I569,'Level of Efficiency Assumptions'!$F:$F,J569,'Level of Efficiency Assumptions'!$I:$I,'Water Use Calcs'!L569)</f>
        <v>28.6</v>
      </c>
      <c r="N569" s="567" t="s">
        <v>816</v>
      </c>
      <c r="O569" s="1048">
        <f>SUMIFS('Detailed Fixture Data'!O:O,'Detailed Fixture Data'!C:C,G569,'Detailed Fixture Data'!E:E,I569,'Detailed Fixture Data'!F:F,J569,'Detailed Fixture Data'!L:L,L569)</f>
        <v>0</v>
      </c>
      <c r="P569" s="1030">
        <f>SUMIFS('Intensity of Use Assumptions'!$J:$J,'Intensity of Use Assumptions'!$D:$D,I569,'Intensity of Use Assumptions'!$G:$G,J569,'Intensity of Use Assumptions'!H:H,K569,'Intensity of Use Assumptions'!F:F,D569)</f>
        <v>2.7397260273972603E-3</v>
      </c>
      <c r="Q569" s="567" t="s">
        <v>815</v>
      </c>
      <c r="R569" s="1032">
        <f>(SUMPRODUCT(M569:M571,O569:O571)*P569)</f>
        <v>0</v>
      </c>
      <c r="S569" s="1033">
        <f>IF(R569=0,0,M571*P569)</f>
        <v>0</v>
      </c>
      <c r="T569" s="225" t="str">
        <f>G569&amp;"-"&amp;J569</f>
        <v>Ground Transportation A-Outdoor irrigation</v>
      </c>
      <c r="U569" s="1034">
        <f ca="1">IF(ISNA(VLOOKUP(T569,list!$AV$3:$AW$130,2,FALSE)),1,(VLOOKUP(T569,list!$AV$3:$AW$130,2,FALSE)))</f>
        <v>1</v>
      </c>
      <c r="V569" s="1033">
        <f ca="1">R569*U569</f>
        <v>0</v>
      </c>
      <c r="W569" s="1033">
        <f ca="1">S569*U569</f>
        <v>0</v>
      </c>
    </row>
    <row r="570" spans="3:23" x14ac:dyDescent="0.3">
      <c r="C570" s="576"/>
      <c r="D570" s="494" t="s">
        <v>420</v>
      </c>
      <c r="E570" s="494"/>
      <c r="F570" s="182"/>
      <c r="G570" s="494" t="s">
        <v>421</v>
      </c>
      <c r="H570" s="577"/>
      <c r="I570" s="450" t="s">
        <v>39</v>
      </c>
      <c r="J570" s="577" t="s">
        <v>42</v>
      </c>
      <c r="K570" s="577"/>
      <c r="L570" s="1035" t="s">
        <v>65</v>
      </c>
      <c r="M570" s="1036">
        <f>SUMIFS('Level of Efficiency Assumptions'!$J:$J,'Level of Efficiency Assumptions'!$D:$D,I570,'Level of Efficiency Assumptions'!$F:$F,J570,'Level of Efficiency Assumptions'!$I:$I,'Water Use Calcs'!L570)</f>
        <v>13.980821518350929</v>
      </c>
      <c r="N570" s="577"/>
      <c r="O570" s="1048">
        <f>SUMIFS('Detailed Fixture Data'!O:O,'Detailed Fixture Data'!C:C,G570,'Detailed Fixture Data'!E:E,I570,'Detailed Fixture Data'!F:F,J570,'Detailed Fixture Data'!L:L,L570)</f>
        <v>0</v>
      </c>
      <c r="P570" s="1049"/>
      <c r="Q570" s="577"/>
      <c r="R570" s="1039"/>
      <c r="S570" s="521"/>
      <c r="T570" s="225"/>
      <c r="U570" s="521"/>
      <c r="V570" s="1040"/>
      <c r="W570" s="1041"/>
    </row>
    <row r="571" spans="3:23" ht="15" thickBot="1" x14ac:dyDescent="0.35">
      <c r="C571" s="576"/>
      <c r="D571" s="494" t="s">
        <v>420</v>
      </c>
      <c r="E571" s="494"/>
      <c r="F571" s="182"/>
      <c r="G571" s="494" t="s">
        <v>421</v>
      </c>
      <c r="H571" s="577"/>
      <c r="I571" s="500" t="s">
        <v>39</v>
      </c>
      <c r="J571" s="116" t="s">
        <v>42</v>
      </c>
      <c r="K571" s="116"/>
      <c r="L571" s="1042" t="s">
        <v>66</v>
      </c>
      <c r="M571" s="1043">
        <f>SUMIFS('Level of Efficiency Assumptions'!$J:$J,'Level of Efficiency Assumptions'!$D:$D,I571,'Level of Efficiency Assumptions'!$F:$F,J571,'Level of Efficiency Assumptions'!$I:$I,'Water Use Calcs'!L571)</f>
        <v>0.59137254901960778</v>
      </c>
      <c r="N571" s="577"/>
      <c r="O571" s="1048">
        <f>SUMIFS('Detailed Fixture Data'!O:O,'Detailed Fixture Data'!C:C,G571,'Detailed Fixture Data'!E:E,I571,'Detailed Fixture Data'!F:F,J571,'Detailed Fixture Data'!L:L,L571)</f>
        <v>0</v>
      </c>
      <c r="P571" s="1049"/>
      <c r="Q571" s="577"/>
      <c r="R571" s="1039"/>
      <c r="S571" s="618"/>
      <c r="T571" s="225"/>
      <c r="U571" s="618"/>
      <c r="V571" s="1045"/>
      <c r="W571" s="1046"/>
    </row>
    <row r="572" spans="3:23" x14ac:dyDescent="0.3">
      <c r="C572" s="576"/>
      <c r="D572" s="494" t="s">
        <v>420</v>
      </c>
      <c r="E572" s="494"/>
      <c r="F572" s="182"/>
      <c r="G572" s="494" t="s">
        <v>421</v>
      </c>
      <c r="H572" s="651" t="str">
        <f>I572</f>
        <v>Maintenance</v>
      </c>
      <c r="I572" s="450" t="s">
        <v>43</v>
      </c>
      <c r="J572" s="577" t="s">
        <v>111</v>
      </c>
      <c r="K572" s="217" t="s">
        <v>424</v>
      </c>
      <c r="L572" s="1047" t="s">
        <v>64</v>
      </c>
      <c r="M572" s="1036">
        <f>SUMIFS('Level of Efficiency Assumptions'!$J:$J,'Level of Efficiency Assumptions'!$D:$D,I572,'Level of Efficiency Assumptions'!$F:$F,J572,'Level of Efficiency Assumptions'!$I:$I,'Water Use Calcs'!L572)</f>
        <v>100</v>
      </c>
      <c r="N572" s="567" t="s">
        <v>659</v>
      </c>
      <c r="O572" s="1048">
        <f>SUMIFS('Detailed Fixture Data'!O:O,'Detailed Fixture Data'!C:C,G572,'Detailed Fixture Data'!E:E,I572,'Detailed Fixture Data'!F:F,J572,'Detailed Fixture Data'!L:L,L572)</f>
        <v>0</v>
      </c>
      <c r="P572" s="1030">
        <f>SUMIFS('Intensity of Use Assumptions'!$J:$J,'Intensity of Use Assumptions'!$D:$D,I572,'Intensity of Use Assumptions'!$G:$G,J572,'Intensity of Use Assumptions'!H:H,K572)</f>
        <v>1</v>
      </c>
      <c r="Q572" s="567" t="s">
        <v>67</v>
      </c>
      <c r="R572" s="1032">
        <f>(SUMPRODUCT(M572:M574,O572:O574)*P572)</f>
        <v>0</v>
      </c>
      <c r="S572" s="1033">
        <f>IF(R572=0,0,M574*P572)</f>
        <v>0</v>
      </c>
      <c r="T572" s="225" t="str">
        <f>G572&amp;"-"&amp;J572</f>
        <v>Ground Transportation A-Boiler</v>
      </c>
      <c r="U572" s="1034">
        <f ca="1">IF(ISNA(VLOOKUP(T572,list!$AV$3:$AW$130,2,FALSE)),1,(VLOOKUP(T572,list!$AV$3:$AW$130,2,FALSE)))</f>
        <v>1</v>
      </c>
      <c r="V572" s="1033">
        <f ca="1">R572*U572</f>
        <v>0</v>
      </c>
      <c r="W572" s="1033">
        <f ca="1">S572*U572</f>
        <v>0</v>
      </c>
    </row>
    <row r="573" spans="3:23" x14ac:dyDescent="0.3">
      <c r="C573" s="576"/>
      <c r="D573" s="494" t="s">
        <v>420</v>
      </c>
      <c r="E573" s="494"/>
      <c r="F573" s="182"/>
      <c r="G573" s="494" t="s">
        <v>421</v>
      </c>
      <c r="H573" s="577"/>
      <c r="I573" s="450" t="s">
        <v>43</v>
      </c>
      <c r="J573" s="577" t="s">
        <v>111</v>
      </c>
      <c r="K573" s="382"/>
      <c r="L573" s="1035" t="s">
        <v>65</v>
      </c>
      <c r="M573" s="1036">
        <f>SUMIFS('Level of Efficiency Assumptions'!$J:$J,'Level of Efficiency Assumptions'!$D:$D,I573,'Level of Efficiency Assumptions'!$F:$F,J573,'Level of Efficiency Assumptions'!$I:$I,'Water Use Calcs'!L573)</f>
        <v>75</v>
      </c>
      <c r="N573" s="577"/>
      <c r="O573" s="1048">
        <f>SUMIFS('Detailed Fixture Data'!O:O,'Detailed Fixture Data'!C:C,G573,'Detailed Fixture Data'!E:E,I573,'Detailed Fixture Data'!F:F,J573,'Detailed Fixture Data'!L:L,L573)</f>
        <v>0</v>
      </c>
      <c r="P573" s="1049"/>
      <c r="Q573" s="577"/>
      <c r="R573" s="1039"/>
      <c r="S573" s="521"/>
      <c r="T573" s="225"/>
      <c r="U573" s="521"/>
      <c r="V573" s="1040"/>
      <c r="W573" s="1041"/>
    </row>
    <row r="574" spans="3:23" ht="15" thickBot="1" x14ac:dyDescent="0.35">
      <c r="C574" s="576"/>
      <c r="D574" s="494" t="s">
        <v>420</v>
      </c>
      <c r="E574" s="494"/>
      <c r="F574" s="182"/>
      <c r="G574" s="494" t="s">
        <v>421</v>
      </c>
      <c r="H574" s="577"/>
      <c r="I574" s="450" t="s">
        <v>43</v>
      </c>
      <c r="J574" s="116" t="s">
        <v>111</v>
      </c>
      <c r="K574" s="116"/>
      <c r="L574" s="1042" t="s">
        <v>66</v>
      </c>
      <c r="M574" s="1043">
        <f>SUMIFS('Level of Efficiency Assumptions'!$J:$J,'Level of Efficiency Assumptions'!$D:$D,I574,'Level of Efficiency Assumptions'!$F:$F,J574,'Level of Efficiency Assumptions'!$I:$I,'Water Use Calcs'!L574)</f>
        <v>50</v>
      </c>
      <c r="N574" s="577"/>
      <c r="O574" s="1048">
        <f>SUMIFS('Detailed Fixture Data'!O:O,'Detailed Fixture Data'!C:C,G574,'Detailed Fixture Data'!E:E,I574,'Detailed Fixture Data'!F:F,J574,'Detailed Fixture Data'!L:L,L574)</f>
        <v>0</v>
      </c>
      <c r="P574" s="1049"/>
      <c r="Q574" s="577"/>
      <c r="R574" s="1039"/>
      <c r="S574" s="618"/>
      <c r="T574" s="225"/>
      <c r="U574" s="618"/>
      <c r="V574" s="1045"/>
      <c r="W574" s="1046"/>
    </row>
    <row r="575" spans="3:23" x14ac:dyDescent="0.3">
      <c r="C575" s="576"/>
      <c r="D575" s="494" t="s">
        <v>420</v>
      </c>
      <c r="E575" s="494"/>
      <c r="F575" s="182"/>
      <c r="G575" s="494" t="s">
        <v>421</v>
      </c>
      <c r="H575" s="577"/>
      <c r="I575" s="450" t="s">
        <v>43</v>
      </c>
      <c r="J575" s="577" t="s">
        <v>7</v>
      </c>
      <c r="K575" s="215" t="s">
        <v>365</v>
      </c>
      <c r="L575" s="1012" t="s">
        <v>257</v>
      </c>
      <c r="M575" s="1050"/>
      <c r="N575" s="1050"/>
      <c r="O575" s="1050"/>
      <c r="P575" s="1051"/>
      <c r="Q575" s="981"/>
      <c r="R575" s="1052">
        <f>SUMIFS('Cooling Data'!H:H,'Cooling Data'!$C:$C,$G575,'Cooling Data'!$E:$E,$I575,'Cooling Data'!$F:$F,$J575)</f>
        <v>0</v>
      </c>
      <c r="S575" s="1052">
        <f>SUMIFS('Cooling Data'!J:J,'Cooling Data'!$C:$C,$G575,'Cooling Data'!$E:$E,$I575,'Cooling Data'!$F:$F,$J575)</f>
        <v>0</v>
      </c>
      <c r="T575" s="225" t="str">
        <f>G575&amp;"-"&amp;J575</f>
        <v>Ground Transportation A-Cooling</v>
      </c>
      <c r="U575" s="1034">
        <f ca="1">IF(ISNA(VLOOKUP(T575,list!$AV$3:$AW$130,2,FALSE)),1,(VLOOKUP(T575,list!$AV$3:$AW$130,2,FALSE)))</f>
        <v>1</v>
      </c>
      <c r="V575" s="1033">
        <f ca="1">R575*U575</f>
        <v>0</v>
      </c>
      <c r="W575" s="1033">
        <f ca="1">S575*U575</f>
        <v>0</v>
      </c>
    </row>
    <row r="576" spans="3:23" x14ac:dyDescent="0.3">
      <c r="C576" s="576"/>
      <c r="D576" s="494" t="s">
        <v>420</v>
      </c>
      <c r="E576" s="494"/>
      <c r="F576" s="182"/>
      <c r="G576" s="494" t="s">
        <v>421</v>
      </c>
      <c r="H576" s="577"/>
      <c r="I576" s="450" t="s">
        <v>43</v>
      </c>
      <c r="J576" s="577" t="s">
        <v>7</v>
      </c>
      <c r="K576" s="577"/>
      <c r="L576" s="206"/>
      <c r="M576" s="181"/>
      <c r="N576" s="181"/>
      <c r="O576" s="181"/>
      <c r="P576" s="1053"/>
      <c r="Q576" s="439"/>
      <c r="R576" s="1039"/>
      <c r="S576" s="521"/>
      <c r="T576" s="225"/>
      <c r="U576" s="521"/>
      <c r="V576" s="1040"/>
      <c r="W576" s="1041"/>
    </row>
    <row r="577" spans="3:23" ht="15" thickBot="1" x14ac:dyDescent="0.35">
      <c r="C577" s="576"/>
      <c r="D577" s="494" t="s">
        <v>420</v>
      </c>
      <c r="E577" s="494"/>
      <c r="F577" s="182"/>
      <c r="G577" s="494" t="s">
        <v>421</v>
      </c>
      <c r="H577" s="577"/>
      <c r="I577" s="450" t="s">
        <v>43</v>
      </c>
      <c r="J577" s="116" t="s">
        <v>7</v>
      </c>
      <c r="K577" s="116"/>
      <c r="L577" s="207"/>
      <c r="M577" s="924"/>
      <c r="N577" s="924"/>
      <c r="O577" s="924"/>
      <c r="P577" s="1054"/>
      <c r="Q577" s="606"/>
      <c r="R577" s="1039"/>
      <c r="S577" s="618"/>
      <c r="T577" s="225"/>
      <c r="U577" s="618"/>
      <c r="V577" s="1045"/>
      <c r="W577" s="1046"/>
    </row>
    <row r="578" spans="3:23" x14ac:dyDescent="0.3">
      <c r="C578" s="576"/>
      <c r="D578" s="494" t="s">
        <v>420</v>
      </c>
      <c r="E578" s="494"/>
      <c r="F578" s="182"/>
      <c r="G578" s="494" t="s">
        <v>421</v>
      </c>
      <c r="H578" s="577"/>
      <c r="I578" s="450" t="s">
        <v>43</v>
      </c>
      <c r="J578" s="577" t="s">
        <v>9</v>
      </c>
      <c r="K578" s="577" t="s">
        <v>3</v>
      </c>
      <c r="L578" s="1047" t="s">
        <v>64</v>
      </c>
      <c r="M578" s="1036">
        <f>SUMIFS('Level of Efficiency Assumptions'!$J:$J,'Level of Efficiency Assumptions'!$D:$D,I578,'Level of Efficiency Assumptions'!$F:$F,J578,'Level of Efficiency Assumptions'!$I:$I,'Water Use Calcs'!L578)</f>
        <v>80</v>
      </c>
      <c r="N578" s="567" t="s">
        <v>588</v>
      </c>
      <c r="O578" s="1048">
        <f>SUMIFS('Detailed Fixture Data'!O:O,'Detailed Fixture Data'!C:C,G578,'Detailed Fixture Data'!E:E,I578,'Detailed Fixture Data'!F:F,J578,'Detailed Fixture Data'!L:L,L578)</f>
        <v>0</v>
      </c>
      <c r="P578" s="1061">
        <f>SUMIFS('Intensity of Use Assumptions'!$J:$J,'Intensity of Use Assumptions'!$D:$D,I578,'Intensity of Use Assumptions'!$G:$G,J578,'Intensity of Use Assumptions'!H:H,K578)</f>
        <v>2.0000000000000001E-4</v>
      </c>
      <c r="Q578" s="567" t="s">
        <v>67</v>
      </c>
      <c r="R578" s="1032">
        <f>(SUMPRODUCT(M578:M580,O578:O580)*P578)</f>
        <v>0</v>
      </c>
      <c r="S578" s="1033">
        <f>IF(R578=0,0,M580*P578)</f>
        <v>0</v>
      </c>
      <c r="T578" s="225" t="str">
        <f>G578&amp;"-"&amp;J578</f>
        <v>Ground Transportation A-Vehicle washing</v>
      </c>
      <c r="U578" s="1034">
        <f ca="1">IF(ISNA(VLOOKUP(T578,list!$AV$3:$AW$130,2,FALSE)),1,(VLOOKUP(T578,list!$AV$3:$AW$130,2,FALSE)))</f>
        <v>1</v>
      </c>
      <c r="V578" s="1033">
        <f ca="1">R578*U578</f>
        <v>0</v>
      </c>
      <c r="W578" s="1033">
        <f ca="1">S578*U578</f>
        <v>0</v>
      </c>
    </row>
    <row r="579" spans="3:23" x14ac:dyDescent="0.3">
      <c r="C579" s="576"/>
      <c r="D579" s="494" t="s">
        <v>420</v>
      </c>
      <c r="E579" s="494"/>
      <c r="F579" s="182"/>
      <c r="G579" s="494" t="s">
        <v>421</v>
      </c>
      <c r="H579" s="577"/>
      <c r="I579" s="450" t="s">
        <v>43</v>
      </c>
      <c r="J579" s="577" t="s">
        <v>9</v>
      </c>
      <c r="K579" s="577"/>
      <c r="L579" s="1035" t="s">
        <v>65</v>
      </c>
      <c r="M579" s="1036">
        <f>SUMIFS('Level of Efficiency Assumptions'!$J:$J,'Level of Efficiency Assumptions'!$D:$D,I579,'Level of Efficiency Assumptions'!$F:$F,J579,'Level of Efficiency Assumptions'!$I:$I,'Water Use Calcs'!L579)</f>
        <v>40</v>
      </c>
      <c r="N579" s="577"/>
      <c r="O579" s="1048">
        <f>SUMIFS('Detailed Fixture Data'!O:O,'Detailed Fixture Data'!C:C,G579,'Detailed Fixture Data'!E:E,I579,'Detailed Fixture Data'!F:F,J579,'Detailed Fixture Data'!L:L,L579)</f>
        <v>0</v>
      </c>
      <c r="P579" s="1049"/>
      <c r="Q579" s="577"/>
      <c r="R579" s="1039"/>
      <c r="S579" s="521"/>
      <c r="T579" s="225"/>
      <c r="U579" s="521"/>
      <c r="V579" s="1040"/>
      <c r="W579" s="1041"/>
    </row>
    <row r="580" spans="3:23" ht="15" thickBot="1" x14ac:dyDescent="0.35">
      <c r="C580" s="576"/>
      <c r="D580" s="494" t="s">
        <v>420</v>
      </c>
      <c r="E580" s="494"/>
      <c r="F580" s="182"/>
      <c r="G580" s="494" t="s">
        <v>421</v>
      </c>
      <c r="H580" s="577"/>
      <c r="I580" s="450" t="s">
        <v>43</v>
      </c>
      <c r="J580" s="116" t="s">
        <v>9</v>
      </c>
      <c r="K580" s="116"/>
      <c r="L580" s="1042" t="s">
        <v>66</v>
      </c>
      <c r="M580" s="1043">
        <f>SUMIFS('Level of Efficiency Assumptions'!$J:$J,'Level of Efficiency Assumptions'!$D:$D,I580,'Level of Efficiency Assumptions'!$F:$F,J580,'Level of Efficiency Assumptions'!$I:$I,'Water Use Calcs'!L580)</f>
        <v>30</v>
      </c>
      <c r="N580" s="577"/>
      <c r="O580" s="1048">
        <f>SUMIFS('Detailed Fixture Data'!O:O,'Detailed Fixture Data'!C:C,G580,'Detailed Fixture Data'!E:E,I580,'Detailed Fixture Data'!F:F,J580,'Detailed Fixture Data'!L:L,L580)</f>
        <v>0</v>
      </c>
      <c r="P580" s="1049"/>
      <c r="Q580" s="577"/>
      <c r="R580" s="1039"/>
      <c r="S580" s="618"/>
      <c r="T580" s="225"/>
      <c r="U580" s="618"/>
      <c r="V580" s="1045"/>
      <c r="W580" s="1046"/>
    </row>
    <row r="581" spans="3:23" x14ac:dyDescent="0.3">
      <c r="C581" s="576"/>
      <c r="D581" s="494" t="s">
        <v>420</v>
      </c>
      <c r="E581" s="494"/>
      <c r="F581" s="182"/>
      <c r="G581" s="494" t="s">
        <v>421</v>
      </c>
      <c r="H581" s="577"/>
      <c r="I581" s="450" t="s">
        <v>43</v>
      </c>
      <c r="J581" s="577" t="s">
        <v>426</v>
      </c>
      <c r="K581" s="577" t="s">
        <v>3</v>
      </c>
      <c r="L581" s="1047" t="s">
        <v>64</v>
      </c>
      <c r="M581" s="1036">
        <f>SUMIFS('Level of Efficiency Assumptions'!$J:$J,'Level of Efficiency Assumptions'!$D:$D,I581,'Level of Efficiency Assumptions'!$F:$F,J581,'Level of Efficiency Assumptions'!$I:$I,'Water Use Calcs'!L581)</f>
        <v>10</v>
      </c>
      <c r="N581" s="567" t="s">
        <v>588</v>
      </c>
      <c r="O581" s="1048">
        <f>SUMIFS('Detailed Fixture Data'!O:O,'Detailed Fixture Data'!C:C,G581,'Detailed Fixture Data'!E:E,I581,'Detailed Fixture Data'!F:F,J581,'Detailed Fixture Data'!L:L,L581)</f>
        <v>0</v>
      </c>
      <c r="P581" s="1030">
        <f>SUMIFS('Intensity of Use Assumptions'!$J:$J,'Intensity of Use Assumptions'!$D:$D,I581,'Intensity of Use Assumptions'!$G:$G,J581,'Intensity of Use Assumptions'!H:H,K581)</f>
        <v>1E-3</v>
      </c>
      <c r="Q581" s="567" t="s">
        <v>67</v>
      </c>
      <c r="R581" s="1032">
        <f>(SUMPRODUCT(M581:M583,O581:O583)*P581)</f>
        <v>0</v>
      </c>
      <c r="S581" s="1033">
        <f>IF(R581=0,0,M583*P581)</f>
        <v>0</v>
      </c>
      <c r="T581" s="225" t="str">
        <f>G581&amp;"-"&amp;J581</f>
        <v>Ground Transportation A-Pavement cleaning</v>
      </c>
      <c r="U581" s="1034">
        <f ca="1">IF(ISNA(VLOOKUP(T581,list!$AV$3:$AW$130,2,FALSE)),1,(VLOOKUP(T581,list!$AV$3:$AW$130,2,FALSE)))</f>
        <v>1</v>
      </c>
      <c r="V581" s="1033">
        <f ca="1">R581*U581</f>
        <v>0</v>
      </c>
      <c r="W581" s="1033">
        <f ca="1">S581*U581</f>
        <v>0</v>
      </c>
    </row>
    <row r="582" spans="3:23" x14ac:dyDescent="0.3">
      <c r="C582" s="576"/>
      <c r="D582" s="494" t="s">
        <v>420</v>
      </c>
      <c r="E582" s="494"/>
      <c r="F582" s="182"/>
      <c r="G582" s="494" t="s">
        <v>421</v>
      </c>
      <c r="H582" s="577"/>
      <c r="I582" s="450" t="s">
        <v>43</v>
      </c>
      <c r="J582" s="577" t="s">
        <v>426</v>
      </c>
      <c r="K582" s="577"/>
      <c r="L582" s="1035" t="s">
        <v>65</v>
      </c>
      <c r="M582" s="1036">
        <f>SUMIFS('Level of Efficiency Assumptions'!$J:$J,'Level of Efficiency Assumptions'!$D:$D,I582,'Level of Efficiency Assumptions'!$F:$F,J582,'Level of Efficiency Assumptions'!$I:$I,'Water Use Calcs'!L582)</f>
        <v>7.5</v>
      </c>
      <c r="N582" s="577"/>
      <c r="O582" s="1048">
        <f>SUMIFS('Detailed Fixture Data'!O:O,'Detailed Fixture Data'!C:C,G582,'Detailed Fixture Data'!E:E,I582,'Detailed Fixture Data'!F:F,J582,'Detailed Fixture Data'!L:L,L582)</f>
        <v>0</v>
      </c>
      <c r="P582" s="1049"/>
      <c r="Q582" s="577"/>
      <c r="R582" s="1039"/>
      <c r="S582" s="521"/>
      <c r="T582" s="225"/>
      <c r="U582" s="521"/>
      <c r="V582" s="1040"/>
      <c r="W582" s="1041"/>
    </row>
    <row r="583" spans="3:23" ht="15" thickBot="1" x14ac:dyDescent="0.35">
      <c r="C583" s="576"/>
      <c r="D583" s="494" t="s">
        <v>420</v>
      </c>
      <c r="E583" s="494"/>
      <c r="F583" s="182"/>
      <c r="G583" s="494" t="s">
        <v>421</v>
      </c>
      <c r="H583" s="577"/>
      <c r="I583" s="451" t="s">
        <v>43</v>
      </c>
      <c r="J583" s="116" t="s">
        <v>426</v>
      </c>
      <c r="K583" s="116"/>
      <c r="L583" s="1042" t="s">
        <v>66</v>
      </c>
      <c r="M583" s="1043">
        <f>SUMIFS('Level of Efficiency Assumptions'!$J:$J,'Level of Efficiency Assumptions'!$D:$D,I583,'Level of Efficiency Assumptions'!$F:$F,J583,'Level of Efficiency Assumptions'!$I:$I,'Water Use Calcs'!L583)</f>
        <v>5</v>
      </c>
      <c r="N583" s="577"/>
      <c r="O583" s="1048">
        <f>SUMIFS('Detailed Fixture Data'!O:O,'Detailed Fixture Data'!C:C,G583,'Detailed Fixture Data'!E:E,I583,'Detailed Fixture Data'!F:F,J583,'Detailed Fixture Data'!L:L,L583)</f>
        <v>0</v>
      </c>
      <c r="P583" s="1049"/>
      <c r="Q583" s="577"/>
      <c r="R583" s="1039"/>
      <c r="S583" s="618"/>
      <c r="T583" s="225"/>
      <c r="U583" s="618"/>
      <c r="V583" s="1045"/>
      <c r="W583" s="1046"/>
    </row>
    <row r="584" spans="3:23" x14ac:dyDescent="0.3">
      <c r="C584" s="576"/>
      <c r="D584" s="494" t="s">
        <v>420</v>
      </c>
      <c r="E584" s="494"/>
      <c r="F584" s="182"/>
      <c r="G584" s="494" t="s">
        <v>421</v>
      </c>
      <c r="H584" s="651" t="str">
        <f>I584</f>
        <v>Other</v>
      </c>
      <c r="I584" s="450" t="s">
        <v>8</v>
      </c>
      <c r="J584" s="577" t="s">
        <v>52</v>
      </c>
      <c r="K584" s="387" t="s">
        <v>362</v>
      </c>
      <c r="L584" s="1047" t="s">
        <v>64</v>
      </c>
      <c r="M584" s="1036">
        <f>SUMIFS('Level of Efficiency Assumptions'!$J:$J,'Level of Efficiency Assumptions'!$D:$D,I584,'Level of Efficiency Assumptions'!$F:$F,J584,'Level of Efficiency Assumptions'!$I:$I,'Water Use Calcs'!L584)</f>
        <v>10</v>
      </c>
      <c r="N584" s="567" t="s">
        <v>660</v>
      </c>
      <c r="O584" s="1048">
        <f>SUMIFS('Detailed Fixture Data'!O:O,'Detailed Fixture Data'!C:C,G584,'Detailed Fixture Data'!E:E,I584,'Detailed Fixture Data'!F:F,J584,'Detailed Fixture Data'!L:L,L584)</f>
        <v>0</v>
      </c>
      <c r="P584" s="1030">
        <f>SUMIFS('Intensity of Use Assumptions'!$J:$J,'Intensity of Use Assumptions'!$D:$D,I584,'Intensity of Use Assumptions'!$G:$G,J584,'Intensity of Use Assumptions'!H:H,K584)</f>
        <v>1</v>
      </c>
      <c r="Q584" s="567" t="s">
        <v>67</v>
      </c>
      <c r="R584" s="1032">
        <f>(SUMPRODUCT(M584:M586,O584:O586)*P584)</f>
        <v>0</v>
      </c>
      <c r="S584" s="1033">
        <f>IF(R584=0,0,M586*P584)</f>
        <v>0</v>
      </c>
      <c r="T584" s="225" t="str">
        <f>G584&amp;"-"&amp;J584</f>
        <v>Ground Transportation A-Other 1</v>
      </c>
      <c r="U584" s="1034">
        <f ca="1">IF(ISNA(VLOOKUP(T584,list!$AV$3:$AW$130,2,FALSE)),1,(VLOOKUP(T584,list!$AV$3:$AW$130,2,FALSE)))</f>
        <v>1</v>
      </c>
      <c r="V584" s="1033">
        <f ca="1">R584*U584</f>
        <v>0</v>
      </c>
      <c r="W584" s="1033">
        <f ca="1">S584*U584</f>
        <v>0</v>
      </c>
    </row>
    <row r="585" spans="3:23" x14ac:dyDescent="0.3">
      <c r="C585" s="576"/>
      <c r="D585" s="494" t="s">
        <v>420</v>
      </c>
      <c r="E585" s="494"/>
      <c r="F585" s="182"/>
      <c r="G585" s="494" t="s">
        <v>421</v>
      </c>
      <c r="H585" s="577"/>
      <c r="I585" s="450" t="s">
        <v>8</v>
      </c>
      <c r="J585" s="577" t="s">
        <v>52</v>
      </c>
      <c r="K585" s="382"/>
      <c r="L585" s="1035" t="s">
        <v>65</v>
      </c>
      <c r="M585" s="1036">
        <f>SUMIFS('Level of Efficiency Assumptions'!$J:$J,'Level of Efficiency Assumptions'!$D:$D,I585,'Level of Efficiency Assumptions'!$F:$F,J585,'Level of Efficiency Assumptions'!$I:$I,'Water Use Calcs'!L585)</f>
        <v>7.5</v>
      </c>
      <c r="N585" s="577"/>
      <c r="O585" s="1048">
        <f>SUMIFS('Detailed Fixture Data'!O:O,'Detailed Fixture Data'!C:C,G585,'Detailed Fixture Data'!E:E,I585,'Detailed Fixture Data'!F:F,J585,'Detailed Fixture Data'!L:L,L585)</f>
        <v>0</v>
      </c>
      <c r="P585" s="1049"/>
      <c r="Q585" s="577"/>
      <c r="R585" s="1039"/>
      <c r="S585" s="521"/>
      <c r="T585" s="225"/>
      <c r="U585" s="521"/>
      <c r="V585" s="1040"/>
      <c r="W585" s="1041"/>
    </row>
    <row r="586" spans="3:23" ht="15" thickBot="1" x14ac:dyDescent="0.35">
      <c r="C586" s="576"/>
      <c r="D586" s="494" t="s">
        <v>420</v>
      </c>
      <c r="E586" s="494"/>
      <c r="F586" s="182"/>
      <c r="G586" s="494" t="s">
        <v>421</v>
      </c>
      <c r="H586" s="577"/>
      <c r="I586" s="450" t="s">
        <v>8</v>
      </c>
      <c r="J586" s="116" t="s">
        <v>52</v>
      </c>
      <c r="K586" s="382"/>
      <c r="L586" s="1042" t="s">
        <v>66</v>
      </c>
      <c r="M586" s="1043">
        <f>SUMIFS('Level of Efficiency Assumptions'!$J:$J,'Level of Efficiency Assumptions'!$D:$D,I586,'Level of Efficiency Assumptions'!$F:$F,J586,'Level of Efficiency Assumptions'!$I:$I,'Water Use Calcs'!L586)</f>
        <v>5</v>
      </c>
      <c r="N586" s="577"/>
      <c r="O586" s="1048">
        <f>SUMIFS('Detailed Fixture Data'!O:O,'Detailed Fixture Data'!C:C,G586,'Detailed Fixture Data'!E:E,I586,'Detailed Fixture Data'!F:F,J586,'Detailed Fixture Data'!L:L,L586)</f>
        <v>0</v>
      </c>
      <c r="P586" s="1049"/>
      <c r="Q586" s="577"/>
      <c r="R586" s="1039"/>
      <c r="S586" s="618"/>
      <c r="T586" s="225"/>
      <c r="U586" s="618"/>
      <c r="V586" s="1045"/>
      <c r="W586" s="1046"/>
    </row>
    <row r="587" spans="3:23" x14ac:dyDescent="0.3">
      <c r="C587" s="576"/>
      <c r="D587" s="494" t="s">
        <v>420</v>
      </c>
      <c r="E587" s="494"/>
      <c r="F587" s="182"/>
      <c r="G587" s="494" t="s">
        <v>421</v>
      </c>
      <c r="H587" s="577"/>
      <c r="I587" s="450" t="s">
        <v>8</v>
      </c>
      <c r="J587" s="577" t="s">
        <v>53</v>
      </c>
      <c r="K587" s="1055" t="s">
        <v>363</v>
      </c>
      <c r="L587" s="1047" t="s">
        <v>64</v>
      </c>
      <c r="M587" s="1036">
        <f>SUMIFS('Level of Efficiency Assumptions'!$J:$J,'Level of Efficiency Assumptions'!$D:$D,I587,'Level of Efficiency Assumptions'!$F:$F,J587,'Level of Efficiency Assumptions'!$I:$I,'Water Use Calcs'!L587)</f>
        <v>10</v>
      </c>
      <c r="N587" s="567" t="s">
        <v>660</v>
      </c>
      <c r="O587" s="1048">
        <f>SUMIFS('Detailed Fixture Data'!O:O,'Detailed Fixture Data'!C:C,G587,'Detailed Fixture Data'!E:E,I587,'Detailed Fixture Data'!F:F,J587,'Detailed Fixture Data'!L:L,L587)</f>
        <v>0</v>
      </c>
      <c r="P587" s="1030">
        <f>SUMIFS('Intensity of Use Assumptions'!$J:$J,'Intensity of Use Assumptions'!$D:$D,I587,'Intensity of Use Assumptions'!$G:$G,J587,'Intensity of Use Assumptions'!H:H,K587)</f>
        <v>1</v>
      </c>
      <c r="Q587" s="567" t="s">
        <v>67</v>
      </c>
      <c r="R587" s="1032">
        <f>(SUMPRODUCT(M587:M589,O587:O589)*P587)</f>
        <v>0</v>
      </c>
      <c r="S587" s="1033">
        <f>IF(R587=0,0,M589*P587)</f>
        <v>0</v>
      </c>
      <c r="T587" s="225" t="str">
        <f>G587&amp;"-"&amp;J587</f>
        <v>Ground Transportation A-Other 2</v>
      </c>
      <c r="U587" s="1034">
        <f ca="1">IF(ISNA(VLOOKUP(T587,list!$AV$3:$AW$130,2,FALSE)),1,(VLOOKUP(T587,list!$AV$3:$AW$130,2,FALSE)))</f>
        <v>1</v>
      </c>
      <c r="V587" s="1033">
        <f ca="1">R587*U587</f>
        <v>0</v>
      </c>
      <c r="W587" s="1033">
        <f ca="1">S587*U587</f>
        <v>0</v>
      </c>
    </row>
    <row r="588" spans="3:23" x14ac:dyDescent="0.3">
      <c r="C588" s="576"/>
      <c r="D588" s="494" t="s">
        <v>420</v>
      </c>
      <c r="E588" s="494"/>
      <c r="F588" s="182"/>
      <c r="G588" s="494" t="s">
        <v>421</v>
      </c>
      <c r="H588" s="577"/>
      <c r="I588" s="450" t="s">
        <v>8</v>
      </c>
      <c r="J588" s="577" t="s">
        <v>53</v>
      </c>
      <c r="K588" s="577"/>
      <c r="L588" s="1035" t="s">
        <v>65</v>
      </c>
      <c r="M588" s="1036">
        <f>SUMIFS('Level of Efficiency Assumptions'!$J:$J,'Level of Efficiency Assumptions'!$D:$D,I588,'Level of Efficiency Assumptions'!$F:$F,J588,'Level of Efficiency Assumptions'!$I:$I,'Water Use Calcs'!L588)</f>
        <v>7.5</v>
      </c>
      <c r="N588" s="577"/>
      <c r="O588" s="1048">
        <f>SUMIFS('Detailed Fixture Data'!O:O,'Detailed Fixture Data'!C:C,G588,'Detailed Fixture Data'!E:E,I588,'Detailed Fixture Data'!F:F,J588,'Detailed Fixture Data'!L:L,L588)</f>
        <v>0</v>
      </c>
      <c r="P588" s="1049"/>
      <c r="Q588" s="577"/>
      <c r="R588" s="1039"/>
      <c r="S588" s="521"/>
      <c r="T588" s="225"/>
      <c r="U588" s="521"/>
      <c r="V588" s="1040"/>
      <c r="W588" s="1041"/>
    </row>
    <row r="589" spans="3:23" ht="15" thickBot="1" x14ac:dyDescent="0.35">
      <c r="C589" s="576"/>
      <c r="D589" s="494" t="s">
        <v>420</v>
      </c>
      <c r="E589" s="494"/>
      <c r="F589" s="182"/>
      <c r="G589" s="494" t="s">
        <v>421</v>
      </c>
      <c r="H589" s="577"/>
      <c r="I589" s="450" t="s">
        <v>8</v>
      </c>
      <c r="J589" s="116" t="s">
        <v>53</v>
      </c>
      <c r="K589" s="116"/>
      <c r="L589" s="1042" t="s">
        <v>66</v>
      </c>
      <c r="M589" s="1043">
        <f>SUMIFS('Level of Efficiency Assumptions'!$J:$J,'Level of Efficiency Assumptions'!$D:$D,I589,'Level of Efficiency Assumptions'!$F:$F,J589,'Level of Efficiency Assumptions'!$I:$I,'Water Use Calcs'!L589)</f>
        <v>5</v>
      </c>
      <c r="N589" s="577"/>
      <c r="O589" s="1048">
        <f>SUMIFS('Detailed Fixture Data'!O:O,'Detailed Fixture Data'!C:C,G589,'Detailed Fixture Data'!E:E,I589,'Detailed Fixture Data'!F:F,J589,'Detailed Fixture Data'!L:L,L589)</f>
        <v>0</v>
      </c>
      <c r="P589" s="1049"/>
      <c r="Q589" s="577"/>
      <c r="R589" s="1039"/>
      <c r="S589" s="618"/>
      <c r="T589" s="225"/>
      <c r="U589" s="618"/>
      <c r="V589" s="1045"/>
      <c r="W589" s="1046"/>
    </row>
    <row r="590" spans="3:23" x14ac:dyDescent="0.3">
      <c r="C590" s="576"/>
      <c r="D590" s="494" t="s">
        <v>420</v>
      </c>
      <c r="E590" s="494"/>
      <c r="F590" s="182"/>
      <c r="G590" s="494" t="s">
        <v>421</v>
      </c>
      <c r="H590" s="577"/>
      <c r="I590" s="450" t="s">
        <v>8</v>
      </c>
      <c r="J590" s="577" t="s">
        <v>54</v>
      </c>
      <c r="K590" s="379" t="s">
        <v>364</v>
      </c>
      <c r="L590" s="1047" t="s">
        <v>64</v>
      </c>
      <c r="M590" s="1036">
        <f>SUMIFS('Level of Efficiency Assumptions'!$J:$J,'Level of Efficiency Assumptions'!$D:$D,I590,'Level of Efficiency Assumptions'!$F:$F,J590,'Level of Efficiency Assumptions'!$I:$I,'Water Use Calcs'!L590)</f>
        <v>10</v>
      </c>
      <c r="N590" s="567" t="s">
        <v>660</v>
      </c>
      <c r="O590" s="1048">
        <f>SUMIFS('Detailed Fixture Data'!O:O,'Detailed Fixture Data'!C:C,G590,'Detailed Fixture Data'!E:E,I590,'Detailed Fixture Data'!F:F,J590,'Detailed Fixture Data'!L:L,L590)</f>
        <v>0</v>
      </c>
      <c r="P590" s="1030">
        <f>SUMIFS('Intensity of Use Assumptions'!$J:$J,'Intensity of Use Assumptions'!$D:$D,I590,'Intensity of Use Assumptions'!$G:$G,J590,'Intensity of Use Assumptions'!H:H,K590)</f>
        <v>1</v>
      </c>
      <c r="Q590" s="567" t="s">
        <v>67</v>
      </c>
      <c r="R590" s="1032">
        <f>(SUMPRODUCT(M590:M592,O590:O592)*P590)</f>
        <v>0</v>
      </c>
      <c r="S590" s="1033">
        <f>IF(R590=0,0,M592*P590)</f>
        <v>0</v>
      </c>
      <c r="T590" s="225" t="str">
        <f>G590&amp;"-"&amp;J590</f>
        <v>Ground Transportation A-Other 3</v>
      </c>
      <c r="U590" s="1034">
        <f ca="1">IF(ISNA(VLOOKUP(T590,list!$AV$3:$AW$130,2,FALSE)),1,(VLOOKUP(T590,list!$AV$3:$AW$130,2,FALSE)))</f>
        <v>1</v>
      </c>
      <c r="V590" s="1033">
        <f ca="1">R590*U590</f>
        <v>0</v>
      </c>
      <c r="W590" s="1033">
        <f ca="1">S590*U590</f>
        <v>0</v>
      </c>
    </row>
    <row r="591" spans="3:23" x14ac:dyDescent="0.3">
      <c r="C591" s="576"/>
      <c r="D591" s="494" t="s">
        <v>420</v>
      </c>
      <c r="E591" s="494"/>
      <c r="F591" s="182"/>
      <c r="G591" s="494" t="s">
        <v>421</v>
      </c>
      <c r="H591" s="577"/>
      <c r="I591" s="450" t="s">
        <v>8</v>
      </c>
      <c r="J591" s="577" t="s">
        <v>54</v>
      </c>
      <c r="K591" s="577"/>
      <c r="L591" s="1035" t="s">
        <v>65</v>
      </c>
      <c r="M591" s="1036">
        <f>SUMIFS('Level of Efficiency Assumptions'!$J:$J,'Level of Efficiency Assumptions'!$D:$D,I591,'Level of Efficiency Assumptions'!$F:$F,J591,'Level of Efficiency Assumptions'!$I:$I,'Water Use Calcs'!L591)</f>
        <v>7.5</v>
      </c>
      <c r="N591" s="577"/>
      <c r="O591" s="1048">
        <f>SUMIFS('Detailed Fixture Data'!O:O,'Detailed Fixture Data'!C:C,G591,'Detailed Fixture Data'!E:E,I591,'Detailed Fixture Data'!F:F,J591,'Detailed Fixture Data'!L:L,L591)</f>
        <v>0</v>
      </c>
      <c r="P591" s="1049"/>
      <c r="Q591" s="577"/>
      <c r="R591" s="1039"/>
      <c r="S591" s="521"/>
      <c r="T591" s="225"/>
      <c r="U591" s="521"/>
      <c r="V591" s="1040"/>
      <c r="W591" s="1041"/>
    </row>
    <row r="592" spans="3:23" ht="15" thickBot="1" x14ac:dyDescent="0.35">
      <c r="C592" s="576"/>
      <c r="D592" s="494" t="s">
        <v>420</v>
      </c>
      <c r="E592" s="494"/>
      <c r="F592" s="182"/>
      <c r="G592" s="501" t="s">
        <v>421</v>
      </c>
      <c r="H592" s="116"/>
      <c r="I592" s="451" t="s">
        <v>8</v>
      </c>
      <c r="J592" s="116" t="s">
        <v>54</v>
      </c>
      <c r="K592" s="116"/>
      <c r="L592" s="1042" t="s">
        <v>66</v>
      </c>
      <c r="M592" s="1043">
        <f>SUMIFS('Level of Efficiency Assumptions'!$J:$J,'Level of Efficiency Assumptions'!$D:$D,I592,'Level of Efficiency Assumptions'!$F:$F,J592,'Level of Efficiency Assumptions'!$I:$I,'Water Use Calcs'!L592)</f>
        <v>5</v>
      </c>
      <c r="N592" s="116"/>
      <c r="O592" s="1048">
        <f>SUMIFS('Detailed Fixture Data'!O:O,'Detailed Fixture Data'!C:C,G592,'Detailed Fixture Data'!E:E,I592,'Detailed Fixture Data'!F:F,J592,'Detailed Fixture Data'!L:L,L592)</f>
        <v>0</v>
      </c>
      <c r="P592" s="1049"/>
      <c r="Q592" s="116"/>
      <c r="R592" s="1045"/>
      <c r="S592" s="618"/>
      <c r="T592" s="225"/>
      <c r="U592" s="618"/>
      <c r="V592" s="1045"/>
      <c r="W592" s="1046"/>
    </row>
    <row r="593" spans="3:23" x14ac:dyDescent="0.3">
      <c r="C593" s="576"/>
      <c r="D593" s="494" t="s">
        <v>420</v>
      </c>
      <c r="E593" s="619" t="str">
        <f>G593</f>
        <v>Ground Transportation B</v>
      </c>
      <c r="F593" s="565" t="str">
        <f>VLOOKUP(E593,'Airport Mapping'!$C$5:$D$39,2,FALSE)</f>
        <v xml:space="preserve"> </v>
      </c>
      <c r="G593" s="494" t="s">
        <v>422</v>
      </c>
      <c r="H593" s="651" t="str">
        <f>I593</f>
        <v>Restrooms</v>
      </c>
      <c r="I593" s="450" t="s">
        <v>37</v>
      </c>
      <c r="J593" s="577" t="s">
        <v>2</v>
      </c>
      <c r="K593" s="577" t="s">
        <v>3</v>
      </c>
      <c r="L593" s="1047" t="s">
        <v>64</v>
      </c>
      <c r="M593" s="1036">
        <f>SUMIFS('Level of Efficiency Assumptions'!$J:$J,'Level of Efficiency Assumptions'!$D:$D,I593,'Level of Efficiency Assumptions'!$F:$F,J593,'Level of Efficiency Assumptions'!$I:$I,'Water Use Calcs'!L593)</f>
        <v>3.5</v>
      </c>
      <c r="N593" s="577" t="s">
        <v>68</v>
      </c>
      <c r="O593" s="1048">
        <f>SUMIFS('Detailed Fixture Data'!O:O,'Detailed Fixture Data'!C:C,G593,'Detailed Fixture Data'!E:E,I593,'Detailed Fixture Data'!F:F,J593,'Detailed Fixture Data'!L:L,L593)</f>
        <v>0</v>
      </c>
      <c r="P593" s="1030">
        <f>SUMIFS('Intensity of Use Assumptions'!$J:$J,'Intensity of Use Assumptions'!$D:$D,I593,'Intensity of Use Assumptions'!$G:$G,J593,'Intensity of Use Assumptions'!H:H,K593)</f>
        <v>0.625</v>
      </c>
      <c r="Q593" s="577" t="s">
        <v>67</v>
      </c>
      <c r="R593" s="1032">
        <f>(SUMPRODUCT(M593:M595,O593:O595)*P593)</f>
        <v>0</v>
      </c>
      <c r="S593" s="1033">
        <f>IF(R593=0,0,M595*P593)</f>
        <v>0</v>
      </c>
      <c r="T593" s="225" t="str">
        <f>G593&amp;"-"&amp;J593</f>
        <v>Ground Transportation B-Toilets</v>
      </c>
      <c r="U593" s="1034">
        <f ca="1">IF(ISNA(VLOOKUP(T593,list!$AV$3:$AW$130,2,FALSE)),1,(VLOOKUP(T593,list!$AV$3:$AW$130,2,FALSE)))</f>
        <v>1</v>
      </c>
      <c r="V593" s="1033">
        <f ca="1">R593*U593</f>
        <v>0</v>
      </c>
      <c r="W593" s="1033">
        <f ca="1">S593*U593</f>
        <v>0</v>
      </c>
    </row>
    <row r="594" spans="3:23" x14ac:dyDescent="0.3">
      <c r="C594" s="576"/>
      <c r="D594" s="494" t="s">
        <v>420</v>
      </c>
      <c r="E594" s="494"/>
      <c r="F594" s="182"/>
      <c r="G594" s="494" t="s">
        <v>422</v>
      </c>
      <c r="H594" s="577"/>
      <c r="I594" s="450" t="s">
        <v>37</v>
      </c>
      <c r="J594" s="577" t="s">
        <v>2</v>
      </c>
      <c r="K594" s="577"/>
      <c r="L594" s="1035" t="s">
        <v>65</v>
      </c>
      <c r="M594" s="1036">
        <f>SUMIFS('Level of Efficiency Assumptions'!$J:$J,'Level of Efficiency Assumptions'!$D:$D,I594,'Level of Efficiency Assumptions'!$F:$F,J594,'Level of Efficiency Assumptions'!$I:$I,'Water Use Calcs'!L594)</f>
        <v>1.6</v>
      </c>
      <c r="N594" s="577"/>
      <c r="O594" s="1048">
        <f>SUMIFS('Detailed Fixture Data'!O:O,'Detailed Fixture Data'!C:C,G594,'Detailed Fixture Data'!E:E,I594,'Detailed Fixture Data'!F:F,J594,'Detailed Fixture Data'!L:L,L594)</f>
        <v>0</v>
      </c>
      <c r="P594" s="1049"/>
      <c r="Q594" s="577"/>
      <c r="R594" s="1039"/>
      <c r="S594" s="521"/>
      <c r="T594" s="225"/>
      <c r="U594" s="521"/>
      <c r="V594" s="1040"/>
      <c r="W594" s="1041"/>
    </row>
    <row r="595" spans="3:23" ht="15" thickBot="1" x14ac:dyDescent="0.35">
      <c r="C595" s="576"/>
      <c r="D595" s="494" t="s">
        <v>420</v>
      </c>
      <c r="E595" s="494"/>
      <c r="F595" s="182"/>
      <c r="G595" s="494" t="s">
        <v>422</v>
      </c>
      <c r="H595" s="577"/>
      <c r="I595" s="450" t="s">
        <v>37</v>
      </c>
      <c r="J595" s="116" t="s">
        <v>2</v>
      </c>
      <c r="K595" s="116"/>
      <c r="L595" s="1042" t="s">
        <v>66</v>
      </c>
      <c r="M595" s="1043">
        <f>SUMIFS('Level of Efficiency Assumptions'!$J:$J,'Level of Efficiency Assumptions'!$D:$D,I595,'Level of Efficiency Assumptions'!$F:$F,J595,'Level of Efficiency Assumptions'!$I:$I,'Water Use Calcs'!L595)</f>
        <v>1.28</v>
      </c>
      <c r="N595" s="577"/>
      <c r="O595" s="1048">
        <f>SUMIFS('Detailed Fixture Data'!O:O,'Detailed Fixture Data'!C:C,G595,'Detailed Fixture Data'!E:E,I595,'Detailed Fixture Data'!F:F,J595,'Detailed Fixture Data'!L:L,L595)</f>
        <v>0</v>
      </c>
      <c r="P595" s="1049"/>
      <c r="Q595" s="577"/>
      <c r="R595" s="1039"/>
      <c r="S595" s="618"/>
      <c r="T595" s="225"/>
      <c r="U595" s="618"/>
      <c r="V595" s="1045"/>
      <c r="W595" s="1046"/>
    </row>
    <row r="596" spans="3:23" x14ac:dyDescent="0.3">
      <c r="C596" s="576"/>
      <c r="D596" s="494" t="s">
        <v>420</v>
      </c>
      <c r="E596" s="494"/>
      <c r="F596" s="182"/>
      <c r="G596" s="494" t="s">
        <v>422</v>
      </c>
      <c r="H596" s="577"/>
      <c r="I596" s="450" t="s">
        <v>37</v>
      </c>
      <c r="J596" s="577" t="s">
        <v>4</v>
      </c>
      <c r="K596" s="577" t="s">
        <v>3</v>
      </c>
      <c r="L596" s="1047" t="s">
        <v>64</v>
      </c>
      <c r="M596" s="1036">
        <f>SUMIFS('Level of Efficiency Assumptions'!$J:$J,'Level of Efficiency Assumptions'!$D:$D,I596,'Level of Efficiency Assumptions'!$F:$F,J596,'Level of Efficiency Assumptions'!$I:$I,'Water Use Calcs'!L596)</f>
        <v>2</v>
      </c>
      <c r="N596" s="567" t="s">
        <v>68</v>
      </c>
      <c r="O596" s="1048">
        <f>SUMIFS('Detailed Fixture Data'!O:O,'Detailed Fixture Data'!C:C,G596,'Detailed Fixture Data'!E:E,I596,'Detailed Fixture Data'!F:F,J596,'Detailed Fixture Data'!L:L,L596)</f>
        <v>0</v>
      </c>
      <c r="P596" s="1030">
        <f>SUMIFS('Intensity of Use Assumptions'!$J:$J,'Intensity of Use Assumptions'!$D:$D,I596,'Intensity of Use Assumptions'!$G:$G,J596,'Intensity of Use Assumptions'!H:H,K596)</f>
        <v>0.375</v>
      </c>
      <c r="Q596" s="567" t="s">
        <v>67</v>
      </c>
      <c r="R596" s="1032">
        <f>(SUMPRODUCT(M596:M598,O596:O598)*P596)</f>
        <v>0</v>
      </c>
      <c r="S596" s="1033">
        <f>IF(R596=0,0,M598*P596)</f>
        <v>0</v>
      </c>
      <c r="T596" s="225" t="str">
        <f>G596&amp;"-"&amp;J596</f>
        <v>Ground Transportation B-Urinals</v>
      </c>
      <c r="U596" s="1034">
        <f ca="1">IF(ISNA(VLOOKUP(T596,list!$AV$3:$AW$130,2,FALSE)),1,(VLOOKUP(T596,list!$AV$3:$AW$130,2,FALSE)))</f>
        <v>1</v>
      </c>
      <c r="V596" s="1033">
        <f ca="1">R596*U596</f>
        <v>0</v>
      </c>
      <c r="W596" s="1033">
        <f ca="1">S596*U596</f>
        <v>0</v>
      </c>
    </row>
    <row r="597" spans="3:23" x14ac:dyDescent="0.3">
      <c r="C597" s="576"/>
      <c r="D597" s="494" t="s">
        <v>420</v>
      </c>
      <c r="E597" s="494"/>
      <c r="F597" s="182"/>
      <c r="G597" s="494" t="s">
        <v>422</v>
      </c>
      <c r="H597" s="577"/>
      <c r="I597" s="450" t="s">
        <v>37</v>
      </c>
      <c r="J597" s="577" t="s">
        <v>4</v>
      </c>
      <c r="K597" s="577"/>
      <c r="L597" s="1035" t="s">
        <v>65</v>
      </c>
      <c r="M597" s="1036">
        <f>SUMIFS('Level of Efficiency Assumptions'!$J:$J,'Level of Efficiency Assumptions'!$D:$D,I597,'Level of Efficiency Assumptions'!$F:$F,J597,'Level of Efficiency Assumptions'!$I:$I,'Water Use Calcs'!L597)</f>
        <v>1</v>
      </c>
      <c r="N597" s="577"/>
      <c r="O597" s="1048">
        <f>SUMIFS('Detailed Fixture Data'!O:O,'Detailed Fixture Data'!C:C,G597,'Detailed Fixture Data'!E:E,I597,'Detailed Fixture Data'!F:F,J597,'Detailed Fixture Data'!L:L,L597)</f>
        <v>0</v>
      </c>
      <c r="P597" s="1049"/>
      <c r="Q597" s="577"/>
      <c r="R597" s="1039"/>
      <c r="S597" s="521"/>
      <c r="T597" s="225"/>
      <c r="U597" s="521"/>
      <c r="V597" s="1040"/>
      <c r="W597" s="1041"/>
    </row>
    <row r="598" spans="3:23" ht="15" thickBot="1" x14ac:dyDescent="0.35">
      <c r="C598" s="576"/>
      <c r="D598" s="494" t="s">
        <v>420</v>
      </c>
      <c r="E598" s="494"/>
      <c r="F598" s="182"/>
      <c r="G598" s="494" t="s">
        <v>422</v>
      </c>
      <c r="H598" s="577"/>
      <c r="I598" s="450" t="s">
        <v>37</v>
      </c>
      <c r="J598" s="116" t="s">
        <v>4</v>
      </c>
      <c r="K598" s="116"/>
      <c r="L598" s="1042" t="s">
        <v>66</v>
      </c>
      <c r="M598" s="1043">
        <f>SUMIFS('Level of Efficiency Assumptions'!$J:$J,'Level of Efficiency Assumptions'!$D:$D,I598,'Level of Efficiency Assumptions'!$F:$F,J598,'Level of Efficiency Assumptions'!$I:$I,'Water Use Calcs'!L598)</f>
        <v>0.125</v>
      </c>
      <c r="N598" s="577"/>
      <c r="O598" s="1048">
        <f>SUMIFS('Detailed Fixture Data'!O:O,'Detailed Fixture Data'!C:C,G598,'Detailed Fixture Data'!E:E,I598,'Detailed Fixture Data'!F:F,J598,'Detailed Fixture Data'!L:L,L598)</f>
        <v>0</v>
      </c>
      <c r="P598" s="1049"/>
      <c r="Q598" s="577"/>
      <c r="R598" s="1039"/>
      <c r="S598" s="618"/>
      <c r="T598" s="225"/>
      <c r="U598" s="618"/>
      <c r="V598" s="1045"/>
      <c r="W598" s="1046"/>
    </row>
    <row r="599" spans="3:23" x14ac:dyDescent="0.3">
      <c r="C599" s="576"/>
      <c r="D599" s="494" t="s">
        <v>420</v>
      </c>
      <c r="E599" s="494"/>
      <c r="F599" s="182"/>
      <c r="G599" s="494" t="s">
        <v>422</v>
      </c>
      <c r="H599" s="577"/>
      <c r="I599" s="450" t="s">
        <v>37</v>
      </c>
      <c r="J599" s="577" t="s">
        <v>33</v>
      </c>
      <c r="K599" s="577" t="s">
        <v>3</v>
      </c>
      <c r="L599" s="1047" t="s">
        <v>64</v>
      </c>
      <c r="M599" s="1036">
        <f>SUMIFS('Level of Efficiency Assumptions'!$J:$J,'Level of Efficiency Assumptions'!$D:$D,I599,'Level of Efficiency Assumptions'!$F:$F,J599,'Level of Efficiency Assumptions'!$I:$I,'Water Use Calcs'!L599)</f>
        <v>2</v>
      </c>
      <c r="N599" s="567" t="s">
        <v>78</v>
      </c>
      <c r="O599" s="1048">
        <f>SUMIFS('Detailed Fixture Data'!O:O,'Detailed Fixture Data'!C:C,G599,'Detailed Fixture Data'!E:E,I599,'Detailed Fixture Data'!F:F,J599,'Detailed Fixture Data'!L:L,L599)</f>
        <v>0</v>
      </c>
      <c r="P599" s="1030">
        <f>SUMIFS('Intensity of Use Assumptions'!$J:$J,'Intensity of Use Assumptions'!$D:$D,I599,'Intensity of Use Assumptions'!$G:$G,J599,'Intensity of Use Assumptions'!H:H,K599)</f>
        <v>0.16666666666666666</v>
      </c>
      <c r="Q599" s="567" t="s">
        <v>133</v>
      </c>
      <c r="R599" s="1032">
        <f>(SUMPRODUCT(M599:M601,O599:O601)*P599)</f>
        <v>0</v>
      </c>
      <c r="S599" s="1033">
        <f>IF(R599=0,0,M601*P599)</f>
        <v>0</v>
      </c>
      <c r="T599" s="225" t="str">
        <f>G599&amp;"-"&amp;J599</f>
        <v>Ground Transportation B-Faucets</v>
      </c>
      <c r="U599" s="1034">
        <f ca="1">IF(ISNA(VLOOKUP(T599,list!$AV$3:$AW$130,2,FALSE)),1,(VLOOKUP(T599,list!$AV$3:$AW$130,2,FALSE)))</f>
        <v>1</v>
      </c>
      <c r="V599" s="1033">
        <f ca="1">R599*U599</f>
        <v>0</v>
      </c>
      <c r="W599" s="1033">
        <f ca="1">S599*U599</f>
        <v>0</v>
      </c>
    </row>
    <row r="600" spans="3:23" x14ac:dyDescent="0.3">
      <c r="C600" s="576"/>
      <c r="D600" s="494" t="s">
        <v>420</v>
      </c>
      <c r="E600" s="494"/>
      <c r="F600" s="182"/>
      <c r="G600" s="494" t="s">
        <v>422</v>
      </c>
      <c r="H600" s="577"/>
      <c r="I600" s="450" t="s">
        <v>37</v>
      </c>
      <c r="J600" s="577" t="s">
        <v>33</v>
      </c>
      <c r="K600" s="577"/>
      <c r="L600" s="1035" t="s">
        <v>65</v>
      </c>
      <c r="M600" s="1036">
        <f>SUMIFS('Level of Efficiency Assumptions'!$J:$J,'Level of Efficiency Assumptions'!$D:$D,I600,'Level of Efficiency Assumptions'!$F:$F,J600,'Level of Efficiency Assumptions'!$I:$I,'Water Use Calcs'!L600)</f>
        <v>1</v>
      </c>
      <c r="N600" s="577"/>
      <c r="O600" s="1048">
        <f>SUMIFS('Detailed Fixture Data'!O:O,'Detailed Fixture Data'!C:C,G600,'Detailed Fixture Data'!E:E,I600,'Detailed Fixture Data'!F:F,J600,'Detailed Fixture Data'!L:L,L600)</f>
        <v>0</v>
      </c>
      <c r="P600" s="1049"/>
      <c r="Q600" s="577"/>
      <c r="R600" s="1039"/>
      <c r="S600" s="521"/>
      <c r="T600" s="225"/>
      <c r="U600" s="521"/>
      <c r="V600" s="1040"/>
      <c r="W600" s="1041"/>
    </row>
    <row r="601" spans="3:23" ht="15" thickBot="1" x14ac:dyDescent="0.35">
      <c r="C601" s="576"/>
      <c r="D601" s="494" t="s">
        <v>420</v>
      </c>
      <c r="E601" s="494"/>
      <c r="F601" s="182"/>
      <c r="G601" s="494" t="s">
        <v>422</v>
      </c>
      <c r="H601" s="577"/>
      <c r="I601" s="451" t="s">
        <v>37</v>
      </c>
      <c r="J601" s="116" t="s">
        <v>33</v>
      </c>
      <c r="K601" s="116"/>
      <c r="L601" s="1042" t="s">
        <v>66</v>
      </c>
      <c r="M601" s="1043">
        <f>SUMIFS('Level of Efficiency Assumptions'!$J:$J,'Level of Efficiency Assumptions'!$D:$D,I601,'Level of Efficiency Assumptions'!$F:$F,J601,'Level of Efficiency Assumptions'!$I:$I,'Water Use Calcs'!L601)</f>
        <v>0.5</v>
      </c>
      <c r="N601" s="577"/>
      <c r="O601" s="1048">
        <f>SUMIFS('Detailed Fixture Data'!O:O,'Detailed Fixture Data'!C:C,G601,'Detailed Fixture Data'!E:E,I601,'Detailed Fixture Data'!F:F,J601,'Detailed Fixture Data'!L:L,L601)</f>
        <v>0</v>
      </c>
      <c r="P601" s="1049"/>
      <c r="Q601" s="577"/>
      <c r="R601" s="1039"/>
      <c r="S601" s="618"/>
      <c r="T601" s="225"/>
      <c r="U601" s="618"/>
      <c r="V601" s="1045"/>
      <c r="W601" s="1046"/>
    </row>
    <row r="602" spans="3:23" x14ac:dyDescent="0.3">
      <c r="C602" s="576"/>
      <c r="D602" s="494" t="s">
        <v>420</v>
      </c>
      <c r="E602" s="494"/>
      <c r="F602" s="182"/>
      <c r="G602" s="494" t="s">
        <v>422</v>
      </c>
      <c r="H602" s="651" t="str">
        <f>I602</f>
        <v>Break rooms</v>
      </c>
      <c r="I602" s="450" t="s">
        <v>5</v>
      </c>
      <c r="J602" s="577" t="s">
        <v>33</v>
      </c>
      <c r="K602" s="577" t="s">
        <v>6</v>
      </c>
      <c r="L602" s="1047" t="s">
        <v>64</v>
      </c>
      <c r="M602" s="1036">
        <f>SUMIFS('Level of Efficiency Assumptions'!$J:$J,'Level of Efficiency Assumptions'!$D:$D,I602,'Level of Efficiency Assumptions'!$F:$F,J602,'Level of Efficiency Assumptions'!$I:$I,'Water Use Calcs'!L602)</f>
        <v>2</v>
      </c>
      <c r="N602" s="567" t="s">
        <v>78</v>
      </c>
      <c r="O602" s="1048">
        <f>SUMIFS('Detailed Fixture Data'!O:O,'Detailed Fixture Data'!C:C,G602,'Detailed Fixture Data'!E:E,I602,'Detailed Fixture Data'!F:F,J602,'Detailed Fixture Data'!L:L,L602)</f>
        <v>0</v>
      </c>
      <c r="P602" s="1030">
        <f>SUMIFS('Intensity of Use Assumptions'!$J:$J,'Intensity of Use Assumptions'!$D:$D,I602,'Intensity of Use Assumptions'!$G:$G,J602,'Intensity of Use Assumptions'!H:H,K602)</f>
        <v>0.16666666666666666</v>
      </c>
      <c r="Q602" s="567" t="s">
        <v>133</v>
      </c>
      <c r="R602" s="1032">
        <f>(SUMPRODUCT(M602:M604,O602:O604)*P602)</f>
        <v>0</v>
      </c>
      <c r="S602" s="1033">
        <f>IF(R602=0,0,M604*P602)</f>
        <v>0</v>
      </c>
      <c r="T602" s="225" t="str">
        <f>G602&amp;"-"&amp;J602</f>
        <v>Ground Transportation B-Faucets</v>
      </c>
      <c r="U602" s="1034">
        <f ca="1">IF(ISNA(VLOOKUP(T602,list!$AV$3:$AW$130,2,FALSE)),1,(VLOOKUP(T602,list!$AV$3:$AW$130,2,FALSE)))</f>
        <v>1</v>
      </c>
      <c r="V602" s="1033">
        <f ca="1">R602*U602</f>
        <v>0</v>
      </c>
      <c r="W602" s="1033">
        <f ca="1">S602*U602</f>
        <v>0</v>
      </c>
    </row>
    <row r="603" spans="3:23" x14ac:dyDescent="0.3">
      <c r="C603" s="576"/>
      <c r="D603" s="494" t="s">
        <v>420</v>
      </c>
      <c r="E603" s="494"/>
      <c r="F603" s="182"/>
      <c r="G603" s="494" t="s">
        <v>422</v>
      </c>
      <c r="H603" s="577"/>
      <c r="I603" s="450" t="s">
        <v>5</v>
      </c>
      <c r="J603" s="577" t="s">
        <v>33</v>
      </c>
      <c r="K603" s="577"/>
      <c r="L603" s="1035" t="s">
        <v>65</v>
      </c>
      <c r="M603" s="1036">
        <f>SUMIFS('Level of Efficiency Assumptions'!$J:$J,'Level of Efficiency Assumptions'!$D:$D,I603,'Level of Efficiency Assumptions'!$F:$F,J603,'Level of Efficiency Assumptions'!$I:$I,'Water Use Calcs'!L603)</f>
        <v>1</v>
      </c>
      <c r="N603" s="577"/>
      <c r="O603" s="1048">
        <f>SUMIFS('Detailed Fixture Data'!O:O,'Detailed Fixture Data'!C:C,G603,'Detailed Fixture Data'!E:E,I603,'Detailed Fixture Data'!F:F,J603,'Detailed Fixture Data'!L:L,L603)</f>
        <v>0</v>
      </c>
      <c r="P603" s="1049"/>
      <c r="Q603" s="577"/>
      <c r="R603" s="1039"/>
      <c r="S603" s="521"/>
      <c r="T603" s="225"/>
      <c r="U603" s="521"/>
      <c r="V603" s="1040"/>
      <c r="W603" s="1041"/>
    </row>
    <row r="604" spans="3:23" ht="15" thickBot="1" x14ac:dyDescent="0.35">
      <c r="C604" s="576"/>
      <c r="D604" s="494" t="s">
        <v>420</v>
      </c>
      <c r="E604" s="494"/>
      <c r="F604" s="182"/>
      <c r="G604" s="494" t="s">
        <v>422</v>
      </c>
      <c r="H604" s="577"/>
      <c r="I604" s="451" t="s">
        <v>5</v>
      </c>
      <c r="J604" s="116" t="s">
        <v>33</v>
      </c>
      <c r="K604" s="116"/>
      <c r="L604" s="1042" t="s">
        <v>66</v>
      </c>
      <c r="M604" s="1043">
        <f>SUMIFS('Level of Efficiency Assumptions'!$J:$J,'Level of Efficiency Assumptions'!$D:$D,I604,'Level of Efficiency Assumptions'!$F:$F,J604,'Level of Efficiency Assumptions'!$I:$I,'Water Use Calcs'!L604)</f>
        <v>0.5</v>
      </c>
      <c r="N604" s="577"/>
      <c r="O604" s="1048">
        <f>SUMIFS('Detailed Fixture Data'!O:O,'Detailed Fixture Data'!C:C,G604,'Detailed Fixture Data'!E:E,I604,'Detailed Fixture Data'!F:F,J604,'Detailed Fixture Data'!L:L,L604)</f>
        <v>0</v>
      </c>
      <c r="P604" s="1049"/>
      <c r="Q604" s="577"/>
      <c r="R604" s="1039"/>
      <c r="S604" s="618"/>
      <c r="T604" s="225"/>
      <c r="U604" s="618"/>
      <c r="V604" s="1045"/>
      <c r="W604" s="1046"/>
    </row>
    <row r="605" spans="3:23" x14ac:dyDescent="0.3">
      <c r="C605" s="576"/>
      <c r="D605" s="494" t="s">
        <v>420</v>
      </c>
      <c r="E605" s="494"/>
      <c r="F605" s="182"/>
      <c r="G605" s="494" t="s">
        <v>422</v>
      </c>
      <c r="H605" s="651" t="str">
        <f>I605</f>
        <v>Landscaping</v>
      </c>
      <c r="I605" s="450" t="s">
        <v>39</v>
      </c>
      <c r="J605" s="577" t="s">
        <v>42</v>
      </c>
      <c r="K605" s="577" t="s">
        <v>32</v>
      </c>
      <c r="L605" s="1047" t="s">
        <v>64</v>
      </c>
      <c r="M605" s="1036">
        <f>SUMIFS('Level of Efficiency Assumptions'!$J:$J,'Level of Efficiency Assumptions'!$D:$D,I605,'Level of Efficiency Assumptions'!$F:$F,J605,'Level of Efficiency Assumptions'!$I:$I,'Water Use Calcs'!L605)</f>
        <v>28.6</v>
      </c>
      <c r="N605" s="567" t="s">
        <v>816</v>
      </c>
      <c r="O605" s="1048">
        <f>SUMIFS('Detailed Fixture Data'!O:O,'Detailed Fixture Data'!C:C,G605,'Detailed Fixture Data'!E:E,I605,'Detailed Fixture Data'!F:F,J605,'Detailed Fixture Data'!L:L,L605)</f>
        <v>0</v>
      </c>
      <c r="P605" s="1030">
        <f>SUMIFS('Intensity of Use Assumptions'!$J:$J,'Intensity of Use Assumptions'!$D:$D,I605,'Intensity of Use Assumptions'!$G:$G,J605,'Intensity of Use Assumptions'!H:H,K605,'Intensity of Use Assumptions'!F:F,D605)</f>
        <v>2.7397260273972603E-3</v>
      </c>
      <c r="Q605" s="567" t="s">
        <v>815</v>
      </c>
      <c r="R605" s="1032">
        <f>(SUMPRODUCT(M605:M607,O605:O607)*P605)</f>
        <v>0</v>
      </c>
      <c r="S605" s="1033">
        <f>IF(R605=0,0,M607*P605)</f>
        <v>0</v>
      </c>
      <c r="T605" s="225" t="str">
        <f>G605&amp;"-"&amp;J605</f>
        <v>Ground Transportation B-Outdoor irrigation</v>
      </c>
      <c r="U605" s="1034">
        <f ca="1">IF(ISNA(VLOOKUP(T605,list!$AV$3:$AW$130,2,FALSE)),1,(VLOOKUP(T605,list!$AV$3:$AW$130,2,FALSE)))</f>
        <v>1</v>
      </c>
      <c r="V605" s="1033">
        <f ca="1">R605*U605</f>
        <v>0</v>
      </c>
      <c r="W605" s="1033">
        <f ca="1">S605*U605</f>
        <v>0</v>
      </c>
    </row>
    <row r="606" spans="3:23" x14ac:dyDescent="0.3">
      <c r="C606" s="576"/>
      <c r="D606" s="494" t="s">
        <v>420</v>
      </c>
      <c r="E606" s="494"/>
      <c r="F606" s="182"/>
      <c r="G606" s="494" t="s">
        <v>422</v>
      </c>
      <c r="H606" s="577"/>
      <c r="I606" s="450" t="s">
        <v>39</v>
      </c>
      <c r="J606" s="577" t="s">
        <v>42</v>
      </c>
      <c r="K606" s="577"/>
      <c r="L606" s="1035" t="s">
        <v>65</v>
      </c>
      <c r="M606" s="1036">
        <f>SUMIFS('Level of Efficiency Assumptions'!$J:$J,'Level of Efficiency Assumptions'!$D:$D,I606,'Level of Efficiency Assumptions'!$F:$F,J606,'Level of Efficiency Assumptions'!$I:$I,'Water Use Calcs'!L606)</f>
        <v>13.980821518350929</v>
      </c>
      <c r="N606" s="577"/>
      <c r="O606" s="1048">
        <f>SUMIFS('Detailed Fixture Data'!O:O,'Detailed Fixture Data'!C:C,G606,'Detailed Fixture Data'!E:E,I606,'Detailed Fixture Data'!F:F,J606,'Detailed Fixture Data'!L:L,L606)</f>
        <v>0</v>
      </c>
      <c r="P606" s="1049"/>
      <c r="Q606" s="577"/>
      <c r="R606" s="1039"/>
      <c r="S606" s="521"/>
      <c r="T606" s="225"/>
      <c r="U606" s="521"/>
      <c r="V606" s="1040"/>
      <c r="W606" s="1041"/>
    </row>
    <row r="607" spans="3:23" ht="15" thickBot="1" x14ac:dyDescent="0.35">
      <c r="C607" s="576"/>
      <c r="D607" s="494" t="s">
        <v>420</v>
      </c>
      <c r="E607" s="494"/>
      <c r="F607" s="182"/>
      <c r="G607" s="494" t="s">
        <v>422</v>
      </c>
      <c r="H607" s="577"/>
      <c r="I607" s="500" t="s">
        <v>39</v>
      </c>
      <c r="J607" s="116" t="s">
        <v>42</v>
      </c>
      <c r="K607" s="116"/>
      <c r="L607" s="1042" t="s">
        <v>66</v>
      </c>
      <c r="M607" s="1043">
        <f>SUMIFS('Level of Efficiency Assumptions'!$J:$J,'Level of Efficiency Assumptions'!$D:$D,I607,'Level of Efficiency Assumptions'!$F:$F,J607,'Level of Efficiency Assumptions'!$I:$I,'Water Use Calcs'!L607)</f>
        <v>0.59137254901960778</v>
      </c>
      <c r="N607" s="577"/>
      <c r="O607" s="1048">
        <f>SUMIFS('Detailed Fixture Data'!O:O,'Detailed Fixture Data'!C:C,G607,'Detailed Fixture Data'!E:E,I607,'Detailed Fixture Data'!F:F,J607,'Detailed Fixture Data'!L:L,L607)</f>
        <v>0</v>
      </c>
      <c r="P607" s="1049"/>
      <c r="Q607" s="577"/>
      <c r="R607" s="1039"/>
      <c r="S607" s="618"/>
      <c r="T607" s="225"/>
      <c r="U607" s="618"/>
      <c r="V607" s="1045"/>
      <c r="W607" s="1046"/>
    </row>
    <row r="608" spans="3:23" x14ac:dyDescent="0.3">
      <c r="C608" s="576"/>
      <c r="D608" s="494" t="s">
        <v>420</v>
      </c>
      <c r="E608" s="494"/>
      <c r="F608" s="182"/>
      <c r="G608" s="494" t="s">
        <v>422</v>
      </c>
      <c r="H608" s="651" t="str">
        <f>I608</f>
        <v>Maintenance</v>
      </c>
      <c r="I608" s="450" t="s">
        <v>43</v>
      </c>
      <c r="J608" s="577" t="s">
        <v>111</v>
      </c>
      <c r="K608" s="217" t="s">
        <v>424</v>
      </c>
      <c r="L608" s="1047" t="s">
        <v>64</v>
      </c>
      <c r="M608" s="1036">
        <f>SUMIFS('Level of Efficiency Assumptions'!$J:$J,'Level of Efficiency Assumptions'!$D:$D,I608,'Level of Efficiency Assumptions'!$F:$F,J608,'Level of Efficiency Assumptions'!$I:$I,'Water Use Calcs'!L608)</f>
        <v>100</v>
      </c>
      <c r="N608" s="567" t="s">
        <v>659</v>
      </c>
      <c r="O608" s="1048">
        <f>SUMIFS('Detailed Fixture Data'!O:O,'Detailed Fixture Data'!C:C,G608,'Detailed Fixture Data'!E:E,I608,'Detailed Fixture Data'!F:F,J608,'Detailed Fixture Data'!L:L,L608)</f>
        <v>0</v>
      </c>
      <c r="P608" s="1030">
        <f>SUMIFS('Intensity of Use Assumptions'!$J:$J,'Intensity of Use Assumptions'!$D:$D,I608,'Intensity of Use Assumptions'!$G:$G,J608,'Intensity of Use Assumptions'!H:H,K608)</f>
        <v>1</v>
      </c>
      <c r="Q608" s="567" t="s">
        <v>67</v>
      </c>
      <c r="R608" s="1032">
        <f>(SUMPRODUCT(M608:M610,O608:O610)*P608)</f>
        <v>0</v>
      </c>
      <c r="S608" s="1033">
        <f>IF(R608=0,0,M610*P608)</f>
        <v>0</v>
      </c>
      <c r="T608" s="225" t="str">
        <f>G608&amp;"-"&amp;J608</f>
        <v>Ground Transportation B-Boiler</v>
      </c>
      <c r="U608" s="1034">
        <f ca="1">IF(ISNA(VLOOKUP(T608,list!$AV$3:$AW$130,2,FALSE)),1,(VLOOKUP(T608,list!$AV$3:$AW$130,2,FALSE)))</f>
        <v>1</v>
      </c>
      <c r="V608" s="1033">
        <f ca="1">R608*U608</f>
        <v>0</v>
      </c>
      <c r="W608" s="1033">
        <f ca="1">S608*U608</f>
        <v>0</v>
      </c>
    </row>
    <row r="609" spans="3:23" x14ac:dyDescent="0.3">
      <c r="C609" s="576"/>
      <c r="D609" s="494" t="s">
        <v>420</v>
      </c>
      <c r="E609" s="494"/>
      <c r="F609" s="182"/>
      <c r="G609" s="494" t="s">
        <v>422</v>
      </c>
      <c r="H609" s="577"/>
      <c r="I609" s="450" t="s">
        <v>43</v>
      </c>
      <c r="J609" s="577" t="s">
        <v>111</v>
      </c>
      <c r="K609" s="382"/>
      <c r="L609" s="1035" t="s">
        <v>65</v>
      </c>
      <c r="M609" s="1036">
        <f>SUMIFS('Level of Efficiency Assumptions'!$J:$J,'Level of Efficiency Assumptions'!$D:$D,I609,'Level of Efficiency Assumptions'!$F:$F,J609,'Level of Efficiency Assumptions'!$I:$I,'Water Use Calcs'!L609)</f>
        <v>75</v>
      </c>
      <c r="N609" s="577"/>
      <c r="O609" s="1048">
        <f>SUMIFS('Detailed Fixture Data'!O:O,'Detailed Fixture Data'!C:C,G609,'Detailed Fixture Data'!E:E,I609,'Detailed Fixture Data'!F:F,J609,'Detailed Fixture Data'!L:L,L609)</f>
        <v>0</v>
      </c>
      <c r="P609" s="1049"/>
      <c r="Q609" s="577"/>
      <c r="R609" s="1039"/>
      <c r="S609" s="521"/>
      <c r="T609" s="225"/>
      <c r="U609" s="521"/>
      <c r="V609" s="1040"/>
      <c r="W609" s="1041"/>
    </row>
    <row r="610" spans="3:23" ht="15" thickBot="1" x14ac:dyDescent="0.35">
      <c r="C610" s="576"/>
      <c r="D610" s="494" t="s">
        <v>420</v>
      </c>
      <c r="E610" s="494"/>
      <c r="F610" s="182"/>
      <c r="G610" s="494" t="s">
        <v>422</v>
      </c>
      <c r="H610" s="577"/>
      <c r="I610" s="450" t="s">
        <v>43</v>
      </c>
      <c r="J610" s="116" t="s">
        <v>111</v>
      </c>
      <c r="K610" s="116"/>
      <c r="L610" s="1042" t="s">
        <v>66</v>
      </c>
      <c r="M610" s="1043">
        <f>SUMIFS('Level of Efficiency Assumptions'!$J:$J,'Level of Efficiency Assumptions'!$D:$D,I610,'Level of Efficiency Assumptions'!$F:$F,J610,'Level of Efficiency Assumptions'!$I:$I,'Water Use Calcs'!L610)</f>
        <v>50</v>
      </c>
      <c r="N610" s="577"/>
      <c r="O610" s="1048">
        <f>SUMIFS('Detailed Fixture Data'!O:O,'Detailed Fixture Data'!C:C,G610,'Detailed Fixture Data'!E:E,I610,'Detailed Fixture Data'!F:F,J610,'Detailed Fixture Data'!L:L,L610)</f>
        <v>0</v>
      </c>
      <c r="P610" s="1049"/>
      <c r="Q610" s="577"/>
      <c r="R610" s="1039"/>
      <c r="S610" s="618"/>
      <c r="T610" s="225"/>
      <c r="U610" s="618"/>
      <c r="V610" s="1045"/>
      <c r="W610" s="1046"/>
    </row>
    <row r="611" spans="3:23" x14ac:dyDescent="0.3">
      <c r="C611" s="576"/>
      <c r="D611" s="494" t="s">
        <v>420</v>
      </c>
      <c r="E611" s="494"/>
      <c r="F611" s="182"/>
      <c r="G611" s="494" t="s">
        <v>422</v>
      </c>
      <c r="H611" s="577"/>
      <c r="I611" s="450" t="s">
        <v>43</v>
      </c>
      <c r="J611" s="577" t="s">
        <v>7</v>
      </c>
      <c r="K611" s="215" t="s">
        <v>365</v>
      </c>
      <c r="L611" s="1012" t="s">
        <v>257</v>
      </c>
      <c r="M611" s="1050"/>
      <c r="N611" s="1050"/>
      <c r="O611" s="1050"/>
      <c r="P611" s="1051"/>
      <c r="Q611" s="981"/>
      <c r="R611" s="1052">
        <f>SUMIFS('Cooling Data'!H:H,'Cooling Data'!$C:$C,$G611,'Cooling Data'!$E:$E,$I611,'Cooling Data'!$F:$F,$J611)</f>
        <v>0</v>
      </c>
      <c r="S611" s="1052">
        <f>SUMIFS('Cooling Data'!J:J,'Cooling Data'!$C:$C,$G611,'Cooling Data'!$E:$E,$I611,'Cooling Data'!$F:$F,$J611)</f>
        <v>0</v>
      </c>
      <c r="T611" s="225" t="str">
        <f>G611&amp;"-"&amp;J611</f>
        <v>Ground Transportation B-Cooling</v>
      </c>
      <c r="U611" s="1034">
        <f ca="1">IF(ISNA(VLOOKUP(T611,list!$AV$3:$AW$130,2,FALSE)),1,(VLOOKUP(T611,list!$AV$3:$AW$130,2,FALSE)))</f>
        <v>1</v>
      </c>
      <c r="V611" s="1033">
        <f ca="1">R611*U611</f>
        <v>0</v>
      </c>
      <c r="W611" s="1033">
        <f ca="1">S611*U611</f>
        <v>0</v>
      </c>
    </row>
    <row r="612" spans="3:23" x14ac:dyDescent="0.3">
      <c r="C612" s="576"/>
      <c r="D612" s="494" t="s">
        <v>420</v>
      </c>
      <c r="E612" s="494"/>
      <c r="F612" s="182"/>
      <c r="G612" s="494" t="s">
        <v>422</v>
      </c>
      <c r="H612" s="577"/>
      <c r="I612" s="450" t="s">
        <v>43</v>
      </c>
      <c r="J612" s="577" t="s">
        <v>7</v>
      </c>
      <c r="K612" s="577"/>
      <c r="L612" s="206"/>
      <c r="M612" s="181"/>
      <c r="N612" s="181"/>
      <c r="O612" s="181"/>
      <c r="P612" s="1053"/>
      <c r="Q612" s="439"/>
      <c r="R612" s="1039"/>
      <c r="S612" s="521"/>
      <c r="T612" s="225"/>
      <c r="U612" s="521"/>
      <c r="V612" s="1040"/>
      <c r="W612" s="1041"/>
    </row>
    <row r="613" spans="3:23" ht="15" thickBot="1" x14ac:dyDescent="0.35">
      <c r="C613" s="576"/>
      <c r="D613" s="494" t="s">
        <v>420</v>
      </c>
      <c r="E613" s="494"/>
      <c r="F613" s="182"/>
      <c r="G613" s="494" t="s">
        <v>422</v>
      </c>
      <c r="H613" s="577"/>
      <c r="I613" s="450" t="s">
        <v>43</v>
      </c>
      <c r="J613" s="116" t="s">
        <v>7</v>
      </c>
      <c r="K613" s="116"/>
      <c r="L613" s="207"/>
      <c r="M613" s="924"/>
      <c r="N613" s="924"/>
      <c r="O613" s="924"/>
      <c r="P613" s="1054"/>
      <c r="Q613" s="606"/>
      <c r="R613" s="1039"/>
      <c r="S613" s="618"/>
      <c r="T613" s="225"/>
      <c r="U613" s="618"/>
      <c r="V613" s="1045"/>
      <c r="W613" s="1046"/>
    </row>
    <row r="614" spans="3:23" x14ac:dyDescent="0.3">
      <c r="C614" s="576"/>
      <c r="D614" s="494" t="s">
        <v>420</v>
      </c>
      <c r="E614" s="494"/>
      <c r="F614" s="182"/>
      <c r="G614" s="494" t="s">
        <v>422</v>
      </c>
      <c r="H614" s="577"/>
      <c r="I614" s="450" t="s">
        <v>43</v>
      </c>
      <c r="J614" s="577" t="s">
        <v>9</v>
      </c>
      <c r="K614" s="577" t="s">
        <v>3</v>
      </c>
      <c r="L614" s="1047" t="s">
        <v>64</v>
      </c>
      <c r="M614" s="1036">
        <f>SUMIFS('Level of Efficiency Assumptions'!$J:$J,'Level of Efficiency Assumptions'!$D:$D,I614,'Level of Efficiency Assumptions'!$F:$F,J614,'Level of Efficiency Assumptions'!$I:$I,'Water Use Calcs'!L614)</f>
        <v>80</v>
      </c>
      <c r="N614" s="567" t="s">
        <v>588</v>
      </c>
      <c r="O614" s="1048">
        <f>SUMIFS('Detailed Fixture Data'!O:O,'Detailed Fixture Data'!C:C,G614,'Detailed Fixture Data'!E:E,I614,'Detailed Fixture Data'!F:F,J614,'Detailed Fixture Data'!L:L,L614)</f>
        <v>0</v>
      </c>
      <c r="P614" s="1062">
        <f>SUMIFS('Intensity of Use Assumptions'!$J:$J,'Intensity of Use Assumptions'!$D:$D,I614,'Intensity of Use Assumptions'!$G:$G,J614,'Intensity of Use Assumptions'!H:H,K614)</f>
        <v>2.0000000000000001E-4</v>
      </c>
      <c r="Q614" s="567" t="s">
        <v>67</v>
      </c>
      <c r="R614" s="1032">
        <f>(SUMPRODUCT(M614:M616,O614:O616)*P614)</f>
        <v>0</v>
      </c>
      <c r="S614" s="1033">
        <f>IF(R614=0,0,M616*P614)</f>
        <v>0</v>
      </c>
      <c r="T614" s="225" t="str">
        <f>G614&amp;"-"&amp;J614</f>
        <v>Ground Transportation B-Vehicle washing</v>
      </c>
      <c r="U614" s="1034">
        <f ca="1">IF(ISNA(VLOOKUP(T614,list!$AV$3:$AW$130,2,FALSE)),1,(VLOOKUP(T614,list!$AV$3:$AW$130,2,FALSE)))</f>
        <v>1</v>
      </c>
      <c r="V614" s="1033">
        <f ca="1">R614*U614</f>
        <v>0</v>
      </c>
      <c r="W614" s="1033">
        <f ca="1">S614*U614</f>
        <v>0</v>
      </c>
    </row>
    <row r="615" spans="3:23" x14ac:dyDescent="0.3">
      <c r="C615" s="576"/>
      <c r="D615" s="494" t="s">
        <v>420</v>
      </c>
      <c r="E615" s="494"/>
      <c r="F615" s="182"/>
      <c r="G615" s="494" t="s">
        <v>422</v>
      </c>
      <c r="H615" s="577"/>
      <c r="I615" s="450" t="s">
        <v>43</v>
      </c>
      <c r="J615" s="577" t="s">
        <v>9</v>
      </c>
      <c r="K615" s="577"/>
      <c r="L615" s="1035" t="s">
        <v>65</v>
      </c>
      <c r="M615" s="1036">
        <f>SUMIFS('Level of Efficiency Assumptions'!$J:$J,'Level of Efficiency Assumptions'!$D:$D,I615,'Level of Efficiency Assumptions'!$F:$F,J615,'Level of Efficiency Assumptions'!$I:$I,'Water Use Calcs'!L615)</f>
        <v>40</v>
      </c>
      <c r="N615" s="577"/>
      <c r="O615" s="1048">
        <f>SUMIFS('Detailed Fixture Data'!O:O,'Detailed Fixture Data'!C:C,G615,'Detailed Fixture Data'!E:E,I615,'Detailed Fixture Data'!F:F,J615,'Detailed Fixture Data'!L:L,L615)</f>
        <v>0</v>
      </c>
      <c r="P615" s="1049"/>
      <c r="Q615" s="577"/>
      <c r="R615" s="1039"/>
      <c r="S615" s="521"/>
      <c r="T615" s="225"/>
      <c r="U615" s="521"/>
      <c r="V615" s="1040"/>
      <c r="W615" s="1041"/>
    </row>
    <row r="616" spans="3:23" ht="15" thickBot="1" x14ac:dyDescent="0.35">
      <c r="C616" s="576"/>
      <c r="D616" s="494" t="s">
        <v>420</v>
      </c>
      <c r="E616" s="494"/>
      <c r="F616" s="182"/>
      <c r="G616" s="494" t="s">
        <v>422</v>
      </c>
      <c r="H616" s="577"/>
      <c r="I616" s="450" t="s">
        <v>43</v>
      </c>
      <c r="J616" s="116" t="s">
        <v>9</v>
      </c>
      <c r="K616" s="116"/>
      <c r="L616" s="1042" t="s">
        <v>66</v>
      </c>
      <c r="M616" s="1043">
        <f>SUMIFS('Level of Efficiency Assumptions'!$J:$J,'Level of Efficiency Assumptions'!$D:$D,I616,'Level of Efficiency Assumptions'!$F:$F,J616,'Level of Efficiency Assumptions'!$I:$I,'Water Use Calcs'!L616)</f>
        <v>30</v>
      </c>
      <c r="N616" s="577"/>
      <c r="O616" s="1048">
        <f>SUMIFS('Detailed Fixture Data'!O:O,'Detailed Fixture Data'!C:C,G616,'Detailed Fixture Data'!E:E,I616,'Detailed Fixture Data'!F:F,J616,'Detailed Fixture Data'!L:L,L616)</f>
        <v>0</v>
      </c>
      <c r="P616" s="1049"/>
      <c r="Q616" s="577"/>
      <c r="R616" s="1039"/>
      <c r="S616" s="618"/>
      <c r="T616" s="225"/>
      <c r="U616" s="618"/>
      <c r="V616" s="1045"/>
      <c r="W616" s="1046"/>
    </row>
    <row r="617" spans="3:23" x14ac:dyDescent="0.3">
      <c r="C617" s="576"/>
      <c r="D617" s="494" t="s">
        <v>420</v>
      </c>
      <c r="E617" s="494"/>
      <c r="F617" s="182"/>
      <c r="G617" s="494" t="s">
        <v>422</v>
      </c>
      <c r="H617" s="577"/>
      <c r="I617" s="450" t="s">
        <v>43</v>
      </c>
      <c r="J617" s="577" t="s">
        <v>426</v>
      </c>
      <c r="K617" s="577" t="s">
        <v>3</v>
      </c>
      <c r="L617" s="1047" t="s">
        <v>64</v>
      </c>
      <c r="M617" s="1036">
        <f>SUMIFS('Level of Efficiency Assumptions'!$J:$J,'Level of Efficiency Assumptions'!$D:$D,I617,'Level of Efficiency Assumptions'!$F:$F,J617,'Level of Efficiency Assumptions'!$I:$I,'Water Use Calcs'!L617)</f>
        <v>10</v>
      </c>
      <c r="N617" s="567" t="s">
        <v>588</v>
      </c>
      <c r="O617" s="1048">
        <f>SUMIFS('Detailed Fixture Data'!O:O,'Detailed Fixture Data'!C:C,G617,'Detailed Fixture Data'!E:E,I617,'Detailed Fixture Data'!F:F,J617,'Detailed Fixture Data'!L:L,L617)</f>
        <v>0</v>
      </c>
      <c r="P617" s="1030">
        <f>SUMIFS('Intensity of Use Assumptions'!$J:$J,'Intensity of Use Assumptions'!$D:$D,I617,'Intensity of Use Assumptions'!$G:$G,J617,'Intensity of Use Assumptions'!H:H,K617)</f>
        <v>1E-3</v>
      </c>
      <c r="Q617" s="567" t="s">
        <v>67</v>
      </c>
      <c r="R617" s="1032">
        <f>(SUMPRODUCT(M617:M619,O617:O619)*P617)</f>
        <v>0</v>
      </c>
      <c r="S617" s="1033">
        <f>IF(R617=0,0,M619*P617)</f>
        <v>0</v>
      </c>
      <c r="T617" s="225" t="str">
        <f>G617&amp;"-"&amp;J617</f>
        <v>Ground Transportation B-Pavement cleaning</v>
      </c>
      <c r="U617" s="1034">
        <f ca="1">IF(ISNA(VLOOKUP(T617,list!$AV$3:$AW$130,2,FALSE)),1,(VLOOKUP(T617,list!$AV$3:$AW$130,2,FALSE)))</f>
        <v>1</v>
      </c>
      <c r="V617" s="1033">
        <f ca="1">R617*U617</f>
        <v>0</v>
      </c>
      <c r="W617" s="1033">
        <f ca="1">S617*U617</f>
        <v>0</v>
      </c>
    </row>
    <row r="618" spans="3:23" x14ac:dyDescent="0.3">
      <c r="C618" s="576"/>
      <c r="D618" s="494" t="s">
        <v>420</v>
      </c>
      <c r="E618" s="494"/>
      <c r="F618" s="182"/>
      <c r="G618" s="494" t="s">
        <v>422</v>
      </c>
      <c r="H618" s="577"/>
      <c r="I618" s="450" t="s">
        <v>43</v>
      </c>
      <c r="J618" s="577" t="s">
        <v>426</v>
      </c>
      <c r="K618" s="577"/>
      <c r="L618" s="1035" t="s">
        <v>65</v>
      </c>
      <c r="M618" s="1036">
        <f>SUMIFS('Level of Efficiency Assumptions'!$J:$J,'Level of Efficiency Assumptions'!$D:$D,I618,'Level of Efficiency Assumptions'!$F:$F,J618,'Level of Efficiency Assumptions'!$I:$I,'Water Use Calcs'!L618)</f>
        <v>7.5</v>
      </c>
      <c r="N618" s="577"/>
      <c r="O618" s="1048">
        <f>SUMIFS('Detailed Fixture Data'!O:O,'Detailed Fixture Data'!C:C,G618,'Detailed Fixture Data'!E:E,I618,'Detailed Fixture Data'!F:F,J618,'Detailed Fixture Data'!L:L,L618)</f>
        <v>0</v>
      </c>
      <c r="P618" s="1049"/>
      <c r="Q618" s="577"/>
      <c r="R618" s="1039"/>
      <c r="S618" s="521"/>
      <c r="T618" s="225"/>
      <c r="U618" s="521"/>
      <c r="V618" s="1040"/>
      <c r="W618" s="1041"/>
    </row>
    <row r="619" spans="3:23" ht="15" thickBot="1" x14ac:dyDescent="0.35">
      <c r="C619" s="576"/>
      <c r="D619" s="494" t="s">
        <v>420</v>
      </c>
      <c r="E619" s="494"/>
      <c r="F619" s="182"/>
      <c r="G619" s="494" t="s">
        <v>422</v>
      </c>
      <c r="H619" s="577"/>
      <c r="I619" s="451" t="s">
        <v>43</v>
      </c>
      <c r="J619" s="116" t="s">
        <v>426</v>
      </c>
      <c r="K619" s="116"/>
      <c r="L619" s="1042" t="s">
        <v>66</v>
      </c>
      <c r="M619" s="1043">
        <f>SUMIFS('Level of Efficiency Assumptions'!$J:$J,'Level of Efficiency Assumptions'!$D:$D,I619,'Level of Efficiency Assumptions'!$F:$F,J619,'Level of Efficiency Assumptions'!$I:$I,'Water Use Calcs'!L619)</f>
        <v>5</v>
      </c>
      <c r="N619" s="577"/>
      <c r="O619" s="1048">
        <f>SUMIFS('Detailed Fixture Data'!O:O,'Detailed Fixture Data'!C:C,G619,'Detailed Fixture Data'!E:E,I619,'Detailed Fixture Data'!F:F,J619,'Detailed Fixture Data'!L:L,L619)</f>
        <v>0</v>
      </c>
      <c r="P619" s="1049"/>
      <c r="Q619" s="577"/>
      <c r="R619" s="1039"/>
      <c r="S619" s="618"/>
      <c r="T619" s="225"/>
      <c r="U619" s="618"/>
      <c r="V619" s="1045"/>
      <c r="W619" s="1046"/>
    </row>
    <row r="620" spans="3:23" x14ac:dyDescent="0.3">
      <c r="C620" s="576"/>
      <c r="D620" s="494" t="s">
        <v>420</v>
      </c>
      <c r="E620" s="494"/>
      <c r="F620" s="182"/>
      <c r="G620" s="494" t="s">
        <v>422</v>
      </c>
      <c r="H620" s="651" t="str">
        <f>I620</f>
        <v>Other</v>
      </c>
      <c r="I620" s="450" t="s">
        <v>8</v>
      </c>
      <c r="J620" s="577" t="s">
        <v>52</v>
      </c>
      <c r="K620" s="387" t="s">
        <v>362</v>
      </c>
      <c r="L620" s="1047" t="s">
        <v>64</v>
      </c>
      <c r="M620" s="1036">
        <f>SUMIFS('Level of Efficiency Assumptions'!$J:$J,'Level of Efficiency Assumptions'!$D:$D,I620,'Level of Efficiency Assumptions'!$F:$F,J620,'Level of Efficiency Assumptions'!$I:$I,'Water Use Calcs'!L620)</f>
        <v>10</v>
      </c>
      <c r="N620" s="567" t="s">
        <v>660</v>
      </c>
      <c r="O620" s="1048">
        <f>SUMIFS('Detailed Fixture Data'!O:O,'Detailed Fixture Data'!C:C,G620,'Detailed Fixture Data'!E:E,I620,'Detailed Fixture Data'!F:F,J620,'Detailed Fixture Data'!L:L,L620)</f>
        <v>0</v>
      </c>
      <c r="P620" s="1030">
        <f>SUMIFS('Intensity of Use Assumptions'!$J:$J,'Intensity of Use Assumptions'!$D:$D,I620,'Intensity of Use Assumptions'!$G:$G,J620,'Intensity of Use Assumptions'!H:H,K620)</f>
        <v>1</v>
      </c>
      <c r="Q620" s="567" t="s">
        <v>67</v>
      </c>
      <c r="R620" s="1032">
        <f>(SUMPRODUCT(M620:M622,O620:O622)*P620)</f>
        <v>0</v>
      </c>
      <c r="S620" s="1033">
        <f>IF(R620=0,0,M622*P620)</f>
        <v>0</v>
      </c>
      <c r="T620" s="225" t="str">
        <f>G620&amp;"-"&amp;J620</f>
        <v>Ground Transportation B-Other 1</v>
      </c>
      <c r="U620" s="1034">
        <f ca="1">IF(ISNA(VLOOKUP(T620,list!$AV$3:$AW$130,2,FALSE)),1,(VLOOKUP(T620,list!$AV$3:$AW$130,2,FALSE)))</f>
        <v>1</v>
      </c>
      <c r="V620" s="1033">
        <f ca="1">R620*U620</f>
        <v>0</v>
      </c>
      <c r="W620" s="1033">
        <f ca="1">S620*U620</f>
        <v>0</v>
      </c>
    </row>
    <row r="621" spans="3:23" x14ac:dyDescent="0.3">
      <c r="C621" s="576"/>
      <c r="D621" s="494" t="s">
        <v>420</v>
      </c>
      <c r="E621" s="494"/>
      <c r="F621" s="182"/>
      <c r="G621" s="494" t="s">
        <v>422</v>
      </c>
      <c r="H621" s="577"/>
      <c r="I621" s="450" t="s">
        <v>8</v>
      </c>
      <c r="J621" s="577" t="s">
        <v>52</v>
      </c>
      <c r="K621" s="382"/>
      <c r="L621" s="1035" t="s">
        <v>65</v>
      </c>
      <c r="M621" s="1036">
        <f>SUMIFS('Level of Efficiency Assumptions'!$J:$J,'Level of Efficiency Assumptions'!$D:$D,I621,'Level of Efficiency Assumptions'!$F:$F,J621,'Level of Efficiency Assumptions'!$I:$I,'Water Use Calcs'!L621)</f>
        <v>7.5</v>
      </c>
      <c r="N621" s="577"/>
      <c r="O621" s="1048">
        <f>SUMIFS('Detailed Fixture Data'!O:O,'Detailed Fixture Data'!C:C,G621,'Detailed Fixture Data'!E:E,I621,'Detailed Fixture Data'!F:F,J621,'Detailed Fixture Data'!L:L,L621)</f>
        <v>0</v>
      </c>
      <c r="P621" s="1049"/>
      <c r="Q621" s="577"/>
      <c r="R621" s="1039"/>
      <c r="S621" s="521"/>
      <c r="T621" s="225"/>
      <c r="U621" s="521"/>
      <c r="V621" s="1040"/>
      <c r="W621" s="1041"/>
    </row>
    <row r="622" spans="3:23" ht="15" thickBot="1" x14ac:dyDescent="0.35">
      <c r="C622" s="576"/>
      <c r="D622" s="494" t="s">
        <v>420</v>
      </c>
      <c r="E622" s="494"/>
      <c r="F622" s="182"/>
      <c r="G622" s="494" t="s">
        <v>422</v>
      </c>
      <c r="H622" s="577"/>
      <c r="I622" s="450" t="s">
        <v>8</v>
      </c>
      <c r="J622" s="116" t="s">
        <v>52</v>
      </c>
      <c r="K622" s="382"/>
      <c r="L622" s="1042" t="s">
        <v>66</v>
      </c>
      <c r="M622" s="1043">
        <f>SUMIFS('Level of Efficiency Assumptions'!$J:$J,'Level of Efficiency Assumptions'!$D:$D,I622,'Level of Efficiency Assumptions'!$F:$F,J622,'Level of Efficiency Assumptions'!$I:$I,'Water Use Calcs'!L622)</f>
        <v>5</v>
      </c>
      <c r="N622" s="577"/>
      <c r="O622" s="1048">
        <f>SUMIFS('Detailed Fixture Data'!O:O,'Detailed Fixture Data'!C:C,G622,'Detailed Fixture Data'!E:E,I622,'Detailed Fixture Data'!F:F,J622,'Detailed Fixture Data'!L:L,L622)</f>
        <v>0</v>
      </c>
      <c r="P622" s="1049"/>
      <c r="Q622" s="577"/>
      <c r="R622" s="1039"/>
      <c r="S622" s="618"/>
      <c r="T622" s="225"/>
      <c r="U622" s="618"/>
      <c r="V622" s="1045"/>
      <c r="W622" s="1046"/>
    </row>
    <row r="623" spans="3:23" x14ac:dyDescent="0.3">
      <c r="C623" s="576"/>
      <c r="D623" s="494" t="s">
        <v>420</v>
      </c>
      <c r="E623" s="494"/>
      <c r="F623" s="182"/>
      <c r="G623" s="494" t="s">
        <v>422</v>
      </c>
      <c r="H623" s="577"/>
      <c r="I623" s="450" t="s">
        <v>8</v>
      </c>
      <c r="J623" s="577" t="s">
        <v>53</v>
      </c>
      <c r="K623" s="1055" t="s">
        <v>363</v>
      </c>
      <c r="L623" s="1047" t="s">
        <v>64</v>
      </c>
      <c r="M623" s="1036">
        <f>SUMIFS('Level of Efficiency Assumptions'!$J:$J,'Level of Efficiency Assumptions'!$D:$D,I623,'Level of Efficiency Assumptions'!$F:$F,J623,'Level of Efficiency Assumptions'!$I:$I,'Water Use Calcs'!L623)</f>
        <v>10</v>
      </c>
      <c r="N623" s="567" t="s">
        <v>660</v>
      </c>
      <c r="O623" s="1048">
        <f>SUMIFS('Detailed Fixture Data'!O:O,'Detailed Fixture Data'!C:C,G623,'Detailed Fixture Data'!E:E,I623,'Detailed Fixture Data'!F:F,J623,'Detailed Fixture Data'!L:L,L623)</f>
        <v>0</v>
      </c>
      <c r="P623" s="1030">
        <f>SUMIFS('Intensity of Use Assumptions'!$J:$J,'Intensity of Use Assumptions'!$D:$D,I623,'Intensity of Use Assumptions'!$G:$G,J623,'Intensity of Use Assumptions'!H:H,K623)</f>
        <v>1</v>
      </c>
      <c r="Q623" s="567" t="s">
        <v>67</v>
      </c>
      <c r="R623" s="1032">
        <f>(SUMPRODUCT(M623:M625,O623:O625)*P623)</f>
        <v>0</v>
      </c>
      <c r="S623" s="1033">
        <f>IF(R623=0,0,M625*P623)</f>
        <v>0</v>
      </c>
      <c r="T623" s="225" t="str">
        <f>G623&amp;"-"&amp;J623</f>
        <v>Ground Transportation B-Other 2</v>
      </c>
      <c r="U623" s="1034">
        <f ca="1">IF(ISNA(VLOOKUP(T623,list!$AV$3:$AW$130,2,FALSE)),1,(VLOOKUP(T623,list!$AV$3:$AW$130,2,FALSE)))</f>
        <v>1</v>
      </c>
      <c r="V623" s="1033">
        <f ca="1">R623*U623</f>
        <v>0</v>
      </c>
      <c r="W623" s="1033">
        <f ca="1">S623*U623</f>
        <v>0</v>
      </c>
    </row>
    <row r="624" spans="3:23" x14ac:dyDescent="0.3">
      <c r="C624" s="576"/>
      <c r="D624" s="494" t="s">
        <v>420</v>
      </c>
      <c r="E624" s="494"/>
      <c r="F624" s="182"/>
      <c r="G624" s="494" t="s">
        <v>422</v>
      </c>
      <c r="H624" s="577"/>
      <c r="I624" s="450" t="s">
        <v>8</v>
      </c>
      <c r="J624" s="577" t="s">
        <v>53</v>
      </c>
      <c r="K624" s="577"/>
      <c r="L624" s="1035" t="s">
        <v>65</v>
      </c>
      <c r="M624" s="1036">
        <f>SUMIFS('Level of Efficiency Assumptions'!$J:$J,'Level of Efficiency Assumptions'!$D:$D,I624,'Level of Efficiency Assumptions'!$F:$F,J624,'Level of Efficiency Assumptions'!$I:$I,'Water Use Calcs'!L624)</f>
        <v>7.5</v>
      </c>
      <c r="N624" s="577"/>
      <c r="O624" s="1048">
        <f>SUMIFS('Detailed Fixture Data'!O:O,'Detailed Fixture Data'!C:C,G624,'Detailed Fixture Data'!E:E,I624,'Detailed Fixture Data'!F:F,J624,'Detailed Fixture Data'!L:L,L624)</f>
        <v>0</v>
      </c>
      <c r="P624" s="1049"/>
      <c r="Q624" s="577"/>
      <c r="R624" s="1039"/>
      <c r="S624" s="521"/>
      <c r="T624" s="225"/>
      <c r="U624" s="521"/>
      <c r="V624" s="1040"/>
      <c r="W624" s="1041"/>
    </row>
    <row r="625" spans="3:23" ht="15" thickBot="1" x14ac:dyDescent="0.35">
      <c r="C625" s="576"/>
      <c r="D625" s="494" t="s">
        <v>420</v>
      </c>
      <c r="E625" s="494"/>
      <c r="F625" s="182"/>
      <c r="G625" s="494" t="s">
        <v>422</v>
      </c>
      <c r="H625" s="577"/>
      <c r="I625" s="450" t="s">
        <v>8</v>
      </c>
      <c r="J625" s="116" t="s">
        <v>53</v>
      </c>
      <c r="K625" s="116"/>
      <c r="L625" s="1042" t="s">
        <v>66</v>
      </c>
      <c r="M625" s="1043">
        <f>SUMIFS('Level of Efficiency Assumptions'!$J:$J,'Level of Efficiency Assumptions'!$D:$D,I625,'Level of Efficiency Assumptions'!$F:$F,J625,'Level of Efficiency Assumptions'!$I:$I,'Water Use Calcs'!L625)</f>
        <v>5</v>
      </c>
      <c r="N625" s="577"/>
      <c r="O625" s="1048">
        <f>SUMIFS('Detailed Fixture Data'!O:O,'Detailed Fixture Data'!C:C,G625,'Detailed Fixture Data'!E:E,I625,'Detailed Fixture Data'!F:F,J625,'Detailed Fixture Data'!L:L,L625)</f>
        <v>0</v>
      </c>
      <c r="P625" s="1049"/>
      <c r="Q625" s="577"/>
      <c r="R625" s="1039"/>
      <c r="S625" s="618"/>
      <c r="T625" s="225"/>
      <c r="U625" s="618"/>
      <c r="V625" s="1045"/>
      <c r="W625" s="1046"/>
    </row>
    <row r="626" spans="3:23" x14ac:dyDescent="0.3">
      <c r="C626" s="576"/>
      <c r="D626" s="494" t="s">
        <v>420</v>
      </c>
      <c r="E626" s="494"/>
      <c r="F626" s="182"/>
      <c r="G626" s="494" t="s">
        <v>422</v>
      </c>
      <c r="H626" s="577"/>
      <c r="I626" s="450" t="s">
        <v>8</v>
      </c>
      <c r="J626" s="577" t="s">
        <v>54</v>
      </c>
      <c r="K626" s="379" t="s">
        <v>364</v>
      </c>
      <c r="L626" s="1047" t="s">
        <v>64</v>
      </c>
      <c r="M626" s="1036">
        <f>SUMIFS('Level of Efficiency Assumptions'!$J:$J,'Level of Efficiency Assumptions'!$D:$D,I626,'Level of Efficiency Assumptions'!$F:$F,J626,'Level of Efficiency Assumptions'!$I:$I,'Water Use Calcs'!L626)</f>
        <v>10</v>
      </c>
      <c r="N626" s="567" t="s">
        <v>660</v>
      </c>
      <c r="O626" s="1048">
        <f>SUMIFS('Detailed Fixture Data'!O:O,'Detailed Fixture Data'!C:C,G626,'Detailed Fixture Data'!E:E,I626,'Detailed Fixture Data'!F:F,J626,'Detailed Fixture Data'!L:L,L626)</f>
        <v>0</v>
      </c>
      <c r="P626" s="1030">
        <f>SUMIFS('Intensity of Use Assumptions'!$J:$J,'Intensity of Use Assumptions'!$D:$D,I626,'Intensity of Use Assumptions'!$G:$G,J626,'Intensity of Use Assumptions'!H:H,K626)</f>
        <v>1</v>
      </c>
      <c r="Q626" s="567" t="s">
        <v>67</v>
      </c>
      <c r="R626" s="1032">
        <f>(SUMPRODUCT(M626:M628,O626:O628)*P626)</f>
        <v>0</v>
      </c>
      <c r="S626" s="1033">
        <f>IF(R626=0,0,M628*P626)</f>
        <v>0</v>
      </c>
      <c r="T626" s="225" t="str">
        <f>G626&amp;"-"&amp;J626</f>
        <v>Ground Transportation B-Other 3</v>
      </c>
      <c r="U626" s="1034">
        <f ca="1">IF(ISNA(VLOOKUP(T626,list!$AV$3:$AW$130,2,FALSE)),1,(VLOOKUP(T626,list!$AV$3:$AW$130,2,FALSE)))</f>
        <v>1</v>
      </c>
      <c r="V626" s="1033">
        <f ca="1">R626*U626</f>
        <v>0</v>
      </c>
      <c r="W626" s="1033">
        <f ca="1">S626*U626</f>
        <v>0</v>
      </c>
    </row>
    <row r="627" spans="3:23" x14ac:dyDescent="0.3">
      <c r="C627" s="576"/>
      <c r="D627" s="494" t="s">
        <v>420</v>
      </c>
      <c r="E627" s="494"/>
      <c r="F627" s="182"/>
      <c r="G627" s="494" t="s">
        <v>422</v>
      </c>
      <c r="H627" s="577"/>
      <c r="I627" s="450" t="s">
        <v>8</v>
      </c>
      <c r="J627" s="577" t="s">
        <v>54</v>
      </c>
      <c r="K627" s="577"/>
      <c r="L627" s="1035" t="s">
        <v>65</v>
      </c>
      <c r="M627" s="1036">
        <f>SUMIFS('Level of Efficiency Assumptions'!$J:$J,'Level of Efficiency Assumptions'!$D:$D,I627,'Level of Efficiency Assumptions'!$F:$F,J627,'Level of Efficiency Assumptions'!$I:$I,'Water Use Calcs'!L627)</f>
        <v>7.5</v>
      </c>
      <c r="N627" s="577"/>
      <c r="O627" s="1048">
        <f>SUMIFS('Detailed Fixture Data'!O:O,'Detailed Fixture Data'!C:C,G627,'Detailed Fixture Data'!E:E,I627,'Detailed Fixture Data'!F:F,J627,'Detailed Fixture Data'!L:L,L627)</f>
        <v>0</v>
      </c>
      <c r="P627" s="1049"/>
      <c r="Q627" s="577"/>
      <c r="R627" s="1039"/>
      <c r="S627" s="521"/>
      <c r="T627" s="225"/>
      <c r="U627" s="521"/>
      <c r="V627" s="1040"/>
      <c r="W627" s="1041"/>
    </row>
    <row r="628" spans="3:23" ht="15" thickBot="1" x14ac:dyDescent="0.35">
      <c r="C628" s="576"/>
      <c r="D628" s="501" t="s">
        <v>420</v>
      </c>
      <c r="E628" s="501"/>
      <c r="F628" s="184"/>
      <c r="G628" s="501" t="s">
        <v>422</v>
      </c>
      <c r="H628" s="577"/>
      <c r="I628" s="450" t="s">
        <v>8</v>
      </c>
      <c r="J628" s="577" t="s">
        <v>54</v>
      </c>
      <c r="K628" s="577"/>
      <c r="L628" s="1056" t="s">
        <v>66</v>
      </c>
      <c r="M628" s="1043">
        <f>SUMIFS('Level of Efficiency Assumptions'!$J:$J,'Level of Efficiency Assumptions'!$D:$D,I628,'Level of Efficiency Assumptions'!$F:$F,J628,'Level of Efficiency Assumptions'!$I:$I,'Water Use Calcs'!L628)</f>
        <v>5</v>
      </c>
      <c r="N628" s="577"/>
      <c r="O628" s="1048">
        <f>SUMIFS('Detailed Fixture Data'!O:O,'Detailed Fixture Data'!C:C,G628,'Detailed Fixture Data'!E:E,I628,'Detailed Fixture Data'!F:F,J628,'Detailed Fixture Data'!L:L,L628)</f>
        <v>0</v>
      </c>
      <c r="P628" s="1049"/>
      <c r="Q628" s="577"/>
      <c r="R628" s="1039"/>
      <c r="S628" s="618"/>
      <c r="T628" s="225"/>
      <c r="U628" s="618"/>
      <c r="V628" s="1045"/>
      <c r="W628" s="1046"/>
    </row>
    <row r="629" spans="3:23" x14ac:dyDescent="0.3">
      <c r="C629" s="651" t="str">
        <f>D629</f>
        <v>Parking</v>
      </c>
      <c r="D629" s="566" t="s">
        <v>13</v>
      </c>
      <c r="E629" s="619" t="str">
        <f>G629</f>
        <v>Parking A</v>
      </c>
      <c r="F629" s="565" t="str">
        <f>VLOOKUP(E629,'Airport Mapping'!$C$5:$D$39,2,FALSE)</f>
        <v xml:space="preserve"> </v>
      </c>
      <c r="G629" s="494" t="s">
        <v>91</v>
      </c>
      <c r="H629" s="651" t="str">
        <f>I629</f>
        <v>Landscaping</v>
      </c>
      <c r="I629" s="454" t="s">
        <v>39</v>
      </c>
      <c r="J629" s="567" t="s">
        <v>42</v>
      </c>
      <c r="K629" s="567" t="s">
        <v>32</v>
      </c>
      <c r="L629" s="1028" t="s">
        <v>64</v>
      </c>
      <c r="M629" s="1036">
        <f>SUMIFS('Level of Efficiency Assumptions'!$J:$J,'Level of Efficiency Assumptions'!$D:$D,I629,'Level of Efficiency Assumptions'!$F:$F,J629,'Level of Efficiency Assumptions'!$I:$I,'Water Use Calcs'!L629)</f>
        <v>28.6</v>
      </c>
      <c r="N629" s="567" t="s">
        <v>816</v>
      </c>
      <c r="O629" s="1048">
        <f>SUMIFS('Detailed Fixture Data'!O:O,'Detailed Fixture Data'!C:C,G629,'Detailed Fixture Data'!E:E,I629,'Detailed Fixture Data'!F:F,J629,'Detailed Fixture Data'!L:L,L629)</f>
        <v>0</v>
      </c>
      <c r="P629" s="1030">
        <f>SUMIFS('Intensity of Use Assumptions'!$J:$J,'Intensity of Use Assumptions'!$D:$D,I629,'Intensity of Use Assumptions'!$G:$G,J629,'Intensity of Use Assumptions'!H:H,K629,'Intensity of Use Assumptions'!F:F,D629)</f>
        <v>2.7397260273972603E-3</v>
      </c>
      <c r="Q629" s="567" t="s">
        <v>67</v>
      </c>
      <c r="R629" s="1032">
        <f>(SUMPRODUCT(M629:M631,O629:O631)*P629)</f>
        <v>0</v>
      </c>
      <c r="S629" s="1033">
        <f>IF(R629=0,0,M631*P629)</f>
        <v>0</v>
      </c>
      <c r="T629" s="225" t="str">
        <f>G629&amp;"-"&amp;J629</f>
        <v>Parking A-Outdoor irrigation</v>
      </c>
      <c r="U629" s="1034">
        <f ca="1">IF(ISNA(VLOOKUP(T629,list!$AV$3:$AW$130,2,FALSE)),1,(VLOOKUP(T629,list!$AV$3:$AW$130,2,FALSE)))</f>
        <v>1</v>
      </c>
      <c r="V629" s="1033">
        <f ca="1">R629*U629</f>
        <v>0</v>
      </c>
      <c r="W629" s="1033">
        <f ca="1">S629*U629</f>
        <v>0</v>
      </c>
    </row>
    <row r="630" spans="3:23" x14ac:dyDescent="0.3">
      <c r="C630" s="576"/>
      <c r="D630" s="494" t="s">
        <v>13</v>
      </c>
      <c r="E630" s="494"/>
      <c r="F630" s="181"/>
      <c r="G630" s="494" t="s">
        <v>91</v>
      </c>
      <c r="H630" s="577"/>
      <c r="I630" s="450" t="s">
        <v>39</v>
      </c>
      <c r="J630" s="577" t="s">
        <v>42</v>
      </c>
      <c r="K630" s="577"/>
      <c r="L630" s="1035" t="s">
        <v>65</v>
      </c>
      <c r="M630" s="1036">
        <f>SUMIFS('Level of Efficiency Assumptions'!$J:$J,'Level of Efficiency Assumptions'!$D:$D,I630,'Level of Efficiency Assumptions'!$F:$F,J630,'Level of Efficiency Assumptions'!$I:$I,'Water Use Calcs'!L630)</f>
        <v>13.980821518350929</v>
      </c>
      <c r="N630" s="577"/>
      <c r="O630" s="1048">
        <f>SUMIFS('Detailed Fixture Data'!O:O,'Detailed Fixture Data'!C:C,G630,'Detailed Fixture Data'!E:E,I630,'Detailed Fixture Data'!F:F,J630,'Detailed Fixture Data'!L:L,L630)</f>
        <v>0</v>
      </c>
      <c r="P630" s="1049"/>
      <c r="Q630" s="577"/>
      <c r="R630" s="1039"/>
      <c r="S630" s="521"/>
      <c r="T630" s="225"/>
      <c r="U630" s="521"/>
      <c r="V630" s="1040"/>
      <c r="W630" s="1041"/>
    </row>
    <row r="631" spans="3:23" ht="15" thickBot="1" x14ac:dyDescent="0.35">
      <c r="C631" s="576"/>
      <c r="D631" s="494" t="s">
        <v>13</v>
      </c>
      <c r="E631" s="494"/>
      <c r="F631" s="181"/>
      <c r="G631" s="494" t="s">
        <v>91</v>
      </c>
      <c r="H631" s="577"/>
      <c r="I631" s="451" t="s">
        <v>39</v>
      </c>
      <c r="J631" s="116" t="s">
        <v>42</v>
      </c>
      <c r="K631" s="116"/>
      <c r="L631" s="1042" t="s">
        <v>66</v>
      </c>
      <c r="M631" s="1043">
        <f>SUMIFS('Level of Efficiency Assumptions'!$J:$J,'Level of Efficiency Assumptions'!$D:$D,I631,'Level of Efficiency Assumptions'!$F:$F,J631,'Level of Efficiency Assumptions'!$I:$I,'Water Use Calcs'!L631)</f>
        <v>0.59137254901960778</v>
      </c>
      <c r="N631" s="577"/>
      <c r="O631" s="1048">
        <f>SUMIFS('Detailed Fixture Data'!O:O,'Detailed Fixture Data'!C:C,G631,'Detailed Fixture Data'!E:E,I631,'Detailed Fixture Data'!F:F,J631,'Detailed Fixture Data'!L:L,L631)</f>
        <v>0</v>
      </c>
      <c r="P631" s="1049"/>
      <c r="Q631" s="577"/>
      <c r="R631" s="1039"/>
      <c r="S631" s="618"/>
      <c r="T631" s="225"/>
      <c r="U631" s="618"/>
      <c r="V631" s="1045"/>
      <c r="W631" s="1046"/>
    </row>
    <row r="632" spans="3:23" x14ac:dyDescent="0.3">
      <c r="C632" s="576"/>
      <c r="D632" s="494" t="s">
        <v>13</v>
      </c>
      <c r="E632" s="494"/>
      <c r="F632" s="181"/>
      <c r="G632" s="494" t="s">
        <v>91</v>
      </c>
      <c r="H632" s="651" t="str">
        <f>I632</f>
        <v>Maintenance</v>
      </c>
      <c r="I632" s="450" t="s">
        <v>43</v>
      </c>
      <c r="J632" s="577" t="s">
        <v>9</v>
      </c>
      <c r="K632" s="382" t="s">
        <v>282</v>
      </c>
      <c r="L632" s="1047" t="s">
        <v>64</v>
      </c>
      <c r="M632" s="1036">
        <f>SUMIFS('Level of Efficiency Assumptions'!$J:$J,'Level of Efficiency Assumptions'!$D:$D,I632,'Level of Efficiency Assumptions'!$F:$F,J632,'Level of Efficiency Assumptions'!$I:$I,'Water Use Calcs'!L632)</f>
        <v>80</v>
      </c>
      <c r="N632" s="567" t="s">
        <v>588</v>
      </c>
      <c r="O632" s="1048">
        <f>SUMIFS('Detailed Fixture Data'!O:O,'Detailed Fixture Data'!C:C,G632,'Detailed Fixture Data'!E:E,I632,'Detailed Fixture Data'!F:F,J632,'Detailed Fixture Data'!L:L,L632)</f>
        <v>0</v>
      </c>
      <c r="P632" s="1062">
        <f>SUMIFS('Intensity of Use Assumptions'!$J:$J,'Intensity of Use Assumptions'!$D:$D,I632,'Intensity of Use Assumptions'!$G:$G,J632,'Intensity of Use Assumptions'!H:H,K632)</f>
        <v>2.0000000000000001E-4</v>
      </c>
      <c r="Q632" s="567" t="s">
        <v>815</v>
      </c>
      <c r="R632" s="1032">
        <f>(SUMPRODUCT(M632:M634,O632:O634)*P632)</f>
        <v>0</v>
      </c>
      <c r="S632" s="1033">
        <f>IF(R632=0,0,M634*P632)</f>
        <v>0</v>
      </c>
      <c r="T632" s="225" t="str">
        <f>G632&amp;"-"&amp;J632</f>
        <v>Parking A-Vehicle washing</v>
      </c>
      <c r="U632" s="1034">
        <f ca="1">IF(ISNA(VLOOKUP(T632,list!$AV$3:$AW$130,2,FALSE)),1,(VLOOKUP(T632,list!$AV$3:$AW$130,2,FALSE)))</f>
        <v>1</v>
      </c>
      <c r="V632" s="1033">
        <f ca="1">R632*U632</f>
        <v>0</v>
      </c>
      <c r="W632" s="1033">
        <f ca="1">S632*U632</f>
        <v>0</v>
      </c>
    </row>
    <row r="633" spans="3:23" x14ac:dyDescent="0.3">
      <c r="C633" s="576"/>
      <c r="D633" s="494" t="s">
        <v>13</v>
      </c>
      <c r="E633" s="494"/>
      <c r="F633" s="181"/>
      <c r="G633" s="494" t="s">
        <v>91</v>
      </c>
      <c r="H633" s="577"/>
      <c r="I633" s="450" t="s">
        <v>43</v>
      </c>
      <c r="J633" s="577" t="s">
        <v>9</v>
      </c>
      <c r="K633" s="577"/>
      <c r="L633" s="1035" t="s">
        <v>65</v>
      </c>
      <c r="M633" s="1036">
        <f>SUMIFS('Level of Efficiency Assumptions'!$J:$J,'Level of Efficiency Assumptions'!$D:$D,I633,'Level of Efficiency Assumptions'!$F:$F,J633,'Level of Efficiency Assumptions'!$I:$I,'Water Use Calcs'!L633)</f>
        <v>40</v>
      </c>
      <c r="N633" s="577"/>
      <c r="O633" s="1048">
        <f>SUMIFS('Detailed Fixture Data'!O:O,'Detailed Fixture Data'!C:C,G633,'Detailed Fixture Data'!E:E,I633,'Detailed Fixture Data'!F:F,J633,'Detailed Fixture Data'!L:L,L633)</f>
        <v>0</v>
      </c>
      <c r="P633" s="1049"/>
      <c r="Q633" s="577"/>
      <c r="R633" s="1039"/>
      <c r="S633" s="521"/>
      <c r="T633" s="225"/>
      <c r="U633" s="521"/>
      <c r="V633" s="1040"/>
      <c r="W633" s="1041"/>
    </row>
    <row r="634" spans="3:23" ht="15" thickBot="1" x14ac:dyDescent="0.35">
      <c r="C634" s="576"/>
      <c r="D634" s="494" t="s">
        <v>13</v>
      </c>
      <c r="E634" s="494"/>
      <c r="F634" s="181"/>
      <c r="G634" s="494" t="s">
        <v>91</v>
      </c>
      <c r="H634" s="577"/>
      <c r="I634" s="450" t="s">
        <v>43</v>
      </c>
      <c r="J634" s="116" t="s">
        <v>9</v>
      </c>
      <c r="K634" s="116"/>
      <c r="L634" s="1042" t="s">
        <v>66</v>
      </c>
      <c r="M634" s="1043">
        <f>SUMIFS('Level of Efficiency Assumptions'!$J:$J,'Level of Efficiency Assumptions'!$D:$D,I634,'Level of Efficiency Assumptions'!$F:$F,J634,'Level of Efficiency Assumptions'!$I:$I,'Water Use Calcs'!L634)</f>
        <v>30</v>
      </c>
      <c r="N634" s="577"/>
      <c r="O634" s="1048">
        <f>SUMIFS('Detailed Fixture Data'!O:O,'Detailed Fixture Data'!C:C,G634,'Detailed Fixture Data'!E:E,I634,'Detailed Fixture Data'!F:F,J634,'Detailed Fixture Data'!L:L,L634)</f>
        <v>0</v>
      </c>
      <c r="P634" s="1049"/>
      <c r="Q634" s="577"/>
      <c r="R634" s="1039"/>
      <c r="S634" s="618"/>
      <c r="T634" s="225"/>
      <c r="U634" s="618"/>
      <c r="V634" s="1045"/>
      <c r="W634" s="1046"/>
    </row>
    <row r="635" spans="3:23" x14ac:dyDescent="0.3">
      <c r="C635" s="576"/>
      <c r="D635" s="494" t="s">
        <v>13</v>
      </c>
      <c r="E635" s="494"/>
      <c r="F635" s="181"/>
      <c r="G635" s="494" t="s">
        <v>91</v>
      </c>
      <c r="H635" s="577"/>
      <c r="I635" s="450" t="s">
        <v>43</v>
      </c>
      <c r="J635" s="577" t="s">
        <v>426</v>
      </c>
      <c r="K635" s="382" t="s">
        <v>282</v>
      </c>
      <c r="L635" s="1047" t="s">
        <v>64</v>
      </c>
      <c r="M635" s="1036">
        <f>SUMIFS('Level of Efficiency Assumptions'!$J:$J,'Level of Efficiency Assumptions'!$D:$D,I635,'Level of Efficiency Assumptions'!$F:$F,J635,'Level of Efficiency Assumptions'!$I:$I,'Water Use Calcs'!L635)</f>
        <v>10</v>
      </c>
      <c r="N635" s="567" t="s">
        <v>588</v>
      </c>
      <c r="O635" s="1048">
        <f>SUMIFS('Detailed Fixture Data'!O:O,'Detailed Fixture Data'!C:C,G635,'Detailed Fixture Data'!E:E,I635,'Detailed Fixture Data'!F:F,J635,'Detailed Fixture Data'!L:L,L635)</f>
        <v>0</v>
      </c>
      <c r="P635" s="1030">
        <f>SUMIFS('Intensity of Use Assumptions'!$J:$J,'Intensity of Use Assumptions'!$D:$D,I635,'Intensity of Use Assumptions'!$G:$G,J635,'Intensity of Use Assumptions'!H:H,K635)</f>
        <v>1E-3</v>
      </c>
      <c r="Q635" s="567" t="s">
        <v>67</v>
      </c>
      <c r="R635" s="1032">
        <f>(SUMPRODUCT(M635:M637,O635:O637)*P635)</f>
        <v>0</v>
      </c>
      <c r="S635" s="1033">
        <f>IF(R635=0,0,M637*P635)</f>
        <v>0</v>
      </c>
      <c r="T635" s="225" t="str">
        <f>G635&amp;"-"&amp;J635</f>
        <v>Parking A-Pavement cleaning</v>
      </c>
      <c r="U635" s="1034">
        <f ca="1">IF(ISNA(VLOOKUP(T635,list!$AV$3:$AW$130,2,FALSE)),1,(VLOOKUP(T635,list!$AV$3:$AW$130,2,FALSE)))</f>
        <v>1</v>
      </c>
      <c r="V635" s="1033">
        <f ca="1">R635*U635</f>
        <v>0</v>
      </c>
      <c r="W635" s="1033">
        <f ca="1">S635*U635</f>
        <v>0</v>
      </c>
    </row>
    <row r="636" spans="3:23" x14ac:dyDescent="0.3">
      <c r="C636" s="576"/>
      <c r="D636" s="494" t="s">
        <v>13</v>
      </c>
      <c r="E636" s="494"/>
      <c r="F636" s="181"/>
      <c r="G636" s="494" t="s">
        <v>91</v>
      </c>
      <c r="H636" s="577"/>
      <c r="I636" s="450" t="s">
        <v>43</v>
      </c>
      <c r="J636" s="577" t="s">
        <v>426</v>
      </c>
      <c r="K636" s="577"/>
      <c r="L636" s="1035" t="s">
        <v>65</v>
      </c>
      <c r="M636" s="1036">
        <f>SUMIFS('Level of Efficiency Assumptions'!$J:$J,'Level of Efficiency Assumptions'!$D:$D,I636,'Level of Efficiency Assumptions'!$F:$F,J636,'Level of Efficiency Assumptions'!$I:$I,'Water Use Calcs'!L636)</f>
        <v>7.5</v>
      </c>
      <c r="N636" s="577"/>
      <c r="O636" s="1048">
        <f>SUMIFS('Detailed Fixture Data'!O:O,'Detailed Fixture Data'!C:C,G636,'Detailed Fixture Data'!E:E,I636,'Detailed Fixture Data'!F:F,J636,'Detailed Fixture Data'!L:L,L636)</f>
        <v>0</v>
      </c>
      <c r="P636" s="1049"/>
      <c r="Q636" s="577"/>
      <c r="R636" s="1039"/>
      <c r="S636" s="521"/>
      <c r="T636" s="225"/>
      <c r="U636" s="521"/>
      <c r="V636" s="1040"/>
      <c r="W636" s="1041"/>
    </row>
    <row r="637" spans="3:23" ht="15" thickBot="1" x14ac:dyDescent="0.35">
      <c r="C637" s="576"/>
      <c r="D637" s="494" t="s">
        <v>13</v>
      </c>
      <c r="E637" s="494"/>
      <c r="F637" s="181"/>
      <c r="G637" s="494" t="s">
        <v>91</v>
      </c>
      <c r="H637" s="577"/>
      <c r="I637" s="451" t="s">
        <v>43</v>
      </c>
      <c r="J637" s="116" t="s">
        <v>426</v>
      </c>
      <c r="K637" s="116"/>
      <c r="L637" s="1042" t="s">
        <v>66</v>
      </c>
      <c r="M637" s="1043">
        <f>SUMIFS('Level of Efficiency Assumptions'!$J:$J,'Level of Efficiency Assumptions'!$D:$D,I637,'Level of Efficiency Assumptions'!$F:$F,J637,'Level of Efficiency Assumptions'!$I:$I,'Water Use Calcs'!L637)</f>
        <v>5</v>
      </c>
      <c r="N637" s="577"/>
      <c r="O637" s="1048">
        <f>SUMIFS('Detailed Fixture Data'!O:O,'Detailed Fixture Data'!C:C,G637,'Detailed Fixture Data'!E:E,I637,'Detailed Fixture Data'!F:F,J637,'Detailed Fixture Data'!L:L,L637)</f>
        <v>0</v>
      </c>
      <c r="P637" s="1049"/>
      <c r="Q637" s="577"/>
      <c r="R637" s="1039"/>
      <c r="S637" s="618"/>
      <c r="T637" s="225"/>
      <c r="U637" s="618"/>
      <c r="V637" s="1045"/>
      <c r="W637" s="1046"/>
    </row>
    <row r="638" spans="3:23" x14ac:dyDescent="0.3">
      <c r="C638" s="576"/>
      <c r="D638" s="494" t="s">
        <v>13</v>
      </c>
      <c r="E638" s="494"/>
      <c r="F638" s="181"/>
      <c r="G638" s="494" t="s">
        <v>91</v>
      </c>
      <c r="H638" s="651" t="str">
        <f>I638</f>
        <v>Other</v>
      </c>
      <c r="I638" s="450" t="s">
        <v>8</v>
      </c>
      <c r="J638" s="577" t="s">
        <v>52</v>
      </c>
      <c r="K638" s="387" t="s">
        <v>362</v>
      </c>
      <c r="L638" s="1047" t="s">
        <v>64</v>
      </c>
      <c r="M638" s="1036">
        <f>SUMIFS('Level of Efficiency Assumptions'!$J:$J,'Level of Efficiency Assumptions'!$D:$D,I638,'Level of Efficiency Assumptions'!$F:$F,J638,'Level of Efficiency Assumptions'!$I:$I,'Water Use Calcs'!L638)</f>
        <v>10</v>
      </c>
      <c r="N638" s="567" t="s">
        <v>660</v>
      </c>
      <c r="O638" s="1048">
        <f>SUMIFS('Detailed Fixture Data'!O:O,'Detailed Fixture Data'!C:C,G638,'Detailed Fixture Data'!E:E,I638,'Detailed Fixture Data'!F:F,J638,'Detailed Fixture Data'!L:L,L638)</f>
        <v>0</v>
      </c>
      <c r="P638" s="1030">
        <f>SUMIFS('Intensity of Use Assumptions'!$J:$J,'Intensity of Use Assumptions'!$D:$D,I638,'Intensity of Use Assumptions'!$G:$G,J638,'Intensity of Use Assumptions'!H:H,K638)</f>
        <v>1</v>
      </c>
      <c r="Q638" s="567" t="s">
        <v>67</v>
      </c>
      <c r="R638" s="1032">
        <f>(SUMPRODUCT(M638:M640,O638:O640)*P638)</f>
        <v>0</v>
      </c>
      <c r="S638" s="1033">
        <f>IF(R638=0,0,M640*P638)</f>
        <v>0</v>
      </c>
      <c r="T638" s="225" t="str">
        <f>G638&amp;"-"&amp;J638</f>
        <v>Parking A-Other 1</v>
      </c>
      <c r="U638" s="1034">
        <f ca="1">IF(ISNA(VLOOKUP(T638,list!$AV$3:$AW$130,2,FALSE)),1,(VLOOKUP(T638,list!$AV$3:$AW$130,2,FALSE)))</f>
        <v>1</v>
      </c>
      <c r="V638" s="1033">
        <f ca="1">R638*U638</f>
        <v>0</v>
      </c>
      <c r="W638" s="1033">
        <f ca="1">S638*U638</f>
        <v>0</v>
      </c>
    </row>
    <row r="639" spans="3:23" x14ac:dyDescent="0.3">
      <c r="C639" s="576"/>
      <c r="D639" s="494" t="s">
        <v>13</v>
      </c>
      <c r="E639" s="494"/>
      <c r="F639" s="181"/>
      <c r="G639" s="494" t="s">
        <v>91</v>
      </c>
      <c r="H639" s="577"/>
      <c r="I639" s="450" t="s">
        <v>8</v>
      </c>
      <c r="J639" s="577" t="s">
        <v>52</v>
      </c>
      <c r="K639" s="382"/>
      <c r="L639" s="1035" t="s">
        <v>65</v>
      </c>
      <c r="M639" s="1036">
        <f>SUMIFS('Level of Efficiency Assumptions'!$J:$J,'Level of Efficiency Assumptions'!$D:$D,I639,'Level of Efficiency Assumptions'!$F:$F,J639,'Level of Efficiency Assumptions'!$I:$I,'Water Use Calcs'!L639)</f>
        <v>7.5</v>
      </c>
      <c r="N639" s="577"/>
      <c r="O639" s="1048">
        <f>SUMIFS('Detailed Fixture Data'!O:O,'Detailed Fixture Data'!C:C,G639,'Detailed Fixture Data'!E:E,I639,'Detailed Fixture Data'!F:F,J639,'Detailed Fixture Data'!L:L,L639)</f>
        <v>0</v>
      </c>
      <c r="P639" s="1049"/>
      <c r="Q639" s="577"/>
      <c r="R639" s="1039"/>
      <c r="S639" s="521"/>
      <c r="T639" s="225"/>
      <c r="U639" s="521"/>
      <c r="V639" s="1040"/>
      <c r="W639" s="1041"/>
    </row>
    <row r="640" spans="3:23" ht="15" thickBot="1" x14ac:dyDescent="0.35">
      <c r="C640" s="576"/>
      <c r="D640" s="494" t="s">
        <v>13</v>
      </c>
      <c r="E640" s="494"/>
      <c r="F640" s="181"/>
      <c r="G640" s="494" t="s">
        <v>91</v>
      </c>
      <c r="H640" s="577"/>
      <c r="I640" s="450" t="s">
        <v>8</v>
      </c>
      <c r="J640" s="116" t="s">
        <v>52</v>
      </c>
      <c r="K640" s="382"/>
      <c r="L640" s="1042" t="s">
        <v>66</v>
      </c>
      <c r="M640" s="1043">
        <f>SUMIFS('Level of Efficiency Assumptions'!$J:$J,'Level of Efficiency Assumptions'!$D:$D,I640,'Level of Efficiency Assumptions'!$F:$F,J640,'Level of Efficiency Assumptions'!$I:$I,'Water Use Calcs'!L640)</f>
        <v>5</v>
      </c>
      <c r="N640" s="577"/>
      <c r="O640" s="1048">
        <f>SUMIFS('Detailed Fixture Data'!O:O,'Detailed Fixture Data'!C:C,G640,'Detailed Fixture Data'!E:E,I640,'Detailed Fixture Data'!F:F,J640,'Detailed Fixture Data'!L:L,L640)</f>
        <v>0</v>
      </c>
      <c r="P640" s="1049"/>
      <c r="Q640" s="577"/>
      <c r="R640" s="1039"/>
      <c r="S640" s="618"/>
      <c r="T640" s="225"/>
      <c r="U640" s="618"/>
      <c r="V640" s="1045"/>
      <c r="W640" s="1046"/>
    </row>
    <row r="641" spans="3:23" x14ac:dyDescent="0.3">
      <c r="C641" s="576"/>
      <c r="D641" s="494" t="s">
        <v>13</v>
      </c>
      <c r="E641" s="494"/>
      <c r="F641" s="181"/>
      <c r="G641" s="494" t="s">
        <v>91</v>
      </c>
      <c r="H641" s="577"/>
      <c r="I641" s="450" t="s">
        <v>8</v>
      </c>
      <c r="J641" s="577" t="s">
        <v>53</v>
      </c>
      <c r="K641" s="1055" t="s">
        <v>363</v>
      </c>
      <c r="L641" s="1047" t="s">
        <v>64</v>
      </c>
      <c r="M641" s="1036">
        <f>SUMIFS('Level of Efficiency Assumptions'!$J:$J,'Level of Efficiency Assumptions'!$D:$D,I641,'Level of Efficiency Assumptions'!$F:$F,J641,'Level of Efficiency Assumptions'!$I:$I,'Water Use Calcs'!L641)</f>
        <v>10</v>
      </c>
      <c r="N641" s="567" t="s">
        <v>660</v>
      </c>
      <c r="O641" s="1048">
        <f>SUMIFS('Detailed Fixture Data'!O:O,'Detailed Fixture Data'!C:C,G641,'Detailed Fixture Data'!E:E,I641,'Detailed Fixture Data'!F:F,J641,'Detailed Fixture Data'!L:L,L641)</f>
        <v>0</v>
      </c>
      <c r="P641" s="1030">
        <f>SUMIFS('Intensity of Use Assumptions'!$J:$J,'Intensity of Use Assumptions'!$D:$D,I641,'Intensity of Use Assumptions'!$G:$G,J641,'Intensity of Use Assumptions'!H:H,K641)</f>
        <v>1</v>
      </c>
      <c r="Q641" s="567" t="s">
        <v>67</v>
      </c>
      <c r="R641" s="1032">
        <f>(SUMPRODUCT(M641:M643,O641:O643)*P641)</f>
        <v>0</v>
      </c>
      <c r="S641" s="1033">
        <f>IF(R641=0,0,M643*P641)</f>
        <v>0</v>
      </c>
      <c r="T641" s="225" t="str">
        <f>G641&amp;"-"&amp;J641</f>
        <v>Parking A-Other 2</v>
      </c>
      <c r="U641" s="1034">
        <f ca="1">IF(ISNA(VLOOKUP(T641,list!$AV$3:$AW$130,2,FALSE)),1,(VLOOKUP(T641,list!$AV$3:$AW$130,2,FALSE)))</f>
        <v>1</v>
      </c>
      <c r="V641" s="1033">
        <f ca="1">R641*U641</f>
        <v>0</v>
      </c>
      <c r="W641" s="1033">
        <f ca="1">S641*U641</f>
        <v>0</v>
      </c>
    </row>
    <row r="642" spans="3:23" x14ac:dyDescent="0.3">
      <c r="C642" s="576"/>
      <c r="D642" s="494" t="s">
        <v>13</v>
      </c>
      <c r="E642" s="494"/>
      <c r="F642" s="181"/>
      <c r="G642" s="494" t="s">
        <v>91</v>
      </c>
      <c r="H642" s="577"/>
      <c r="I642" s="450" t="s">
        <v>8</v>
      </c>
      <c r="J642" s="577" t="s">
        <v>53</v>
      </c>
      <c r="K642" s="577"/>
      <c r="L642" s="1035" t="s">
        <v>65</v>
      </c>
      <c r="M642" s="1036">
        <f>SUMIFS('Level of Efficiency Assumptions'!$J:$J,'Level of Efficiency Assumptions'!$D:$D,I642,'Level of Efficiency Assumptions'!$F:$F,J642,'Level of Efficiency Assumptions'!$I:$I,'Water Use Calcs'!L642)</f>
        <v>7.5</v>
      </c>
      <c r="N642" s="577"/>
      <c r="O642" s="1048">
        <f>SUMIFS('Detailed Fixture Data'!O:O,'Detailed Fixture Data'!C:C,G642,'Detailed Fixture Data'!E:E,I642,'Detailed Fixture Data'!F:F,J642,'Detailed Fixture Data'!L:L,L642)</f>
        <v>0</v>
      </c>
      <c r="P642" s="1049"/>
      <c r="Q642" s="577"/>
      <c r="R642" s="1039"/>
      <c r="S642" s="521"/>
      <c r="T642" s="225"/>
      <c r="U642" s="521"/>
      <c r="V642" s="1040"/>
      <c r="W642" s="1041"/>
    </row>
    <row r="643" spans="3:23" ht="15" thickBot="1" x14ac:dyDescent="0.35">
      <c r="C643" s="576"/>
      <c r="D643" s="494" t="s">
        <v>13</v>
      </c>
      <c r="E643" s="494"/>
      <c r="F643" s="181"/>
      <c r="G643" s="494" t="s">
        <v>91</v>
      </c>
      <c r="H643" s="577"/>
      <c r="I643" s="450" t="s">
        <v>8</v>
      </c>
      <c r="J643" s="116" t="s">
        <v>53</v>
      </c>
      <c r="K643" s="116"/>
      <c r="L643" s="1042" t="s">
        <v>66</v>
      </c>
      <c r="M643" s="1043">
        <f>SUMIFS('Level of Efficiency Assumptions'!$J:$J,'Level of Efficiency Assumptions'!$D:$D,I643,'Level of Efficiency Assumptions'!$F:$F,J643,'Level of Efficiency Assumptions'!$I:$I,'Water Use Calcs'!L643)</f>
        <v>5</v>
      </c>
      <c r="N643" s="577"/>
      <c r="O643" s="1048">
        <f>SUMIFS('Detailed Fixture Data'!O:O,'Detailed Fixture Data'!C:C,G643,'Detailed Fixture Data'!E:E,I643,'Detailed Fixture Data'!F:F,J643,'Detailed Fixture Data'!L:L,L643)</f>
        <v>0</v>
      </c>
      <c r="P643" s="1049"/>
      <c r="Q643" s="577"/>
      <c r="R643" s="1039"/>
      <c r="S643" s="618"/>
      <c r="T643" s="225"/>
      <c r="U643" s="618"/>
      <c r="V643" s="1045"/>
      <c r="W643" s="1046"/>
    </row>
    <row r="644" spans="3:23" x14ac:dyDescent="0.3">
      <c r="C644" s="576"/>
      <c r="D644" s="494" t="s">
        <v>13</v>
      </c>
      <c r="E644" s="494"/>
      <c r="F644" s="181"/>
      <c r="G644" s="494" t="s">
        <v>91</v>
      </c>
      <c r="H644" s="577"/>
      <c r="I644" s="450" t="s">
        <v>8</v>
      </c>
      <c r="J644" s="577" t="s">
        <v>54</v>
      </c>
      <c r="K644" s="379" t="s">
        <v>364</v>
      </c>
      <c r="L644" s="1047" t="s">
        <v>64</v>
      </c>
      <c r="M644" s="1036">
        <f>SUMIFS('Level of Efficiency Assumptions'!$J:$J,'Level of Efficiency Assumptions'!$D:$D,I644,'Level of Efficiency Assumptions'!$F:$F,J644,'Level of Efficiency Assumptions'!$I:$I,'Water Use Calcs'!L644)</f>
        <v>10</v>
      </c>
      <c r="N644" s="567" t="s">
        <v>660</v>
      </c>
      <c r="O644" s="1048">
        <f>SUMIFS('Detailed Fixture Data'!O:O,'Detailed Fixture Data'!C:C,G644,'Detailed Fixture Data'!E:E,I644,'Detailed Fixture Data'!F:F,J644,'Detailed Fixture Data'!L:L,L644)</f>
        <v>0</v>
      </c>
      <c r="P644" s="1030">
        <f>SUMIFS('Intensity of Use Assumptions'!$J:$J,'Intensity of Use Assumptions'!$D:$D,I644,'Intensity of Use Assumptions'!$G:$G,J644,'Intensity of Use Assumptions'!H:H,K644)</f>
        <v>1</v>
      </c>
      <c r="Q644" s="567" t="s">
        <v>67</v>
      </c>
      <c r="R644" s="1032">
        <f>(SUMPRODUCT(M644:M646,O644:O646)*P644)</f>
        <v>0</v>
      </c>
      <c r="S644" s="1033">
        <f>IF(R644=0,0,M646*P644)</f>
        <v>0</v>
      </c>
      <c r="T644" s="225" t="str">
        <f>G644&amp;"-"&amp;J644</f>
        <v>Parking A-Other 3</v>
      </c>
      <c r="U644" s="1034">
        <f ca="1">IF(ISNA(VLOOKUP(T644,list!$AV$3:$AW$130,2,FALSE)),1,(VLOOKUP(T644,list!$AV$3:$AW$130,2,FALSE)))</f>
        <v>1</v>
      </c>
      <c r="V644" s="1033">
        <f ca="1">R644*U644</f>
        <v>0</v>
      </c>
      <c r="W644" s="1033">
        <f ca="1">S644*U644</f>
        <v>0</v>
      </c>
    </row>
    <row r="645" spans="3:23" x14ac:dyDescent="0.3">
      <c r="C645" s="576"/>
      <c r="D645" s="494" t="s">
        <v>13</v>
      </c>
      <c r="E645" s="494"/>
      <c r="F645" s="181"/>
      <c r="G645" s="494" t="s">
        <v>91</v>
      </c>
      <c r="H645" s="577"/>
      <c r="I645" s="450" t="s">
        <v>8</v>
      </c>
      <c r="J645" s="577" t="s">
        <v>54</v>
      </c>
      <c r="K645" s="577"/>
      <c r="L645" s="1035" t="s">
        <v>65</v>
      </c>
      <c r="M645" s="1036">
        <f>SUMIFS('Level of Efficiency Assumptions'!$J:$J,'Level of Efficiency Assumptions'!$D:$D,I645,'Level of Efficiency Assumptions'!$F:$F,J645,'Level of Efficiency Assumptions'!$I:$I,'Water Use Calcs'!L645)</f>
        <v>7.5</v>
      </c>
      <c r="N645" s="577"/>
      <c r="O645" s="1048">
        <f>SUMIFS('Detailed Fixture Data'!O:O,'Detailed Fixture Data'!C:C,G645,'Detailed Fixture Data'!E:E,I645,'Detailed Fixture Data'!F:F,J645,'Detailed Fixture Data'!L:L,L645)</f>
        <v>0</v>
      </c>
      <c r="P645" s="1049"/>
      <c r="Q645" s="577"/>
      <c r="R645" s="1039"/>
      <c r="S645" s="521"/>
      <c r="T645" s="225"/>
      <c r="U645" s="521"/>
      <c r="V645" s="1040"/>
      <c r="W645" s="1041"/>
    </row>
    <row r="646" spans="3:23" ht="15" thickBot="1" x14ac:dyDescent="0.35">
      <c r="C646" s="576"/>
      <c r="D646" s="494" t="s">
        <v>13</v>
      </c>
      <c r="E646" s="494"/>
      <c r="F646" s="181"/>
      <c r="G646" s="501" t="s">
        <v>91</v>
      </c>
      <c r="H646" s="116"/>
      <c r="I646" s="451" t="s">
        <v>8</v>
      </c>
      <c r="J646" s="116" t="s">
        <v>54</v>
      </c>
      <c r="K646" s="116"/>
      <c r="L646" s="1042" t="s">
        <v>66</v>
      </c>
      <c r="M646" s="1043">
        <f>SUMIFS('Level of Efficiency Assumptions'!$J:$J,'Level of Efficiency Assumptions'!$D:$D,I646,'Level of Efficiency Assumptions'!$F:$F,J646,'Level of Efficiency Assumptions'!$I:$I,'Water Use Calcs'!L646)</f>
        <v>5</v>
      </c>
      <c r="N646" s="116"/>
      <c r="O646" s="1048">
        <f>SUMIFS('Detailed Fixture Data'!O:O,'Detailed Fixture Data'!C:C,G646,'Detailed Fixture Data'!E:E,I646,'Detailed Fixture Data'!F:F,J646,'Detailed Fixture Data'!L:L,L646)</f>
        <v>0</v>
      </c>
      <c r="P646" s="1049"/>
      <c r="Q646" s="116"/>
      <c r="R646" s="1045"/>
      <c r="S646" s="618"/>
      <c r="T646" s="225"/>
      <c r="U646" s="618"/>
      <c r="V646" s="1045"/>
      <c r="W646" s="1046"/>
    </row>
    <row r="647" spans="3:23" x14ac:dyDescent="0.3">
      <c r="C647" s="576"/>
      <c r="D647" s="494" t="s">
        <v>13</v>
      </c>
      <c r="E647" s="619" t="str">
        <f>G647</f>
        <v>Parking B</v>
      </c>
      <c r="F647" s="565" t="str">
        <f>VLOOKUP(E647,'Airport Mapping'!$C$5:$D$39,2,FALSE)</f>
        <v xml:space="preserve"> </v>
      </c>
      <c r="G647" s="494" t="s">
        <v>92</v>
      </c>
      <c r="H647" s="651" t="str">
        <f>I647</f>
        <v>Landscaping</v>
      </c>
      <c r="I647" s="454" t="s">
        <v>39</v>
      </c>
      <c r="J647" s="567" t="s">
        <v>42</v>
      </c>
      <c r="K647" s="567" t="s">
        <v>32</v>
      </c>
      <c r="L647" s="1028" t="s">
        <v>64</v>
      </c>
      <c r="M647" s="1036">
        <f>SUMIFS('Level of Efficiency Assumptions'!$J:$J,'Level of Efficiency Assumptions'!$D:$D,I647,'Level of Efficiency Assumptions'!$F:$F,J647,'Level of Efficiency Assumptions'!$I:$I,'Water Use Calcs'!L647)</f>
        <v>28.6</v>
      </c>
      <c r="N647" s="567" t="s">
        <v>816</v>
      </c>
      <c r="O647" s="1048">
        <f>SUMIFS('Detailed Fixture Data'!O:O,'Detailed Fixture Data'!C:C,G647,'Detailed Fixture Data'!E:E,I647,'Detailed Fixture Data'!F:F,J647,'Detailed Fixture Data'!L:L,L647)</f>
        <v>0</v>
      </c>
      <c r="P647" s="1030">
        <f>SUMIFS('Intensity of Use Assumptions'!$J:$J,'Intensity of Use Assumptions'!$D:$D,I647,'Intensity of Use Assumptions'!$G:$G,J647,'Intensity of Use Assumptions'!H:H,K647,'Intensity of Use Assumptions'!F:F,D647)</f>
        <v>2.7397260273972603E-3</v>
      </c>
      <c r="Q647" s="567" t="s">
        <v>815</v>
      </c>
      <c r="R647" s="1032">
        <f>(SUMPRODUCT(M647:M649,O647:O649)*P647)</f>
        <v>0</v>
      </c>
      <c r="S647" s="1033">
        <f>IF(R647=0,0,M649*P647)</f>
        <v>0</v>
      </c>
      <c r="T647" s="225" t="str">
        <f>G647&amp;"-"&amp;J647</f>
        <v>Parking B-Outdoor irrigation</v>
      </c>
      <c r="U647" s="1034">
        <f ca="1">IF(ISNA(VLOOKUP(T647,list!$AV$3:$AW$130,2,FALSE)),1,(VLOOKUP(T647,list!$AV$3:$AW$130,2,FALSE)))</f>
        <v>1</v>
      </c>
      <c r="V647" s="1033">
        <f ca="1">R647*U647</f>
        <v>0</v>
      </c>
      <c r="W647" s="1033">
        <f ca="1">S647*U647</f>
        <v>0</v>
      </c>
    </row>
    <row r="648" spans="3:23" x14ac:dyDescent="0.3">
      <c r="C648" s="576"/>
      <c r="D648" s="494" t="s">
        <v>13</v>
      </c>
      <c r="E648" s="494"/>
      <c r="F648" s="181"/>
      <c r="G648" s="494" t="s">
        <v>92</v>
      </c>
      <c r="H648" s="577"/>
      <c r="I648" s="450" t="s">
        <v>39</v>
      </c>
      <c r="J648" s="577" t="s">
        <v>42</v>
      </c>
      <c r="K648" s="577"/>
      <c r="L648" s="1035" t="s">
        <v>65</v>
      </c>
      <c r="M648" s="1036">
        <f>SUMIFS('Level of Efficiency Assumptions'!$J:$J,'Level of Efficiency Assumptions'!$D:$D,I648,'Level of Efficiency Assumptions'!$F:$F,J648,'Level of Efficiency Assumptions'!$I:$I,'Water Use Calcs'!L648)</f>
        <v>13.980821518350929</v>
      </c>
      <c r="N648" s="577"/>
      <c r="O648" s="1048">
        <f>SUMIFS('Detailed Fixture Data'!O:O,'Detailed Fixture Data'!C:C,G648,'Detailed Fixture Data'!E:E,I648,'Detailed Fixture Data'!F:F,J648,'Detailed Fixture Data'!L:L,L648)</f>
        <v>0</v>
      </c>
      <c r="P648" s="1049"/>
      <c r="Q648" s="577"/>
      <c r="R648" s="1039"/>
      <c r="S648" s="521"/>
      <c r="T648" s="225"/>
      <c r="U648" s="521"/>
      <c r="V648" s="1040"/>
      <c r="W648" s="1041"/>
    </row>
    <row r="649" spans="3:23" ht="15" thickBot="1" x14ac:dyDescent="0.35">
      <c r="C649" s="576"/>
      <c r="D649" s="494" t="s">
        <v>13</v>
      </c>
      <c r="E649" s="494"/>
      <c r="F649" s="181"/>
      <c r="G649" s="494" t="s">
        <v>92</v>
      </c>
      <c r="H649" s="577"/>
      <c r="I649" s="451" t="s">
        <v>39</v>
      </c>
      <c r="J649" s="116" t="s">
        <v>42</v>
      </c>
      <c r="K649" s="116"/>
      <c r="L649" s="1042" t="s">
        <v>66</v>
      </c>
      <c r="M649" s="1043">
        <f>SUMIFS('Level of Efficiency Assumptions'!$J:$J,'Level of Efficiency Assumptions'!$D:$D,I649,'Level of Efficiency Assumptions'!$F:$F,J649,'Level of Efficiency Assumptions'!$I:$I,'Water Use Calcs'!L649)</f>
        <v>0.59137254901960778</v>
      </c>
      <c r="N649" s="577"/>
      <c r="O649" s="1048">
        <f>SUMIFS('Detailed Fixture Data'!O:O,'Detailed Fixture Data'!C:C,G649,'Detailed Fixture Data'!E:E,I649,'Detailed Fixture Data'!F:F,J649,'Detailed Fixture Data'!L:L,L649)</f>
        <v>0</v>
      </c>
      <c r="P649" s="1049"/>
      <c r="Q649" s="577"/>
      <c r="R649" s="1039"/>
      <c r="S649" s="618"/>
      <c r="T649" s="225"/>
      <c r="U649" s="618"/>
      <c r="V649" s="1045"/>
      <c r="W649" s="1046"/>
    </row>
    <row r="650" spans="3:23" x14ac:dyDescent="0.3">
      <c r="C650" s="576"/>
      <c r="D650" s="494" t="s">
        <v>13</v>
      </c>
      <c r="E650" s="494"/>
      <c r="F650" s="181"/>
      <c r="G650" s="494" t="s">
        <v>92</v>
      </c>
      <c r="H650" s="651" t="str">
        <f>I650</f>
        <v>Maintenance</v>
      </c>
      <c r="I650" s="450" t="s">
        <v>43</v>
      </c>
      <c r="J650" s="577" t="s">
        <v>9</v>
      </c>
      <c r="K650" s="382" t="s">
        <v>282</v>
      </c>
      <c r="L650" s="1047" t="s">
        <v>64</v>
      </c>
      <c r="M650" s="1036">
        <f>SUMIFS('Level of Efficiency Assumptions'!$J:$J,'Level of Efficiency Assumptions'!$D:$D,I650,'Level of Efficiency Assumptions'!$F:$F,J650,'Level of Efficiency Assumptions'!$I:$I,'Water Use Calcs'!L650)</f>
        <v>80</v>
      </c>
      <c r="N650" s="567" t="s">
        <v>588</v>
      </c>
      <c r="O650" s="1048">
        <f>SUMIFS('Detailed Fixture Data'!O:O,'Detailed Fixture Data'!C:C,G650,'Detailed Fixture Data'!E:E,I650,'Detailed Fixture Data'!F:F,J650,'Detailed Fixture Data'!L:L,L650)</f>
        <v>0</v>
      </c>
      <c r="P650" s="1062">
        <f>SUMIFS('Intensity of Use Assumptions'!$J:$J,'Intensity of Use Assumptions'!$D:$D,I650,'Intensity of Use Assumptions'!$G:$G,J650,'Intensity of Use Assumptions'!H:H,K650)</f>
        <v>2.0000000000000001E-4</v>
      </c>
      <c r="Q650" s="567" t="s">
        <v>67</v>
      </c>
      <c r="R650" s="1032">
        <f>(SUMPRODUCT(M650:M652,O650:O652)*P650)</f>
        <v>0</v>
      </c>
      <c r="S650" s="1033">
        <f>IF(R650=0,0,M652*P650)</f>
        <v>0</v>
      </c>
      <c r="T650" s="225" t="str">
        <f>G650&amp;"-"&amp;J650</f>
        <v>Parking B-Vehicle washing</v>
      </c>
      <c r="U650" s="1034">
        <f ca="1">IF(ISNA(VLOOKUP(T650,list!$AV$3:$AW$130,2,FALSE)),1,(VLOOKUP(T650,list!$AV$3:$AW$130,2,FALSE)))</f>
        <v>1</v>
      </c>
      <c r="V650" s="1033">
        <f ca="1">R650*U650</f>
        <v>0</v>
      </c>
      <c r="W650" s="1033">
        <f ca="1">S650*U650</f>
        <v>0</v>
      </c>
    </row>
    <row r="651" spans="3:23" x14ac:dyDescent="0.3">
      <c r="C651" s="576"/>
      <c r="D651" s="494" t="s">
        <v>13</v>
      </c>
      <c r="E651" s="494"/>
      <c r="F651" s="181"/>
      <c r="G651" s="494" t="s">
        <v>92</v>
      </c>
      <c r="H651" s="577"/>
      <c r="I651" s="450" t="s">
        <v>43</v>
      </c>
      <c r="J651" s="577" t="s">
        <v>9</v>
      </c>
      <c r="K651" s="577"/>
      <c r="L651" s="1035" t="s">
        <v>65</v>
      </c>
      <c r="M651" s="1036">
        <f>SUMIFS('Level of Efficiency Assumptions'!$J:$J,'Level of Efficiency Assumptions'!$D:$D,I651,'Level of Efficiency Assumptions'!$F:$F,J651,'Level of Efficiency Assumptions'!$I:$I,'Water Use Calcs'!L651)</f>
        <v>40</v>
      </c>
      <c r="N651" s="577"/>
      <c r="O651" s="1048">
        <f>SUMIFS('Detailed Fixture Data'!O:O,'Detailed Fixture Data'!C:C,G651,'Detailed Fixture Data'!E:E,I651,'Detailed Fixture Data'!F:F,J651,'Detailed Fixture Data'!L:L,L651)</f>
        <v>0</v>
      </c>
      <c r="P651" s="1049"/>
      <c r="Q651" s="577"/>
      <c r="R651" s="1039"/>
      <c r="S651" s="521"/>
      <c r="T651" s="225"/>
      <c r="U651" s="521"/>
      <c r="V651" s="1040"/>
      <c r="W651" s="1041"/>
    </row>
    <row r="652" spans="3:23" ht="15" thickBot="1" x14ac:dyDescent="0.35">
      <c r="C652" s="576"/>
      <c r="D652" s="494" t="s">
        <v>13</v>
      </c>
      <c r="E652" s="494"/>
      <c r="F652" s="181"/>
      <c r="G652" s="494" t="s">
        <v>92</v>
      </c>
      <c r="H652" s="577"/>
      <c r="I652" s="450" t="s">
        <v>43</v>
      </c>
      <c r="J652" s="116" t="s">
        <v>9</v>
      </c>
      <c r="K652" s="116"/>
      <c r="L652" s="1042" t="s">
        <v>66</v>
      </c>
      <c r="M652" s="1043">
        <f>SUMIFS('Level of Efficiency Assumptions'!$J:$J,'Level of Efficiency Assumptions'!$D:$D,I652,'Level of Efficiency Assumptions'!$F:$F,J652,'Level of Efficiency Assumptions'!$I:$I,'Water Use Calcs'!L652)</f>
        <v>30</v>
      </c>
      <c r="N652" s="577"/>
      <c r="O652" s="1048">
        <f>SUMIFS('Detailed Fixture Data'!O:O,'Detailed Fixture Data'!C:C,G652,'Detailed Fixture Data'!E:E,I652,'Detailed Fixture Data'!F:F,J652,'Detailed Fixture Data'!L:L,L652)</f>
        <v>0</v>
      </c>
      <c r="P652" s="1049"/>
      <c r="Q652" s="577"/>
      <c r="R652" s="1039"/>
      <c r="S652" s="618"/>
      <c r="T652" s="225"/>
      <c r="U652" s="618"/>
      <c r="V652" s="1045"/>
      <c r="W652" s="1046"/>
    </row>
    <row r="653" spans="3:23" x14ac:dyDescent="0.3">
      <c r="C653" s="576"/>
      <c r="D653" s="494" t="s">
        <v>13</v>
      </c>
      <c r="E653" s="494"/>
      <c r="F653" s="181"/>
      <c r="G653" s="494" t="s">
        <v>92</v>
      </c>
      <c r="H653" s="577"/>
      <c r="I653" s="450" t="s">
        <v>43</v>
      </c>
      <c r="J653" s="577" t="s">
        <v>426</v>
      </c>
      <c r="K653" s="382" t="s">
        <v>282</v>
      </c>
      <c r="L653" s="1047" t="s">
        <v>64</v>
      </c>
      <c r="M653" s="1036">
        <f>SUMIFS('Level of Efficiency Assumptions'!$J:$J,'Level of Efficiency Assumptions'!$D:$D,I653,'Level of Efficiency Assumptions'!$F:$F,J653,'Level of Efficiency Assumptions'!$I:$I,'Water Use Calcs'!L653)</f>
        <v>10</v>
      </c>
      <c r="N653" s="567" t="s">
        <v>588</v>
      </c>
      <c r="O653" s="1048">
        <f>SUMIFS('Detailed Fixture Data'!O:O,'Detailed Fixture Data'!C:C,G653,'Detailed Fixture Data'!E:E,I653,'Detailed Fixture Data'!F:F,J653,'Detailed Fixture Data'!L:L,L653)</f>
        <v>0</v>
      </c>
      <c r="P653" s="1062">
        <f>SUMIFS('Intensity of Use Assumptions'!$J:$J,'Intensity of Use Assumptions'!$D:$D,I653,'Intensity of Use Assumptions'!$G:$G,J653,'Intensity of Use Assumptions'!H:H,K653)</f>
        <v>1E-3</v>
      </c>
      <c r="Q653" s="567" t="s">
        <v>67</v>
      </c>
      <c r="R653" s="1032">
        <f>(SUMPRODUCT(M653:M655,O653:O655)*P653)</f>
        <v>0</v>
      </c>
      <c r="S653" s="1033">
        <f>IF(R653=0,0,M655*P653)</f>
        <v>0</v>
      </c>
      <c r="T653" s="225" t="str">
        <f>G653&amp;"-"&amp;J653</f>
        <v>Parking B-Pavement cleaning</v>
      </c>
      <c r="U653" s="1034">
        <f ca="1">IF(ISNA(VLOOKUP(T653,list!$AV$3:$AW$130,2,FALSE)),1,(VLOOKUP(T653,list!$AV$3:$AW$130,2,FALSE)))</f>
        <v>1</v>
      </c>
      <c r="V653" s="1033">
        <f ca="1">R653*U653</f>
        <v>0</v>
      </c>
      <c r="W653" s="1033">
        <f ca="1">S653*U653</f>
        <v>0</v>
      </c>
    </row>
    <row r="654" spans="3:23" x14ac:dyDescent="0.3">
      <c r="C654" s="576"/>
      <c r="D654" s="494" t="s">
        <v>13</v>
      </c>
      <c r="E654" s="494"/>
      <c r="F654" s="181"/>
      <c r="G654" s="494" t="s">
        <v>92</v>
      </c>
      <c r="H654" s="577"/>
      <c r="I654" s="450" t="s">
        <v>43</v>
      </c>
      <c r="J654" s="577" t="s">
        <v>426</v>
      </c>
      <c r="K654" s="577"/>
      <c r="L654" s="1035" t="s">
        <v>65</v>
      </c>
      <c r="M654" s="1036">
        <f>SUMIFS('Level of Efficiency Assumptions'!$J:$J,'Level of Efficiency Assumptions'!$D:$D,I654,'Level of Efficiency Assumptions'!$F:$F,J654,'Level of Efficiency Assumptions'!$I:$I,'Water Use Calcs'!L654)</f>
        <v>7.5</v>
      </c>
      <c r="N654" s="577"/>
      <c r="O654" s="1048">
        <f>SUMIFS('Detailed Fixture Data'!O:O,'Detailed Fixture Data'!C:C,G654,'Detailed Fixture Data'!E:E,I654,'Detailed Fixture Data'!F:F,J654,'Detailed Fixture Data'!L:L,L654)</f>
        <v>0</v>
      </c>
      <c r="P654" s="1049"/>
      <c r="Q654" s="577"/>
      <c r="R654" s="1039"/>
      <c r="S654" s="521"/>
      <c r="T654" s="225"/>
      <c r="U654" s="521"/>
      <c r="V654" s="1040"/>
      <c r="W654" s="1041"/>
    </row>
    <row r="655" spans="3:23" ht="15" thickBot="1" x14ac:dyDescent="0.35">
      <c r="C655" s="576"/>
      <c r="D655" s="494" t="s">
        <v>13</v>
      </c>
      <c r="E655" s="494"/>
      <c r="F655" s="181"/>
      <c r="G655" s="494" t="s">
        <v>92</v>
      </c>
      <c r="H655" s="577"/>
      <c r="I655" s="451" t="s">
        <v>43</v>
      </c>
      <c r="J655" s="116" t="s">
        <v>426</v>
      </c>
      <c r="K655" s="116"/>
      <c r="L655" s="1042" t="s">
        <v>66</v>
      </c>
      <c r="M655" s="1043">
        <f>SUMIFS('Level of Efficiency Assumptions'!$J:$J,'Level of Efficiency Assumptions'!$D:$D,I655,'Level of Efficiency Assumptions'!$F:$F,J655,'Level of Efficiency Assumptions'!$I:$I,'Water Use Calcs'!L655)</f>
        <v>5</v>
      </c>
      <c r="N655" s="577"/>
      <c r="O655" s="1048">
        <f>SUMIFS('Detailed Fixture Data'!O:O,'Detailed Fixture Data'!C:C,G655,'Detailed Fixture Data'!E:E,I655,'Detailed Fixture Data'!F:F,J655,'Detailed Fixture Data'!L:L,L655)</f>
        <v>0</v>
      </c>
      <c r="P655" s="1049"/>
      <c r="Q655" s="577"/>
      <c r="R655" s="1039"/>
      <c r="S655" s="618"/>
      <c r="T655" s="225"/>
      <c r="U655" s="618"/>
      <c r="V655" s="1045"/>
      <c r="W655" s="1046"/>
    </row>
    <row r="656" spans="3:23" x14ac:dyDescent="0.3">
      <c r="C656" s="576"/>
      <c r="D656" s="494" t="s">
        <v>13</v>
      </c>
      <c r="E656" s="494"/>
      <c r="F656" s="181"/>
      <c r="G656" s="494" t="s">
        <v>92</v>
      </c>
      <c r="H656" s="651" t="str">
        <f>I656</f>
        <v>Other</v>
      </c>
      <c r="I656" s="450" t="s">
        <v>8</v>
      </c>
      <c r="J656" s="577" t="s">
        <v>52</v>
      </c>
      <c r="K656" s="387" t="s">
        <v>362</v>
      </c>
      <c r="L656" s="1047" t="s">
        <v>64</v>
      </c>
      <c r="M656" s="1036">
        <f>SUMIFS('Level of Efficiency Assumptions'!$J:$J,'Level of Efficiency Assumptions'!$D:$D,I656,'Level of Efficiency Assumptions'!$F:$F,J656,'Level of Efficiency Assumptions'!$I:$I,'Water Use Calcs'!L656)</f>
        <v>10</v>
      </c>
      <c r="N656" s="567" t="s">
        <v>660</v>
      </c>
      <c r="O656" s="1048">
        <f>SUMIFS('Detailed Fixture Data'!O:O,'Detailed Fixture Data'!C:C,G656,'Detailed Fixture Data'!E:E,I656,'Detailed Fixture Data'!F:F,J656,'Detailed Fixture Data'!L:L,L656)</f>
        <v>0</v>
      </c>
      <c r="P656" s="1030">
        <f>SUMIFS('Intensity of Use Assumptions'!$J:$J,'Intensity of Use Assumptions'!$D:$D,I656,'Intensity of Use Assumptions'!$G:$G,J656,'Intensity of Use Assumptions'!H:H,K656)</f>
        <v>1</v>
      </c>
      <c r="Q656" s="567" t="s">
        <v>67</v>
      </c>
      <c r="R656" s="1032">
        <f>(SUMPRODUCT(M656:M658,O656:O658)*P656)</f>
        <v>0</v>
      </c>
      <c r="S656" s="1033">
        <f>IF(R656=0,0,M658*P656)</f>
        <v>0</v>
      </c>
      <c r="T656" s="225" t="str">
        <f>G656&amp;"-"&amp;J656</f>
        <v>Parking B-Other 1</v>
      </c>
      <c r="U656" s="1034">
        <f ca="1">IF(ISNA(VLOOKUP(T656,list!$AV$3:$AW$130,2,FALSE)),1,(VLOOKUP(T656,list!$AV$3:$AW$130,2,FALSE)))</f>
        <v>1</v>
      </c>
      <c r="V656" s="1033">
        <f ca="1">R656*U656</f>
        <v>0</v>
      </c>
      <c r="W656" s="1033">
        <f ca="1">S656*U656</f>
        <v>0</v>
      </c>
    </row>
    <row r="657" spans="3:23" x14ac:dyDescent="0.3">
      <c r="C657" s="576"/>
      <c r="D657" s="494" t="s">
        <v>13</v>
      </c>
      <c r="E657" s="494"/>
      <c r="F657" s="181"/>
      <c r="G657" s="494" t="s">
        <v>92</v>
      </c>
      <c r="H657" s="577"/>
      <c r="I657" s="450" t="s">
        <v>8</v>
      </c>
      <c r="J657" s="577" t="s">
        <v>52</v>
      </c>
      <c r="K657" s="382"/>
      <c r="L657" s="1035" t="s">
        <v>65</v>
      </c>
      <c r="M657" s="1036">
        <f>SUMIFS('Level of Efficiency Assumptions'!$J:$J,'Level of Efficiency Assumptions'!$D:$D,I657,'Level of Efficiency Assumptions'!$F:$F,J657,'Level of Efficiency Assumptions'!$I:$I,'Water Use Calcs'!L657)</f>
        <v>7.5</v>
      </c>
      <c r="N657" s="577"/>
      <c r="O657" s="1048">
        <f>SUMIFS('Detailed Fixture Data'!O:O,'Detailed Fixture Data'!C:C,G657,'Detailed Fixture Data'!E:E,I657,'Detailed Fixture Data'!F:F,J657,'Detailed Fixture Data'!L:L,L657)</f>
        <v>0</v>
      </c>
      <c r="P657" s="1049"/>
      <c r="Q657" s="577"/>
      <c r="R657" s="1039"/>
      <c r="S657" s="521"/>
      <c r="T657" s="225"/>
      <c r="U657" s="521"/>
      <c r="V657" s="1040"/>
      <c r="W657" s="1041"/>
    </row>
    <row r="658" spans="3:23" ht="15" thickBot="1" x14ac:dyDescent="0.35">
      <c r="C658" s="576"/>
      <c r="D658" s="494" t="s">
        <v>13</v>
      </c>
      <c r="E658" s="494"/>
      <c r="F658" s="181"/>
      <c r="G658" s="494" t="s">
        <v>92</v>
      </c>
      <c r="H658" s="577"/>
      <c r="I658" s="450" t="s">
        <v>8</v>
      </c>
      <c r="J658" s="116" t="s">
        <v>52</v>
      </c>
      <c r="K658" s="382"/>
      <c r="L658" s="1042" t="s">
        <v>66</v>
      </c>
      <c r="M658" s="1043">
        <f>SUMIFS('Level of Efficiency Assumptions'!$J:$J,'Level of Efficiency Assumptions'!$D:$D,I658,'Level of Efficiency Assumptions'!$F:$F,J658,'Level of Efficiency Assumptions'!$I:$I,'Water Use Calcs'!L658)</f>
        <v>5</v>
      </c>
      <c r="N658" s="577"/>
      <c r="O658" s="1048">
        <f>SUMIFS('Detailed Fixture Data'!O:O,'Detailed Fixture Data'!C:C,G658,'Detailed Fixture Data'!E:E,I658,'Detailed Fixture Data'!F:F,J658,'Detailed Fixture Data'!L:L,L658)</f>
        <v>0</v>
      </c>
      <c r="P658" s="1049"/>
      <c r="Q658" s="577"/>
      <c r="R658" s="1039"/>
      <c r="S658" s="618"/>
      <c r="T658" s="225"/>
      <c r="U658" s="618"/>
      <c r="V658" s="1045"/>
      <c r="W658" s="1046"/>
    </row>
    <row r="659" spans="3:23" x14ac:dyDescent="0.3">
      <c r="C659" s="576"/>
      <c r="D659" s="494" t="s">
        <v>13</v>
      </c>
      <c r="E659" s="494"/>
      <c r="F659" s="181"/>
      <c r="G659" s="494" t="s">
        <v>92</v>
      </c>
      <c r="H659" s="577"/>
      <c r="I659" s="450" t="s">
        <v>8</v>
      </c>
      <c r="J659" s="577" t="s">
        <v>53</v>
      </c>
      <c r="K659" s="1055" t="s">
        <v>363</v>
      </c>
      <c r="L659" s="1047" t="s">
        <v>64</v>
      </c>
      <c r="M659" s="1036">
        <f>SUMIFS('Level of Efficiency Assumptions'!$J:$J,'Level of Efficiency Assumptions'!$D:$D,I659,'Level of Efficiency Assumptions'!$F:$F,J659,'Level of Efficiency Assumptions'!$I:$I,'Water Use Calcs'!L659)</f>
        <v>10</v>
      </c>
      <c r="N659" s="567" t="s">
        <v>660</v>
      </c>
      <c r="O659" s="1048">
        <f>SUMIFS('Detailed Fixture Data'!O:O,'Detailed Fixture Data'!C:C,G659,'Detailed Fixture Data'!E:E,I659,'Detailed Fixture Data'!F:F,J659,'Detailed Fixture Data'!L:L,L659)</f>
        <v>0</v>
      </c>
      <c r="P659" s="1030">
        <f>SUMIFS('Intensity of Use Assumptions'!$J:$J,'Intensity of Use Assumptions'!$D:$D,I659,'Intensity of Use Assumptions'!$G:$G,J659,'Intensity of Use Assumptions'!H:H,K659)</f>
        <v>1</v>
      </c>
      <c r="Q659" s="567" t="s">
        <v>67</v>
      </c>
      <c r="R659" s="1032">
        <f>(SUMPRODUCT(M659:M661,O659:O661)*P659)</f>
        <v>0</v>
      </c>
      <c r="S659" s="1033">
        <f>IF(R659=0,0,M661*P659)</f>
        <v>0</v>
      </c>
      <c r="T659" s="225" t="str">
        <f>G659&amp;"-"&amp;J659</f>
        <v>Parking B-Other 2</v>
      </c>
      <c r="U659" s="1034">
        <f ca="1">IF(ISNA(VLOOKUP(T659,list!$AV$3:$AW$130,2,FALSE)),1,(VLOOKUP(T659,list!$AV$3:$AW$130,2,FALSE)))</f>
        <v>1</v>
      </c>
      <c r="V659" s="1033">
        <f ca="1">R659*U659</f>
        <v>0</v>
      </c>
      <c r="W659" s="1033">
        <f ca="1">S659*U659</f>
        <v>0</v>
      </c>
    </row>
    <row r="660" spans="3:23" x14ac:dyDescent="0.3">
      <c r="C660" s="576"/>
      <c r="D660" s="494" t="s">
        <v>13</v>
      </c>
      <c r="E660" s="494"/>
      <c r="F660" s="181"/>
      <c r="G660" s="494" t="s">
        <v>92</v>
      </c>
      <c r="H660" s="577"/>
      <c r="I660" s="450" t="s">
        <v>8</v>
      </c>
      <c r="J660" s="577" t="s">
        <v>53</v>
      </c>
      <c r="K660" s="577"/>
      <c r="L660" s="1035" t="s">
        <v>65</v>
      </c>
      <c r="M660" s="1036">
        <f>SUMIFS('Level of Efficiency Assumptions'!$J:$J,'Level of Efficiency Assumptions'!$D:$D,I660,'Level of Efficiency Assumptions'!$F:$F,J660,'Level of Efficiency Assumptions'!$I:$I,'Water Use Calcs'!L660)</f>
        <v>7.5</v>
      </c>
      <c r="N660" s="577"/>
      <c r="O660" s="1048">
        <f>SUMIFS('Detailed Fixture Data'!O:O,'Detailed Fixture Data'!C:C,G660,'Detailed Fixture Data'!E:E,I660,'Detailed Fixture Data'!F:F,J660,'Detailed Fixture Data'!L:L,L660)</f>
        <v>0</v>
      </c>
      <c r="P660" s="1049"/>
      <c r="Q660" s="577"/>
      <c r="R660" s="1039"/>
      <c r="S660" s="521"/>
      <c r="T660" s="225"/>
      <c r="U660" s="521"/>
      <c r="V660" s="1040"/>
      <c r="W660" s="1041"/>
    </row>
    <row r="661" spans="3:23" ht="15" thickBot="1" x14ac:dyDescent="0.35">
      <c r="C661" s="576"/>
      <c r="D661" s="494" t="s">
        <v>13</v>
      </c>
      <c r="E661" s="494"/>
      <c r="F661" s="181"/>
      <c r="G661" s="494" t="s">
        <v>92</v>
      </c>
      <c r="H661" s="577"/>
      <c r="I661" s="450" t="s">
        <v>8</v>
      </c>
      <c r="J661" s="116" t="s">
        <v>53</v>
      </c>
      <c r="K661" s="116"/>
      <c r="L661" s="1042" t="s">
        <v>66</v>
      </c>
      <c r="M661" s="1043">
        <f>SUMIFS('Level of Efficiency Assumptions'!$J:$J,'Level of Efficiency Assumptions'!$D:$D,I661,'Level of Efficiency Assumptions'!$F:$F,J661,'Level of Efficiency Assumptions'!$I:$I,'Water Use Calcs'!L661)</f>
        <v>5</v>
      </c>
      <c r="N661" s="577"/>
      <c r="O661" s="1048">
        <f>SUMIFS('Detailed Fixture Data'!O:O,'Detailed Fixture Data'!C:C,G661,'Detailed Fixture Data'!E:E,I661,'Detailed Fixture Data'!F:F,J661,'Detailed Fixture Data'!L:L,L661)</f>
        <v>0</v>
      </c>
      <c r="P661" s="1049"/>
      <c r="Q661" s="577"/>
      <c r="R661" s="1039"/>
      <c r="S661" s="618"/>
      <c r="T661" s="225"/>
      <c r="U661" s="618"/>
      <c r="V661" s="1045"/>
      <c r="W661" s="1046"/>
    </row>
    <row r="662" spans="3:23" x14ac:dyDescent="0.3">
      <c r="C662" s="576"/>
      <c r="D662" s="494" t="s">
        <v>13</v>
      </c>
      <c r="E662" s="494"/>
      <c r="F662" s="181"/>
      <c r="G662" s="494" t="s">
        <v>92</v>
      </c>
      <c r="H662" s="577"/>
      <c r="I662" s="450" t="s">
        <v>8</v>
      </c>
      <c r="J662" s="577" t="s">
        <v>54</v>
      </c>
      <c r="K662" s="379" t="s">
        <v>364</v>
      </c>
      <c r="L662" s="1047" t="s">
        <v>64</v>
      </c>
      <c r="M662" s="1036">
        <f>SUMIFS('Level of Efficiency Assumptions'!$J:$J,'Level of Efficiency Assumptions'!$D:$D,I662,'Level of Efficiency Assumptions'!$F:$F,J662,'Level of Efficiency Assumptions'!$I:$I,'Water Use Calcs'!L662)</f>
        <v>10</v>
      </c>
      <c r="N662" s="567" t="s">
        <v>660</v>
      </c>
      <c r="O662" s="1048">
        <f>SUMIFS('Detailed Fixture Data'!O:O,'Detailed Fixture Data'!C:C,G662,'Detailed Fixture Data'!E:E,I662,'Detailed Fixture Data'!F:F,J662,'Detailed Fixture Data'!L:L,L662)</f>
        <v>0</v>
      </c>
      <c r="P662" s="1030">
        <f>SUMIFS('Intensity of Use Assumptions'!$J:$J,'Intensity of Use Assumptions'!$D:$D,I662,'Intensity of Use Assumptions'!$G:$G,J662,'Intensity of Use Assumptions'!H:H,K662)</f>
        <v>1</v>
      </c>
      <c r="Q662" s="567" t="s">
        <v>67</v>
      </c>
      <c r="R662" s="1032">
        <f>(SUMPRODUCT(M662:M664,O662:O664)*P662)</f>
        <v>0</v>
      </c>
      <c r="S662" s="1033">
        <f>IF(R662=0,0,M664*P662)</f>
        <v>0</v>
      </c>
      <c r="T662" s="225" t="str">
        <f>G662&amp;"-"&amp;J662</f>
        <v>Parking B-Other 3</v>
      </c>
      <c r="U662" s="1034">
        <f ca="1">IF(ISNA(VLOOKUP(T662,list!$AV$3:$AW$130,2,FALSE)),1,(VLOOKUP(T662,list!$AV$3:$AW$130,2,FALSE)))</f>
        <v>1</v>
      </c>
      <c r="V662" s="1033">
        <f ca="1">R662*U662</f>
        <v>0</v>
      </c>
      <c r="W662" s="1033">
        <f ca="1">S662*U662</f>
        <v>0</v>
      </c>
    </row>
    <row r="663" spans="3:23" x14ac:dyDescent="0.3">
      <c r="C663" s="576"/>
      <c r="D663" s="494" t="s">
        <v>13</v>
      </c>
      <c r="E663" s="494"/>
      <c r="F663" s="181"/>
      <c r="G663" s="494" t="s">
        <v>92</v>
      </c>
      <c r="H663" s="577"/>
      <c r="I663" s="450" t="s">
        <v>8</v>
      </c>
      <c r="J663" s="577" t="s">
        <v>54</v>
      </c>
      <c r="K663" s="577"/>
      <c r="L663" s="1035" t="s">
        <v>65</v>
      </c>
      <c r="M663" s="1036">
        <f>SUMIFS('Level of Efficiency Assumptions'!$J:$J,'Level of Efficiency Assumptions'!$D:$D,I663,'Level of Efficiency Assumptions'!$F:$F,J663,'Level of Efficiency Assumptions'!$I:$I,'Water Use Calcs'!L663)</f>
        <v>7.5</v>
      </c>
      <c r="N663" s="577"/>
      <c r="O663" s="1048">
        <f>SUMIFS('Detailed Fixture Data'!O:O,'Detailed Fixture Data'!C:C,G663,'Detailed Fixture Data'!E:E,I663,'Detailed Fixture Data'!F:F,J663,'Detailed Fixture Data'!L:L,L663)</f>
        <v>0</v>
      </c>
      <c r="P663" s="1049"/>
      <c r="Q663" s="577"/>
      <c r="R663" s="1039"/>
      <c r="S663" s="521"/>
      <c r="T663" s="225"/>
      <c r="U663" s="521"/>
      <c r="V663" s="1040"/>
      <c r="W663" s="1041"/>
    </row>
    <row r="664" spans="3:23" ht="15" thickBot="1" x14ac:dyDescent="0.35">
      <c r="C664" s="576"/>
      <c r="D664" s="494" t="s">
        <v>13</v>
      </c>
      <c r="E664" s="494"/>
      <c r="F664" s="181"/>
      <c r="G664" s="501" t="s">
        <v>92</v>
      </c>
      <c r="H664" s="116"/>
      <c r="I664" s="451" t="s">
        <v>8</v>
      </c>
      <c r="J664" s="116" t="s">
        <v>54</v>
      </c>
      <c r="K664" s="116"/>
      <c r="L664" s="1042" t="s">
        <v>66</v>
      </c>
      <c r="M664" s="1043">
        <f>SUMIFS('Level of Efficiency Assumptions'!$J:$J,'Level of Efficiency Assumptions'!$D:$D,I664,'Level of Efficiency Assumptions'!$F:$F,J664,'Level of Efficiency Assumptions'!$I:$I,'Water Use Calcs'!L664)</f>
        <v>5</v>
      </c>
      <c r="N664" s="116"/>
      <c r="O664" s="1048">
        <f>SUMIFS('Detailed Fixture Data'!O:O,'Detailed Fixture Data'!C:C,G664,'Detailed Fixture Data'!E:E,I664,'Detailed Fixture Data'!F:F,J664,'Detailed Fixture Data'!L:L,L664)</f>
        <v>0</v>
      </c>
      <c r="P664" s="1049"/>
      <c r="Q664" s="116"/>
      <c r="R664" s="1045"/>
      <c r="S664" s="618"/>
      <c r="T664" s="225"/>
      <c r="U664" s="618"/>
      <c r="V664" s="1045"/>
      <c r="W664" s="1046"/>
    </row>
    <row r="665" spans="3:23" x14ac:dyDescent="0.3">
      <c r="C665" s="576"/>
      <c r="D665" s="494" t="s">
        <v>13</v>
      </c>
      <c r="E665" s="619" t="str">
        <f>G665</f>
        <v>Parking C</v>
      </c>
      <c r="F665" s="565" t="str">
        <f>VLOOKUP(E665,'Airport Mapping'!$C$5:$D$39,2,FALSE)</f>
        <v xml:space="preserve"> </v>
      </c>
      <c r="G665" s="494" t="s">
        <v>93</v>
      </c>
      <c r="H665" s="651" t="str">
        <f>I665</f>
        <v>Landscaping</v>
      </c>
      <c r="I665" s="454" t="s">
        <v>39</v>
      </c>
      <c r="J665" s="567" t="s">
        <v>42</v>
      </c>
      <c r="K665" s="567" t="s">
        <v>32</v>
      </c>
      <c r="L665" s="1028" t="s">
        <v>64</v>
      </c>
      <c r="M665" s="1036">
        <f>SUMIFS('Level of Efficiency Assumptions'!$J:$J,'Level of Efficiency Assumptions'!$D:$D,I665,'Level of Efficiency Assumptions'!$F:$F,J665,'Level of Efficiency Assumptions'!$I:$I,'Water Use Calcs'!L665)</f>
        <v>28.6</v>
      </c>
      <c r="N665" s="567" t="s">
        <v>816</v>
      </c>
      <c r="O665" s="1048">
        <f>SUMIFS('Detailed Fixture Data'!O:O,'Detailed Fixture Data'!C:C,G665,'Detailed Fixture Data'!E:E,I665,'Detailed Fixture Data'!F:F,J665,'Detailed Fixture Data'!L:L,L665)</f>
        <v>0</v>
      </c>
      <c r="P665" s="1030">
        <f>SUMIFS('Intensity of Use Assumptions'!$J:$J,'Intensity of Use Assumptions'!$D:$D,I665,'Intensity of Use Assumptions'!$G:$G,J665,'Intensity of Use Assumptions'!H:H,K665,'Intensity of Use Assumptions'!F:F,D665)</f>
        <v>2.7397260273972603E-3</v>
      </c>
      <c r="Q665" s="567" t="s">
        <v>815</v>
      </c>
      <c r="R665" s="1032">
        <f>(SUMPRODUCT(M665:M667,O665:O667)*P665)</f>
        <v>0</v>
      </c>
      <c r="S665" s="1033">
        <f>IF(R665=0,0,M667*P665)</f>
        <v>0</v>
      </c>
      <c r="T665" s="225" t="str">
        <f>G665&amp;"-"&amp;J665</f>
        <v>Parking C-Outdoor irrigation</v>
      </c>
      <c r="U665" s="1034">
        <f ca="1">IF(ISNA(VLOOKUP(T665,list!$AV$3:$AW$130,2,FALSE)),1,(VLOOKUP(T665,list!$AV$3:$AW$130,2,FALSE)))</f>
        <v>1</v>
      </c>
      <c r="V665" s="1033">
        <f ca="1">R665*U665</f>
        <v>0</v>
      </c>
      <c r="W665" s="1033">
        <f ca="1">S665*U665</f>
        <v>0</v>
      </c>
    </row>
    <row r="666" spans="3:23" x14ac:dyDescent="0.3">
      <c r="C666" s="576"/>
      <c r="D666" s="494" t="s">
        <v>13</v>
      </c>
      <c r="E666" s="494"/>
      <c r="F666" s="181"/>
      <c r="G666" s="494" t="s">
        <v>93</v>
      </c>
      <c r="H666" s="577"/>
      <c r="I666" s="450" t="s">
        <v>39</v>
      </c>
      <c r="J666" s="577" t="s">
        <v>42</v>
      </c>
      <c r="K666" s="577"/>
      <c r="L666" s="1035" t="s">
        <v>65</v>
      </c>
      <c r="M666" s="1036">
        <f>SUMIFS('Level of Efficiency Assumptions'!$J:$J,'Level of Efficiency Assumptions'!$D:$D,I666,'Level of Efficiency Assumptions'!$F:$F,J666,'Level of Efficiency Assumptions'!$I:$I,'Water Use Calcs'!L666)</f>
        <v>13.980821518350929</v>
      </c>
      <c r="N666" s="577"/>
      <c r="O666" s="1048">
        <f>SUMIFS('Detailed Fixture Data'!O:O,'Detailed Fixture Data'!C:C,G666,'Detailed Fixture Data'!E:E,I666,'Detailed Fixture Data'!F:F,J666,'Detailed Fixture Data'!L:L,L666)</f>
        <v>0</v>
      </c>
      <c r="P666" s="1049"/>
      <c r="Q666" s="577"/>
      <c r="R666" s="1039"/>
      <c r="S666" s="521"/>
      <c r="T666" s="225"/>
      <c r="U666" s="521"/>
      <c r="V666" s="1040"/>
      <c r="W666" s="1041"/>
    </row>
    <row r="667" spans="3:23" ht="15" thickBot="1" x14ac:dyDescent="0.35">
      <c r="C667" s="576"/>
      <c r="D667" s="494" t="s">
        <v>13</v>
      </c>
      <c r="E667" s="494"/>
      <c r="F667" s="181"/>
      <c r="G667" s="494" t="s">
        <v>93</v>
      </c>
      <c r="H667" s="577"/>
      <c r="I667" s="451" t="s">
        <v>39</v>
      </c>
      <c r="J667" s="116" t="s">
        <v>42</v>
      </c>
      <c r="K667" s="116"/>
      <c r="L667" s="1042" t="s">
        <v>66</v>
      </c>
      <c r="M667" s="1043">
        <f>SUMIFS('Level of Efficiency Assumptions'!$J:$J,'Level of Efficiency Assumptions'!$D:$D,I667,'Level of Efficiency Assumptions'!$F:$F,J667,'Level of Efficiency Assumptions'!$I:$I,'Water Use Calcs'!L667)</f>
        <v>0.59137254901960778</v>
      </c>
      <c r="N667" s="577"/>
      <c r="O667" s="1048">
        <f>SUMIFS('Detailed Fixture Data'!O:O,'Detailed Fixture Data'!C:C,G667,'Detailed Fixture Data'!E:E,I667,'Detailed Fixture Data'!F:F,J667,'Detailed Fixture Data'!L:L,L667)</f>
        <v>0</v>
      </c>
      <c r="P667" s="1049"/>
      <c r="Q667" s="577"/>
      <c r="R667" s="1039"/>
      <c r="S667" s="618"/>
      <c r="T667" s="225"/>
      <c r="U667" s="618"/>
      <c r="V667" s="1045"/>
      <c r="W667" s="1046"/>
    </row>
    <row r="668" spans="3:23" x14ac:dyDescent="0.3">
      <c r="C668" s="576"/>
      <c r="D668" s="494" t="s">
        <v>13</v>
      </c>
      <c r="E668" s="494"/>
      <c r="F668" s="181"/>
      <c r="G668" s="494" t="s">
        <v>93</v>
      </c>
      <c r="H668" s="651" t="str">
        <f>I668</f>
        <v>Maintenance</v>
      </c>
      <c r="I668" s="450" t="s">
        <v>43</v>
      </c>
      <c r="J668" s="577" t="s">
        <v>9</v>
      </c>
      <c r="K668" s="382" t="s">
        <v>282</v>
      </c>
      <c r="L668" s="1047" t="s">
        <v>64</v>
      </c>
      <c r="M668" s="1036">
        <f>SUMIFS('Level of Efficiency Assumptions'!$J:$J,'Level of Efficiency Assumptions'!$D:$D,I668,'Level of Efficiency Assumptions'!$F:$F,J668,'Level of Efficiency Assumptions'!$I:$I,'Water Use Calcs'!L668)</f>
        <v>80</v>
      </c>
      <c r="N668" s="567" t="s">
        <v>588</v>
      </c>
      <c r="O668" s="1048">
        <f>SUMIFS('Detailed Fixture Data'!O:O,'Detailed Fixture Data'!C:C,G668,'Detailed Fixture Data'!E:E,I668,'Detailed Fixture Data'!F:F,J668,'Detailed Fixture Data'!L:L,L668)</f>
        <v>0</v>
      </c>
      <c r="P668" s="1062">
        <f>SUMIFS('Intensity of Use Assumptions'!$J:$J,'Intensity of Use Assumptions'!$D:$D,I668,'Intensity of Use Assumptions'!$G:$G,J668,'Intensity of Use Assumptions'!H:H,K668)</f>
        <v>2.0000000000000001E-4</v>
      </c>
      <c r="Q668" s="567" t="s">
        <v>67</v>
      </c>
      <c r="R668" s="1032">
        <f>(SUMPRODUCT(M668:M670,O668:O670)*P668)</f>
        <v>0</v>
      </c>
      <c r="S668" s="1033">
        <f>IF(R668=0,0,M670*P668)</f>
        <v>0</v>
      </c>
      <c r="T668" s="225" t="str">
        <f>G668&amp;"-"&amp;J668</f>
        <v>Parking C-Vehicle washing</v>
      </c>
      <c r="U668" s="1034">
        <f ca="1">IF(ISNA(VLOOKUP(T668,list!$AV$3:$AW$130,2,FALSE)),1,(VLOOKUP(T668,list!$AV$3:$AW$130,2,FALSE)))</f>
        <v>1</v>
      </c>
      <c r="V668" s="1033">
        <f ca="1">R668*U668</f>
        <v>0</v>
      </c>
      <c r="W668" s="1033">
        <f ca="1">S668*U668</f>
        <v>0</v>
      </c>
    </row>
    <row r="669" spans="3:23" x14ac:dyDescent="0.3">
      <c r="C669" s="576"/>
      <c r="D669" s="494" t="s">
        <v>13</v>
      </c>
      <c r="E669" s="494"/>
      <c r="F669" s="181"/>
      <c r="G669" s="494" t="s">
        <v>93</v>
      </c>
      <c r="H669" s="577"/>
      <c r="I669" s="450" t="s">
        <v>43</v>
      </c>
      <c r="J669" s="577" t="s">
        <v>9</v>
      </c>
      <c r="K669" s="577"/>
      <c r="L669" s="1035" t="s">
        <v>65</v>
      </c>
      <c r="M669" s="1036">
        <f>SUMIFS('Level of Efficiency Assumptions'!$J:$J,'Level of Efficiency Assumptions'!$D:$D,I669,'Level of Efficiency Assumptions'!$F:$F,J669,'Level of Efficiency Assumptions'!$I:$I,'Water Use Calcs'!L669)</f>
        <v>40</v>
      </c>
      <c r="N669" s="577"/>
      <c r="O669" s="1048">
        <f>SUMIFS('Detailed Fixture Data'!O:O,'Detailed Fixture Data'!C:C,G669,'Detailed Fixture Data'!E:E,I669,'Detailed Fixture Data'!F:F,J669,'Detailed Fixture Data'!L:L,L669)</f>
        <v>0</v>
      </c>
      <c r="P669" s="1049"/>
      <c r="Q669" s="577"/>
      <c r="R669" s="1039"/>
      <c r="S669" s="521"/>
      <c r="T669" s="225"/>
      <c r="U669" s="521"/>
      <c r="V669" s="1040"/>
      <c r="W669" s="1041"/>
    </row>
    <row r="670" spans="3:23" ht="15" thickBot="1" x14ac:dyDescent="0.35">
      <c r="C670" s="576"/>
      <c r="D670" s="494" t="s">
        <v>13</v>
      </c>
      <c r="E670" s="494"/>
      <c r="F670" s="181"/>
      <c r="G670" s="494" t="s">
        <v>93</v>
      </c>
      <c r="H670" s="577"/>
      <c r="I670" s="450" t="s">
        <v>43</v>
      </c>
      <c r="J670" s="116" t="s">
        <v>9</v>
      </c>
      <c r="K670" s="116"/>
      <c r="L670" s="1042" t="s">
        <v>66</v>
      </c>
      <c r="M670" s="1043">
        <f>SUMIFS('Level of Efficiency Assumptions'!$J:$J,'Level of Efficiency Assumptions'!$D:$D,I670,'Level of Efficiency Assumptions'!$F:$F,J670,'Level of Efficiency Assumptions'!$I:$I,'Water Use Calcs'!L670)</f>
        <v>30</v>
      </c>
      <c r="N670" s="577"/>
      <c r="O670" s="1048">
        <f>SUMIFS('Detailed Fixture Data'!O:O,'Detailed Fixture Data'!C:C,G670,'Detailed Fixture Data'!E:E,I670,'Detailed Fixture Data'!F:F,J670,'Detailed Fixture Data'!L:L,L670)</f>
        <v>0</v>
      </c>
      <c r="P670" s="1049"/>
      <c r="Q670" s="577"/>
      <c r="R670" s="1039"/>
      <c r="S670" s="618"/>
      <c r="T670" s="225"/>
      <c r="U670" s="618"/>
      <c r="V670" s="1045"/>
      <c r="W670" s="1046"/>
    </row>
    <row r="671" spans="3:23" x14ac:dyDescent="0.3">
      <c r="C671" s="576"/>
      <c r="D671" s="494" t="s">
        <v>13</v>
      </c>
      <c r="E671" s="494"/>
      <c r="F671" s="181"/>
      <c r="G671" s="494" t="s">
        <v>93</v>
      </c>
      <c r="H671" s="577"/>
      <c r="I671" s="450" t="s">
        <v>43</v>
      </c>
      <c r="J671" s="577" t="s">
        <v>426</v>
      </c>
      <c r="K671" s="382" t="s">
        <v>282</v>
      </c>
      <c r="L671" s="1047" t="s">
        <v>64</v>
      </c>
      <c r="M671" s="1036">
        <f>SUMIFS('Level of Efficiency Assumptions'!$J:$J,'Level of Efficiency Assumptions'!$D:$D,I671,'Level of Efficiency Assumptions'!$F:$F,J671,'Level of Efficiency Assumptions'!$I:$I,'Water Use Calcs'!L671)</f>
        <v>10</v>
      </c>
      <c r="N671" s="567" t="s">
        <v>588</v>
      </c>
      <c r="O671" s="1048">
        <f>SUMIFS('Detailed Fixture Data'!O:O,'Detailed Fixture Data'!C:C,G671,'Detailed Fixture Data'!E:E,I671,'Detailed Fixture Data'!F:F,J671,'Detailed Fixture Data'!L:L,L671)</f>
        <v>0</v>
      </c>
      <c r="P671" s="1030">
        <f>SUMIFS('Intensity of Use Assumptions'!$J:$J,'Intensity of Use Assumptions'!$D:$D,I671,'Intensity of Use Assumptions'!$G:$G,J671,'Intensity of Use Assumptions'!H:H,K671)</f>
        <v>1E-3</v>
      </c>
      <c r="Q671" s="567" t="s">
        <v>67</v>
      </c>
      <c r="R671" s="1032">
        <f>(SUMPRODUCT(M671:M673,O671:O673)*P671)</f>
        <v>0</v>
      </c>
      <c r="S671" s="1033">
        <f>IF(R671=0,0,M673*P671)</f>
        <v>0</v>
      </c>
      <c r="T671" s="225" t="str">
        <f>G671&amp;"-"&amp;J671</f>
        <v>Parking C-Pavement cleaning</v>
      </c>
      <c r="U671" s="1034">
        <f ca="1">IF(ISNA(VLOOKUP(T671,list!$AV$3:$AW$130,2,FALSE)),1,(VLOOKUP(T671,list!$AV$3:$AW$130,2,FALSE)))</f>
        <v>1</v>
      </c>
      <c r="V671" s="1033">
        <f ca="1">R671*U671</f>
        <v>0</v>
      </c>
      <c r="W671" s="1033">
        <f ca="1">S671*U671</f>
        <v>0</v>
      </c>
    </row>
    <row r="672" spans="3:23" x14ac:dyDescent="0.3">
      <c r="C672" s="576"/>
      <c r="D672" s="494" t="s">
        <v>13</v>
      </c>
      <c r="E672" s="494"/>
      <c r="F672" s="181"/>
      <c r="G672" s="494" t="s">
        <v>93</v>
      </c>
      <c r="H672" s="577"/>
      <c r="I672" s="450" t="s">
        <v>43</v>
      </c>
      <c r="J672" s="577" t="s">
        <v>426</v>
      </c>
      <c r="K672" s="577"/>
      <c r="L672" s="1035" t="s">
        <v>65</v>
      </c>
      <c r="M672" s="1036">
        <f>SUMIFS('Level of Efficiency Assumptions'!$J:$J,'Level of Efficiency Assumptions'!$D:$D,I672,'Level of Efficiency Assumptions'!$F:$F,J672,'Level of Efficiency Assumptions'!$I:$I,'Water Use Calcs'!L672)</f>
        <v>7.5</v>
      </c>
      <c r="N672" s="577"/>
      <c r="O672" s="1048">
        <f>SUMIFS('Detailed Fixture Data'!O:O,'Detailed Fixture Data'!C:C,G672,'Detailed Fixture Data'!E:E,I672,'Detailed Fixture Data'!F:F,J672,'Detailed Fixture Data'!L:L,L672)</f>
        <v>0</v>
      </c>
      <c r="P672" s="1049"/>
      <c r="Q672" s="577"/>
      <c r="R672" s="1039"/>
      <c r="S672" s="521"/>
      <c r="T672" s="225"/>
      <c r="U672" s="521"/>
      <c r="V672" s="1040"/>
      <c r="W672" s="1041"/>
    </row>
    <row r="673" spans="3:23" ht="15" thickBot="1" x14ac:dyDescent="0.35">
      <c r="C673" s="576"/>
      <c r="D673" s="494" t="s">
        <v>13</v>
      </c>
      <c r="E673" s="494"/>
      <c r="F673" s="181"/>
      <c r="G673" s="494" t="s">
        <v>93</v>
      </c>
      <c r="H673" s="577"/>
      <c r="I673" s="451" t="s">
        <v>43</v>
      </c>
      <c r="J673" s="116" t="s">
        <v>426</v>
      </c>
      <c r="K673" s="116"/>
      <c r="L673" s="1042" t="s">
        <v>66</v>
      </c>
      <c r="M673" s="1043">
        <f>SUMIFS('Level of Efficiency Assumptions'!$J:$J,'Level of Efficiency Assumptions'!$D:$D,I673,'Level of Efficiency Assumptions'!$F:$F,J673,'Level of Efficiency Assumptions'!$I:$I,'Water Use Calcs'!L673)</f>
        <v>5</v>
      </c>
      <c r="N673" s="577"/>
      <c r="O673" s="1048">
        <f>SUMIFS('Detailed Fixture Data'!O:O,'Detailed Fixture Data'!C:C,G673,'Detailed Fixture Data'!E:E,I673,'Detailed Fixture Data'!F:F,J673,'Detailed Fixture Data'!L:L,L673)</f>
        <v>0</v>
      </c>
      <c r="P673" s="1049"/>
      <c r="Q673" s="577"/>
      <c r="R673" s="1039"/>
      <c r="S673" s="618"/>
      <c r="T673" s="225"/>
      <c r="U673" s="618"/>
      <c r="V673" s="1045"/>
      <c r="W673" s="1046"/>
    </row>
    <row r="674" spans="3:23" x14ac:dyDescent="0.3">
      <c r="C674" s="576"/>
      <c r="D674" s="494" t="s">
        <v>13</v>
      </c>
      <c r="E674" s="494"/>
      <c r="F674" s="181"/>
      <c r="G674" s="494" t="s">
        <v>93</v>
      </c>
      <c r="H674" s="651" t="str">
        <f>I674</f>
        <v>Other</v>
      </c>
      <c r="I674" s="450" t="s">
        <v>8</v>
      </c>
      <c r="J674" s="577" t="s">
        <v>52</v>
      </c>
      <c r="K674" s="387" t="s">
        <v>362</v>
      </c>
      <c r="L674" s="1047" t="s">
        <v>64</v>
      </c>
      <c r="M674" s="1036">
        <f>SUMIFS('Level of Efficiency Assumptions'!$J:$J,'Level of Efficiency Assumptions'!$D:$D,I674,'Level of Efficiency Assumptions'!$F:$F,J674,'Level of Efficiency Assumptions'!$I:$I,'Water Use Calcs'!L674)</f>
        <v>10</v>
      </c>
      <c r="N674" s="567" t="s">
        <v>660</v>
      </c>
      <c r="O674" s="1048">
        <f>SUMIFS('Detailed Fixture Data'!O:O,'Detailed Fixture Data'!C:C,G674,'Detailed Fixture Data'!E:E,I674,'Detailed Fixture Data'!F:F,J674,'Detailed Fixture Data'!L:L,L674)</f>
        <v>0</v>
      </c>
      <c r="P674" s="1030">
        <f>SUMIFS('Intensity of Use Assumptions'!$J:$J,'Intensity of Use Assumptions'!$D:$D,I674,'Intensity of Use Assumptions'!$G:$G,J674,'Intensity of Use Assumptions'!H:H,K674)</f>
        <v>1</v>
      </c>
      <c r="Q674" s="567" t="s">
        <v>67</v>
      </c>
      <c r="R674" s="1032">
        <f>(SUMPRODUCT(M674:M676,O674:O676)*P674)</f>
        <v>0</v>
      </c>
      <c r="S674" s="1033">
        <f>IF(R674=0,0,M676*P674)</f>
        <v>0</v>
      </c>
      <c r="T674" s="225" t="str">
        <f>G674&amp;"-"&amp;J674</f>
        <v>Parking C-Other 1</v>
      </c>
      <c r="U674" s="1034">
        <f ca="1">IF(ISNA(VLOOKUP(T674,list!$AV$3:$AW$130,2,FALSE)),1,(VLOOKUP(T674,list!$AV$3:$AW$130,2,FALSE)))</f>
        <v>1</v>
      </c>
      <c r="V674" s="1033">
        <f ca="1">R674*U674</f>
        <v>0</v>
      </c>
      <c r="W674" s="1033">
        <f ca="1">S674*U674</f>
        <v>0</v>
      </c>
    </row>
    <row r="675" spans="3:23" x14ac:dyDescent="0.3">
      <c r="C675" s="576"/>
      <c r="D675" s="494" t="s">
        <v>13</v>
      </c>
      <c r="E675" s="494"/>
      <c r="F675" s="181"/>
      <c r="G675" s="494" t="s">
        <v>93</v>
      </c>
      <c r="H675" s="577"/>
      <c r="I675" s="450" t="s">
        <v>8</v>
      </c>
      <c r="J675" s="577" t="s">
        <v>52</v>
      </c>
      <c r="K675" s="382"/>
      <c r="L675" s="1035" t="s">
        <v>65</v>
      </c>
      <c r="M675" s="1036">
        <f>SUMIFS('Level of Efficiency Assumptions'!$J:$J,'Level of Efficiency Assumptions'!$D:$D,I675,'Level of Efficiency Assumptions'!$F:$F,J675,'Level of Efficiency Assumptions'!$I:$I,'Water Use Calcs'!L675)</f>
        <v>7.5</v>
      </c>
      <c r="N675" s="577"/>
      <c r="O675" s="1048">
        <f>SUMIFS('Detailed Fixture Data'!O:O,'Detailed Fixture Data'!C:C,G675,'Detailed Fixture Data'!E:E,I675,'Detailed Fixture Data'!F:F,J675,'Detailed Fixture Data'!L:L,L675)</f>
        <v>0</v>
      </c>
      <c r="P675" s="1049"/>
      <c r="Q675" s="577"/>
      <c r="R675" s="1039"/>
      <c r="S675" s="521"/>
      <c r="T675" s="225"/>
      <c r="U675" s="521"/>
      <c r="V675" s="1040"/>
      <c r="W675" s="1041"/>
    </row>
    <row r="676" spans="3:23" ht="15" thickBot="1" x14ac:dyDescent="0.35">
      <c r="C676" s="576"/>
      <c r="D676" s="494" t="s">
        <v>13</v>
      </c>
      <c r="E676" s="494"/>
      <c r="F676" s="181"/>
      <c r="G676" s="494" t="s">
        <v>93</v>
      </c>
      <c r="H676" s="577"/>
      <c r="I676" s="450" t="s">
        <v>8</v>
      </c>
      <c r="J676" s="116" t="s">
        <v>52</v>
      </c>
      <c r="K676" s="382"/>
      <c r="L676" s="1042" t="s">
        <v>66</v>
      </c>
      <c r="M676" s="1043">
        <f>SUMIFS('Level of Efficiency Assumptions'!$J:$J,'Level of Efficiency Assumptions'!$D:$D,I676,'Level of Efficiency Assumptions'!$F:$F,J676,'Level of Efficiency Assumptions'!$I:$I,'Water Use Calcs'!L676)</f>
        <v>5</v>
      </c>
      <c r="N676" s="577"/>
      <c r="O676" s="1048">
        <f>SUMIFS('Detailed Fixture Data'!O:O,'Detailed Fixture Data'!C:C,G676,'Detailed Fixture Data'!E:E,I676,'Detailed Fixture Data'!F:F,J676,'Detailed Fixture Data'!L:L,L676)</f>
        <v>0</v>
      </c>
      <c r="P676" s="1049"/>
      <c r="Q676" s="577"/>
      <c r="R676" s="1039"/>
      <c r="S676" s="618"/>
      <c r="T676" s="225"/>
      <c r="U676" s="618"/>
      <c r="V676" s="1045"/>
      <c r="W676" s="1046"/>
    </row>
    <row r="677" spans="3:23" x14ac:dyDescent="0.3">
      <c r="C677" s="576"/>
      <c r="D677" s="494" t="s">
        <v>13</v>
      </c>
      <c r="E677" s="494"/>
      <c r="F677" s="181"/>
      <c r="G677" s="494" t="s">
        <v>93</v>
      </c>
      <c r="H677" s="577"/>
      <c r="I677" s="450" t="s">
        <v>8</v>
      </c>
      <c r="J677" s="577" t="s">
        <v>53</v>
      </c>
      <c r="K677" s="1055" t="s">
        <v>363</v>
      </c>
      <c r="L677" s="1047" t="s">
        <v>64</v>
      </c>
      <c r="M677" s="1036">
        <f>SUMIFS('Level of Efficiency Assumptions'!$J:$J,'Level of Efficiency Assumptions'!$D:$D,I677,'Level of Efficiency Assumptions'!$F:$F,J677,'Level of Efficiency Assumptions'!$I:$I,'Water Use Calcs'!L677)</f>
        <v>10</v>
      </c>
      <c r="N677" s="567" t="s">
        <v>660</v>
      </c>
      <c r="O677" s="1048">
        <f>SUMIFS('Detailed Fixture Data'!O:O,'Detailed Fixture Data'!C:C,G677,'Detailed Fixture Data'!E:E,I677,'Detailed Fixture Data'!F:F,J677,'Detailed Fixture Data'!L:L,L677)</f>
        <v>0</v>
      </c>
      <c r="P677" s="1030">
        <f>SUMIFS('Intensity of Use Assumptions'!$J:$J,'Intensity of Use Assumptions'!$D:$D,I677,'Intensity of Use Assumptions'!$G:$G,J677,'Intensity of Use Assumptions'!H:H,K677)</f>
        <v>1</v>
      </c>
      <c r="Q677" s="567" t="s">
        <v>67</v>
      </c>
      <c r="R677" s="1032">
        <f>(SUMPRODUCT(M677:M679,O677:O679)*P677)</f>
        <v>0</v>
      </c>
      <c r="S677" s="1033">
        <f>IF(R677=0,0,M679*P677)</f>
        <v>0</v>
      </c>
      <c r="T677" s="225" t="str">
        <f>G677&amp;"-"&amp;J677</f>
        <v>Parking C-Other 2</v>
      </c>
      <c r="U677" s="1034">
        <f ca="1">IF(ISNA(VLOOKUP(T677,list!$AV$3:$AW$130,2,FALSE)),1,(VLOOKUP(T677,list!$AV$3:$AW$130,2,FALSE)))</f>
        <v>1</v>
      </c>
      <c r="V677" s="1033">
        <f ca="1">R677*U677</f>
        <v>0</v>
      </c>
      <c r="W677" s="1033">
        <f ca="1">S677*U677</f>
        <v>0</v>
      </c>
    </row>
    <row r="678" spans="3:23" x14ac:dyDescent="0.3">
      <c r="C678" s="576"/>
      <c r="D678" s="494" t="s">
        <v>13</v>
      </c>
      <c r="E678" s="494"/>
      <c r="F678" s="181"/>
      <c r="G678" s="494" t="s">
        <v>93</v>
      </c>
      <c r="H678" s="577"/>
      <c r="I678" s="450" t="s">
        <v>8</v>
      </c>
      <c r="J678" s="577" t="s">
        <v>53</v>
      </c>
      <c r="K678" s="577"/>
      <c r="L678" s="1035" t="s">
        <v>65</v>
      </c>
      <c r="M678" s="1036">
        <f>SUMIFS('Level of Efficiency Assumptions'!$J:$J,'Level of Efficiency Assumptions'!$D:$D,I678,'Level of Efficiency Assumptions'!$F:$F,J678,'Level of Efficiency Assumptions'!$I:$I,'Water Use Calcs'!L678)</f>
        <v>7.5</v>
      </c>
      <c r="N678" s="577"/>
      <c r="O678" s="1048">
        <f>SUMIFS('Detailed Fixture Data'!O:O,'Detailed Fixture Data'!C:C,G678,'Detailed Fixture Data'!E:E,I678,'Detailed Fixture Data'!F:F,J678,'Detailed Fixture Data'!L:L,L678)</f>
        <v>0</v>
      </c>
      <c r="P678" s="1049"/>
      <c r="Q678" s="577"/>
      <c r="R678" s="1039"/>
      <c r="S678" s="521"/>
      <c r="T678" s="225"/>
      <c r="U678" s="521"/>
      <c r="V678" s="1040"/>
      <c r="W678" s="1041"/>
    </row>
    <row r="679" spans="3:23" ht="15" thickBot="1" x14ac:dyDescent="0.35">
      <c r="C679" s="576"/>
      <c r="D679" s="494" t="s">
        <v>13</v>
      </c>
      <c r="E679" s="494"/>
      <c r="F679" s="181"/>
      <c r="G679" s="494" t="s">
        <v>93</v>
      </c>
      <c r="H679" s="577"/>
      <c r="I679" s="450" t="s">
        <v>8</v>
      </c>
      <c r="J679" s="116" t="s">
        <v>53</v>
      </c>
      <c r="K679" s="116"/>
      <c r="L679" s="1042" t="s">
        <v>66</v>
      </c>
      <c r="M679" s="1043">
        <f>SUMIFS('Level of Efficiency Assumptions'!$J:$J,'Level of Efficiency Assumptions'!$D:$D,I679,'Level of Efficiency Assumptions'!$F:$F,J679,'Level of Efficiency Assumptions'!$I:$I,'Water Use Calcs'!L679)</f>
        <v>5</v>
      </c>
      <c r="N679" s="577"/>
      <c r="O679" s="1048">
        <f>SUMIFS('Detailed Fixture Data'!O:O,'Detailed Fixture Data'!C:C,G679,'Detailed Fixture Data'!E:E,I679,'Detailed Fixture Data'!F:F,J679,'Detailed Fixture Data'!L:L,L679)</f>
        <v>0</v>
      </c>
      <c r="P679" s="1049"/>
      <c r="Q679" s="577"/>
      <c r="R679" s="1039"/>
      <c r="S679" s="618"/>
      <c r="T679" s="225"/>
      <c r="U679" s="618"/>
      <c r="V679" s="1045"/>
      <c r="W679" s="1046"/>
    </row>
    <row r="680" spans="3:23" x14ac:dyDescent="0.3">
      <c r="C680" s="576"/>
      <c r="D680" s="494" t="s">
        <v>13</v>
      </c>
      <c r="E680" s="494"/>
      <c r="F680" s="181"/>
      <c r="G680" s="494" t="s">
        <v>93</v>
      </c>
      <c r="H680" s="577"/>
      <c r="I680" s="450" t="s">
        <v>8</v>
      </c>
      <c r="J680" s="577" t="s">
        <v>54</v>
      </c>
      <c r="K680" s="379" t="s">
        <v>364</v>
      </c>
      <c r="L680" s="1047" t="s">
        <v>64</v>
      </c>
      <c r="M680" s="1036">
        <f>SUMIFS('Level of Efficiency Assumptions'!$J:$J,'Level of Efficiency Assumptions'!$D:$D,I680,'Level of Efficiency Assumptions'!$F:$F,J680,'Level of Efficiency Assumptions'!$I:$I,'Water Use Calcs'!L680)</f>
        <v>10</v>
      </c>
      <c r="N680" s="567" t="s">
        <v>660</v>
      </c>
      <c r="O680" s="1048">
        <f>SUMIFS('Detailed Fixture Data'!O:O,'Detailed Fixture Data'!C:C,G680,'Detailed Fixture Data'!E:E,I680,'Detailed Fixture Data'!F:F,J680,'Detailed Fixture Data'!L:L,L680)</f>
        <v>0</v>
      </c>
      <c r="P680" s="1030">
        <f>SUMIFS('Intensity of Use Assumptions'!$J:$J,'Intensity of Use Assumptions'!$D:$D,I680,'Intensity of Use Assumptions'!$G:$G,J680,'Intensity of Use Assumptions'!H:H,K680)</f>
        <v>1</v>
      </c>
      <c r="Q680" s="567" t="s">
        <v>67</v>
      </c>
      <c r="R680" s="1032">
        <f>(SUMPRODUCT(M680:M682,O680:O682)*P680)</f>
        <v>0</v>
      </c>
      <c r="S680" s="1033">
        <f>IF(R680=0,0,M682*P680)</f>
        <v>0</v>
      </c>
      <c r="T680" s="225" t="str">
        <f>G680&amp;"-"&amp;J680</f>
        <v>Parking C-Other 3</v>
      </c>
      <c r="U680" s="1034">
        <f ca="1">IF(ISNA(VLOOKUP(T680,list!$AV$3:$AW$130,2,FALSE)),1,(VLOOKUP(T680,list!$AV$3:$AW$130,2,FALSE)))</f>
        <v>1</v>
      </c>
      <c r="V680" s="1033">
        <f ca="1">R680*U680</f>
        <v>0</v>
      </c>
      <c r="W680" s="1033">
        <f ca="1">S680*U680</f>
        <v>0</v>
      </c>
    </row>
    <row r="681" spans="3:23" x14ac:dyDescent="0.3">
      <c r="C681" s="576"/>
      <c r="D681" s="494" t="s">
        <v>13</v>
      </c>
      <c r="E681" s="494"/>
      <c r="F681" s="181"/>
      <c r="G681" s="494" t="s">
        <v>93</v>
      </c>
      <c r="H681" s="577"/>
      <c r="I681" s="450" t="s">
        <v>8</v>
      </c>
      <c r="J681" s="577" t="s">
        <v>54</v>
      </c>
      <c r="K681" s="577"/>
      <c r="L681" s="1035" t="s">
        <v>65</v>
      </c>
      <c r="M681" s="1036">
        <f>SUMIFS('Level of Efficiency Assumptions'!$J:$J,'Level of Efficiency Assumptions'!$D:$D,I681,'Level of Efficiency Assumptions'!$F:$F,J681,'Level of Efficiency Assumptions'!$I:$I,'Water Use Calcs'!L681)</f>
        <v>7.5</v>
      </c>
      <c r="N681" s="577"/>
      <c r="O681" s="1048">
        <f>SUMIFS('Detailed Fixture Data'!O:O,'Detailed Fixture Data'!C:C,G681,'Detailed Fixture Data'!E:E,I681,'Detailed Fixture Data'!F:F,J681,'Detailed Fixture Data'!L:L,L681)</f>
        <v>0</v>
      </c>
      <c r="P681" s="1049"/>
      <c r="Q681" s="577"/>
      <c r="R681" s="1039"/>
      <c r="S681" s="521"/>
      <c r="T681" s="225"/>
      <c r="U681" s="521"/>
      <c r="V681" s="1040"/>
      <c r="W681" s="1041"/>
    </row>
    <row r="682" spans="3:23" ht="15" thickBot="1" x14ac:dyDescent="0.35">
      <c r="C682" s="576"/>
      <c r="D682" s="494" t="s">
        <v>13</v>
      </c>
      <c r="E682" s="494"/>
      <c r="F682" s="181"/>
      <c r="G682" s="501" t="s">
        <v>93</v>
      </c>
      <c r="H682" s="116"/>
      <c r="I682" s="451" t="s">
        <v>8</v>
      </c>
      <c r="J682" s="116" t="s">
        <v>54</v>
      </c>
      <c r="K682" s="116"/>
      <c r="L682" s="1042" t="s">
        <v>66</v>
      </c>
      <c r="M682" s="1043">
        <f>SUMIFS('Level of Efficiency Assumptions'!$J:$J,'Level of Efficiency Assumptions'!$D:$D,I682,'Level of Efficiency Assumptions'!$F:$F,J682,'Level of Efficiency Assumptions'!$I:$I,'Water Use Calcs'!L682)</f>
        <v>5</v>
      </c>
      <c r="N682" s="116"/>
      <c r="O682" s="1048">
        <f>SUMIFS('Detailed Fixture Data'!O:O,'Detailed Fixture Data'!C:C,G682,'Detailed Fixture Data'!E:E,I682,'Detailed Fixture Data'!F:F,J682,'Detailed Fixture Data'!L:L,L682)</f>
        <v>0</v>
      </c>
      <c r="P682" s="1049"/>
      <c r="Q682" s="116"/>
      <c r="R682" s="1045"/>
      <c r="S682" s="618"/>
      <c r="T682" s="225"/>
      <c r="U682" s="618"/>
      <c r="V682" s="1045"/>
      <c r="W682" s="1046"/>
    </row>
    <row r="683" spans="3:23" x14ac:dyDescent="0.3">
      <c r="C683" s="576"/>
      <c r="D683" s="494" t="s">
        <v>13</v>
      </c>
      <c r="E683" s="619" t="str">
        <f>G683</f>
        <v>Parking D</v>
      </c>
      <c r="F683" s="565" t="str">
        <f>VLOOKUP(E683,'Airport Mapping'!$C$5:$D$39,2,FALSE)</f>
        <v xml:space="preserve"> </v>
      </c>
      <c r="G683" s="494" t="s">
        <v>94</v>
      </c>
      <c r="H683" s="651" t="str">
        <f>I683</f>
        <v>Landscaping</v>
      </c>
      <c r="I683" s="454" t="s">
        <v>39</v>
      </c>
      <c r="J683" s="567" t="s">
        <v>42</v>
      </c>
      <c r="K683" s="567" t="s">
        <v>32</v>
      </c>
      <c r="L683" s="1028" t="s">
        <v>64</v>
      </c>
      <c r="M683" s="1036">
        <f>SUMIFS('Level of Efficiency Assumptions'!$J:$J,'Level of Efficiency Assumptions'!$D:$D,I683,'Level of Efficiency Assumptions'!$F:$F,J683,'Level of Efficiency Assumptions'!$I:$I,'Water Use Calcs'!L683)</f>
        <v>28.6</v>
      </c>
      <c r="N683" s="567" t="s">
        <v>816</v>
      </c>
      <c r="O683" s="1048">
        <f>SUMIFS('Detailed Fixture Data'!O:O,'Detailed Fixture Data'!C:C,G683,'Detailed Fixture Data'!E:E,I683,'Detailed Fixture Data'!F:F,J683,'Detailed Fixture Data'!L:L,L683)</f>
        <v>0</v>
      </c>
      <c r="P683" s="1030">
        <f>SUMIFS('Intensity of Use Assumptions'!$J:$J,'Intensity of Use Assumptions'!$D:$D,I683,'Intensity of Use Assumptions'!$G:$G,J683,'Intensity of Use Assumptions'!H:H,K683,'Intensity of Use Assumptions'!F:F,D683)</f>
        <v>2.7397260273972603E-3</v>
      </c>
      <c r="Q683" s="567" t="s">
        <v>815</v>
      </c>
      <c r="R683" s="1032">
        <f>(SUMPRODUCT(M683:M685,O683:O685)*P683)</f>
        <v>0</v>
      </c>
      <c r="S683" s="1033">
        <f>IF(R683=0,0,M685*P683)</f>
        <v>0</v>
      </c>
      <c r="T683" s="225" t="str">
        <f>G683&amp;"-"&amp;J683</f>
        <v>Parking D-Outdoor irrigation</v>
      </c>
      <c r="U683" s="1034">
        <f ca="1">IF(ISNA(VLOOKUP(T683,list!$AV$3:$AW$130,2,FALSE)),1,(VLOOKUP(T683,list!$AV$3:$AW$130,2,FALSE)))</f>
        <v>1</v>
      </c>
      <c r="V683" s="1033">
        <f ca="1">R683*U683</f>
        <v>0</v>
      </c>
      <c r="W683" s="1033">
        <f ca="1">S683*U683</f>
        <v>0</v>
      </c>
    </row>
    <row r="684" spans="3:23" x14ac:dyDescent="0.3">
      <c r="C684" s="576"/>
      <c r="D684" s="494" t="s">
        <v>13</v>
      </c>
      <c r="E684" s="494"/>
      <c r="F684" s="181"/>
      <c r="G684" s="494" t="s">
        <v>94</v>
      </c>
      <c r="H684" s="577"/>
      <c r="I684" s="450" t="s">
        <v>39</v>
      </c>
      <c r="J684" s="577" t="s">
        <v>42</v>
      </c>
      <c r="K684" s="577"/>
      <c r="L684" s="1035" t="s">
        <v>65</v>
      </c>
      <c r="M684" s="1036">
        <f>SUMIFS('Level of Efficiency Assumptions'!$J:$J,'Level of Efficiency Assumptions'!$D:$D,I684,'Level of Efficiency Assumptions'!$F:$F,J684,'Level of Efficiency Assumptions'!$I:$I,'Water Use Calcs'!L684)</f>
        <v>13.980821518350929</v>
      </c>
      <c r="N684" s="577"/>
      <c r="O684" s="1048">
        <f>SUMIFS('Detailed Fixture Data'!O:O,'Detailed Fixture Data'!C:C,G684,'Detailed Fixture Data'!E:E,I684,'Detailed Fixture Data'!F:F,J684,'Detailed Fixture Data'!L:L,L684)</f>
        <v>0</v>
      </c>
      <c r="P684" s="1049"/>
      <c r="Q684" s="577"/>
      <c r="R684" s="1039"/>
      <c r="S684" s="521"/>
      <c r="T684" s="225"/>
      <c r="U684" s="521"/>
      <c r="V684" s="1040"/>
      <c r="W684" s="1041"/>
    </row>
    <row r="685" spans="3:23" ht="15" thickBot="1" x14ac:dyDescent="0.35">
      <c r="C685" s="576"/>
      <c r="D685" s="494" t="s">
        <v>13</v>
      </c>
      <c r="E685" s="494"/>
      <c r="F685" s="181"/>
      <c r="G685" s="494" t="s">
        <v>94</v>
      </c>
      <c r="H685" s="577"/>
      <c r="I685" s="451" t="s">
        <v>39</v>
      </c>
      <c r="J685" s="116" t="s">
        <v>42</v>
      </c>
      <c r="K685" s="116"/>
      <c r="L685" s="1042" t="s">
        <v>66</v>
      </c>
      <c r="M685" s="1043">
        <f>SUMIFS('Level of Efficiency Assumptions'!$J:$J,'Level of Efficiency Assumptions'!$D:$D,I685,'Level of Efficiency Assumptions'!$F:$F,J685,'Level of Efficiency Assumptions'!$I:$I,'Water Use Calcs'!L685)</f>
        <v>0.59137254901960778</v>
      </c>
      <c r="N685" s="577"/>
      <c r="O685" s="1048">
        <f>SUMIFS('Detailed Fixture Data'!O:O,'Detailed Fixture Data'!C:C,G685,'Detailed Fixture Data'!E:E,I685,'Detailed Fixture Data'!F:F,J685,'Detailed Fixture Data'!L:L,L685)</f>
        <v>0</v>
      </c>
      <c r="P685" s="1049"/>
      <c r="Q685" s="577"/>
      <c r="R685" s="1039"/>
      <c r="S685" s="618"/>
      <c r="T685" s="225"/>
      <c r="U685" s="618"/>
      <c r="V685" s="1045"/>
      <c r="W685" s="1046"/>
    </row>
    <row r="686" spans="3:23" x14ac:dyDescent="0.3">
      <c r="C686" s="576"/>
      <c r="D686" s="494" t="s">
        <v>13</v>
      </c>
      <c r="E686" s="494"/>
      <c r="F686" s="181"/>
      <c r="G686" s="494" t="s">
        <v>94</v>
      </c>
      <c r="H686" s="651" t="str">
        <f>I686</f>
        <v>Maintenance</v>
      </c>
      <c r="I686" s="450" t="s">
        <v>43</v>
      </c>
      <c r="J686" s="577" t="s">
        <v>9</v>
      </c>
      <c r="K686" s="382" t="s">
        <v>282</v>
      </c>
      <c r="L686" s="1047" t="s">
        <v>64</v>
      </c>
      <c r="M686" s="1036">
        <f>SUMIFS('Level of Efficiency Assumptions'!$J:$J,'Level of Efficiency Assumptions'!$D:$D,I686,'Level of Efficiency Assumptions'!$F:$F,J686,'Level of Efficiency Assumptions'!$I:$I,'Water Use Calcs'!L686)</f>
        <v>80</v>
      </c>
      <c r="N686" s="567" t="s">
        <v>588</v>
      </c>
      <c r="O686" s="1048">
        <f>SUMIFS('Detailed Fixture Data'!O:O,'Detailed Fixture Data'!C:C,G686,'Detailed Fixture Data'!E:E,I686,'Detailed Fixture Data'!F:F,J686,'Detailed Fixture Data'!L:L,L686)</f>
        <v>0</v>
      </c>
      <c r="P686" s="1062">
        <f>SUMIFS('Intensity of Use Assumptions'!$J:$J,'Intensity of Use Assumptions'!$D:$D,I686,'Intensity of Use Assumptions'!$G:$G,J686,'Intensity of Use Assumptions'!H:H,K686)</f>
        <v>2.0000000000000001E-4</v>
      </c>
      <c r="Q686" s="567" t="s">
        <v>67</v>
      </c>
      <c r="R686" s="1032">
        <f>(SUMPRODUCT(M686:M688,O686:O688)*P686)</f>
        <v>0</v>
      </c>
      <c r="S686" s="1033">
        <f>IF(R686=0,0,M688*P686)</f>
        <v>0</v>
      </c>
      <c r="T686" s="225" t="str">
        <f>G686&amp;"-"&amp;J686</f>
        <v>Parking D-Vehicle washing</v>
      </c>
      <c r="U686" s="1034">
        <f ca="1">IF(ISNA(VLOOKUP(T686,list!$AV$3:$AW$130,2,FALSE)),1,(VLOOKUP(T686,list!$AV$3:$AW$130,2,FALSE)))</f>
        <v>1</v>
      </c>
      <c r="V686" s="1033">
        <f ca="1">R686*U686</f>
        <v>0</v>
      </c>
      <c r="W686" s="1033">
        <f ca="1">S686*U686</f>
        <v>0</v>
      </c>
    </row>
    <row r="687" spans="3:23" x14ac:dyDescent="0.3">
      <c r="C687" s="576"/>
      <c r="D687" s="494" t="s">
        <v>13</v>
      </c>
      <c r="E687" s="494"/>
      <c r="F687" s="181"/>
      <c r="G687" s="494" t="s">
        <v>94</v>
      </c>
      <c r="H687" s="577"/>
      <c r="I687" s="450" t="s">
        <v>43</v>
      </c>
      <c r="J687" s="577" t="s">
        <v>9</v>
      </c>
      <c r="K687" s="577"/>
      <c r="L687" s="1035" t="s">
        <v>65</v>
      </c>
      <c r="M687" s="1036">
        <f>SUMIFS('Level of Efficiency Assumptions'!$J:$J,'Level of Efficiency Assumptions'!$D:$D,I687,'Level of Efficiency Assumptions'!$F:$F,J687,'Level of Efficiency Assumptions'!$I:$I,'Water Use Calcs'!L687)</f>
        <v>40</v>
      </c>
      <c r="N687" s="577"/>
      <c r="O687" s="1048">
        <f>SUMIFS('Detailed Fixture Data'!O:O,'Detailed Fixture Data'!C:C,G687,'Detailed Fixture Data'!E:E,I687,'Detailed Fixture Data'!F:F,J687,'Detailed Fixture Data'!L:L,L687)</f>
        <v>0</v>
      </c>
      <c r="P687" s="1049"/>
      <c r="Q687" s="577"/>
      <c r="R687" s="1039"/>
      <c r="S687" s="521"/>
      <c r="T687" s="225"/>
      <c r="U687" s="521"/>
      <c r="V687" s="1040"/>
      <c r="W687" s="1041"/>
    </row>
    <row r="688" spans="3:23" ht="15" thickBot="1" x14ac:dyDescent="0.35">
      <c r="C688" s="576"/>
      <c r="D688" s="494" t="s">
        <v>13</v>
      </c>
      <c r="E688" s="494"/>
      <c r="F688" s="181"/>
      <c r="G688" s="494" t="s">
        <v>94</v>
      </c>
      <c r="H688" s="577"/>
      <c r="I688" s="450" t="s">
        <v>43</v>
      </c>
      <c r="J688" s="116" t="s">
        <v>9</v>
      </c>
      <c r="K688" s="116"/>
      <c r="L688" s="1042" t="s">
        <v>66</v>
      </c>
      <c r="M688" s="1043">
        <f>SUMIFS('Level of Efficiency Assumptions'!$J:$J,'Level of Efficiency Assumptions'!$D:$D,I688,'Level of Efficiency Assumptions'!$F:$F,J688,'Level of Efficiency Assumptions'!$I:$I,'Water Use Calcs'!L688)</f>
        <v>30</v>
      </c>
      <c r="N688" s="577"/>
      <c r="O688" s="1048">
        <f>SUMIFS('Detailed Fixture Data'!O:O,'Detailed Fixture Data'!C:C,G688,'Detailed Fixture Data'!E:E,I688,'Detailed Fixture Data'!F:F,J688,'Detailed Fixture Data'!L:L,L688)</f>
        <v>0</v>
      </c>
      <c r="P688" s="1049"/>
      <c r="Q688" s="577"/>
      <c r="R688" s="1039"/>
      <c r="S688" s="618"/>
      <c r="T688" s="225"/>
      <c r="U688" s="618"/>
      <c r="V688" s="1045"/>
      <c r="W688" s="1046"/>
    </row>
    <row r="689" spans="3:23" x14ac:dyDescent="0.3">
      <c r="C689" s="576"/>
      <c r="D689" s="494" t="s">
        <v>13</v>
      </c>
      <c r="E689" s="494"/>
      <c r="F689" s="181"/>
      <c r="G689" s="494" t="s">
        <v>94</v>
      </c>
      <c r="H689" s="577"/>
      <c r="I689" s="450" t="s">
        <v>43</v>
      </c>
      <c r="J689" s="577" t="s">
        <v>426</v>
      </c>
      <c r="K689" s="382" t="s">
        <v>282</v>
      </c>
      <c r="L689" s="1047" t="s">
        <v>64</v>
      </c>
      <c r="M689" s="1036">
        <f>SUMIFS('Level of Efficiency Assumptions'!$J:$J,'Level of Efficiency Assumptions'!$D:$D,I689,'Level of Efficiency Assumptions'!$F:$F,J689,'Level of Efficiency Assumptions'!$I:$I,'Water Use Calcs'!L689)</f>
        <v>10</v>
      </c>
      <c r="N689" s="567" t="s">
        <v>588</v>
      </c>
      <c r="O689" s="1048">
        <f>SUMIFS('Detailed Fixture Data'!O:O,'Detailed Fixture Data'!C:C,G689,'Detailed Fixture Data'!E:E,I689,'Detailed Fixture Data'!F:F,J689,'Detailed Fixture Data'!L:L,L689)</f>
        <v>0</v>
      </c>
      <c r="P689" s="1030">
        <f>SUMIFS('Intensity of Use Assumptions'!$J:$J,'Intensity of Use Assumptions'!$D:$D,I689,'Intensity of Use Assumptions'!$G:$G,J689,'Intensity of Use Assumptions'!H:H,K689)</f>
        <v>1E-3</v>
      </c>
      <c r="Q689" s="567" t="s">
        <v>67</v>
      </c>
      <c r="R689" s="1032">
        <f>(SUMPRODUCT(M689:M691,O689:O691)*P689)</f>
        <v>0</v>
      </c>
      <c r="S689" s="1033">
        <f>IF(R689=0,0,M691*P689)</f>
        <v>0</v>
      </c>
      <c r="T689" s="225" t="str">
        <f>G689&amp;"-"&amp;J689</f>
        <v>Parking D-Pavement cleaning</v>
      </c>
      <c r="U689" s="1034">
        <f ca="1">IF(ISNA(VLOOKUP(T689,list!$AV$3:$AW$130,2,FALSE)),1,(VLOOKUP(T689,list!$AV$3:$AW$130,2,FALSE)))</f>
        <v>1</v>
      </c>
      <c r="V689" s="1033">
        <f ca="1">R689*U689</f>
        <v>0</v>
      </c>
      <c r="W689" s="1033">
        <f ca="1">S689*U689</f>
        <v>0</v>
      </c>
    </row>
    <row r="690" spans="3:23" x14ac:dyDescent="0.3">
      <c r="C690" s="576"/>
      <c r="D690" s="494" t="s">
        <v>13</v>
      </c>
      <c r="E690" s="494"/>
      <c r="F690" s="181"/>
      <c r="G690" s="494" t="s">
        <v>94</v>
      </c>
      <c r="H690" s="577"/>
      <c r="I690" s="450" t="s">
        <v>43</v>
      </c>
      <c r="J690" s="577" t="s">
        <v>426</v>
      </c>
      <c r="K690" s="577"/>
      <c r="L690" s="1035" t="s">
        <v>65</v>
      </c>
      <c r="M690" s="1036">
        <f>SUMIFS('Level of Efficiency Assumptions'!$J:$J,'Level of Efficiency Assumptions'!$D:$D,I690,'Level of Efficiency Assumptions'!$F:$F,J690,'Level of Efficiency Assumptions'!$I:$I,'Water Use Calcs'!L690)</f>
        <v>7.5</v>
      </c>
      <c r="N690" s="577"/>
      <c r="O690" s="1048">
        <f>SUMIFS('Detailed Fixture Data'!O:O,'Detailed Fixture Data'!C:C,G690,'Detailed Fixture Data'!E:E,I690,'Detailed Fixture Data'!F:F,J690,'Detailed Fixture Data'!L:L,L690)</f>
        <v>0</v>
      </c>
      <c r="P690" s="1049"/>
      <c r="Q690" s="577"/>
      <c r="R690" s="1039"/>
      <c r="S690" s="521"/>
      <c r="T690" s="225"/>
      <c r="U690" s="521"/>
      <c r="V690" s="1040"/>
      <c r="W690" s="1041"/>
    </row>
    <row r="691" spans="3:23" ht="15" thickBot="1" x14ac:dyDescent="0.35">
      <c r="C691" s="576"/>
      <c r="D691" s="494" t="s">
        <v>13</v>
      </c>
      <c r="E691" s="494"/>
      <c r="F691" s="181"/>
      <c r="G691" s="494" t="s">
        <v>94</v>
      </c>
      <c r="H691" s="577"/>
      <c r="I691" s="451" t="s">
        <v>43</v>
      </c>
      <c r="J691" s="116" t="s">
        <v>426</v>
      </c>
      <c r="K691" s="116"/>
      <c r="L691" s="1042" t="s">
        <v>66</v>
      </c>
      <c r="M691" s="1043">
        <f>SUMIFS('Level of Efficiency Assumptions'!$J:$J,'Level of Efficiency Assumptions'!$D:$D,I691,'Level of Efficiency Assumptions'!$F:$F,J691,'Level of Efficiency Assumptions'!$I:$I,'Water Use Calcs'!L691)</f>
        <v>5</v>
      </c>
      <c r="N691" s="577"/>
      <c r="O691" s="1048">
        <f>SUMIFS('Detailed Fixture Data'!O:O,'Detailed Fixture Data'!C:C,G691,'Detailed Fixture Data'!E:E,I691,'Detailed Fixture Data'!F:F,J691,'Detailed Fixture Data'!L:L,L691)</f>
        <v>0</v>
      </c>
      <c r="P691" s="1049"/>
      <c r="Q691" s="577"/>
      <c r="R691" s="1039"/>
      <c r="S691" s="618"/>
      <c r="T691" s="225"/>
      <c r="U691" s="618"/>
      <c r="V691" s="1045"/>
      <c r="W691" s="1046"/>
    </row>
    <row r="692" spans="3:23" x14ac:dyDescent="0.3">
      <c r="C692" s="576"/>
      <c r="D692" s="494" t="s">
        <v>13</v>
      </c>
      <c r="E692" s="494"/>
      <c r="F692" s="181"/>
      <c r="G692" s="494" t="s">
        <v>94</v>
      </c>
      <c r="H692" s="651" t="str">
        <f>I692</f>
        <v>Other</v>
      </c>
      <c r="I692" s="450" t="s">
        <v>8</v>
      </c>
      <c r="J692" s="577" t="s">
        <v>52</v>
      </c>
      <c r="K692" s="387" t="s">
        <v>362</v>
      </c>
      <c r="L692" s="1047" t="s">
        <v>64</v>
      </c>
      <c r="M692" s="1036">
        <f>SUMIFS('Level of Efficiency Assumptions'!$J:$J,'Level of Efficiency Assumptions'!$D:$D,I692,'Level of Efficiency Assumptions'!$F:$F,J692,'Level of Efficiency Assumptions'!$I:$I,'Water Use Calcs'!L692)</f>
        <v>10</v>
      </c>
      <c r="N692" s="567" t="s">
        <v>660</v>
      </c>
      <c r="O692" s="1048">
        <f>SUMIFS('Detailed Fixture Data'!O:O,'Detailed Fixture Data'!C:C,G692,'Detailed Fixture Data'!E:E,I692,'Detailed Fixture Data'!F:F,J692,'Detailed Fixture Data'!L:L,L692)</f>
        <v>0</v>
      </c>
      <c r="P692" s="1030">
        <f>SUMIFS('Intensity of Use Assumptions'!$J:$J,'Intensity of Use Assumptions'!$D:$D,I692,'Intensity of Use Assumptions'!$G:$G,J692,'Intensity of Use Assumptions'!H:H,K692)</f>
        <v>1</v>
      </c>
      <c r="Q692" s="567" t="s">
        <v>67</v>
      </c>
      <c r="R692" s="1032">
        <f>(SUMPRODUCT(M692:M694,O692:O694)*P692)</f>
        <v>0</v>
      </c>
      <c r="S692" s="1033">
        <f>IF(R692=0,0,M694*P692)</f>
        <v>0</v>
      </c>
      <c r="T692" s="225" t="str">
        <f>G692&amp;"-"&amp;J692</f>
        <v>Parking D-Other 1</v>
      </c>
      <c r="U692" s="1034">
        <f ca="1">IF(ISNA(VLOOKUP(T692,list!$AV$3:$AW$130,2,FALSE)),1,(VLOOKUP(T692,list!$AV$3:$AW$130,2,FALSE)))</f>
        <v>1</v>
      </c>
      <c r="V692" s="1033">
        <f ca="1">R692*U692</f>
        <v>0</v>
      </c>
      <c r="W692" s="1033">
        <f ca="1">S692*U692</f>
        <v>0</v>
      </c>
    </row>
    <row r="693" spans="3:23" x14ac:dyDescent="0.3">
      <c r="C693" s="576"/>
      <c r="D693" s="494" t="s">
        <v>13</v>
      </c>
      <c r="E693" s="494"/>
      <c r="F693" s="181"/>
      <c r="G693" s="494" t="s">
        <v>94</v>
      </c>
      <c r="H693" s="577"/>
      <c r="I693" s="450" t="s">
        <v>8</v>
      </c>
      <c r="J693" s="577" t="s">
        <v>52</v>
      </c>
      <c r="K693" s="382"/>
      <c r="L693" s="1035" t="s">
        <v>65</v>
      </c>
      <c r="M693" s="1036">
        <f>SUMIFS('Level of Efficiency Assumptions'!$J:$J,'Level of Efficiency Assumptions'!$D:$D,I693,'Level of Efficiency Assumptions'!$F:$F,J693,'Level of Efficiency Assumptions'!$I:$I,'Water Use Calcs'!L693)</f>
        <v>7.5</v>
      </c>
      <c r="N693" s="577"/>
      <c r="O693" s="1048">
        <f>SUMIFS('Detailed Fixture Data'!O:O,'Detailed Fixture Data'!C:C,G693,'Detailed Fixture Data'!E:E,I693,'Detailed Fixture Data'!F:F,J693,'Detailed Fixture Data'!L:L,L693)</f>
        <v>0</v>
      </c>
      <c r="P693" s="1049"/>
      <c r="Q693" s="577"/>
      <c r="R693" s="1039"/>
      <c r="S693" s="521"/>
      <c r="T693" s="225"/>
      <c r="U693" s="521"/>
      <c r="V693" s="1040"/>
      <c r="W693" s="1041"/>
    </row>
    <row r="694" spans="3:23" ht="15" thickBot="1" x14ac:dyDescent="0.35">
      <c r="C694" s="576"/>
      <c r="D694" s="494" t="s">
        <v>13</v>
      </c>
      <c r="E694" s="494"/>
      <c r="F694" s="181"/>
      <c r="G694" s="494" t="s">
        <v>94</v>
      </c>
      <c r="H694" s="577"/>
      <c r="I694" s="450" t="s">
        <v>8</v>
      </c>
      <c r="J694" s="116" t="s">
        <v>52</v>
      </c>
      <c r="K694" s="382"/>
      <c r="L694" s="1042" t="s">
        <v>66</v>
      </c>
      <c r="M694" s="1043">
        <f>SUMIFS('Level of Efficiency Assumptions'!$J:$J,'Level of Efficiency Assumptions'!$D:$D,I694,'Level of Efficiency Assumptions'!$F:$F,J694,'Level of Efficiency Assumptions'!$I:$I,'Water Use Calcs'!L694)</f>
        <v>5</v>
      </c>
      <c r="N694" s="577"/>
      <c r="O694" s="1048">
        <f>SUMIFS('Detailed Fixture Data'!O:O,'Detailed Fixture Data'!C:C,G694,'Detailed Fixture Data'!E:E,I694,'Detailed Fixture Data'!F:F,J694,'Detailed Fixture Data'!L:L,L694)</f>
        <v>0</v>
      </c>
      <c r="P694" s="1049"/>
      <c r="Q694" s="577"/>
      <c r="R694" s="1039"/>
      <c r="S694" s="618"/>
      <c r="T694" s="225"/>
      <c r="U694" s="618"/>
      <c r="V694" s="1045"/>
      <c r="W694" s="1046"/>
    </row>
    <row r="695" spans="3:23" x14ac:dyDescent="0.3">
      <c r="C695" s="576"/>
      <c r="D695" s="494" t="s">
        <v>13</v>
      </c>
      <c r="E695" s="494"/>
      <c r="F695" s="181"/>
      <c r="G695" s="494" t="s">
        <v>94</v>
      </c>
      <c r="H695" s="577"/>
      <c r="I695" s="450" t="s">
        <v>8</v>
      </c>
      <c r="J695" s="577" t="s">
        <v>53</v>
      </c>
      <c r="K695" s="1055" t="s">
        <v>363</v>
      </c>
      <c r="L695" s="1047" t="s">
        <v>64</v>
      </c>
      <c r="M695" s="1036">
        <f>SUMIFS('Level of Efficiency Assumptions'!$J:$J,'Level of Efficiency Assumptions'!$D:$D,I695,'Level of Efficiency Assumptions'!$F:$F,J695,'Level of Efficiency Assumptions'!$I:$I,'Water Use Calcs'!L695)</f>
        <v>10</v>
      </c>
      <c r="N695" s="567" t="s">
        <v>660</v>
      </c>
      <c r="O695" s="1048">
        <f>SUMIFS('Detailed Fixture Data'!O:O,'Detailed Fixture Data'!C:C,G695,'Detailed Fixture Data'!E:E,I695,'Detailed Fixture Data'!F:F,J695,'Detailed Fixture Data'!L:L,L695)</f>
        <v>0</v>
      </c>
      <c r="P695" s="1030">
        <f>SUMIFS('Intensity of Use Assumptions'!$J:$J,'Intensity of Use Assumptions'!$D:$D,I695,'Intensity of Use Assumptions'!$G:$G,J695,'Intensity of Use Assumptions'!H:H,K695)</f>
        <v>1</v>
      </c>
      <c r="Q695" s="567" t="s">
        <v>67</v>
      </c>
      <c r="R695" s="1032">
        <f>(SUMPRODUCT(M695:M697,O695:O697)*P695)</f>
        <v>0</v>
      </c>
      <c r="S695" s="1033">
        <f>IF(R695=0,0,M697*P695)</f>
        <v>0</v>
      </c>
      <c r="T695" s="225" t="str">
        <f>G695&amp;"-"&amp;J695</f>
        <v>Parking D-Other 2</v>
      </c>
      <c r="U695" s="1034">
        <f ca="1">IF(ISNA(VLOOKUP(T695,list!$AV$3:$AW$130,2,FALSE)),1,(VLOOKUP(T695,list!$AV$3:$AW$130,2,FALSE)))</f>
        <v>1</v>
      </c>
      <c r="V695" s="1033">
        <f ca="1">R695*U695</f>
        <v>0</v>
      </c>
      <c r="W695" s="1033">
        <f ca="1">S695*U695</f>
        <v>0</v>
      </c>
    </row>
    <row r="696" spans="3:23" x14ac:dyDescent="0.3">
      <c r="C696" s="576"/>
      <c r="D696" s="494" t="s">
        <v>13</v>
      </c>
      <c r="E696" s="494"/>
      <c r="F696" s="181"/>
      <c r="G696" s="494" t="s">
        <v>94</v>
      </c>
      <c r="H696" s="577"/>
      <c r="I696" s="450" t="s">
        <v>8</v>
      </c>
      <c r="J696" s="577" t="s">
        <v>53</v>
      </c>
      <c r="K696" s="577"/>
      <c r="L696" s="1035" t="s">
        <v>65</v>
      </c>
      <c r="M696" s="1036">
        <f>SUMIFS('Level of Efficiency Assumptions'!$J:$J,'Level of Efficiency Assumptions'!$D:$D,I696,'Level of Efficiency Assumptions'!$F:$F,J696,'Level of Efficiency Assumptions'!$I:$I,'Water Use Calcs'!L696)</f>
        <v>7.5</v>
      </c>
      <c r="N696" s="577"/>
      <c r="O696" s="1048">
        <f>SUMIFS('Detailed Fixture Data'!O:O,'Detailed Fixture Data'!C:C,G696,'Detailed Fixture Data'!E:E,I696,'Detailed Fixture Data'!F:F,J696,'Detailed Fixture Data'!L:L,L696)</f>
        <v>0</v>
      </c>
      <c r="P696" s="1049"/>
      <c r="Q696" s="577"/>
      <c r="R696" s="1039"/>
      <c r="S696" s="521"/>
      <c r="T696" s="225"/>
      <c r="U696" s="521"/>
      <c r="V696" s="1040"/>
      <c r="W696" s="1041"/>
    </row>
    <row r="697" spans="3:23" ht="15" thickBot="1" x14ac:dyDescent="0.35">
      <c r="C697" s="576"/>
      <c r="D697" s="494" t="s">
        <v>13</v>
      </c>
      <c r="E697" s="494"/>
      <c r="F697" s="181"/>
      <c r="G697" s="494" t="s">
        <v>94</v>
      </c>
      <c r="H697" s="577"/>
      <c r="I697" s="450" t="s">
        <v>8</v>
      </c>
      <c r="J697" s="116" t="s">
        <v>53</v>
      </c>
      <c r="K697" s="116"/>
      <c r="L697" s="1042" t="s">
        <v>66</v>
      </c>
      <c r="M697" s="1043">
        <f>SUMIFS('Level of Efficiency Assumptions'!$J:$J,'Level of Efficiency Assumptions'!$D:$D,I697,'Level of Efficiency Assumptions'!$F:$F,J697,'Level of Efficiency Assumptions'!$I:$I,'Water Use Calcs'!L697)</f>
        <v>5</v>
      </c>
      <c r="N697" s="577"/>
      <c r="O697" s="1048">
        <f>SUMIFS('Detailed Fixture Data'!O:O,'Detailed Fixture Data'!C:C,G697,'Detailed Fixture Data'!E:E,I697,'Detailed Fixture Data'!F:F,J697,'Detailed Fixture Data'!L:L,L697)</f>
        <v>0</v>
      </c>
      <c r="P697" s="1049"/>
      <c r="Q697" s="577"/>
      <c r="R697" s="1039"/>
      <c r="S697" s="618"/>
      <c r="T697" s="225"/>
      <c r="U697" s="618"/>
      <c r="V697" s="1045"/>
      <c r="W697" s="1046"/>
    </row>
    <row r="698" spans="3:23" x14ac:dyDescent="0.3">
      <c r="C698" s="576"/>
      <c r="D698" s="494" t="s">
        <v>13</v>
      </c>
      <c r="E698" s="494"/>
      <c r="F698" s="181"/>
      <c r="G698" s="494" t="s">
        <v>94</v>
      </c>
      <c r="H698" s="577"/>
      <c r="I698" s="450" t="s">
        <v>8</v>
      </c>
      <c r="J698" s="577" t="s">
        <v>54</v>
      </c>
      <c r="K698" s="379" t="s">
        <v>364</v>
      </c>
      <c r="L698" s="1047" t="s">
        <v>64</v>
      </c>
      <c r="M698" s="1036">
        <f>SUMIFS('Level of Efficiency Assumptions'!$J:$J,'Level of Efficiency Assumptions'!$D:$D,I698,'Level of Efficiency Assumptions'!$F:$F,J698,'Level of Efficiency Assumptions'!$I:$I,'Water Use Calcs'!L698)</f>
        <v>10</v>
      </c>
      <c r="N698" s="567" t="s">
        <v>660</v>
      </c>
      <c r="O698" s="1048">
        <f>SUMIFS('Detailed Fixture Data'!O:O,'Detailed Fixture Data'!C:C,G698,'Detailed Fixture Data'!E:E,I698,'Detailed Fixture Data'!F:F,J698,'Detailed Fixture Data'!L:L,L698)</f>
        <v>0</v>
      </c>
      <c r="P698" s="1030">
        <f>SUMIFS('Intensity of Use Assumptions'!$J:$J,'Intensity of Use Assumptions'!$D:$D,I698,'Intensity of Use Assumptions'!$G:$G,J698,'Intensity of Use Assumptions'!H:H,K698)</f>
        <v>1</v>
      </c>
      <c r="Q698" s="567" t="s">
        <v>67</v>
      </c>
      <c r="R698" s="1032">
        <f>(SUMPRODUCT(M698:M700,O698:O700)*P698)</f>
        <v>0</v>
      </c>
      <c r="S698" s="1033">
        <f>IF(R698=0,0,M700*P698)</f>
        <v>0</v>
      </c>
      <c r="T698" s="225" t="str">
        <f>G698&amp;"-"&amp;J698</f>
        <v>Parking D-Other 3</v>
      </c>
      <c r="U698" s="1034">
        <f ca="1">IF(ISNA(VLOOKUP(T698,list!$AV$3:$AW$130,2,FALSE)),1,(VLOOKUP(T698,list!$AV$3:$AW$130,2,FALSE)))</f>
        <v>1</v>
      </c>
      <c r="V698" s="1033">
        <f ca="1">R698*U698</f>
        <v>0</v>
      </c>
      <c r="W698" s="1033">
        <f ca="1">S698*U698</f>
        <v>0</v>
      </c>
    </row>
    <row r="699" spans="3:23" x14ac:dyDescent="0.3">
      <c r="C699" s="576"/>
      <c r="D699" s="494" t="s">
        <v>13</v>
      </c>
      <c r="E699" s="494"/>
      <c r="F699" s="181"/>
      <c r="G699" s="494" t="s">
        <v>94</v>
      </c>
      <c r="H699" s="577"/>
      <c r="I699" s="450" t="s">
        <v>8</v>
      </c>
      <c r="J699" s="577" t="s">
        <v>54</v>
      </c>
      <c r="K699" s="577"/>
      <c r="L699" s="1035" t="s">
        <v>65</v>
      </c>
      <c r="M699" s="1036">
        <f>SUMIFS('Level of Efficiency Assumptions'!$J:$J,'Level of Efficiency Assumptions'!$D:$D,I699,'Level of Efficiency Assumptions'!$F:$F,J699,'Level of Efficiency Assumptions'!$I:$I,'Water Use Calcs'!L699)</f>
        <v>7.5</v>
      </c>
      <c r="N699" s="577"/>
      <c r="O699" s="1048">
        <f>SUMIFS('Detailed Fixture Data'!O:O,'Detailed Fixture Data'!C:C,G699,'Detailed Fixture Data'!E:E,I699,'Detailed Fixture Data'!F:F,J699,'Detailed Fixture Data'!L:L,L699)</f>
        <v>0</v>
      </c>
      <c r="P699" s="1049"/>
      <c r="Q699" s="577"/>
      <c r="R699" s="1039"/>
      <c r="S699" s="521"/>
      <c r="T699" s="225"/>
      <c r="U699" s="521"/>
      <c r="V699" s="1040"/>
      <c r="W699" s="1041"/>
    </row>
    <row r="700" spans="3:23" ht="15" thickBot="1" x14ac:dyDescent="0.35">
      <c r="C700" s="576"/>
      <c r="D700" s="494" t="s">
        <v>13</v>
      </c>
      <c r="E700" s="494"/>
      <c r="F700" s="181"/>
      <c r="G700" s="501" t="s">
        <v>94</v>
      </c>
      <c r="H700" s="116"/>
      <c r="I700" s="451" t="s">
        <v>8</v>
      </c>
      <c r="J700" s="116" t="s">
        <v>54</v>
      </c>
      <c r="K700" s="116"/>
      <c r="L700" s="1042" t="s">
        <v>66</v>
      </c>
      <c r="M700" s="1043">
        <f>SUMIFS('Level of Efficiency Assumptions'!$J:$J,'Level of Efficiency Assumptions'!$D:$D,I700,'Level of Efficiency Assumptions'!$F:$F,J700,'Level of Efficiency Assumptions'!$I:$I,'Water Use Calcs'!L700)</f>
        <v>5</v>
      </c>
      <c r="N700" s="116"/>
      <c r="O700" s="1048">
        <f>SUMIFS('Detailed Fixture Data'!O:O,'Detailed Fixture Data'!C:C,G700,'Detailed Fixture Data'!E:E,I700,'Detailed Fixture Data'!F:F,J700,'Detailed Fixture Data'!L:L,L700)</f>
        <v>0</v>
      </c>
      <c r="P700" s="1049"/>
      <c r="Q700" s="116"/>
      <c r="R700" s="1045"/>
      <c r="S700" s="618"/>
      <c r="T700" s="225"/>
      <c r="U700" s="618"/>
      <c r="V700" s="1045"/>
      <c r="W700" s="1046"/>
    </row>
    <row r="701" spans="3:23" x14ac:dyDescent="0.3">
      <c r="C701" s="576"/>
      <c r="D701" s="494" t="s">
        <v>13</v>
      </c>
      <c r="E701" s="619" t="str">
        <f>G701</f>
        <v>Parking E</v>
      </c>
      <c r="F701" s="565" t="str">
        <f>VLOOKUP(E701,'Airport Mapping'!$C$5:$D$39,2,FALSE)</f>
        <v xml:space="preserve"> </v>
      </c>
      <c r="G701" s="566" t="s">
        <v>95</v>
      </c>
      <c r="H701" s="651" t="str">
        <f>I701</f>
        <v>Landscaping</v>
      </c>
      <c r="I701" s="454" t="s">
        <v>39</v>
      </c>
      <c r="J701" s="567" t="s">
        <v>42</v>
      </c>
      <c r="K701" s="567" t="s">
        <v>32</v>
      </c>
      <c r="L701" s="1028" t="s">
        <v>64</v>
      </c>
      <c r="M701" s="1036">
        <f>SUMIFS('Level of Efficiency Assumptions'!$J:$J,'Level of Efficiency Assumptions'!$D:$D,I701,'Level of Efficiency Assumptions'!$F:$F,J701,'Level of Efficiency Assumptions'!$I:$I,'Water Use Calcs'!L701)</f>
        <v>28.6</v>
      </c>
      <c r="N701" s="567" t="s">
        <v>816</v>
      </c>
      <c r="O701" s="1048">
        <f>SUMIFS('Detailed Fixture Data'!O:O,'Detailed Fixture Data'!C:C,G701,'Detailed Fixture Data'!E:E,I701,'Detailed Fixture Data'!F:F,J701,'Detailed Fixture Data'!L:L,L701)</f>
        <v>0</v>
      </c>
      <c r="P701" s="1030">
        <f>SUMIFS('Intensity of Use Assumptions'!$J:$J,'Intensity of Use Assumptions'!$D:$D,I701,'Intensity of Use Assumptions'!$G:$G,J701,'Intensity of Use Assumptions'!H:H,K701,'Intensity of Use Assumptions'!F:F,D701)</f>
        <v>2.7397260273972603E-3</v>
      </c>
      <c r="Q701" s="567" t="s">
        <v>815</v>
      </c>
      <c r="R701" s="1032">
        <f>(SUMPRODUCT(M701:M703,O701:O703)*P701)</f>
        <v>0</v>
      </c>
      <c r="S701" s="1033">
        <f>IF(R701=0,0,M703*P701)</f>
        <v>0</v>
      </c>
      <c r="T701" s="225" t="str">
        <f>G701&amp;"-"&amp;J701</f>
        <v>Parking E-Outdoor irrigation</v>
      </c>
      <c r="U701" s="1034">
        <f ca="1">IF(ISNA(VLOOKUP(T701,list!$AV$3:$AW$130,2,FALSE)),1,(VLOOKUP(T701,list!$AV$3:$AW$130,2,FALSE)))</f>
        <v>1</v>
      </c>
      <c r="V701" s="1033">
        <f ca="1">R701*U701</f>
        <v>0</v>
      </c>
      <c r="W701" s="1033">
        <f ca="1">S701*U701</f>
        <v>0</v>
      </c>
    </row>
    <row r="702" spans="3:23" x14ac:dyDescent="0.3">
      <c r="C702" s="576"/>
      <c r="D702" s="494" t="s">
        <v>13</v>
      </c>
      <c r="E702" s="494"/>
      <c r="F702" s="181"/>
      <c r="G702" s="494" t="s">
        <v>95</v>
      </c>
      <c r="H702" s="577"/>
      <c r="I702" s="450" t="s">
        <v>39</v>
      </c>
      <c r="J702" s="577" t="s">
        <v>42</v>
      </c>
      <c r="K702" s="577"/>
      <c r="L702" s="1035" t="s">
        <v>65</v>
      </c>
      <c r="M702" s="1036">
        <f>SUMIFS('Level of Efficiency Assumptions'!$J:$J,'Level of Efficiency Assumptions'!$D:$D,I702,'Level of Efficiency Assumptions'!$F:$F,J702,'Level of Efficiency Assumptions'!$I:$I,'Water Use Calcs'!L702)</f>
        <v>13.980821518350929</v>
      </c>
      <c r="N702" s="577"/>
      <c r="O702" s="1048">
        <f>SUMIFS('Detailed Fixture Data'!O:O,'Detailed Fixture Data'!C:C,G702,'Detailed Fixture Data'!E:E,I702,'Detailed Fixture Data'!F:F,J702,'Detailed Fixture Data'!L:L,L702)</f>
        <v>0</v>
      </c>
      <c r="P702" s="1049"/>
      <c r="Q702" s="577"/>
      <c r="R702" s="1039"/>
      <c r="S702" s="521"/>
      <c r="T702" s="225"/>
      <c r="U702" s="521"/>
      <c r="V702" s="1040"/>
      <c r="W702" s="1041"/>
    </row>
    <row r="703" spans="3:23" ht="15" thickBot="1" x14ac:dyDescent="0.35">
      <c r="C703" s="576"/>
      <c r="D703" s="494" t="s">
        <v>13</v>
      </c>
      <c r="E703" s="494"/>
      <c r="F703" s="181"/>
      <c r="G703" s="494" t="s">
        <v>95</v>
      </c>
      <c r="H703" s="577"/>
      <c r="I703" s="451" t="s">
        <v>39</v>
      </c>
      <c r="J703" s="116" t="s">
        <v>42</v>
      </c>
      <c r="K703" s="116"/>
      <c r="L703" s="1042" t="s">
        <v>66</v>
      </c>
      <c r="M703" s="1043">
        <f>SUMIFS('Level of Efficiency Assumptions'!$J:$J,'Level of Efficiency Assumptions'!$D:$D,I703,'Level of Efficiency Assumptions'!$F:$F,J703,'Level of Efficiency Assumptions'!$I:$I,'Water Use Calcs'!L703)</f>
        <v>0.59137254901960778</v>
      </c>
      <c r="N703" s="577"/>
      <c r="O703" s="1048">
        <f>SUMIFS('Detailed Fixture Data'!O:O,'Detailed Fixture Data'!C:C,G703,'Detailed Fixture Data'!E:E,I703,'Detailed Fixture Data'!F:F,J703,'Detailed Fixture Data'!L:L,L703)</f>
        <v>0</v>
      </c>
      <c r="P703" s="1049"/>
      <c r="Q703" s="577"/>
      <c r="R703" s="1039"/>
      <c r="S703" s="618"/>
      <c r="T703" s="225"/>
      <c r="U703" s="618"/>
      <c r="V703" s="1045"/>
      <c r="W703" s="1046"/>
    </row>
    <row r="704" spans="3:23" x14ac:dyDescent="0.3">
      <c r="C704" s="576"/>
      <c r="D704" s="494" t="s">
        <v>13</v>
      </c>
      <c r="E704" s="494"/>
      <c r="F704" s="181"/>
      <c r="G704" s="494" t="s">
        <v>95</v>
      </c>
      <c r="H704" s="651" t="str">
        <f>I704</f>
        <v>Maintenance</v>
      </c>
      <c r="I704" s="450" t="s">
        <v>43</v>
      </c>
      <c r="J704" s="577" t="s">
        <v>9</v>
      </c>
      <c r="K704" s="382" t="s">
        <v>282</v>
      </c>
      <c r="L704" s="1047" t="s">
        <v>64</v>
      </c>
      <c r="M704" s="1036">
        <f>SUMIFS('Level of Efficiency Assumptions'!$J:$J,'Level of Efficiency Assumptions'!$D:$D,I704,'Level of Efficiency Assumptions'!$F:$F,J704,'Level of Efficiency Assumptions'!$I:$I,'Water Use Calcs'!L704)</f>
        <v>80</v>
      </c>
      <c r="N704" s="567" t="s">
        <v>588</v>
      </c>
      <c r="O704" s="1048">
        <f>SUMIFS('Detailed Fixture Data'!O:O,'Detailed Fixture Data'!C:C,G704,'Detailed Fixture Data'!E:E,I704,'Detailed Fixture Data'!F:F,J704,'Detailed Fixture Data'!L:L,L704)</f>
        <v>0</v>
      </c>
      <c r="P704" s="1062">
        <f>SUMIFS('Intensity of Use Assumptions'!$J:$J,'Intensity of Use Assumptions'!$D:$D,I704,'Intensity of Use Assumptions'!$G:$G,J704,'Intensity of Use Assumptions'!H:H,K704)</f>
        <v>2.0000000000000001E-4</v>
      </c>
      <c r="Q704" s="567" t="s">
        <v>67</v>
      </c>
      <c r="R704" s="1032">
        <f>(SUMPRODUCT(M704:M706,O704:O706)*P704)</f>
        <v>0</v>
      </c>
      <c r="S704" s="1033">
        <f>IF(R704=0,0,M706*P704)</f>
        <v>0</v>
      </c>
      <c r="T704" s="225" t="str">
        <f>G704&amp;"-"&amp;J704</f>
        <v>Parking E-Vehicle washing</v>
      </c>
      <c r="U704" s="1034">
        <f ca="1">IF(ISNA(VLOOKUP(T704,list!$AV$3:$AW$130,2,FALSE)),1,(VLOOKUP(T704,list!$AV$3:$AW$130,2,FALSE)))</f>
        <v>1</v>
      </c>
      <c r="V704" s="1033">
        <f ca="1">R704*U704</f>
        <v>0</v>
      </c>
      <c r="W704" s="1033">
        <f ca="1">S704*U704</f>
        <v>0</v>
      </c>
    </row>
    <row r="705" spans="3:23" x14ac:dyDescent="0.3">
      <c r="C705" s="576"/>
      <c r="D705" s="494" t="s">
        <v>13</v>
      </c>
      <c r="E705" s="494"/>
      <c r="F705" s="181"/>
      <c r="G705" s="494" t="s">
        <v>95</v>
      </c>
      <c r="H705" s="577"/>
      <c r="I705" s="450" t="s">
        <v>43</v>
      </c>
      <c r="J705" s="577" t="s">
        <v>9</v>
      </c>
      <c r="K705" s="577"/>
      <c r="L705" s="1035" t="s">
        <v>65</v>
      </c>
      <c r="M705" s="1036">
        <f>SUMIFS('Level of Efficiency Assumptions'!$J:$J,'Level of Efficiency Assumptions'!$D:$D,I705,'Level of Efficiency Assumptions'!$F:$F,J705,'Level of Efficiency Assumptions'!$I:$I,'Water Use Calcs'!L705)</f>
        <v>40</v>
      </c>
      <c r="N705" s="577"/>
      <c r="O705" s="1048">
        <f>SUMIFS('Detailed Fixture Data'!O:O,'Detailed Fixture Data'!C:C,G705,'Detailed Fixture Data'!E:E,I705,'Detailed Fixture Data'!F:F,J705,'Detailed Fixture Data'!L:L,L705)</f>
        <v>0</v>
      </c>
      <c r="P705" s="1049"/>
      <c r="Q705" s="577"/>
      <c r="R705" s="1039"/>
      <c r="S705" s="521"/>
      <c r="T705" s="225"/>
      <c r="U705" s="521"/>
      <c r="V705" s="1040"/>
      <c r="W705" s="1041"/>
    </row>
    <row r="706" spans="3:23" ht="15" thickBot="1" x14ac:dyDescent="0.35">
      <c r="C706" s="576"/>
      <c r="D706" s="494" t="s">
        <v>13</v>
      </c>
      <c r="E706" s="494"/>
      <c r="F706" s="181"/>
      <c r="G706" s="494" t="s">
        <v>95</v>
      </c>
      <c r="H706" s="577"/>
      <c r="I706" s="450" t="s">
        <v>43</v>
      </c>
      <c r="J706" s="116" t="s">
        <v>9</v>
      </c>
      <c r="K706" s="116"/>
      <c r="L706" s="1042" t="s">
        <v>66</v>
      </c>
      <c r="M706" s="1043">
        <f>SUMIFS('Level of Efficiency Assumptions'!$J:$J,'Level of Efficiency Assumptions'!$D:$D,I706,'Level of Efficiency Assumptions'!$F:$F,J706,'Level of Efficiency Assumptions'!$I:$I,'Water Use Calcs'!L706)</f>
        <v>30</v>
      </c>
      <c r="N706" s="577"/>
      <c r="O706" s="1048">
        <f>SUMIFS('Detailed Fixture Data'!O:O,'Detailed Fixture Data'!C:C,G706,'Detailed Fixture Data'!E:E,I706,'Detailed Fixture Data'!F:F,J706,'Detailed Fixture Data'!L:L,L706)</f>
        <v>0</v>
      </c>
      <c r="P706" s="1049"/>
      <c r="Q706" s="577"/>
      <c r="R706" s="1039"/>
      <c r="S706" s="618"/>
      <c r="T706" s="225"/>
      <c r="U706" s="618"/>
      <c r="V706" s="1045"/>
      <c r="W706" s="1046"/>
    </row>
    <row r="707" spans="3:23" x14ac:dyDescent="0.3">
      <c r="C707" s="576"/>
      <c r="D707" s="494" t="s">
        <v>13</v>
      </c>
      <c r="E707" s="494"/>
      <c r="F707" s="181"/>
      <c r="G707" s="494" t="s">
        <v>95</v>
      </c>
      <c r="H707" s="577"/>
      <c r="I707" s="450" t="s">
        <v>43</v>
      </c>
      <c r="J707" s="577" t="s">
        <v>426</v>
      </c>
      <c r="K707" s="382" t="s">
        <v>282</v>
      </c>
      <c r="L707" s="1047" t="s">
        <v>64</v>
      </c>
      <c r="M707" s="1036">
        <f>SUMIFS('Level of Efficiency Assumptions'!$J:$J,'Level of Efficiency Assumptions'!$D:$D,I707,'Level of Efficiency Assumptions'!$F:$F,J707,'Level of Efficiency Assumptions'!$I:$I,'Water Use Calcs'!L707)</f>
        <v>10</v>
      </c>
      <c r="N707" s="567" t="s">
        <v>588</v>
      </c>
      <c r="O707" s="1048">
        <f>SUMIFS('Detailed Fixture Data'!O:O,'Detailed Fixture Data'!C:C,G707,'Detailed Fixture Data'!E:E,I707,'Detailed Fixture Data'!F:F,J707,'Detailed Fixture Data'!L:L,L707)</f>
        <v>0</v>
      </c>
      <c r="P707" s="1030">
        <f>SUMIFS('Intensity of Use Assumptions'!$J:$J,'Intensity of Use Assumptions'!$D:$D,I707,'Intensity of Use Assumptions'!$G:$G,J707,'Intensity of Use Assumptions'!H:H,K707)</f>
        <v>1E-3</v>
      </c>
      <c r="Q707" s="567" t="s">
        <v>67</v>
      </c>
      <c r="R707" s="1032">
        <f>(SUMPRODUCT(M707:M709,O707:O709)*P707)</f>
        <v>0</v>
      </c>
      <c r="S707" s="1033">
        <f>IF(R707=0,0,M709*P707)</f>
        <v>0</v>
      </c>
      <c r="T707" s="225" t="str">
        <f>G707&amp;"-"&amp;J707</f>
        <v>Parking E-Pavement cleaning</v>
      </c>
      <c r="U707" s="1034">
        <f ca="1">IF(ISNA(VLOOKUP(T707,list!$AV$3:$AW$130,2,FALSE)),1,(VLOOKUP(T707,list!$AV$3:$AW$130,2,FALSE)))</f>
        <v>1</v>
      </c>
      <c r="V707" s="1033">
        <f ca="1">R707*U707</f>
        <v>0</v>
      </c>
      <c r="W707" s="1033">
        <f ca="1">S707*U707</f>
        <v>0</v>
      </c>
    </row>
    <row r="708" spans="3:23" x14ac:dyDescent="0.3">
      <c r="C708" s="576"/>
      <c r="D708" s="494" t="s">
        <v>13</v>
      </c>
      <c r="E708" s="494"/>
      <c r="F708" s="181"/>
      <c r="G708" s="494" t="s">
        <v>95</v>
      </c>
      <c r="H708" s="577"/>
      <c r="I708" s="450" t="s">
        <v>43</v>
      </c>
      <c r="J708" s="577" t="s">
        <v>426</v>
      </c>
      <c r="K708" s="577"/>
      <c r="L708" s="1035" t="s">
        <v>65</v>
      </c>
      <c r="M708" s="1036">
        <f>SUMIFS('Level of Efficiency Assumptions'!$J:$J,'Level of Efficiency Assumptions'!$D:$D,I708,'Level of Efficiency Assumptions'!$F:$F,J708,'Level of Efficiency Assumptions'!$I:$I,'Water Use Calcs'!L708)</f>
        <v>7.5</v>
      </c>
      <c r="N708" s="577"/>
      <c r="O708" s="1048">
        <f>SUMIFS('Detailed Fixture Data'!O:O,'Detailed Fixture Data'!C:C,G708,'Detailed Fixture Data'!E:E,I708,'Detailed Fixture Data'!F:F,J708,'Detailed Fixture Data'!L:L,L708)</f>
        <v>0</v>
      </c>
      <c r="P708" s="1049"/>
      <c r="Q708" s="577"/>
      <c r="R708" s="1039"/>
      <c r="S708" s="521"/>
      <c r="T708" s="225"/>
      <c r="U708" s="521"/>
      <c r="V708" s="1040"/>
      <c r="W708" s="1041"/>
    </row>
    <row r="709" spans="3:23" ht="15" thickBot="1" x14ac:dyDescent="0.35">
      <c r="C709" s="576"/>
      <c r="D709" s="494" t="s">
        <v>13</v>
      </c>
      <c r="E709" s="494"/>
      <c r="F709" s="181"/>
      <c r="G709" s="494" t="s">
        <v>95</v>
      </c>
      <c r="H709" s="577"/>
      <c r="I709" s="451" t="s">
        <v>43</v>
      </c>
      <c r="J709" s="116" t="s">
        <v>426</v>
      </c>
      <c r="K709" s="116"/>
      <c r="L709" s="1042" t="s">
        <v>66</v>
      </c>
      <c r="M709" s="1043">
        <f>SUMIFS('Level of Efficiency Assumptions'!$J:$J,'Level of Efficiency Assumptions'!$D:$D,I709,'Level of Efficiency Assumptions'!$F:$F,J709,'Level of Efficiency Assumptions'!$I:$I,'Water Use Calcs'!L709)</f>
        <v>5</v>
      </c>
      <c r="N709" s="577"/>
      <c r="O709" s="1048">
        <f>SUMIFS('Detailed Fixture Data'!O:O,'Detailed Fixture Data'!C:C,G709,'Detailed Fixture Data'!E:E,I709,'Detailed Fixture Data'!F:F,J709,'Detailed Fixture Data'!L:L,L709)</f>
        <v>0</v>
      </c>
      <c r="P709" s="1049"/>
      <c r="Q709" s="577"/>
      <c r="R709" s="1039"/>
      <c r="S709" s="618"/>
      <c r="T709" s="225"/>
      <c r="U709" s="618"/>
      <c r="V709" s="1045"/>
      <c r="W709" s="1046"/>
    </row>
    <row r="710" spans="3:23" x14ac:dyDescent="0.3">
      <c r="C710" s="576"/>
      <c r="D710" s="494" t="s">
        <v>13</v>
      </c>
      <c r="E710" s="494"/>
      <c r="F710" s="181"/>
      <c r="G710" s="494" t="s">
        <v>95</v>
      </c>
      <c r="H710" s="651" t="str">
        <f>I710</f>
        <v>Other</v>
      </c>
      <c r="I710" s="450" t="s">
        <v>8</v>
      </c>
      <c r="J710" s="577" t="s">
        <v>52</v>
      </c>
      <c r="K710" s="387" t="s">
        <v>362</v>
      </c>
      <c r="L710" s="1047" t="s">
        <v>64</v>
      </c>
      <c r="M710" s="1036">
        <f>SUMIFS('Level of Efficiency Assumptions'!$J:$J,'Level of Efficiency Assumptions'!$D:$D,I710,'Level of Efficiency Assumptions'!$F:$F,J710,'Level of Efficiency Assumptions'!$I:$I,'Water Use Calcs'!L710)</f>
        <v>10</v>
      </c>
      <c r="N710" s="567" t="s">
        <v>660</v>
      </c>
      <c r="O710" s="1048">
        <f>SUMIFS('Detailed Fixture Data'!O:O,'Detailed Fixture Data'!C:C,G710,'Detailed Fixture Data'!E:E,I710,'Detailed Fixture Data'!F:F,J710,'Detailed Fixture Data'!L:L,L710)</f>
        <v>0</v>
      </c>
      <c r="P710" s="1030">
        <f>SUMIFS('Intensity of Use Assumptions'!$J:$J,'Intensity of Use Assumptions'!$D:$D,I710,'Intensity of Use Assumptions'!$G:$G,J710,'Intensity of Use Assumptions'!H:H,K710)</f>
        <v>1</v>
      </c>
      <c r="Q710" s="567" t="s">
        <v>67</v>
      </c>
      <c r="R710" s="1032">
        <f>(SUMPRODUCT(M710:M712,O710:O712)*P710)</f>
        <v>0</v>
      </c>
      <c r="S710" s="1033">
        <f>IF(R710=0,0,M712*P710)</f>
        <v>0</v>
      </c>
      <c r="T710" s="225" t="str">
        <f>G710&amp;"-"&amp;J710</f>
        <v>Parking E-Other 1</v>
      </c>
      <c r="U710" s="1034">
        <f ca="1">IF(ISNA(VLOOKUP(T710,list!$AV$3:$AW$130,2,FALSE)),1,(VLOOKUP(T710,list!$AV$3:$AW$130,2,FALSE)))</f>
        <v>1</v>
      </c>
      <c r="V710" s="1033">
        <f ca="1">R710*U710</f>
        <v>0</v>
      </c>
      <c r="W710" s="1033">
        <f ca="1">S710*U710</f>
        <v>0</v>
      </c>
    </row>
    <row r="711" spans="3:23" x14ac:dyDescent="0.3">
      <c r="C711" s="576"/>
      <c r="D711" s="494" t="s">
        <v>13</v>
      </c>
      <c r="E711" s="494"/>
      <c r="F711" s="181"/>
      <c r="G711" s="494" t="s">
        <v>95</v>
      </c>
      <c r="H711" s="577"/>
      <c r="I711" s="450" t="s">
        <v>8</v>
      </c>
      <c r="J711" s="577" t="s">
        <v>52</v>
      </c>
      <c r="K711" s="382"/>
      <c r="L711" s="1035" t="s">
        <v>65</v>
      </c>
      <c r="M711" s="1036">
        <f>SUMIFS('Level of Efficiency Assumptions'!$J:$J,'Level of Efficiency Assumptions'!$D:$D,I711,'Level of Efficiency Assumptions'!$F:$F,J711,'Level of Efficiency Assumptions'!$I:$I,'Water Use Calcs'!L711)</f>
        <v>7.5</v>
      </c>
      <c r="N711" s="577"/>
      <c r="O711" s="1048">
        <f>SUMIFS('Detailed Fixture Data'!O:O,'Detailed Fixture Data'!C:C,G711,'Detailed Fixture Data'!E:E,I711,'Detailed Fixture Data'!F:F,J711,'Detailed Fixture Data'!L:L,L711)</f>
        <v>0</v>
      </c>
      <c r="P711" s="1049"/>
      <c r="Q711" s="577"/>
      <c r="R711" s="1039"/>
      <c r="S711" s="521"/>
      <c r="T711" s="225"/>
      <c r="U711" s="521"/>
      <c r="V711" s="1040"/>
      <c r="W711" s="1041"/>
    </row>
    <row r="712" spans="3:23" ht="15" thickBot="1" x14ac:dyDescent="0.35">
      <c r="C712" s="576"/>
      <c r="D712" s="494" t="s">
        <v>13</v>
      </c>
      <c r="E712" s="494"/>
      <c r="F712" s="181"/>
      <c r="G712" s="494" t="s">
        <v>95</v>
      </c>
      <c r="H712" s="577"/>
      <c r="I712" s="450" t="s">
        <v>8</v>
      </c>
      <c r="J712" s="116" t="s">
        <v>52</v>
      </c>
      <c r="K712" s="382"/>
      <c r="L712" s="1042" t="s">
        <v>66</v>
      </c>
      <c r="M712" s="1043">
        <f>SUMIFS('Level of Efficiency Assumptions'!$J:$J,'Level of Efficiency Assumptions'!$D:$D,I712,'Level of Efficiency Assumptions'!$F:$F,J712,'Level of Efficiency Assumptions'!$I:$I,'Water Use Calcs'!L712)</f>
        <v>5</v>
      </c>
      <c r="N712" s="577"/>
      <c r="O712" s="1048">
        <f>SUMIFS('Detailed Fixture Data'!O:O,'Detailed Fixture Data'!C:C,G712,'Detailed Fixture Data'!E:E,I712,'Detailed Fixture Data'!F:F,J712,'Detailed Fixture Data'!L:L,L712)</f>
        <v>0</v>
      </c>
      <c r="P712" s="1049"/>
      <c r="Q712" s="577"/>
      <c r="R712" s="1039"/>
      <c r="S712" s="618"/>
      <c r="T712" s="225"/>
      <c r="U712" s="618"/>
      <c r="V712" s="1045"/>
      <c r="W712" s="1046"/>
    </row>
    <row r="713" spans="3:23" x14ac:dyDescent="0.3">
      <c r="C713" s="576"/>
      <c r="D713" s="494" t="s">
        <v>13</v>
      </c>
      <c r="E713" s="494"/>
      <c r="F713" s="181"/>
      <c r="G713" s="494" t="s">
        <v>95</v>
      </c>
      <c r="H713" s="577"/>
      <c r="I713" s="450" t="s">
        <v>8</v>
      </c>
      <c r="J713" s="577" t="s">
        <v>53</v>
      </c>
      <c r="K713" s="1055" t="s">
        <v>363</v>
      </c>
      <c r="L713" s="1047" t="s">
        <v>64</v>
      </c>
      <c r="M713" s="1036">
        <f>SUMIFS('Level of Efficiency Assumptions'!$J:$J,'Level of Efficiency Assumptions'!$D:$D,I713,'Level of Efficiency Assumptions'!$F:$F,J713,'Level of Efficiency Assumptions'!$I:$I,'Water Use Calcs'!L713)</f>
        <v>10</v>
      </c>
      <c r="N713" s="567" t="s">
        <v>660</v>
      </c>
      <c r="O713" s="1048">
        <f>SUMIFS('Detailed Fixture Data'!O:O,'Detailed Fixture Data'!C:C,G713,'Detailed Fixture Data'!E:E,I713,'Detailed Fixture Data'!F:F,J713,'Detailed Fixture Data'!L:L,L713)</f>
        <v>0</v>
      </c>
      <c r="P713" s="1030">
        <f>SUMIFS('Intensity of Use Assumptions'!$J:$J,'Intensity of Use Assumptions'!$D:$D,I713,'Intensity of Use Assumptions'!$G:$G,J713,'Intensity of Use Assumptions'!H:H,K713)</f>
        <v>1</v>
      </c>
      <c r="Q713" s="567" t="s">
        <v>67</v>
      </c>
      <c r="R713" s="1032">
        <f>(SUMPRODUCT(M713:M715,O713:O715)*P713)</f>
        <v>0</v>
      </c>
      <c r="S713" s="1033">
        <f>IF(R713=0,0,M715*P713)</f>
        <v>0</v>
      </c>
      <c r="T713" s="225" t="str">
        <f>G713&amp;"-"&amp;J713</f>
        <v>Parking E-Other 2</v>
      </c>
      <c r="U713" s="1034">
        <f ca="1">IF(ISNA(VLOOKUP(T713,list!$AV$3:$AW$130,2,FALSE)),1,(VLOOKUP(T713,list!$AV$3:$AW$130,2,FALSE)))</f>
        <v>1</v>
      </c>
      <c r="V713" s="1033">
        <f ca="1">R713*U713</f>
        <v>0</v>
      </c>
      <c r="W713" s="1033">
        <f ca="1">S713*U713</f>
        <v>0</v>
      </c>
    </row>
    <row r="714" spans="3:23" x14ac:dyDescent="0.3">
      <c r="C714" s="576"/>
      <c r="D714" s="494" t="s">
        <v>13</v>
      </c>
      <c r="E714" s="494"/>
      <c r="F714" s="181"/>
      <c r="G714" s="494" t="s">
        <v>95</v>
      </c>
      <c r="H714" s="577"/>
      <c r="I714" s="450" t="s">
        <v>8</v>
      </c>
      <c r="J714" s="577" t="s">
        <v>53</v>
      </c>
      <c r="K714" s="577"/>
      <c r="L714" s="1035" t="s">
        <v>65</v>
      </c>
      <c r="M714" s="1036">
        <f>SUMIFS('Level of Efficiency Assumptions'!$J:$J,'Level of Efficiency Assumptions'!$D:$D,I714,'Level of Efficiency Assumptions'!$F:$F,J714,'Level of Efficiency Assumptions'!$I:$I,'Water Use Calcs'!L714)</f>
        <v>7.5</v>
      </c>
      <c r="N714" s="577"/>
      <c r="O714" s="1048">
        <f>SUMIFS('Detailed Fixture Data'!O:O,'Detailed Fixture Data'!C:C,G714,'Detailed Fixture Data'!E:E,I714,'Detailed Fixture Data'!F:F,J714,'Detailed Fixture Data'!L:L,L714)</f>
        <v>0</v>
      </c>
      <c r="P714" s="1049"/>
      <c r="Q714" s="577"/>
      <c r="R714" s="1039"/>
      <c r="S714" s="521"/>
      <c r="T714" s="225"/>
      <c r="U714" s="521"/>
      <c r="V714" s="1040"/>
      <c r="W714" s="1041"/>
    </row>
    <row r="715" spans="3:23" ht="15" thickBot="1" x14ac:dyDescent="0.35">
      <c r="C715" s="576"/>
      <c r="D715" s="494" t="s">
        <v>13</v>
      </c>
      <c r="E715" s="494"/>
      <c r="F715" s="181"/>
      <c r="G715" s="494" t="s">
        <v>95</v>
      </c>
      <c r="H715" s="577"/>
      <c r="I715" s="450" t="s">
        <v>8</v>
      </c>
      <c r="J715" s="116" t="s">
        <v>53</v>
      </c>
      <c r="K715" s="116"/>
      <c r="L715" s="1042" t="s">
        <v>66</v>
      </c>
      <c r="M715" s="1043">
        <f>SUMIFS('Level of Efficiency Assumptions'!$J:$J,'Level of Efficiency Assumptions'!$D:$D,I715,'Level of Efficiency Assumptions'!$F:$F,J715,'Level of Efficiency Assumptions'!$I:$I,'Water Use Calcs'!L715)</f>
        <v>5</v>
      </c>
      <c r="N715" s="577"/>
      <c r="O715" s="1048">
        <f>SUMIFS('Detailed Fixture Data'!O:O,'Detailed Fixture Data'!C:C,G715,'Detailed Fixture Data'!E:E,I715,'Detailed Fixture Data'!F:F,J715,'Detailed Fixture Data'!L:L,L715)</f>
        <v>0</v>
      </c>
      <c r="P715" s="1049"/>
      <c r="Q715" s="577"/>
      <c r="R715" s="1039"/>
      <c r="S715" s="618"/>
      <c r="T715" s="225"/>
      <c r="U715" s="618"/>
      <c r="V715" s="1045"/>
      <c r="W715" s="1046"/>
    </row>
    <row r="716" spans="3:23" x14ac:dyDescent="0.3">
      <c r="C716" s="576"/>
      <c r="D716" s="494" t="s">
        <v>13</v>
      </c>
      <c r="E716" s="494"/>
      <c r="F716" s="181"/>
      <c r="G716" s="494" t="s">
        <v>95</v>
      </c>
      <c r="H716" s="577"/>
      <c r="I716" s="450" t="s">
        <v>8</v>
      </c>
      <c r="J716" s="577" t="s">
        <v>54</v>
      </c>
      <c r="K716" s="379" t="s">
        <v>364</v>
      </c>
      <c r="L716" s="1047" t="s">
        <v>64</v>
      </c>
      <c r="M716" s="1036">
        <f>SUMIFS('Level of Efficiency Assumptions'!$J:$J,'Level of Efficiency Assumptions'!$D:$D,I716,'Level of Efficiency Assumptions'!$F:$F,J716,'Level of Efficiency Assumptions'!$I:$I,'Water Use Calcs'!L716)</f>
        <v>10</v>
      </c>
      <c r="N716" s="567" t="s">
        <v>660</v>
      </c>
      <c r="O716" s="1048">
        <f>SUMIFS('Detailed Fixture Data'!O:O,'Detailed Fixture Data'!C:C,G716,'Detailed Fixture Data'!E:E,I716,'Detailed Fixture Data'!F:F,J716,'Detailed Fixture Data'!L:L,L716)</f>
        <v>0</v>
      </c>
      <c r="P716" s="1030">
        <f>SUMIFS('Intensity of Use Assumptions'!$J:$J,'Intensity of Use Assumptions'!$D:$D,I716,'Intensity of Use Assumptions'!$G:$G,J716,'Intensity of Use Assumptions'!H:H,K716)</f>
        <v>1</v>
      </c>
      <c r="Q716" s="567" t="s">
        <v>67</v>
      </c>
      <c r="R716" s="1032">
        <f>(SUMPRODUCT(M716:M718,O716:O718)*P716)</f>
        <v>0</v>
      </c>
      <c r="S716" s="1033">
        <f>IF(R716=0,0,M718*P716)</f>
        <v>0</v>
      </c>
      <c r="T716" s="225" t="str">
        <f>G716&amp;"-"&amp;J716</f>
        <v>Parking E-Other 3</v>
      </c>
      <c r="U716" s="1034">
        <f ca="1">IF(ISNA(VLOOKUP(T716,list!$AV$3:$AW$130,2,FALSE)),1,(VLOOKUP(T716,list!$AV$3:$AW$130,2,FALSE)))</f>
        <v>1</v>
      </c>
      <c r="V716" s="1033">
        <f ca="1">R716*U716</f>
        <v>0</v>
      </c>
      <c r="W716" s="1033">
        <f ca="1">S716*U716</f>
        <v>0</v>
      </c>
    </row>
    <row r="717" spans="3:23" x14ac:dyDescent="0.3">
      <c r="C717" s="576"/>
      <c r="D717" s="494" t="s">
        <v>13</v>
      </c>
      <c r="E717" s="494"/>
      <c r="F717" s="181"/>
      <c r="G717" s="494" t="s">
        <v>95</v>
      </c>
      <c r="H717" s="577"/>
      <c r="I717" s="450" t="s">
        <v>8</v>
      </c>
      <c r="J717" s="577" t="s">
        <v>54</v>
      </c>
      <c r="K717" s="577"/>
      <c r="L717" s="1035" t="s">
        <v>65</v>
      </c>
      <c r="M717" s="1036">
        <f>SUMIFS('Level of Efficiency Assumptions'!$J:$J,'Level of Efficiency Assumptions'!$D:$D,I717,'Level of Efficiency Assumptions'!$F:$F,J717,'Level of Efficiency Assumptions'!$I:$I,'Water Use Calcs'!L717)</f>
        <v>7.5</v>
      </c>
      <c r="N717" s="577"/>
      <c r="O717" s="1048">
        <f>SUMIFS('Detailed Fixture Data'!O:O,'Detailed Fixture Data'!C:C,G717,'Detailed Fixture Data'!E:E,I717,'Detailed Fixture Data'!F:F,J717,'Detailed Fixture Data'!L:L,L717)</f>
        <v>0</v>
      </c>
      <c r="P717" s="1049"/>
      <c r="Q717" s="577"/>
      <c r="R717" s="1039"/>
      <c r="S717" s="521"/>
      <c r="T717" s="225"/>
      <c r="U717" s="521"/>
      <c r="V717" s="1040"/>
      <c r="W717" s="1041"/>
    </row>
    <row r="718" spans="3:23" ht="15" thickBot="1" x14ac:dyDescent="0.35">
      <c r="C718" s="576"/>
      <c r="D718" s="501" t="s">
        <v>13</v>
      </c>
      <c r="E718" s="501"/>
      <c r="F718" s="924"/>
      <c r="G718" s="501" t="s">
        <v>95</v>
      </c>
      <c r="H718" s="116"/>
      <c r="I718" s="451" t="s">
        <v>8</v>
      </c>
      <c r="J718" s="116" t="s">
        <v>54</v>
      </c>
      <c r="K718" s="116"/>
      <c r="L718" s="1042" t="s">
        <v>66</v>
      </c>
      <c r="M718" s="1043">
        <f>SUMIFS('Level of Efficiency Assumptions'!$J:$J,'Level of Efficiency Assumptions'!$D:$D,I718,'Level of Efficiency Assumptions'!$F:$F,J718,'Level of Efficiency Assumptions'!$I:$I,'Water Use Calcs'!L718)</f>
        <v>5</v>
      </c>
      <c r="N718" s="116"/>
      <c r="O718" s="1048">
        <f>SUMIFS('Detailed Fixture Data'!O:O,'Detailed Fixture Data'!C:C,G718,'Detailed Fixture Data'!E:E,I718,'Detailed Fixture Data'!F:F,J718,'Detailed Fixture Data'!L:L,L718)</f>
        <v>0</v>
      </c>
      <c r="P718" s="1049"/>
      <c r="Q718" s="116"/>
      <c r="R718" s="1045"/>
      <c r="S718" s="618"/>
      <c r="T718" s="225"/>
      <c r="U718" s="618"/>
      <c r="V718" s="1045"/>
      <c r="W718" s="1046"/>
    </row>
    <row r="719" spans="3:23" x14ac:dyDescent="0.3">
      <c r="C719" s="651" t="str">
        <f>D719</f>
        <v>Fire and Police Stations</v>
      </c>
      <c r="D719" s="566" t="s">
        <v>418</v>
      </c>
      <c r="E719" s="619" t="str">
        <f>G719</f>
        <v>Fire and Police Stations</v>
      </c>
      <c r="F719" s="565" t="str">
        <f>VLOOKUP(E719,'Airport Mapping'!$C$5:$D$39,2,FALSE)</f>
        <v xml:space="preserve"> </v>
      </c>
      <c r="G719" s="494" t="s">
        <v>418</v>
      </c>
      <c r="H719" s="651" t="str">
        <f>I719</f>
        <v>Restrooms</v>
      </c>
      <c r="I719" s="450" t="s">
        <v>37</v>
      </c>
      <c r="J719" s="577" t="s">
        <v>2</v>
      </c>
      <c r="K719" s="577" t="s">
        <v>6</v>
      </c>
      <c r="L719" s="1047" t="s">
        <v>64</v>
      </c>
      <c r="M719" s="1036">
        <f>SUMIFS('Level of Efficiency Assumptions'!$J:$J,'Level of Efficiency Assumptions'!$D:$D,I719,'Level of Efficiency Assumptions'!$F:$F,J719,'Level of Efficiency Assumptions'!$I:$I,'Water Use Calcs'!L719)</f>
        <v>3.5</v>
      </c>
      <c r="N719" s="577" t="s">
        <v>68</v>
      </c>
      <c r="O719" s="1048">
        <f>SUMIFS('Detailed Fixture Data'!O:O,'Detailed Fixture Data'!C:C,G719,'Detailed Fixture Data'!E:E,I719,'Detailed Fixture Data'!F:F,J719,'Detailed Fixture Data'!L:L,L719)</f>
        <v>0</v>
      </c>
      <c r="P719" s="1030">
        <f>SUMIFS('Intensity of Use Assumptions'!$J:$J,'Intensity of Use Assumptions'!$D:$D,I719,'Intensity of Use Assumptions'!$G:$G,J719,'Intensity of Use Assumptions'!H:H,K719)</f>
        <v>2.5</v>
      </c>
      <c r="Q719" s="577" t="s">
        <v>67</v>
      </c>
      <c r="R719" s="1060">
        <f>(SUMPRODUCT(M719:M721,O719:O721)*P719)</f>
        <v>0</v>
      </c>
      <c r="S719" s="1033">
        <f>IF(R719=0,0,M721*P719)</f>
        <v>0</v>
      </c>
      <c r="T719" s="225" t="str">
        <f>G719&amp;"-"&amp;J719</f>
        <v>Fire and Police Stations-Toilets</v>
      </c>
      <c r="U719" s="1034">
        <f ca="1">IF(ISNA(VLOOKUP(T719,list!$AV$3:$AW$130,2,FALSE)),1,(VLOOKUP(T719,list!$AV$3:$AW$130,2,FALSE)))</f>
        <v>1</v>
      </c>
      <c r="V719" s="1033">
        <f ca="1">R719*U719</f>
        <v>0</v>
      </c>
      <c r="W719" s="1033">
        <f ca="1">S719*U719</f>
        <v>0</v>
      </c>
    </row>
    <row r="720" spans="3:23" x14ac:dyDescent="0.3">
      <c r="C720" s="576"/>
      <c r="D720" s="494" t="s">
        <v>418</v>
      </c>
      <c r="E720" s="494"/>
      <c r="F720" s="182"/>
      <c r="G720" s="494" t="s">
        <v>418</v>
      </c>
      <c r="H720" s="577"/>
      <c r="I720" s="450" t="s">
        <v>37</v>
      </c>
      <c r="J720" s="577" t="s">
        <v>2</v>
      </c>
      <c r="K720" s="577"/>
      <c r="L720" s="1035" t="s">
        <v>65</v>
      </c>
      <c r="M720" s="1036">
        <f>SUMIFS('Level of Efficiency Assumptions'!$J:$J,'Level of Efficiency Assumptions'!$D:$D,I720,'Level of Efficiency Assumptions'!$F:$F,J720,'Level of Efficiency Assumptions'!$I:$I,'Water Use Calcs'!L720)</f>
        <v>1.6</v>
      </c>
      <c r="N720" s="577"/>
      <c r="O720" s="1048">
        <f>SUMIFS('Detailed Fixture Data'!O:O,'Detailed Fixture Data'!C:C,G720,'Detailed Fixture Data'!E:E,I720,'Detailed Fixture Data'!F:F,J720,'Detailed Fixture Data'!L:L,L720)</f>
        <v>0</v>
      </c>
      <c r="P720" s="1049"/>
      <c r="Q720" s="577"/>
      <c r="R720" s="1039"/>
      <c r="S720" s="521"/>
      <c r="T720" s="225"/>
      <c r="U720" s="521"/>
      <c r="V720" s="1040"/>
      <c r="W720" s="1041"/>
    </row>
    <row r="721" spans="3:23" ht="15" thickBot="1" x14ac:dyDescent="0.35">
      <c r="C721" s="576"/>
      <c r="D721" s="494" t="s">
        <v>418</v>
      </c>
      <c r="E721" s="494"/>
      <c r="F721" s="182"/>
      <c r="G721" s="494" t="s">
        <v>418</v>
      </c>
      <c r="H721" s="577"/>
      <c r="I721" s="450" t="s">
        <v>37</v>
      </c>
      <c r="J721" s="116" t="s">
        <v>2</v>
      </c>
      <c r="K721" s="116"/>
      <c r="L721" s="1042" t="s">
        <v>66</v>
      </c>
      <c r="M721" s="1043">
        <f>SUMIFS('Level of Efficiency Assumptions'!$J:$J,'Level of Efficiency Assumptions'!$D:$D,I721,'Level of Efficiency Assumptions'!$F:$F,J721,'Level of Efficiency Assumptions'!$I:$I,'Water Use Calcs'!L721)</f>
        <v>1.28</v>
      </c>
      <c r="N721" s="577"/>
      <c r="O721" s="1048">
        <f>SUMIFS('Detailed Fixture Data'!O:O,'Detailed Fixture Data'!C:C,G721,'Detailed Fixture Data'!E:E,I721,'Detailed Fixture Data'!F:F,J721,'Detailed Fixture Data'!L:L,L721)</f>
        <v>0</v>
      </c>
      <c r="P721" s="1049"/>
      <c r="Q721" s="577"/>
      <c r="R721" s="1039"/>
      <c r="S721" s="618"/>
      <c r="T721" s="225"/>
      <c r="U721" s="618"/>
      <c r="V721" s="1045"/>
      <c r="W721" s="1046"/>
    </row>
    <row r="722" spans="3:23" x14ac:dyDescent="0.3">
      <c r="C722" s="576"/>
      <c r="D722" s="494" t="s">
        <v>418</v>
      </c>
      <c r="E722" s="494"/>
      <c r="F722" s="182"/>
      <c r="G722" s="494" t="s">
        <v>418</v>
      </c>
      <c r="H722" s="577"/>
      <c r="I722" s="450" t="s">
        <v>37</v>
      </c>
      <c r="J722" s="577" t="s">
        <v>4</v>
      </c>
      <c r="K722" s="577" t="s">
        <v>6</v>
      </c>
      <c r="L722" s="1047" t="s">
        <v>64</v>
      </c>
      <c r="M722" s="1036">
        <f>SUMIFS('Level of Efficiency Assumptions'!$J:$J,'Level of Efficiency Assumptions'!$D:$D,I722,'Level of Efficiency Assumptions'!$F:$F,J722,'Level of Efficiency Assumptions'!$I:$I,'Water Use Calcs'!L722)</f>
        <v>2</v>
      </c>
      <c r="N722" s="567" t="s">
        <v>68</v>
      </c>
      <c r="O722" s="1048">
        <f>SUMIFS('Detailed Fixture Data'!O:O,'Detailed Fixture Data'!C:C,G722,'Detailed Fixture Data'!E:E,I722,'Detailed Fixture Data'!F:F,J722,'Detailed Fixture Data'!L:L,L722)</f>
        <v>0</v>
      </c>
      <c r="P722" s="1030">
        <f>SUMIFS('Intensity of Use Assumptions'!$J:$J,'Intensity of Use Assumptions'!$D:$D,I722,'Intensity of Use Assumptions'!$G:$G,J722,'Intensity of Use Assumptions'!H:H,K722)</f>
        <v>1.5</v>
      </c>
      <c r="Q722" s="567" t="s">
        <v>67</v>
      </c>
      <c r="R722" s="1032">
        <f>(SUMPRODUCT(M722:M724,O722:O724)*P722)</f>
        <v>0</v>
      </c>
      <c r="S722" s="1033">
        <f>IF(R722=0,0,M724*P722)</f>
        <v>0</v>
      </c>
      <c r="T722" s="225" t="str">
        <f>G722&amp;"-"&amp;J722</f>
        <v>Fire and Police Stations-Urinals</v>
      </c>
      <c r="U722" s="1034">
        <f ca="1">IF(ISNA(VLOOKUP(T722,list!$AV$3:$AW$130,2,FALSE)),1,(VLOOKUP(T722,list!$AV$3:$AW$130,2,FALSE)))</f>
        <v>1</v>
      </c>
      <c r="V722" s="1033">
        <f ca="1">R722*U722</f>
        <v>0</v>
      </c>
      <c r="W722" s="1033">
        <f ca="1">S722*U722</f>
        <v>0</v>
      </c>
    </row>
    <row r="723" spans="3:23" x14ac:dyDescent="0.3">
      <c r="C723" s="576"/>
      <c r="D723" s="494" t="s">
        <v>418</v>
      </c>
      <c r="E723" s="494"/>
      <c r="F723" s="182"/>
      <c r="G723" s="494" t="s">
        <v>418</v>
      </c>
      <c r="H723" s="577"/>
      <c r="I723" s="450" t="s">
        <v>37</v>
      </c>
      <c r="J723" s="577" t="s">
        <v>4</v>
      </c>
      <c r="K723" s="577"/>
      <c r="L723" s="1035" t="s">
        <v>65</v>
      </c>
      <c r="M723" s="1036">
        <f>SUMIFS('Level of Efficiency Assumptions'!$J:$J,'Level of Efficiency Assumptions'!$D:$D,I723,'Level of Efficiency Assumptions'!$F:$F,J723,'Level of Efficiency Assumptions'!$I:$I,'Water Use Calcs'!L723)</f>
        <v>1</v>
      </c>
      <c r="N723" s="577"/>
      <c r="O723" s="1048">
        <f>SUMIFS('Detailed Fixture Data'!O:O,'Detailed Fixture Data'!C:C,G723,'Detailed Fixture Data'!E:E,I723,'Detailed Fixture Data'!F:F,J723,'Detailed Fixture Data'!L:L,L723)</f>
        <v>0</v>
      </c>
      <c r="P723" s="1049"/>
      <c r="Q723" s="577"/>
      <c r="R723" s="1039"/>
      <c r="S723" s="521"/>
      <c r="T723" s="225"/>
      <c r="U723" s="521"/>
      <c r="V723" s="1040"/>
      <c r="W723" s="1041"/>
    </row>
    <row r="724" spans="3:23" ht="15" thickBot="1" x14ac:dyDescent="0.35">
      <c r="C724" s="576"/>
      <c r="D724" s="494" t="s">
        <v>418</v>
      </c>
      <c r="E724" s="494"/>
      <c r="F724" s="182"/>
      <c r="G724" s="494" t="s">
        <v>418</v>
      </c>
      <c r="H724" s="577"/>
      <c r="I724" s="450" t="s">
        <v>37</v>
      </c>
      <c r="J724" s="116" t="s">
        <v>4</v>
      </c>
      <c r="K724" s="116"/>
      <c r="L724" s="1042" t="s">
        <v>66</v>
      </c>
      <c r="M724" s="1043">
        <f>SUMIFS('Level of Efficiency Assumptions'!$J:$J,'Level of Efficiency Assumptions'!$D:$D,I724,'Level of Efficiency Assumptions'!$F:$F,J724,'Level of Efficiency Assumptions'!$I:$I,'Water Use Calcs'!L724)</f>
        <v>0.125</v>
      </c>
      <c r="N724" s="577"/>
      <c r="O724" s="1048">
        <f>SUMIFS('Detailed Fixture Data'!O:O,'Detailed Fixture Data'!C:C,G724,'Detailed Fixture Data'!E:E,I724,'Detailed Fixture Data'!F:F,J724,'Detailed Fixture Data'!L:L,L724)</f>
        <v>0</v>
      </c>
      <c r="P724" s="1049"/>
      <c r="Q724" s="577"/>
      <c r="R724" s="1039"/>
      <c r="S724" s="618"/>
      <c r="T724" s="225"/>
      <c r="U724" s="618"/>
      <c r="V724" s="1045"/>
      <c r="W724" s="1046"/>
    </row>
    <row r="725" spans="3:23" x14ac:dyDescent="0.3">
      <c r="C725" s="576"/>
      <c r="D725" s="494" t="s">
        <v>418</v>
      </c>
      <c r="E725" s="494"/>
      <c r="F725" s="182"/>
      <c r="G725" s="494" t="s">
        <v>418</v>
      </c>
      <c r="H725" s="577"/>
      <c r="I725" s="450" t="s">
        <v>37</v>
      </c>
      <c r="J725" s="577" t="s">
        <v>33</v>
      </c>
      <c r="K725" s="577" t="s">
        <v>6</v>
      </c>
      <c r="L725" s="1047" t="s">
        <v>64</v>
      </c>
      <c r="M725" s="1036">
        <f>SUMIFS('Level of Efficiency Assumptions'!$J:$J,'Level of Efficiency Assumptions'!$D:$D,I725,'Level of Efficiency Assumptions'!$F:$F,J725,'Level of Efficiency Assumptions'!$I:$I,'Water Use Calcs'!L725)</f>
        <v>2</v>
      </c>
      <c r="N725" s="567" t="s">
        <v>78</v>
      </c>
      <c r="O725" s="1048">
        <f>SUMIFS('Detailed Fixture Data'!O:O,'Detailed Fixture Data'!C:C,G725,'Detailed Fixture Data'!E:E,I725,'Detailed Fixture Data'!F:F,J725,'Detailed Fixture Data'!L:L,L725)</f>
        <v>0</v>
      </c>
      <c r="P725" s="1030">
        <f>SUMIFS('Intensity of Use Assumptions'!$J:$J,'Intensity of Use Assumptions'!$D:$D,I725,'Intensity of Use Assumptions'!$G:$G,J725,'Intensity of Use Assumptions'!H:H,K725)</f>
        <v>0.66666666666666663</v>
      </c>
      <c r="Q725" s="567" t="s">
        <v>133</v>
      </c>
      <c r="R725" s="1032">
        <f>(SUMPRODUCT(M725:M727,O725:O727)*P725)</f>
        <v>0</v>
      </c>
      <c r="S725" s="1033">
        <f>IF(R725=0,0,M727*P725)</f>
        <v>0</v>
      </c>
      <c r="T725" s="225" t="str">
        <f>G725&amp;"-"&amp;J725</f>
        <v>Fire and Police Stations-Faucets</v>
      </c>
      <c r="U725" s="1034">
        <f ca="1">IF(ISNA(VLOOKUP(T725,list!$AV$3:$AW$130,2,FALSE)),1,(VLOOKUP(T725,list!$AV$3:$AW$130,2,FALSE)))</f>
        <v>1</v>
      </c>
      <c r="V725" s="1033">
        <f ca="1">R725*U725</f>
        <v>0</v>
      </c>
      <c r="W725" s="1033">
        <f ca="1">S725*U725</f>
        <v>0</v>
      </c>
    </row>
    <row r="726" spans="3:23" x14ac:dyDescent="0.3">
      <c r="C726" s="576"/>
      <c r="D726" s="494" t="s">
        <v>418</v>
      </c>
      <c r="E726" s="494"/>
      <c r="F726" s="182"/>
      <c r="G726" s="494" t="s">
        <v>418</v>
      </c>
      <c r="H726" s="577"/>
      <c r="I726" s="450" t="s">
        <v>37</v>
      </c>
      <c r="J726" s="577" t="s">
        <v>33</v>
      </c>
      <c r="K726" s="577"/>
      <c r="L726" s="1035" t="s">
        <v>65</v>
      </c>
      <c r="M726" s="1036">
        <f>SUMIFS('Level of Efficiency Assumptions'!$J:$J,'Level of Efficiency Assumptions'!$D:$D,I726,'Level of Efficiency Assumptions'!$F:$F,J726,'Level of Efficiency Assumptions'!$I:$I,'Water Use Calcs'!L726)</f>
        <v>1</v>
      </c>
      <c r="N726" s="577"/>
      <c r="O726" s="1048">
        <f>SUMIFS('Detailed Fixture Data'!O:O,'Detailed Fixture Data'!C:C,G726,'Detailed Fixture Data'!E:E,I726,'Detailed Fixture Data'!F:F,J726,'Detailed Fixture Data'!L:L,L726)</f>
        <v>0</v>
      </c>
      <c r="P726" s="1049"/>
      <c r="Q726" s="577"/>
      <c r="R726" s="1039"/>
      <c r="S726" s="521"/>
      <c r="T726" s="225"/>
      <c r="U726" s="521"/>
      <c r="V726" s="1040"/>
      <c r="W726" s="1041"/>
    </row>
    <row r="727" spans="3:23" ht="15" thickBot="1" x14ac:dyDescent="0.35">
      <c r="C727" s="576"/>
      <c r="D727" s="494" t="s">
        <v>418</v>
      </c>
      <c r="E727" s="494"/>
      <c r="F727" s="182"/>
      <c r="G727" s="494" t="s">
        <v>418</v>
      </c>
      <c r="H727" s="577"/>
      <c r="I727" s="451" t="s">
        <v>37</v>
      </c>
      <c r="J727" s="116" t="s">
        <v>33</v>
      </c>
      <c r="K727" s="116"/>
      <c r="L727" s="1042" t="s">
        <v>66</v>
      </c>
      <c r="M727" s="1043">
        <f>SUMIFS('Level of Efficiency Assumptions'!$J:$J,'Level of Efficiency Assumptions'!$D:$D,I727,'Level of Efficiency Assumptions'!$F:$F,J727,'Level of Efficiency Assumptions'!$I:$I,'Water Use Calcs'!L727)</f>
        <v>0.5</v>
      </c>
      <c r="N727" s="577"/>
      <c r="O727" s="1048">
        <f>SUMIFS('Detailed Fixture Data'!O:O,'Detailed Fixture Data'!C:C,G727,'Detailed Fixture Data'!E:E,I727,'Detailed Fixture Data'!F:F,J727,'Detailed Fixture Data'!L:L,L727)</f>
        <v>0</v>
      </c>
      <c r="P727" s="1049"/>
      <c r="Q727" s="577"/>
      <c r="R727" s="1039"/>
      <c r="S727" s="618"/>
      <c r="T727" s="225"/>
      <c r="U727" s="618"/>
      <c r="V727" s="1045"/>
      <c r="W727" s="1046"/>
    </row>
    <row r="728" spans="3:23" x14ac:dyDescent="0.3">
      <c r="C728" s="576"/>
      <c r="D728" s="494" t="s">
        <v>418</v>
      </c>
      <c r="E728" s="494"/>
      <c r="F728" s="182"/>
      <c r="G728" s="494" t="s">
        <v>418</v>
      </c>
      <c r="H728" s="651" t="str">
        <f>I728</f>
        <v>Break rooms</v>
      </c>
      <c r="I728" s="450" t="s">
        <v>5</v>
      </c>
      <c r="J728" s="577" t="s">
        <v>33</v>
      </c>
      <c r="K728" s="577" t="s">
        <v>6</v>
      </c>
      <c r="L728" s="1047" t="s">
        <v>64</v>
      </c>
      <c r="M728" s="1036">
        <f>SUMIFS('Level of Efficiency Assumptions'!$J:$J,'Level of Efficiency Assumptions'!$D:$D,I728,'Level of Efficiency Assumptions'!$F:$F,J728,'Level of Efficiency Assumptions'!$I:$I,'Water Use Calcs'!L728)</f>
        <v>2</v>
      </c>
      <c r="N728" s="567" t="s">
        <v>78</v>
      </c>
      <c r="O728" s="1048">
        <f>SUMIFS('Detailed Fixture Data'!O:O,'Detailed Fixture Data'!C:C,G728,'Detailed Fixture Data'!E:E,I728,'Detailed Fixture Data'!F:F,J728,'Detailed Fixture Data'!L:L,L728)</f>
        <v>0</v>
      </c>
      <c r="P728" s="1030">
        <f>SUMIFS('Intensity of Use Assumptions'!$J:$J,'Intensity of Use Assumptions'!$D:$D,I728,'Intensity of Use Assumptions'!$G:$G,J728,'Intensity of Use Assumptions'!H:H,K728)</f>
        <v>0.16666666666666666</v>
      </c>
      <c r="Q728" s="567" t="s">
        <v>133</v>
      </c>
      <c r="R728" s="1032">
        <f>(SUMPRODUCT(M728:M730,O728:O730)*P728)</f>
        <v>0</v>
      </c>
      <c r="S728" s="1033">
        <f>IF(R728=0,0,M730*P728)</f>
        <v>0</v>
      </c>
      <c r="T728" s="225" t="str">
        <f>G728&amp;"-"&amp;J728</f>
        <v>Fire and Police Stations-Faucets</v>
      </c>
      <c r="U728" s="1034">
        <f ca="1">IF(ISNA(VLOOKUP(T728,list!$AV$3:$AW$130,2,FALSE)),1,(VLOOKUP(T728,list!$AV$3:$AW$130,2,FALSE)))</f>
        <v>1</v>
      </c>
      <c r="V728" s="1033">
        <f ca="1">R728*U728</f>
        <v>0</v>
      </c>
      <c r="W728" s="1033">
        <f ca="1">S728*U728</f>
        <v>0</v>
      </c>
    </row>
    <row r="729" spans="3:23" x14ac:dyDescent="0.3">
      <c r="C729" s="576"/>
      <c r="D729" s="494" t="s">
        <v>418</v>
      </c>
      <c r="E729" s="494"/>
      <c r="F729" s="182"/>
      <c r="G729" s="494" t="s">
        <v>418</v>
      </c>
      <c r="H729" s="577"/>
      <c r="I729" s="450" t="s">
        <v>5</v>
      </c>
      <c r="J729" s="577" t="s">
        <v>33</v>
      </c>
      <c r="K729" s="577"/>
      <c r="L729" s="1035" t="s">
        <v>65</v>
      </c>
      <c r="M729" s="1036">
        <f>SUMIFS('Level of Efficiency Assumptions'!$J:$J,'Level of Efficiency Assumptions'!$D:$D,I729,'Level of Efficiency Assumptions'!$F:$F,J729,'Level of Efficiency Assumptions'!$I:$I,'Water Use Calcs'!L729)</f>
        <v>1</v>
      </c>
      <c r="N729" s="577"/>
      <c r="O729" s="1048">
        <f>SUMIFS('Detailed Fixture Data'!O:O,'Detailed Fixture Data'!C:C,G729,'Detailed Fixture Data'!E:E,I729,'Detailed Fixture Data'!F:F,J729,'Detailed Fixture Data'!L:L,L729)</f>
        <v>0</v>
      </c>
      <c r="P729" s="1049"/>
      <c r="Q729" s="577"/>
      <c r="R729" s="1039"/>
      <c r="S729" s="521"/>
      <c r="T729" s="225"/>
      <c r="U729" s="521"/>
      <c r="V729" s="1040"/>
      <c r="W729" s="1041"/>
    </row>
    <row r="730" spans="3:23" ht="15" thickBot="1" x14ac:dyDescent="0.35">
      <c r="C730" s="576"/>
      <c r="D730" s="494" t="s">
        <v>418</v>
      </c>
      <c r="E730" s="494"/>
      <c r="F730" s="182"/>
      <c r="G730" s="494" t="s">
        <v>418</v>
      </c>
      <c r="H730" s="577"/>
      <c r="I730" s="451" t="s">
        <v>5</v>
      </c>
      <c r="J730" s="116" t="s">
        <v>33</v>
      </c>
      <c r="K730" s="116"/>
      <c r="L730" s="1042" t="s">
        <v>66</v>
      </c>
      <c r="M730" s="1043">
        <f>SUMIFS('Level of Efficiency Assumptions'!$J:$J,'Level of Efficiency Assumptions'!$D:$D,I730,'Level of Efficiency Assumptions'!$F:$F,J730,'Level of Efficiency Assumptions'!$I:$I,'Water Use Calcs'!L730)</f>
        <v>0.5</v>
      </c>
      <c r="N730" s="577"/>
      <c r="O730" s="1048">
        <f>SUMIFS('Detailed Fixture Data'!O:O,'Detailed Fixture Data'!C:C,G730,'Detailed Fixture Data'!E:E,I730,'Detailed Fixture Data'!F:F,J730,'Detailed Fixture Data'!L:L,L730)</f>
        <v>0</v>
      </c>
      <c r="P730" s="1049"/>
      <c r="Q730" s="577"/>
      <c r="R730" s="1039"/>
      <c r="S730" s="618"/>
      <c r="T730" s="225"/>
      <c r="U730" s="618"/>
      <c r="V730" s="1045"/>
      <c r="W730" s="1046"/>
    </row>
    <row r="731" spans="3:23" x14ac:dyDescent="0.3">
      <c r="C731" s="576"/>
      <c r="D731" s="494" t="s">
        <v>418</v>
      </c>
      <c r="E731" s="494"/>
      <c r="F731" s="182"/>
      <c r="G731" s="494" t="s">
        <v>418</v>
      </c>
      <c r="H731" s="651" t="str">
        <f>I731</f>
        <v>Landscaping</v>
      </c>
      <c r="I731" s="450" t="s">
        <v>39</v>
      </c>
      <c r="J731" s="577" t="s">
        <v>42</v>
      </c>
      <c r="K731" s="577" t="s">
        <v>32</v>
      </c>
      <c r="L731" s="1047" t="s">
        <v>64</v>
      </c>
      <c r="M731" s="1036">
        <f>SUMIFS('Level of Efficiency Assumptions'!$J:$J,'Level of Efficiency Assumptions'!$D:$D,I731,'Level of Efficiency Assumptions'!$F:$F,J731,'Level of Efficiency Assumptions'!$I:$I,'Water Use Calcs'!L731)</f>
        <v>28.6</v>
      </c>
      <c r="N731" s="567" t="s">
        <v>816</v>
      </c>
      <c r="O731" s="1048">
        <f>SUMIFS('Detailed Fixture Data'!O:O,'Detailed Fixture Data'!C:C,G731,'Detailed Fixture Data'!E:E,I731,'Detailed Fixture Data'!F:F,J731,'Detailed Fixture Data'!L:L,L731)</f>
        <v>0</v>
      </c>
      <c r="P731" s="1030">
        <f>SUMIFS('Intensity of Use Assumptions'!$J:$J,'Intensity of Use Assumptions'!$D:$D,I731,'Intensity of Use Assumptions'!$G:$G,J731,'Intensity of Use Assumptions'!H:H,K731,'Intensity of Use Assumptions'!F:F,D731)</f>
        <v>2.7397260273972603E-3</v>
      </c>
      <c r="Q731" s="567" t="s">
        <v>815</v>
      </c>
      <c r="R731" s="1032">
        <f>(SUMPRODUCT(M731:M733,O731:O733)*P731)</f>
        <v>0</v>
      </c>
      <c r="S731" s="1033">
        <f>IF(R731=0,0,M733*P731)</f>
        <v>0</v>
      </c>
      <c r="T731" s="225" t="str">
        <f>G731&amp;"-"&amp;J731</f>
        <v>Fire and Police Stations-Outdoor irrigation</v>
      </c>
      <c r="U731" s="1034">
        <f ca="1">IF(ISNA(VLOOKUP(T731,list!$AV$3:$AW$130,2,FALSE)),1,(VLOOKUP(T731,list!$AV$3:$AW$130,2,FALSE)))</f>
        <v>1</v>
      </c>
      <c r="V731" s="1033">
        <f ca="1">R731*U731</f>
        <v>0</v>
      </c>
      <c r="W731" s="1033">
        <f ca="1">S731*U731</f>
        <v>0</v>
      </c>
    </row>
    <row r="732" spans="3:23" x14ac:dyDescent="0.3">
      <c r="C732" s="576"/>
      <c r="D732" s="494" t="s">
        <v>418</v>
      </c>
      <c r="E732" s="494"/>
      <c r="F732" s="182"/>
      <c r="G732" s="494" t="s">
        <v>418</v>
      </c>
      <c r="H732" s="577"/>
      <c r="I732" s="450" t="s">
        <v>39</v>
      </c>
      <c r="J732" s="577" t="s">
        <v>42</v>
      </c>
      <c r="K732" s="577"/>
      <c r="L732" s="1035" t="s">
        <v>65</v>
      </c>
      <c r="M732" s="1036">
        <f>SUMIFS('Level of Efficiency Assumptions'!$J:$J,'Level of Efficiency Assumptions'!$D:$D,I732,'Level of Efficiency Assumptions'!$F:$F,J732,'Level of Efficiency Assumptions'!$I:$I,'Water Use Calcs'!L732)</f>
        <v>13.980821518350929</v>
      </c>
      <c r="N732" s="577"/>
      <c r="O732" s="1048">
        <f>SUMIFS('Detailed Fixture Data'!O:O,'Detailed Fixture Data'!C:C,G732,'Detailed Fixture Data'!E:E,I732,'Detailed Fixture Data'!F:F,J732,'Detailed Fixture Data'!L:L,L732)</f>
        <v>0</v>
      </c>
      <c r="P732" s="1049"/>
      <c r="Q732" s="577"/>
      <c r="R732" s="1039"/>
      <c r="S732" s="521"/>
      <c r="T732" s="225"/>
      <c r="U732" s="521"/>
      <c r="V732" s="1040"/>
      <c r="W732" s="1041"/>
    </row>
    <row r="733" spans="3:23" ht="15" thickBot="1" x14ac:dyDescent="0.35">
      <c r="C733" s="576"/>
      <c r="D733" s="494" t="s">
        <v>418</v>
      </c>
      <c r="E733" s="494"/>
      <c r="F733" s="182"/>
      <c r="G733" s="494" t="s">
        <v>418</v>
      </c>
      <c r="H733" s="577"/>
      <c r="I733" s="450" t="s">
        <v>39</v>
      </c>
      <c r="J733" s="116" t="s">
        <v>42</v>
      </c>
      <c r="K733" s="116"/>
      <c r="L733" s="1042" t="s">
        <v>66</v>
      </c>
      <c r="M733" s="1043">
        <f>SUMIFS('Level of Efficiency Assumptions'!$J:$J,'Level of Efficiency Assumptions'!$D:$D,I733,'Level of Efficiency Assumptions'!$F:$F,J733,'Level of Efficiency Assumptions'!$I:$I,'Water Use Calcs'!L733)</f>
        <v>0.59137254901960778</v>
      </c>
      <c r="N733" s="577"/>
      <c r="O733" s="1048">
        <f>SUMIFS('Detailed Fixture Data'!O:O,'Detailed Fixture Data'!C:C,G733,'Detailed Fixture Data'!E:E,I733,'Detailed Fixture Data'!F:F,J733,'Detailed Fixture Data'!L:L,L733)</f>
        <v>0</v>
      </c>
      <c r="P733" s="1049"/>
      <c r="Q733" s="577"/>
      <c r="R733" s="1039"/>
      <c r="S733" s="618"/>
      <c r="T733" s="225"/>
      <c r="U733" s="618"/>
      <c r="V733" s="1045"/>
      <c r="W733" s="1046"/>
    </row>
    <row r="734" spans="3:23" x14ac:dyDescent="0.3">
      <c r="C734" s="576"/>
      <c r="D734" s="494" t="s">
        <v>418</v>
      </c>
      <c r="E734" s="494"/>
      <c r="F734" s="182"/>
      <c r="G734" s="494" t="s">
        <v>418</v>
      </c>
      <c r="H734" s="577"/>
      <c r="I734" s="450" t="s">
        <v>43</v>
      </c>
      <c r="J734" s="577" t="s">
        <v>9</v>
      </c>
      <c r="K734" s="577" t="s">
        <v>6</v>
      </c>
      <c r="L734" s="1047" t="s">
        <v>64</v>
      </c>
      <c r="M734" s="1036">
        <f>SUMIFS('Level of Efficiency Assumptions'!$J:$J,'Level of Efficiency Assumptions'!$D:$D,I734,'Level of Efficiency Assumptions'!$F:$F,J734,'Level of Efficiency Assumptions'!$I:$I,'Water Use Calcs'!L734)</f>
        <v>80</v>
      </c>
      <c r="N734" s="567" t="s">
        <v>588</v>
      </c>
      <c r="O734" s="1048">
        <f>SUMIFS('Detailed Fixture Data'!O:O,'Detailed Fixture Data'!C:C,G734,'Detailed Fixture Data'!E:E,I734,'Detailed Fixture Data'!F:F,J734,'Detailed Fixture Data'!L:L,L734)</f>
        <v>0</v>
      </c>
      <c r="P734" s="1030">
        <f>SUMIFS('Intensity of Use Assumptions'!$J:$J,'Intensity of Use Assumptions'!$D:$D,I734,'Intensity of Use Assumptions'!$G:$G,J734,'Intensity of Use Assumptions'!H:H,K734)</f>
        <v>0.02</v>
      </c>
      <c r="Q734" s="567" t="s">
        <v>67</v>
      </c>
      <c r="R734" s="1032">
        <f>(SUMPRODUCT(M734:M736,O734:O736)*P734)</f>
        <v>0</v>
      </c>
      <c r="S734" s="1033">
        <f>IF(R734=0,0,M736*P734)</f>
        <v>0</v>
      </c>
      <c r="T734" s="225" t="str">
        <f>G734&amp;"-"&amp;J734</f>
        <v>Fire and Police Stations-Vehicle washing</v>
      </c>
      <c r="U734" s="1034">
        <f ca="1">IF(ISNA(VLOOKUP(T734,list!$AV$3:$AW$130,2,FALSE)),1,(VLOOKUP(T734,list!$AV$3:$AW$130,2,FALSE)))</f>
        <v>1</v>
      </c>
      <c r="V734" s="1033">
        <f ca="1">R734*U734</f>
        <v>0</v>
      </c>
      <c r="W734" s="1033">
        <f ca="1">S734*U734</f>
        <v>0</v>
      </c>
    </row>
    <row r="735" spans="3:23" x14ac:dyDescent="0.3">
      <c r="C735" s="576"/>
      <c r="D735" s="494" t="s">
        <v>418</v>
      </c>
      <c r="E735" s="494"/>
      <c r="F735" s="182"/>
      <c r="G735" s="494" t="s">
        <v>418</v>
      </c>
      <c r="H735" s="577"/>
      <c r="I735" s="450" t="s">
        <v>43</v>
      </c>
      <c r="J735" s="577" t="s">
        <v>9</v>
      </c>
      <c r="K735" s="577"/>
      <c r="L735" s="1035" t="s">
        <v>65</v>
      </c>
      <c r="M735" s="1036">
        <f>SUMIFS('Level of Efficiency Assumptions'!$J:$J,'Level of Efficiency Assumptions'!$D:$D,I735,'Level of Efficiency Assumptions'!$F:$F,J735,'Level of Efficiency Assumptions'!$I:$I,'Water Use Calcs'!L735)</f>
        <v>40</v>
      </c>
      <c r="N735" s="577"/>
      <c r="O735" s="1048">
        <f>SUMIFS('Detailed Fixture Data'!O:O,'Detailed Fixture Data'!C:C,G735,'Detailed Fixture Data'!E:E,I735,'Detailed Fixture Data'!F:F,J735,'Detailed Fixture Data'!L:L,L735)</f>
        <v>0</v>
      </c>
      <c r="P735" s="1049"/>
      <c r="Q735" s="577"/>
      <c r="R735" s="1039"/>
      <c r="S735" s="521"/>
      <c r="T735" s="225"/>
      <c r="U735" s="521"/>
      <c r="V735" s="1040"/>
      <c r="W735" s="1041"/>
    </row>
    <row r="736" spans="3:23" ht="15" thickBot="1" x14ac:dyDescent="0.35">
      <c r="C736" s="576"/>
      <c r="D736" s="494" t="s">
        <v>418</v>
      </c>
      <c r="E736" s="494"/>
      <c r="F736" s="182"/>
      <c r="G736" s="494" t="s">
        <v>418</v>
      </c>
      <c r="H736" s="577"/>
      <c r="I736" s="450" t="s">
        <v>43</v>
      </c>
      <c r="J736" s="116" t="s">
        <v>9</v>
      </c>
      <c r="K736" s="116"/>
      <c r="L736" s="1042" t="s">
        <v>66</v>
      </c>
      <c r="M736" s="1043">
        <f>SUMIFS('Level of Efficiency Assumptions'!$J:$J,'Level of Efficiency Assumptions'!$D:$D,I736,'Level of Efficiency Assumptions'!$F:$F,J736,'Level of Efficiency Assumptions'!$I:$I,'Water Use Calcs'!L736)</f>
        <v>30</v>
      </c>
      <c r="N736" s="577"/>
      <c r="O736" s="1048">
        <f>SUMIFS('Detailed Fixture Data'!O:O,'Detailed Fixture Data'!C:C,G736,'Detailed Fixture Data'!E:E,I736,'Detailed Fixture Data'!F:F,J736,'Detailed Fixture Data'!L:L,L736)</f>
        <v>0</v>
      </c>
      <c r="P736" s="1049"/>
      <c r="Q736" s="577"/>
      <c r="R736" s="1039"/>
      <c r="S736" s="618"/>
      <c r="T736" s="225"/>
      <c r="U736" s="618"/>
      <c r="V736" s="1045"/>
      <c r="W736" s="1046"/>
    </row>
    <row r="737" spans="3:23" x14ac:dyDescent="0.3">
      <c r="C737" s="576"/>
      <c r="D737" s="494" t="s">
        <v>418</v>
      </c>
      <c r="E737" s="494"/>
      <c r="F737" s="182"/>
      <c r="G737" s="494" t="s">
        <v>418</v>
      </c>
      <c r="H737" s="577"/>
      <c r="I737" s="450" t="s">
        <v>43</v>
      </c>
      <c r="J737" s="577" t="s">
        <v>14</v>
      </c>
      <c r="K737" s="577" t="s">
        <v>15</v>
      </c>
      <c r="L737" s="1047" t="s">
        <v>64</v>
      </c>
      <c r="M737" s="1036">
        <f>SUMIFS('Level of Efficiency Assumptions'!$J:$J,'Level of Efficiency Assumptions'!$D:$D,I737,'Level of Efficiency Assumptions'!$F:$F,J737,'Level of Efficiency Assumptions'!$I:$I,'Water Use Calcs'!L737)</f>
        <v>10</v>
      </c>
      <c r="N737" s="567" t="s">
        <v>588</v>
      </c>
      <c r="O737" s="1048">
        <f>SUMIFS('Detailed Fixture Data'!O:O,'Detailed Fixture Data'!C:C,G737,'Detailed Fixture Data'!E:E,I737,'Detailed Fixture Data'!F:F,J737,'Detailed Fixture Data'!L:L,L737)</f>
        <v>0</v>
      </c>
      <c r="P737" s="1030">
        <f>SUMIFS('Intensity of Use Assumptions'!$J:$J,'Intensity of Use Assumptions'!$D:$D,I737,'Intensity of Use Assumptions'!$G:$G,J737,'Intensity of Use Assumptions'!H:H,K737)</f>
        <v>1</v>
      </c>
      <c r="Q737" s="567" t="s">
        <v>67</v>
      </c>
      <c r="R737" s="1032">
        <f>(SUMPRODUCT(M737:M739,O737:O739)*P737)</f>
        <v>0</v>
      </c>
      <c r="S737" s="1033">
        <f>IF(R737=0,0,M739*P737)</f>
        <v>0</v>
      </c>
      <c r="T737" s="225" t="str">
        <f>G737&amp;"-"&amp;J737</f>
        <v>Fire and Police Stations-Training</v>
      </c>
      <c r="U737" s="1034">
        <f ca="1">IF(ISNA(VLOOKUP(T737,list!$AV$3:$AW$130,2,FALSE)),1,(VLOOKUP(T737,list!$AV$3:$AW$130,2,FALSE)))</f>
        <v>1</v>
      </c>
      <c r="V737" s="1033">
        <f ca="1">R737*U737</f>
        <v>0</v>
      </c>
      <c r="W737" s="1033">
        <f ca="1">S737*U737</f>
        <v>0</v>
      </c>
    </row>
    <row r="738" spans="3:23" x14ac:dyDescent="0.3">
      <c r="C738" s="576"/>
      <c r="D738" s="494" t="s">
        <v>418</v>
      </c>
      <c r="E738" s="494"/>
      <c r="F738" s="182"/>
      <c r="G738" s="494" t="s">
        <v>418</v>
      </c>
      <c r="H738" s="577"/>
      <c r="I738" s="450" t="s">
        <v>43</v>
      </c>
      <c r="J738" s="577" t="s">
        <v>14</v>
      </c>
      <c r="K738" s="577"/>
      <c r="L738" s="1035" t="s">
        <v>65</v>
      </c>
      <c r="M738" s="1036">
        <f>SUMIFS('Level of Efficiency Assumptions'!$J:$J,'Level of Efficiency Assumptions'!$D:$D,I738,'Level of Efficiency Assumptions'!$F:$F,J738,'Level of Efficiency Assumptions'!$I:$I,'Water Use Calcs'!L738)</f>
        <v>7.5</v>
      </c>
      <c r="N738" s="577"/>
      <c r="O738" s="1048">
        <f>SUMIFS('Detailed Fixture Data'!O:O,'Detailed Fixture Data'!C:C,G738,'Detailed Fixture Data'!E:E,I738,'Detailed Fixture Data'!F:F,J738,'Detailed Fixture Data'!L:L,L738)</f>
        <v>0</v>
      </c>
      <c r="P738" s="1049"/>
      <c r="Q738" s="577"/>
      <c r="R738" s="1039"/>
      <c r="S738" s="521"/>
      <c r="T738" s="225"/>
      <c r="U738" s="521"/>
      <c r="V738" s="1040"/>
      <c r="W738" s="1041"/>
    </row>
    <row r="739" spans="3:23" ht="15" thickBot="1" x14ac:dyDescent="0.35">
      <c r="C739" s="576"/>
      <c r="D739" s="494" t="s">
        <v>418</v>
      </c>
      <c r="E739" s="494"/>
      <c r="F739" s="182"/>
      <c r="G739" s="494" t="s">
        <v>418</v>
      </c>
      <c r="H739" s="577"/>
      <c r="I739" s="451" t="s">
        <v>43</v>
      </c>
      <c r="J739" s="116" t="s">
        <v>14</v>
      </c>
      <c r="K739" s="116"/>
      <c r="L739" s="1042" t="s">
        <v>66</v>
      </c>
      <c r="M739" s="1043">
        <f>SUMIFS('Level of Efficiency Assumptions'!$J:$J,'Level of Efficiency Assumptions'!$D:$D,I739,'Level of Efficiency Assumptions'!$F:$F,J739,'Level of Efficiency Assumptions'!$I:$I,'Water Use Calcs'!L739)</f>
        <v>5</v>
      </c>
      <c r="N739" s="577"/>
      <c r="O739" s="1048">
        <f>SUMIFS('Detailed Fixture Data'!O:O,'Detailed Fixture Data'!C:C,G739,'Detailed Fixture Data'!E:E,I739,'Detailed Fixture Data'!F:F,J739,'Detailed Fixture Data'!L:L,L739)</f>
        <v>0</v>
      </c>
      <c r="P739" s="1049"/>
      <c r="Q739" s="577"/>
      <c r="R739" s="1039"/>
      <c r="S739" s="618"/>
      <c r="T739" s="225"/>
      <c r="U739" s="618"/>
      <c r="V739" s="1045"/>
      <c r="W739" s="1046"/>
    </row>
    <row r="740" spans="3:23" x14ac:dyDescent="0.3">
      <c r="C740" s="576"/>
      <c r="D740" s="494" t="s">
        <v>418</v>
      </c>
      <c r="E740" s="494"/>
      <c r="F740" s="182"/>
      <c r="G740" s="494" t="s">
        <v>418</v>
      </c>
      <c r="H740" s="651" t="str">
        <f>I740</f>
        <v>Other</v>
      </c>
      <c r="I740" s="450" t="s">
        <v>8</v>
      </c>
      <c r="J740" s="577" t="s">
        <v>52</v>
      </c>
      <c r="K740" s="387" t="s">
        <v>362</v>
      </c>
      <c r="L740" s="1047" t="s">
        <v>64</v>
      </c>
      <c r="M740" s="1036">
        <f>SUMIFS('Level of Efficiency Assumptions'!$J:$J,'Level of Efficiency Assumptions'!$D:$D,I740,'Level of Efficiency Assumptions'!$F:$F,J740,'Level of Efficiency Assumptions'!$I:$I,'Water Use Calcs'!L740)</f>
        <v>10</v>
      </c>
      <c r="N740" s="567" t="s">
        <v>660</v>
      </c>
      <c r="O740" s="1048">
        <f>SUMIFS('Detailed Fixture Data'!O:O,'Detailed Fixture Data'!C:C,G740,'Detailed Fixture Data'!E:E,I740,'Detailed Fixture Data'!F:F,J740,'Detailed Fixture Data'!L:L,L740)</f>
        <v>0</v>
      </c>
      <c r="P740" s="1030">
        <f>SUMIFS('Intensity of Use Assumptions'!$J:$J,'Intensity of Use Assumptions'!$D:$D,I740,'Intensity of Use Assumptions'!$G:$G,J740,'Intensity of Use Assumptions'!H:H,K740)</f>
        <v>1</v>
      </c>
      <c r="Q740" s="567" t="s">
        <v>67</v>
      </c>
      <c r="R740" s="1032">
        <f>(SUMPRODUCT(M740:M742,O740:O742)*P740)</f>
        <v>0</v>
      </c>
      <c r="S740" s="1033">
        <f>IF(R740=0,0,M742*P740)</f>
        <v>0</v>
      </c>
      <c r="T740" s="225" t="str">
        <f>G740&amp;"-"&amp;J740</f>
        <v>Fire and Police Stations-Other 1</v>
      </c>
      <c r="U740" s="1034">
        <f ca="1">IF(ISNA(VLOOKUP(T740,list!$AV$3:$AW$130,2,FALSE)),1,(VLOOKUP(T740,list!$AV$3:$AW$130,2,FALSE)))</f>
        <v>1</v>
      </c>
      <c r="V740" s="1033">
        <f ca="1">R740*U740</f>
        <v>0</v>
      </c>
      <c r="W740" s="1033">
        <f ca="1">S740*U740</f>
        <v>0</v>
      </c>
    </row>
    <row r="741" spans="3:23" x14ac:dyDescent="0.3">
      <c r="C741" s="576"/>
      <c r="D741" s="494" t="s">
        <v>418</v>
      </c>
      <c r="E741" s="494"/>
      <c r="F741" s="182"/>
      <c r="G741" s="494" t="s">
        <v>418</v>
      </c>
      <c r="H741" s="577"/>
      <c r="I741" s="450" t="s">
        <v>8</v>
      </c>
      <c r="J741" s="577" t="s">
        <v>52</v>
      </c>
      <c r="K741" s="382"/>
      <c r="L741" s="1035" t="s">
        <v>65</v>
      </c>
      <c r="M741" s="1036">
        <f>SUMIFS('Level of Efficiency Assumptions'!$J:$J,'Level of Efficiency Assumptions'!$D:$D,I741,'Level of Efficiency Assumptions'!$F:$F,J741,'Level of Efficiency Assumptions'!$I:$I,'Water Use Calcs'!L741)</f>
        <v>7.5</v>
      </c>
      <c r="N741" s="577"/>
      <c r="O741" s="1048">
        <f>SUMIFS('Detailed Fixture Data'!O:O,'Detailed Fixture Data'!C:C,G741,'Detailed Fixture Data'!E:E,I741,'Detailed Fixture Data'!F:F,J741,'Detailed Fixture Data'!L:L,L741)</f>
        <v>0</v>
      </c>
      <c r="P741" s="1049"/>
      <c r="Q741" s="577"/>
      <c r="R741" s="1039"/>
      <c r="S741" s="521"/>
      <c r="T741" s="225"/>
      <c r="U741" s="521"/>
      <c r="V741" s="1040"/>
      <c r="W741" s="1041"/>
    </row>
    <row r="742" spans="3:23" ht="15" thickBot="1" x14ac:dyDescent="0.35">
      <c r="C742" s="576"/>
      <c r="D742" s="494" t="s">
        <v>418</v>
      </c>
      <c r="E742" s="494"/>
      <c r="F742" s="182"/>
      <c r="G742" s="494" t="s">
        <v>418</v>
      </c>
      <c r="H742" s="577"/>
      <c r="I742" s="450" t="s">
        <v>8</v>
      </c>
      <c r="J742" s="116" t="s">
        <v>52</v>
      </c>
      <c r="K742" s="382"/>
      <c r="L742" s="1042" t="s">
        <v>66</v>
      </c>
      <c r="M742" s="1043">
        <f>SUMIFS('Level of Efficiency Assumptions'!$J:$J,'Level of Efficiency Assumptions'!$D:$D,I742,'Level of Efficiency Assumptions'!$F:$F,J742,'Level of Efficiency Assumptions'!$I:$I,'Water Use Calcs'!L742)</f>
        <v>5</v>
      </c>
      <c r="N742" s="577"/>
      <c r="O742" s="1048">
        <f>SUMIFS('Detailed Fixture Data'!O:O,'Detailed Fixture Data'!C:C,G742,'Detailed Fixture Data'!E:E,I742,'Detailed Fixture Data'!F:F,J742,'Detailed Fixture Data'!L:L,L742)</f>
        <v>0</v>
      </c>
      <c r="P742" s="1049"/>
      <c r="Q742" s="577"/>
      <c r="R742" s="1039"/>
      <c r="S742" s="618"/>
      <c r="T742" s="225"/>
      <c r="U742" s="618"/>
      <c r="V742" s="1045"/>
      <c r="W742" s="1046"/>
    </row>
    <row r="743" spans="3:23" x14ac:dyDescent="0.3">
      <c r="C743" s="576"/>
      <c r="D743" s="494" t="s">
        <v>418</v>
      </c>
      <c r="E743" s="494"/>
      <c r="F743" s="182"/>
      <c r="G743" s="494" t="s">
        <v>418</v>
      </c>
      <c r="H743" s="577"/>
      <c r="I743" s="450" t="s">
        <v>8</v>
      </c>
      <c r="J743" s="577" t="s">
        <v>53</v>
      </c>
      <c r="K743" s="1055" t="s">
        <v>363</v>
      </c>
      <c r="L743" s="1047" t="s">
        <v>64</v>
      </c>
      <c r="M743" s="1036">
        <f>SUMIFS('Level of Efficiency Assumptions'!$J:$J,'Level of Efficiency Assumptions'!$D:$D,I743,'Level of Efficiency Assumptions'!$F:$F,J743,'Level of Efficiency Assumptions'!$I:$I,'Water Use Calcs'!L743)</f>
        <v>10</v>
      </c>
      <c r="N743" s="567" t="s">
        <v>660</v>
      </c>
      <c r="O743" s="1048">
        <f>SUMIFS('Detailed Fixture Data'!O:O,'Detailed Fixture Data'!C:C,G743,'Detailed Fixture Data'!E:E,I743,'Detailed Fixture Data'!F:F,J743,'Detailed Fixture Data'!L:L,L743)</f>
        <v>0</v>
      </c>
      <c r="P743" s="1030">
        <f>SUMIFS('Intensity of Use Assumptions'!$J:$J,'Intensity of Use Assumptions'!$D:$D,I743,'Intensity of Use Assumptions'!$G:$G,J743,'Intensity of Use Assumptions'!H:H,K743)</f>
        <v>1</v>
      </c>
      <c r="Q743" s="567" t="s">
        <v>67</v>
      </c>
      <c r="R743" s="1032">
        <f>(SUMPRODUCT(M743:M745,O743:O745)*P743)</f>
        <v>0</v>
      </c>
      <c r="S743" s="1033">
        <f>IF(R743=0,0,M745*P743)</f>
        <v>0</v>
      </c>
      <c r="T743" s="225" t="str">
        <f>G743&amp;"-"&amp;J743</f>
        <v>Fire and Police Stations-Other 2</v>
      </c>
      <c r="U743" s="1034">
        <f ca="1">IF(ISNA(VLOOKUP(T743,list!$AV$3:$AW$130,2,FALSE)),1,(VLOOKUP(T743,list!$AV$3:$AW$130,2,FALSE)))</f>
        <v>1</v>
      </c>
      <c r="V743" s="1033">
        <f ca="1">R743*U743</f>
        <v>0</v>
      </c>
      <c r="W743" s="1033">
        <f ca="1">S743*U743</f>
        <v>0</v>
      </c>
    </row>
    <row r="744" spans="3:23" x14ac:dyDescent="0.3">
      <c r="C744" s="576"/>
      <c r="D744" s="494" t="s">
        <v>418</v>
      </c>
      <c r="E744" s="494"/>
      <c r="F744" s="182"/>
      <c r="G744" s="494" t="s">
        <v>418</v>
      </c>
      <c r="H744" s="577"/>
      <c r="I744" s="450" t="s">
        <v>8</v>
      </c>
      <c r="J744" s="577" t="s">
        <v>53</v>
      </c>
      <c r="K744" s="577"/>
      <c r="L744" s="1035" t="s">
        <v>65</v>
      </c>
      <c r="M744" s="1036">
        <f>SUMIFS('Level of Efficiency Assumptions'!$J:$J,'Level of Efficiency Assumptions'!$D:$D,I744,'Level of Efficiency Assumptions'!$F:$F,J744,'Level of Efficiency Assumptions'!$I:$I,'Water Use Calcs'!L744)</f>
        <v>7.5</v>
      </c>
      <c r="N744" s="577"/>
      <c r="O744" s="1048">
        <f>SUMIFS('Detailed Fixture Data'!O:O,'Detailed Fixture Data'!C:C,G744,'Detailed Fixture Data'!E:E,I744,'Detailed Fixture Data'!F:F,J744,'Detailed Fixture Data'!L:L,L744)</f>
        <v>0</v>
      </c>
      <c r="P744" s="1049"/>
      <c r="Q744" s="577"/>
      <c r="R744" s="1039"/>
      <c r="S744" s="521"/>
      <c r="T744" s="225"/>
      <c r="U744" s="521"/>
      <c r="V744" s="1040"/>
      <c r="W744" s="1041"/>
    </row>
    <row r="745" spans="3:23" ht="15" thickBot="1" x14ac:dyDescent="0.35">
      <c r="C745" s="576"/>
      <c r="D745" s="494" t="s">
        <v>418</v>
      </c>
      <c r="E745" s="494"/>
      <c r="F745" s="182"/>
      <c r="G745" s="494" t="s">
        <v>418</v>
      </c>
      <c r="H745" s="577"/>
      <c r="I745" s="450" t="s">
        <v>8</v>
      </c>
      <c r="J745" s="116" t="s">
        <v>53</v>
      </c>
      <c r="K745" s="116"/>
      <c r="L745" s="1042" t="s">
        <v>66</v>
      </c>
      <c r="M745" s="1043">
        <f>SUMIFS('Level of Efficiency Assumptions'!$J:$J,'Level of Efficiency Assumptions'!$D:$D,I745,'Level of Efficiency Assumptions'!$F:$F,J745,'Level of Efficiency Assumptions'!$I:$I,'Water Use Calcs'!L745)</f>
        <v>5</v>
      </c>
      <c r="N745" s="577"/>
      <c r="O745" s="1048">
        <f>SUMIFS('Detailed Fixture Data'!O:O,'Detailed Fixture Data'!C:C,G745,'Detailed Fixture Data'!E:E,I745,'Detailed Fixture Data'!F:F,J745,'Detailed Fixture Data'!L:L,L745)</f>
        <v>0</v>
      </c>
      <c r="P745" s="1049"/>
      <c r="Q745" s="577"/>
      <c r="R745" s="1039"/>
      <c r="S745" s="618"/>
      <c r="T745" s="225"/>
      <c r="U745" s="618"/>
      <c r="V745" s="1045"/>
      <c r="W745" s="1046"/>
    </row>
    <row r="746" spans="3:23" x14ac:dyDescent="0.3">
      <c r="C746" s="576"/>
      <c r="D746" s="494" t="s">
        <v>418</v>
      </c>
      <c r="E746" s="494"/>
      <c r="F746" s="182"/>
      <c r="G746" s="494" t="s">
        <v>418</v>
      </c>
      <c r="H746" s="577"/>
      <c r="I746" s="450" t="s">
        <v>8</v>
      </c>
      <c r="J746" s="577" t="s">
        <v>54</v>
      </c>
      <c r="K746" s="379" t="s">
        <v>364</v>
      </c>
      <c r="L746" s="1047" t="s">
        <v>64</v>
      </c>
      <c r="M746" s="1036">
        <f>SUMIFS('Level of Efficiency Assumptions'!$J:$J,'Level of Efficiency Assumptions'!$D:$D,I746,'Level of Efficiency Assumptions'!$F:$F,J746,'Level of Efficiency Assumptions'!$I:$I,'Water Use Calcs'!L746)</f>
        <v>10</v>
      </c>
      <c r="N746" s="567" t="s">
        <v>660</v>
      </c>
      <c r="O746" s="1048">
        <f>SUMIFS('Detailed Fixture Data'!O:O,'Detailed Fixture Data'!C:C,G746,'Detailed Fixture Data'!E:E,I746,'Detailed Fixture Data'!F:F,J746,'Detailed Fixture Data'!L:L,L746)</f>
        <v>0</v>
      </c>
      <c r="P746" s="1030">
        <f>SUMIFS('Intensity of Use Assumptions'!$J:$J,'Intensity of Use Assumptions'!$D:$D,I746,'Intensity of Use Assumptions'!$G:$G,J746,'Intensity of Use Assumptions'!H:H,K746)</f>
        <v>1</v>
      </c>
      <c r="Q746" s="567" t="s">
        <v>67</v>
      </c>
      <c r="R746" s="1032">
        <f>(SUMPRODUCT(M746:M748,O746:O748)*P746)</f>
        <v>0</v>
      </c>
      <c r="S746" s="1033">
        <f>IF(R746=0,0,M748*P746)</f>
        <v>0</v>
      </c>
      <c r="T746" s="225" t="str">
        <f>G746&amp;"-"&amp;J746</f>
        <v>Fire and Police Stations-Other 3</v>
      </c>
      <c r="U746" s="1034">
        <f ca="1">IF(ISNA(VLOOKUP(T746,list!$AV$3:$AW$130,2,FALSE)),1,(VLOOKUP(T746,list!$AV$3:$AW$130,2,FALSE)))</f>
        <v>1</v>
      </c>
      <c r="V746" s="1033">
        <f ca="1">R746*U746</f>
        <v>0</v>
      </c>
      <c r="W746" s="1033">
        <f ca="1">S746*U746</f>
        <v>0</v>
      </c>
    </row>
    <row r="747" spans="3:23" x14ac:dyDescent="0.3">
      <c r="C747" s="576"/>
      <c r="D747" s="494" t="s">
        <v>418</v>
      </c>
      <c r="E747" s="494"/>
      <c r="F747" s="182"/>
      <c r="G747" s="494" t="s">
        <v>418</v>
      </c>
      <c r="H747" s="577"/>
      <c r="I747" s="450" t="s">
        <v>8</v>
      </c>
      <c r="J747" s="577" t="s">
        <v>54</v>
      </c>
      <c r="K747" s="577"/>
      <c r="L747" s="1035" t="s">
        <v>65</v>
      </c>
      <c r="M747" s="1036">
        <f>SUMIFS('Level of Efficiency Assumptions'!$J:$J,'Level of Efficiency Assumptions'!$D:$D,I747,'Level of Efficiency Assumptions'!$F:$F,J747,'Level of Efficiency Assumptions'!$I:$I,'Water Use Calcs'!L747)</f>
        <v>7.5</v>
      </c>
      <c r="N747" s="577"/>
      <c r="O747" s="1048">
        <f>SUMIFS('Detailed Fixture Data'!O:O,'Detailed Fixture Data'!C:C,G747,'Detailed Fixture Data'!E:E,I747,'Detailed Fixture Data'!F:F,J747,'Detailed Fixture Data'!L:L,L747)</f>
        <v>0</v>
      </c>
      <c r="P747" s="1049"/>
      <c r="Q747" s="577"/>
      <c r="R747" s="1039"/>
      <c r="S747" s="521"/>
      <c r="T747" s="225"/>
      <c r="U747" s="521"/>
      <c r="V747" s="1040"/>
      <c r="W747" s="1041"/>
    </row>
    <row r="748" spans="3:23" ht="15" thickBot="1" x14ac:dyDescent="0.35">
      <c r="C748" s="576"/>
      <c r="D748" s="501" t="s">
        <v>418</v>
      </c>
      <c r="E748" s="501"/>
      <c r="F748" s="184"/>
      <c r="G748" s="501" t="s">
        <v>418</v>
      </c>
      <c r="H748" s="116"/>
      <c r="I748" s="451" t="s">
        <v>8</v>
      </c>
      <c r="J748" s="116" t="s">
        <v>54</v>
      </c>
      <c r="K748" s="116"/>
      <c r="L748" s="1042" t="s">
        <v>66</v>
      </c>
      <c r="M748" s="1043">
        <f>SUMIFS('Level of Efficiency Assumptions'!$J:$J,'Level of Efficiency Assumptions'!$D:$D,I748,'Level of Efficiency Assumptions'!$F:$F,J748,'Level of Efficiency Assumptions'!$I:$I,'Water Use Calcs'!L748)</f>
        <v>5</v>
      </c>
      <c r="N748" s="116"/>
      <c r="O748" s="1048">
        <f>SUMIFS('Detailed Fixture Data'!O:O,'Detailed Fixture Data'!C:C,G748,'Detailed Fixture Data'!E:E,I748,'Detailed Fixture Data'!F:F,J748,'Detailed Fixture Data'!L:L,L748)</f>
        <v>0</v>
      </c>
      <c r="P748" s="1049"/>
      <c r="Q748" s="116"/>
      <c r="R748" s="1045"/>
      <c r="S748" s="618"/>
      <c r="T748" s="225"/>
      <c r="U748" s="618"/>
      <c r="V748" s="1045"/>
      <c r="W748" s="1046"/>
    </row>
    <row r="749" spans="3:23" x14ac:dyDescent="0.3">
      <c r="C749" s="651" t="str">
        <f>D749</f>
        <v>Hotels</v>
      </c>
      <c r="D749" s="566" t="s">
        <v>16</v>
      </c>
      <c r="E749" s="619" t="str">
        <f>G749</f>
        <v>Hotel A</v>
      </c>
      <c r="F749" s="565" t="str">
        <f>VLOOKUP(E749,'Airport Mapping'!$C$5:$D$39,2,FALSE)</f>
        <v xml:space="preserve"> </v>
      </c>
      <c r="G749" s="494" t="s">
        <v>96</v>
      </c>
      <c r="H749" s="651" t="str">
        <f>I749</f>
        <v>Guestrooms</v>
      </c>
      <c r="I749" s="454" t="s">
        <v>45</v>
      </c>
      <c r="J749" s="567" t="s">
        <v>2</v>
      </c>
      <c r="K749" s="567" t="s">
        <v>17</v>
      </c>
      <c r="L749" s="1028" t="s">
        <v>64</v>
      </c>
      <c r="M749" s="1036">
        <f>SUMIFS('Level of Efficiency Assumptions'!$J:$J,'Level of Efficiency Assumptions'!$D:$D,I749,'Level of Efficiency Assumptions'!$F:$F,J749,'Level of Efficiency Assumptions'!$I:$I,'Water Use Calcs'!L749)</f>
        <v>3.5</v>
      </c>
      <c r="N749" s="567" t="s">
        <v>68</v>
      </c>
      <c r="O749" s="1048">
        <f>SUMIFS('Detailed Fixture Data'!O:O,'Detailed Fixture Data'!C:C,G749,'Detailed Fixture Data'!E:E,I749,'Detailed Fixture Data'!F:F,J749,'Detailed Fixture Data'!L:L,L749)</f>
        <v>0</v>
      </c>
      <c r="P749" s="1030">
        <f>SUMIFS('Intensity of Use Assumptions'!$J:$J,'Intensity of Use Assumptions'!$D:$D,I749,'Intensity of Use Assumptions'!$G:$G,J749,'Intensity of Use Assumptions'!H:H,K749)</f>
        <v>3</v>
      </c>
      <c r="Q749" s="567" t="s">
        <v>67</v>
      </c>
      <c r="R749" s="1032">
        <f>(SUMPRODUCT(M749:M751,O749:O751)*P749)</f>
        <v>0</v>
      </c>
      <c r="S749" s="1033">
        <f>IF(R749=0,0,M751*P749)</f>
        <v>0</v>
      </c>
      <c r="T749" s="225" t="str">
        <f>G749&amp;"-"&amp;J749</f>
        <v>Hotel A-Toilets</v>
      </c>
      <c r="U749" s="1034">
        <f ca="1">IF(ISNA(VLOOKUP(T749,list!$AV$3:$AW$130,2,FALSE)),1,(VLOOKUP(T749,list!$AV$3:$AW$130,2,FALSE)))</f>
        <v>1</v>
      </c>
      <c r="V749" s="1033">
        <f ca="1">R749*U749</f>
        <v>0</v>
      </c>
      <c r="W749" s="1033">
        <f ca="1">S749*U749</f>
        <v>0</v>
      </c>
    </row>
    <row r="750" spans="3:23" x14ac:dyDescent="0.3">
      <c r="C750" s="576"/>
      <c r="D750" s="494" t="s">
        <v>16</v>
      </c>
      <c r="E750" s="494"/>
      <c r="F750" s="181"/>
      <c r="G750" s="494" t="s">
        <v>96</v>
      </c>
      <c r="H750" s="577"/>
      <c r="I750" s="450" t="s">
        <v>45</v>
      </c>
      <c r="J750" s="577" t="s">
        <v>2</v>
      </c>
      <c r="K750" s="577"/>
      <c r="L750" s="1035" t="s">
        <v>65</v>
      </c>
      <c r="M750" s="1036">
        <f>SUMIFS('Level of Efficiency Assumptions'!$J:$J,'Level of Efficiency Assumptions'!$D:$D,I750,'Level of Efficiency Assumptions'!$F:$F,J750,'Level of Efficiency Assumptions'!$I:$I,'Water Use Calcs'!L750)</f>
        <v>1.6</v>
      </c>
      <c r="N750" s="577"/>
      <c r="O750" s="1048">
        <f>SUMIFS('Detailed Fixture Data'!O:O,'Detailed Fixture Data'!C:C,G750,'Detailed Fixture Data'!E:E,I750,'Detailed Fixture Data'!F:F,J750,'Detailed Fixture Data'!L:L,L750)</f>
        <v>0</v>
      </c>
      <c r="P750" s="1049"/>
      <c r="Q750" s="577"/>
      <c r="R750" s="1039"/>
      <c r="S750" s="521"/>
      <c r="T750" s="225"/>
      <c r="U750" s="521"/>
      <c r="V750" s="1040"/>
      <c r="W750" s="1041"/>
    </row>
    <row r="751" spans="3:23" ht="15" thickBot="1" x14ac:dyDescent="0.35">
      <c r="C751" s="576"/>
      <c r="D751" s="494" t="s">
        <v>16</v>
      </c>
      <c r="E751" s="494"/>
      <c r="F751" s="181"/>
      <c r="G751" s="494" t="s">
        <v>96</v>
      </c>
      <c r="H751" s="577"/>
      <c r="I751" s="450" t="s">
        <v>45</v>
      </c>
      <c r="J751" s="116" t="s">
        <v>2</v>
      </c>
      <c r="K751" s="116"/>
      <c r="L751" s="1042" t="s">
        <v>66</v>
      </c>
      <c r="M751" s="1043">
        <f>SUMIFS('Level of Efficiency Assumptions'!$J:$J,'Level of Efficiency Assumptions'!$D:$D,I751,'Level of Efficiency Assumptions'!$F:$F,J751,'Level of Efficiency Assumptions'!$I:$I,'Water Use Calcs'!L751)</f>
        <v>1.28</v>
      </c>
      <c r="N751" s="577"/>
      <c r="O751" s="1048">
        <f>SUMIFS('Detailed Fixture Data'!O:O,'Detailed Fixture Data'!C:C,G751,'Detailed Fixture Data'!E:E,I751,'Detailed Fixture Data'!F:F,J751,'Detailed Fixture Data'!L:L,L751)</f>
        <v>0</v>
      </c>
      <c r="P751" s="1049"/>
      <c r="Q751" s="577"/>
      <c r="R751" s="1039"/>
      <c r="S751" s="618"/>
      <c r="T751" s="225"/>
      <c r="U751" s="618"/>
      <c r="V751" s="1045"/>
      <c r="W751" s="1046"/>
    </row>
    <row r="752" spans="3:23" x14ac:dyDescent="0.3">
      <c r="C752" s="576"/>
      <c r="D752" s="494" t="s">
        <v>16</v>
      </c>
      <c r="E752" s="494"/>
      <c r="F752" s="181"/>
      <c r="G752" s="494" t="s">
        <v>96</v>
      </c>
      <c r="H752" s="577"/>
      <c r="I752" s="450" t="s">
        <v>45</v>
      </c>
      <c r="J752" s="577" t="s">
        <v>18</v>
      </c>
      <c r="K752" s="577" t="s">
        <v>17</v>
      </c>
      <c r="L752" s="1047" t="s">
        <v>64</v>
      </c>
      <c r="M752" s="1036">
        <f>SUMIFS('Level of Efficiency Assumptions'!$J:$J,'Level of Efficiency Assumptions'!$D:$D,I752,'Level of Efficiency Assumptions'!$F:$F,J752,'Level of Efficiency Assumptions'!$I:$I,'Water Use Calcs'!L752)</f>
        <v>3</v>
      </c>
      <c r="N752" s="567" t="s">
        <v>78</v>
      </c>
      <c r="O752" s="1048">
        <f>SUMIFS('Detailed Fixture Data'!O:O,'Detailed Fixture Data'!C:C,G752,'Detailed Fixture Data'!E:E,I752,'Detailed Fixture Data'!F:F,J752,'Detailed Fixture Data'!L:L,L752)</f>
        <v>0</v>
      </c>
      <c r="P752" s="1030">
        <f>SUMIFS('Intensity of Use Assumptions'!$J:$J,'Intensity of Use Assumptions'!$D:$D,I752,'Intensity of Use Assumptions'!$G:$G,J752,'Intensity of Use Assumptions'!H:H,K752)</f>
        <v>1</v>
      </c>
      <c r="Q752" s="567" t="s">
        <v>67</v>
      </c>
      <c r="R752" s="1032">
        <f>(SUMPRODUCT(M752:M754,O752:O754)*P752)</f>
        <v>0</v>
      </c>
      <c r="S752" s="1033">
        <f>IF(R752=0,0,M754*P752)</f>
        <v>0</v>
      </c>
      <c r="T752" s="225" t="str">
        <f>G752&amp;"-"&amp;J752</f>
        <v>Hotel A-Showers</v>
      </c>
      <c r="U752" s="1034">
        <f ca="1">IF(ISNA(VLOOKUP(T752,list!$AV$3:$AW$130,2,FALSE)),1,(VLOOKUP(T752,list!$AV$3:$AW$130,2,FALSE)))</f>
        <v>1</v>
      </c>
      <c r="V752" s="1033">
        <f ca="1">R752*U752</f>
        <v>0</v>
      </c>
      <c r="W752" s="1033">
        <f ca="1">S752*U752</f>
        <v>0</v>
      </c>
    </row>
    <row r="753" spans="2:23" x14ac:dyDescent="0.3">
      <c r="C753" s="576"/>
      <c r="D753" s="494" t="s">
        <v>16</v>
      </c>
      <c r="E753" s="494"/>
      <c r="F753" s="181"/>
      <c r="G753" s="494" t="s">
        <v>96</v>
      </c>
      <c r="H753" s="577"/>
      <c r="I753" s="450" t="s">
        <v>45</v>
      </c>
      <c r="J753" s="577" t="s">
        <v>18</v>
      </c>
      <c r="K753" s="577"/>
      <c r="L753" s="1035" t="s">
        <v>65</v>
      </c>
      <c r="M753" s="1036">
        <f>SUMIFS('Level of Efficiency Assumptions'!$J:$J,'Level of Efficiency Assumptions'!$D:$D,I753,'Level of Efficiency Assumptions'!$F:$F,J753,'Level of Efficiency Assumptions'!$I:$I,'Water Use Calcs'!L753)</f>
        <v>2</v>
      </c>
      <c r="N753" s="577"/>
      <c r="O753" s="1048">
        <f>SUMIFS('Detailed Fixture Data'!O:O,'Detailed Fixture Data'!C:C,G753,'Detailed Fixture Data'!E:E,I753,'Detailed Fixture Data'!F:F,J753,'Detailed Fixture Data'!L:L,L753)</f>
        <v>0</v>
      </c>
      <c r="P753" s="1049"/>
      <c r="Q753" s="577"/>
      <c r="R753" s="1039"/>
      <c r="S753" s="521"/>
      <c r="T753" s="225"/>
      <c r="U753" s="521"/>
      <c r="V753" s="1040"/>
      <c r="W753" s="1041"/>
    </row>
    <row r="754" spans="2:23" ht="15" thickBot="1" x14ac:dyDescent="0.35">
      <c r="C754" s="576"/>
      <c r="D754" s="494" t="s">
        <v>16</v>
      </c>
      <c r="E754" s="494"/>
      <c r="F754" s="181"/>
      <c r="G754" s="494" t="s">
        <v>96</v>
      </c>
      <c r="H754" s="577"/>
      <c r="I754" s="450" t="s">
        <v>45</v>
      </c>
      <c r="J754" s="116" t="s">
        <v>18</v>
      </c>
      <c r="K754" s="116"/>
      <c r="L754" s="1042" t="s">
        <v>66</v>
      </c>
      <c r="M754" s="1043">
        <f>SUMIFS('Level of Efficiency Assumptions'!$J:$J,'Level of Efficiency Assumptions'!$D:$D,I754,'Level of Efficiency Assumptions'!$F:$F,J754,'Level of Efficiency Assumptions'!$I:$I,'Water Use Calcs'!L754)</f>
        <v>1</v>
      </c>
      <c r="N754" s="577"/>
      <c r="O754" s="1048">
        <f>SUMIFS('Detailed Fixture Data'!O:O,'Detailed Fixture Data'!C:C,G754,'Detailed Fixture Data'!E:E,I754,'Detailed Fixture Data'!F:F,J754,'Detailed Fixture Data'!L:L,L754)</f>
        <v>0</v>
      </c>
      <c r="P754" s="1049"/>
      <c r="Q754" s="577"/>
      <c r="R754" s="1039"/>
      <c r="S754" s="618"/>
      <c r="T754" s="225"/>
      <c r="U754" s="618"/>
      <c r="V754" s="1045"/>
      <c r="W754" s="1046"/>
    </row>
    <row r="755" spans="2:23" x14ac:dyDescent="0.3">
      <c r="C755" s="576"/>
      <c r="D755" s="494" t="s">
        <v>16</v>
      </c>
      <c r="E755" s="494"/>
      <c r="F755" s="181"/>
      <c r="G755" s="494" t="s">
        <v>96</v>
      </c>
      <c r="H755" s="577"/>
      <c r="I755" s="450" t="s">
        <v>45</v>
      </c>
      <c r="J755" s="577" t="s">
        <v>33</v>
      </c>
      <c r="K755" s="577" t="s">
        <v>17</v>
      </c>
      <c r="L755" s="1047" t="s">
        <v>64</v>
      </c>
      <c r="M755" s="1036">
        <f>SUMIFS('Level of Efficiency Assumptions'!$J:$J,'Level of Efficiency Assumptions'!$D:$D,I755,'Level of Efficiency Assumptions'!$F:$F,J755,'Level of Efficiency Assumptions'!$I:$I,'Water Use Calcs'!L755)</f>
        <v>2</v>
      </c>
      <c r="N755" s="567" t="s">
        <v>78</v>
      </c>
      <c r="O755" s="1048">
        <f>SUMIFS('Detailed Fixture Data'!O:O,'Detailed Fixture Data'!C:C,G755,'Detailed Fixture Data'!E:E,I755,'Detailed Fixture Data'!F:F,J755,'Detailed Fixture Data'!L:L,L755)</f>
        <v>0</v>
      </c>
      <c r="P755" s="1030">
        <f>SUMIFS('Intensity of Use Assumptions'!$J:$J,'Intensity of Use Assumptions'!$D:$D,I755,'Intensity of Use Assumptions'!$G:$G,J755,'Intensity of Use Assumptions'!H:H,K755)</f>
        <v>0.16666666666666666</v>
      </c>
      <c r="Q755" s="567" t="s">
        <v>133</v>
      </c>
      <c r="R755" s="1032">
        <f>(SUMPRODUCT(M755:M757,O755:O757)*P755)</f>
        <v>0</v>
      </c>
      <c r="S755" s="1033">
        <f>IF(R755=0,0,M757*P755)</f>
        <v>0</v>
      </c>
      <c r="T755" s="225" t="str">
        <f>G755&amp;"-"&amp;J755</f>
        <v>Hotel A-Faucets</v>
      </c>
      <c r="U755" s="1034">
        <f ca="1">IF(ISNA(VLOOKUP(T755,list!$AV$3:$AW$130,2,FALSE)),1,(VLOOKUP(T755,list!$AV$3:$AW$130,2,FALSE)))</f>
        <v>1</v>
      </c>
      <c r="V755" s="1033">
        <f ca="1">R755*U755</f>
        <v>0</v>
      </c>
      <c r="W755" s="1033">
        <f ca="1">S755*U755</f>
        <v>0</v>
      </c>
    </row>
    <row r="756" spans="2:23" x14ac:dyDescent="0.3">
      <c r="C756" s="576"/>
      <c r="D756" s="494" t="s">
        <v>16</v>
      </c>
      <c r="E756" s="494"/>
      <c r="F756" s="181"/>
      <c r="G756" s="494" t="s">
        <v>96</v>
      </c>
      <c r="H756" s="577"/>
      <c r="I756" s="450" t="s">
        <v>45</v>
      </c>
      <c r="J756" s="577" t="s">
        <v>33</v>
      </c>
      <c r="K756" s="577"/>
      <c r="L756" s="1035" t="s">
        <v>65</v>
      </c>
      <c r="M756" s="1036">
        <f>SUMIFS('Level of Efficiency Assumptions'!$J:$J,'Level of Efficiency Assumptions'!$D:$D,I756,'Level of Efficiency Assumptions'!$F:$F,J756,'Level of Efficiency Assumptions'!$I:$I,'Water Use Calcs'!L756)</f>
        <v>1</v>
      </c>
      <c r="N756" s="577"/>
      <c r="O756" s="1048">
        <f>SUMIFS('Detailed Fixture Data'!O:O,'Detailed Fixture Data'!C:C,G756,'Detailed Fixture Data'!E:E,I756,'Detailed Fixture Data'!F:F,J756,'Detailed Fixture Data'!L:L,L756)</f>
        <v>0</v>
      </c>
      <c r="P756" s="1049"/>
      <c r="Q756" s="577"/>
      <c r="R756" s="1039"/>
      <c r="S756" s="521"/>
      <c r="T756" s="225"/>
      <c r="U756" s="521"/>
      <c r="V756" s="1040"/>
      <c r="W756" s="1041"/>
    </row>
    <row r="757" spans="2:23" ht="15" thickBot="1" x14ac:dyDescent="0.35">
      <c r="C757" s="576"/>
      <c r="D757" s="494" t="s">
        <v>16</v>
      </c>
      <c r="E757" s="494"/>
      <c r="F757" s="181"/>
      <c r="G757" s="494" t="s">
        <v>96</v>
      </c>
      <c r="H757" s="577"/>
      <c r="I757" s="451" t="s">
        <v>45</v>
      </c>
      <c r="J757" s="116" t="s">
        <v>33</v>
      </c>
      <c r="K757" s="116"/>
      <c r="L757" s="1042" t="s">
        <v>66</v>
      </c>
      <c r="M757" s="1043">
        <f>SUMIFS('Level of Efficiency Assumptions'!$J:$J,'Level of Efficiency Assumptions'!$D:$D,I757,'Level of Efficiency Assumptions'!$F:$F,J757,'Level of Efficiency Assumptions'!$I:$I,'Water Use Calcs'!L757)</f>
        <v>0.5</v>
      </c>
      <c r="N757" s="577"/>
      <c r="O757" s="1048">
        <f>SUMIFS('Detailed Fixture Data'!O:O,'Detailed Fixture Data'!C:C,G757,'Detailed Fixture Data'!E:E,I757,'Detailed Fixture Data'!F:F,J757,'Detailed Fixture Data'!L:L,L757)</f>
        <v>0</v>
      </c>
      <c r="P757" s="1049"/>
      <c r="Q757" s="577"/>
      <c r="R757" s="1039"/>
      <c r="S757" s="618"/>
      <c r="T757" s="225"/>
      <c r="U757" s="618"/>
      <c r="V757" s="1045"/>
      <c r="W757" s="1046"/>
    </row>
    <row r="758" spans="2:23" x14ac:dyDescent="0.3">
      <c r="C758" s="576"/>
      <c r="D758" s="494" t="s">
        <v>16</v>
      </c>
      <c r="E758" s="494"/>
      <c r="F758" s="181"/>
      <c r="G758" s="494" t="s">
        <v>96</v>
      </c>
      <c r="H758" s="651" t="str">
        <f>I758</f>
        <v>Food Service</v>
      </c>
      <c r="I758" s="450" t="s">
        <v>38</v>
      </c>
      <c r="J758" s="577" t="s">
        <v>114</v>
      </c>
      <c r="K758" s="577" t="s">
        <v>118</v>
      </c>
      <c r="L758" s="1047" t="s">
        <v>64</v>
      </c>
      <c r="M758" s="1036">
        <f>SUMIFS('Level of Efficiency Assumptions'!$J:$J,'Level of Efficiency Assumptions'!$D:$D,I758,'Level of Efficiency Assumptions'!$F:$F,J758,'Level of Efficiency Assumptions'!$I:$I,'Water Use Calcs'!L758)</f>
        <v>2</v>
      </c>
      <c r="N758" s="567" t="s">
        <v>78</v>
      </c>
      <c r="O758" s="1048">
        <f>SUMIFS('Detailed Fixture Data'!O:O,'Detailed Fixture Data'!C:C,G758,'Detailed Fixture Data'!E:E,I758,'Detailed Fixture Data'!F:F,J758,'Detailed Fixture Data'!L:L,L758)</f>
        <v>0</v>
      </c>
      <c r="P758" s="1030">
        <f>SUMIFS('Intensity of Use Assumptions'!$J:$J,'Intensity of Use Assumptions'!$D:$D,I758,'Intensity of Use Assumptions'!$G:$G,J758,'Intensity of Use Assumptions'!H:H,K758)</f>
        <v>1</v>
      </c>
      <c r="Q758" s="567" t="s">
        <v>133</v>
      </c>
      <c r="R758" s="1032">
        <f>(SUMPRODUCT(M758:M760,O758:O760)*P758)</f>
        <v>0</v>
      </c>
      <c r="S758" s="1033">
        <f>IF(R758=0,0,M760*P758)</f>
        <v>0</v>
      </c>
      <c r="T758" s="225" t="str">
        <f>G758&amp;"-"&amp;J758</f>
        <v>Hotel A-Kitchen faucets</v>
      </c>
      <c r="U758" s="1034">
        <f ca="1">IF(ISNA(VLOOKUP(T758,list!$AV$3:$AW$130,2,FALSE)),1,(VLOOKUP(T758,list!$AV$3:$AW$130,2,FALSE)))</f>
        <v>1</v>
      </c>
      <c r="V758" s="1033">
        <f ca="1">R758*U758</f>
        <v>0</v>
      </c>
      <c r="W758" s="1033">
        <f ca="1">S758*U758</f>
        <v>0</v>
      </c>
    </row>
    <row r="759" spans="2:23" x14ac:dyDescent="0.3">
      <c r="C759" s="576"/>
      <c r="D759" s="494" t="s">
        <v>16</v>
      </c>
      <c r="E759" s="494"/>
      <c r="F759" s="181"/>
      <c r="G759" s="494" t="s">
        <v>96</v>
      </c>
      <c r="H759" s="577"/>
      <c r="I759" s="450" t="s">
        <v>38</v>
      </c>
      <c r="J759" s="577" t="s">
        <v>114</v>
      </c>
      <c r="K759" s="577"/>
      <c r="L759" s="1035" t="s">
        <v>65</v>
      </c>
      <c r="M759" s="1036">
        <f>SUMIFS('Level of Efficiency Assumptions'!$J:$J,'Level of Efficiency Assumptions'!$D:$D,I759,'Level of Efficiency Assumptions'!$F:$F,J759,'Level of Efficiency Assumptions'!$I:$I,'Water Use Calcs'!L759)</f>
        <v>1</v>
      </c>
      <c r="N759" s="577"/>
      <c r="O759" s="1048">
        <f>SUMIFS('Detailed Fixture Data'!O:O,'Detailed Fixture Data'!C:C,G759,'Detailed Fixture Data'!E:E,I759,'Detailed Fixture Data'!F:F,J759,'Detailed Fixture Data'!L:L,L759)</f>
        <v>0</v>
      </c>
      <c r="P759" s="1049"/>
      <c r="Q759" s="577"/>
      <c r="R759" s="1039"/>
      <c r="S759" s="521"/>
      <c r="T759" s="225"/>
      <c r="U759" s="521"/>
      <c r="V759" s="1040"/>
      <c r="W759" s="1041"/>
    </row>
    <row r="760" spans="2:23" ht="15" thickBot="1" x14ac:dyDescent="0.35">
      <c r="C760" s="576"/>
      <c r="D760" s="494" t="s">
        <v>16</v>
      </c>
      <c r="E760" s="494"/>
      <c r="F760" s="181"/>
      <c r="G760" s="494" t="s">
        <v>96</v>
      </c>
      <c r="H760" s="577"/>
      <c r="I760" s="450" t="s">
        <v>38</v>
      </c>
      <c r="J760" s="116" t="s">
        <v>114</v>
      </c>
      <c r="K760" s="116"/>
      <c r="L760" s="1042" t="s">
        <v>66</v>
      </c>
      <c r="M760" s="1043">
        <f>SUMIFS('Level of Efficiency Assumptions'!$J:$J,'Level of Efficiency Assumptions'!$D:$D,I760,'Level of Efficiency Assumptions'!$F:$F,J760,'Level of Efficiency Assumptions'!$I:$I,'Water Use Calcs'!L760)</f>
        <v>0.5</v>
      </c>
      <c r="N760" s="577"/>
      <c r="O760" s="1048">
        <f>SUMIFS('Detailed Fixture Data'!O:O,'Detailed Fixture Data'!C:C,G760,'Detailed Fixture Data'!E:E,I760,'Detailed Fixture Data'!F:F,J760,'Detailed Fixture Data'!L:L,L760)</f>
        <v>0</v>
      </c>
      <c r="P760" s="1049"/>
      <c r="Q760" s="577"/>
      <c r="R760" s="1039"/>
      <c r="S760" s="618"/>
      <c r="T760" s="225"/>
      <c r="U760" s="618"/>
      <c r="V760" s="1045"/>
      <c r="W760" s="1046"/>
    </row>
    <row r="761" spans="2:23" x14ac:dyDescent="0.3">
      <c r="B761" s="182"/>
      <c r="C761" s="577"/>
      <c r="D761" s="521" t="s">
        <v>16</v>
      </c>
      <c r="E761" s="521"/>
      <c r="F761" s="180"/>
      <c r="G761" s="521" t="s">
        <v>96</v>
      </c>
      <c r="H761" s="577"/>
      <c r="I761" s="450" t="s">
        <v>38</v>
      </c>
      <c r="J761" s="577" t="s">
        <v>127</v>
      </c>
      <c r="K761" s="577" t="s">
        <v>118</v>
      </c>
      <c r="L761" s="1047" t="s">
        <v>64</v>
      </c>
      <c r="M761" s="1036">
        <f>SUMIFS('Level of Efficiency Assumptions'!$J:$J,'Level of Efficiency Assumptions'!$D:$D,I761,'Level of Efficiency Assumptions'!$F:$F,J761,'Level of Efficiency Assumptions'!$I:$I,'Water Use Calcs'!L761)</f>
        <v>3</v>
      </c>
      <c r="N761" s="567" t="s">
        <v>78</v>
      </c>
      <c r="O761" s="1048">
        <f>SUMIFS('Detailed Fixture Data'!O:O,'Detailed Fixture Data'!C:C,G761,'Detailed Fixture Data'!E:E,I761,'Detailed Fixture Data'!F:F,J761,'Detailed Fixture Data'!L:L,L761)</f>
        <v>0</v>
      </c>
      <c r="P761" s="1030">
        <f>SUMIFS('Intensity of Use Assumptions'!$J:$J,'Intensity of Use Assumptions'!$D:$D,I761,'Intensity of Use Assumptions'!$G:$G,J761,'Intensity of Use Assumptions'!H:H,K761)</f>
        <v>0.02</v>
      </c>
      <c r="Q761" s="577" t="s">
        <v>133</v>
      </c>
      <c r="R761" s="1032">
        <f>(SUMPRODUCT(M761:M763,O761:O763)*P761)</f>
        <v>0</v>
      </c>
      <c r="S761" s="1033">
        <f>IF(R761=0,0,M763*P761)</f>
        <v>0</v>
      </c>
      <c r="T761" s="225" t="str">
        <f>G761&amp;"-"&amp;J761</f>
        <v>Hotel A-Pre-rinse spray valves</v>
      </c>
      <c r="U761" s="1034">
        <f ca="1">IF(ISNA(VLOOKUP(T761,list!$AV$3:$AW$130,2,FALSE)),1,(VLOOKUP(T761,list!$AV$3:$AW$130,2,FALSE)))</f>
        <v>1</v>
      </c>
      <c r="V761" s="1033">
        <f ca="1">R761*U761</f>
        <v>0</v>
      </c>
      <c r="W761" s="1033">
        <f ca="1">S761*U761</f>
        <v>0</v>
      </c>
    </row>
    <row r="762" spans="2:23" x14ac:dyDescent="0.3">
      <c r="B762" s="182"/>
      <c r="C762" s="577"/>
      <c r="D762" s="521" t="s">
        <v>16</v>
      </c>
      <c r="E762" s="521"/>
      <c r="F762" s="180"/>
      <c r="G762" s="521" t="s">
        <v>96</v>
      </c>
      <c r="H762" s="577"/>
      <c r="I762" s="450" t="s">
        <v>38</v>
      </c>
      <c r="J762" s="577" t="s">
        <v>127</v>
      </c>
      <c r="K762" s="577"/>
      <c r="L762" s="1035" t="s">
        <v>65</v>
      </c>
      <c r="M762" s="1036">
        <f>SUMIFS('Level of Efficiency Assumptions'!$J:$J,'Level of Efficiency Assumptions'!$D:$D,I762,'Level of Efficiency Assumptions'!$F:$F,J762,'Level of Efficiency Assumptions'!$I:$I,'Water Use Calcs'!L762)</f>
        <v>2</v>
      </c>
      <c r="N762" s="577"/>
      <c r="O762" s="1048">
        <f>SUMIFS('Detailed Fixture Data'!O:O,'Detailed Fixture Data'!C:C,G762,'Detailed Fixture Data'!E:E,I762,'Detailed Fixture Data'!F:F,J762,'Detailed Fixture Data'!L:L,L762)</f>
        <v>0</v>
      </c>
      <c r="P762" s="1049"/>
      <c r="Q762" s="577"/>
      <c r="R762" s="1039"/>
      <c r="S762" s="521"/>
      <c r="T762" s="225"/>
      <c r="U762" s="521"/>
      <c r="V762" s="1040"/>
      <c r="W762" s="1041"/>
    </row>
    <row r="763" spans="2:23" ht="15" thickBot="1" x14ac:dyDescent="0.35">
      <c r="B763" s="182"/>
      <c r="C763" s="577"/>
      <c r="D763" s="521" t="s">
        <v>16</v>
      </c>
      <c r="E763" s="521"/>
      <c r="F763" s="180"/>
      <c r="G763" s="521" t="s">
        <v>96</v>
      </c>
      <c r="H763" s="577"/>
      <c r="I763" s="450" t="s">
        <v>38</v>
      </c>
      <c r="J763" s="116" t="s">
        <v>127</v>
      </c>
      <c r="K763" s="116"/>
      <c r="L763" s="1042" t="s">
        <v>66</v>
      </c>
      <c r="M763" s="1043">
        <f>SUMIFS('Level of Efficiency Assumptions'!$J:$J,'Level of Efficiency Assumptions'!$D:$D,I763,'Level of Efficiency Assumptions'!$F:$F,J763,'Level of Efficiency Assumptions'!$I:$I,'Water Use Calcs'!L763)</f>
        <v>1.28</v>
      </c>
      <c r="N763" s="116"/>
      <c r="O763" s="1048">
        <f>SUMIFS('Detailed Fixture Data'!O:O,'Detailed Fixture Data'!C:C,G763,'Detailed Fixture Data'!E:E,I763,'Detailed Fixture Data'!F:F,J763,'Detailed Fixture Data'!L:L,L763)</f>
        <v>0</v>
      </c>
      <c r="P763" s="1049"/>
      <c r="Q763" s="577"/>
      <c r="R763" s="1039"/>
      <c r="S763" s="618"/>
      <c r="T763" s="225"/>
      <c r="U763" s="618"/>
      <c r="V763" s="1045"/>
      <c r="W763" s="1046"/>
    </row>
    <row r="764" spans="2:23" x14ac:dyDescent="0.3">
      <c r="C764" s="576"/>
      <c r="D764" s="494" t="s">
        <v>16</v>
      </c>
      <c r="E764" s="494"/>
      <c r="F764" s="181"/>
      <c r="G764" s="494" t="s">
        <v>96</v>
      </c>
      <c r="H764" s="577"/>
      <c r="I764" s="450" t="s">
        <v>38</v>
      </c>
      <c r="J764" s="577" t="s">
        <v>41</v>
      </c>
      <c r="K764" s="577" t="s">
        <v>118</v>
      </c>
      <c r="L764" s="1047" t="s">
        <v>64</v>
      </c>
      <c r="M764" s="1036">
        <f>SUMIFS('Level of Efficiency Assumptions'!$J:$J,'Level of Efficiency Assumptions'!$D:$D,I764,'Level of Efficiency Assumptions'!$F:$F,J764,'Level of Efficiency Assumptions'!$I:$I,'Water Use Calcs'!L764)</f>
        <v>4.5</v>
      </c>
      <c r="N764" s="567" t="s">
        <v>223</v>
      </c>
      <c r="O764" s="1048">
        <f>SUMIFS('Detailed Fixture Data'!O:O,'Detailed Fixture Data'!C:C,G764,'Detailed Fixture Data'!E:E,I764,'Detailed Fixture Data'!F:F,J764,'Detailed Fixture Data'!L:L,L764)</f>
        <v>0</v>
      </c>
      <c r="P764" s="1030">
        <f>SUMIFS('Intensity of Use Assumptions'!$J:$J,'Intensity of Use Assumptions'!$D:$D,I764,'Intensity of Use Assumptions'!$G:$G,J764,'Intensity of Use Assumptions'!H:H,K764)</f>
        <v>0.05</v>
      </c>
      <c r="Q764" s="567" t="s">
        <v>224</v>
      </c>
      <c r="R764" s="1032">
        <f>(SUMPRODUCT(M764:M766,O764:O766)*P764)</f>
        <v>0</v>
      </c>
      <c r="S764" s="1033">
        <f>IF(R764=0,0,M766*P764)</f>
        <v>0</v>
      </c>
      <c r="T764" s="225" t="str">
        <f>G764&amp;"-"&amp;J764</f>
        <v>Hotel A-Dishwashers</v>
      </c>
      <c r="U764" s="1034">
        <f ca="1">IF(ISNA(VLOOKUP(T764,list!$AV$3:$AW$130,2,FALSE)),1,(VLOOKUP(T764,list!$AV$3:$AW$130,2,FALSE)))</f>
        <v>1</v>
      </c>
      <c r="V764" s="1033">
        <f ca="1">R764*U764</f>
        <v>0</v>
      </c>
      <c r="W764" s="1033">
        <f ca="1">S764*U764</f>
        <v>0</v>
      </c>
    </row>
    <row r="765" spans="2:23" x14ac:dyDescent="0.3">
      <c r="C765" s="576"/>
      <c r="D765" s="494" t="s">
        <v>16</v>
      </c>
      <c r="E765" s="494"/>
      <c r="F765" s="181"/>
      <c r="G765" s="494" t="s">
        <v>96</v>
      </c>
      <c r="H765" s="577"/>
      <c r="I765" s="450" t="s">
        <v>38</v>
      </c>
      <c r="J765" s="577" t="s">
        <v>41</v>
      </c>
      <c r="K765" s="577"/>
      <c r="L765" s="1035" t="s">
        <v>65</v>
      </c>
      <c r="M765" s="1036">
        <f>SUMIFS('Level of Efficiency Assumptions'!$J:$J,'Level of Efficiency Assumptions'!$D:$D,I765,'Level of Efficiency Assumptions'!$F:$F,J765,'Level of Efficiency Assumptions'!$I:$I,'Water Use Calcs'!L765)</f>
        <v>2.5</v>
      </c>
      <c r="N765" s="577"/>
      <c r="O765" s="1048">
        <f>SUMIFS('Detailed Fixture Data'!O:O,'Detailed Fixture Data'!C:C,G765,'Detailed Fixture Data'!E:E,I765,'Detailed Fixture Data'!F:F,J765,'Detailed Fixture Data'!L:L,L765)</f>
        <v>0</v>
      </c>
      <c r="P765" s="1049"/>
      <c r="Q765" s="577" t="s">
        <v>80</v>
      </c>
      <c r="R765" s="1039"/>
      <c r="S765" s="521"/>
      <c r="T765" s="225"/>
      <c r="U765" s="521"/>
      <c r="V765" s="1040"/>
      <c r="W765" s="1041"/>
    </row>
    <row r="766" spans="2:23" ht="15" thickBot="1" x14ac:dyDescent="0.35">
      <c r="C766" s="576"/>
      <c r="D766" s="494" t="s">
        <v>16</v>
      </c>
      <c r="E766" s="494"/>
      <c r="F766" s="181"/>
      <c r="G766" s="494" t="s">
        <v>96</v>
      </c>
      <c r="H766" s="577"/>
      <c r="I766" s="450" t="s">
        <v>38</v>
      </c>
      <c r="J766" s="116" t="s">
        <v>41</v>
      </c>
      <c r="K766" s="116"/>
      <c r="L766" s="1042" t="s">
        <v>66</v>
      </c>
      <c r="M766" s="1043">
        <f>SUMIFS('Level of Efficiency Assumptions'!$J:$J,'Level of Efficiency Assumptions'!$D:$D,I766,'Level of Efficiency Assumptions'!$F:$F,J766,'Level of Efficiency Assumptions'!$I:$I,'Water Use Calcs'!L766)</f>
        <v>1</v>
      </c>
      <c r="N766" s="577"/>
      <c r="O766" s="1048">
        <f>SUMIFS('Detailed Fixture Data'!O:O,'Detailed Fixture Data'!C:C,G766,'Detailed Fixture Data'!E:E,I766,'Detailed Fixture Data'!F:F,J766,'Detailed Fixture Data'!L:L,L766)</f>
        <v>0</v>
      </c>
      <c r="P766" s="1049"/>
      <c r="Q766" s="577"/>
      <c r="R766" s="1039"/>
      <c r="S766" s="618"/>
      <c r="T766" s="225"/>
      <c r="U766" s="618"/>
      <c r="V766" s="1045"/>
      <c r="W766" s="1046"/>
    </row>
    <row r="767" spans="2:23" x14ac:dyDescent="0.3">
      <c r="C767" s="576"/>
      <c r="D767" s="494" t="s">
        <v>16</v>
      </c>
      <c r="E767" s="494"/>
      <c r="F767" s="181"/>
      <c r="G767" s="494" t="s">
        <v>96</v>
      </c>
      <c r="H767" s="577"/>
      <c r="I767" s="450" t="s">
        <v>38</v>
      </c>
      <c r="J767" s="577" t="s">
        <v>20</v>
      </c>
      <c r="K767" s="577" t="s">
        <v>17</v>
      </c>
      <c r="L767" s="1047" t="s">
        <v>64</v>
      </c>
      <c r="M767" s="1036">
        <f>SUMIFS('Level of Efficiency Assumptions'!$J:$J,'Level of Efficiency Assumptions'!$D:$D,I767,'Level of Efficiency Assumptions'!$F:$F,J767,'Level of Efficiency Assumptions'!$I:$I,'Water Use Calcs'!L767)</f>
        <v>1.5</v>
      </c>
      <c r="N767" s="567" t="s">
        <v>222</v>
      </c>
      <c r="O767" s="1048">
        <f>SUMIFS('Detailed Fixture Data'!O:O,'Detailed Fixture Data'!C:C,G767,'Detailed Fixture Data'!E:E,I767,'Detailed Fixture Data'!F:F,J767,'Detailed Fixture Data'!L:L,L767)</f>
        <v>0</v>
      </c>
      <c r="P767" s="1062">
        <f>SUMIFS('Intensity of Use Assumptions'!$J:$J,'Intensity of Use Assumptions'!$D:$D,I767,'Intensity of Use Assumptions'!$G:$G,J767,'Intensity of Use Assumptions'!H:H,K767)</f>
        <v>0.5</v>
      </c>
      <c r="Q767" s="567" t="s">
        <v>221</v>
      </c>
      <c r="R767" s="1032">
        <f>(SUMPRODUCT(M767:M769,O767:O769)*P767)</f>
        <v>0</v>
      </c>
      <c r="S767" s="1033">
        <f>IF(R767=0,0,M769*P767)</f>
        <v>0</v>
      </c>
      <c r="T767" s="225" t="str">
        <f>G767&amp;"-"&amp;J767</f>
        <v>Hotel A-Ice machines</v>
      </c>
      <c r="U767" s="1034">
        <f ca="1">IF(ISNA(VLOOKUP(T767,list!$AV$3:$AW$130,2,FALSE)),1,(VLOOKUP(T767,list!$AV$3:$AW$130,2,FALSE)))</f>
        <v>1</v>
      </c>
      <c r="V767" s="1033">
        <f ca="1">R767*U767</f>
        <v>0</v>
      </c>
      <c r="W767" s="1033">
        <f ca="1">S767*U767</f>
        <v>0</v>
      </c>
    </row>
    <row r="768" spans="2:23" x14ac:dyDescent="0.3">
      <c r="C768" s="576"/>
      <c r="D768" s="494" t="s">
        <v>16</v>
      </c>
      <c r="E768" s="494"/>
      <c r="F768" s="181"/>
      <c r="G768" s="494" t="s">
        <v>96</v>
      </c>
      <c r="H768" s="577"/>
      <c r="I768" s="450" t="s">
        <v>38</v>
      </c>
      <c r="J768" s="577" t="s">
        <v>20</v>
      </c>
      <c r="K768" s="577"/>
      <c r="L768" s="1035" t="s">
        <v>65</v>
      </c>
      <c r="M768" s="1036">
        <f>SUMIFS('Level of Efficiency Assumptions'!$J:$J,'Level of Efficiency Assumptions'!$D:$D,I768,'Level of Efficiency Assumptions'!$F:$F,J768,'Level of Efficiency Assumptions'!$I:$I,'Water Use Calcs'!L768)</f>
        <v>0.25</v>
      </c>
      <c r="N768" s="577"/>
      <c r="O768" s="1048">
        <f>SUMIFS('Detailed Fixture Data'!O:O,'Detailed Fixture Data'!C:C,G768,'Detailed Fixture Data'!E:E,I768,'Detailed Fixture Data'!F:F,J768,'Detailed Fixture Data'!L:L,L768)</f>
        <v>0</v>
      </c>
      <c r="P768" s="1049"/>
      <c r="Q768" s="577"/>
      <c r="R768" s="1039"/>
      <c r="S768" s="521"/>
      <c r="T768" s="225"/>
      <c r="U768" s="521"/>
      <c r="V768" s="1040"/>
      <c r="W768" s="1041"/>
    </row>
    <row r="769" spans="3:23" ht="15" thickBot="1" x14ac:dyDescent="0.35">
      <c r="C769" s="576"/>
      <c r="D769" s="494" t="s">
        <v>16</v>
      </c>
      <c r="E769" s="494"/>
      <c r="F769" s="181"/>
      <c r="G769" s="494" t="s">
        <v>96</v>
      </c>
      <c r="H769" s="577"/>
      <c r="I769" s="451" t="s">
        <v>38</v>
      </c>
      <c r="J769" s="116" t="s">
        <v>20</v>
      </c>
      <c r="K769" s="116"/>
      <c r="L769" s="1042" t="s">
        <v>66</v>
      </c>
      <c r="M769" s="1043">
        <f>SUMIFS('Level of Efficiency Assumptions'!$J:$J,'Level of Efficiency Assumptions'!$D:$D,I769,'Level of Efficiency Assumptions'!$F:$F,J769,'Level of Efficiency Assumptions'!$I:$I,'Water Use Calcs'!L769)</f>
        <v>0.12</v>
      </c>
      <c r="N769" s="577"/>
      <c r="O769" s="1048">
        <f>SUMIFS('Detailed Fixture Data'!O:O,'Detailed Fixture Data'!C:C,G769,'Detailed Fixture Data'!E:E,I769,'Detailed Fixture Data'!F:F,J769,'Detailed Fixture Data'!L:L,L769)</f>
        <v>0</v>
      </c>
      <c r="P769" s="1049"/>
      <c r="Q769" s="577"/>
      <c r="R769" s="1039"/>
      <c r="S769" s="618"/>
      <c r="T769" s="225"/>
      <c r="U769" s="618"/>
      <c r="V769" s="1045"/>
      <c r="W769" s="1046"/>
    </row>
    <row r="770" spans="3:23" x14ac:dyDescent="0.3">
      <c r="C770" s="576"/>
      <c r="D770" s="494" t="s">
        <v>16</v>
      </c>
      <c r="E770" s="494"/>
      <c r="F770" s="181"/>
      <c r="G770" s="494" t="s">
        <v>96</v>
      </c>
      <c r="H770" s="651" t="str">
        <f>I770</f>
        <v>Maintenance</v>
      </c>
      <c r="I770" s="450" t="s">
        <v>43</v>
      </c>
      <c r="J770" s="577" t="s">
        <v>111</v>
      </c>
      <c r="K770" s="217" t="s">
        <v>424</v>
      </c>
      <c r="L770" s="1047" t="s">
        <v>64</v>
      </c>
      <c r="M770" s="1036">
        <f>SUMIFS('Level of Efficiency Assumptions'!$J:$J,'Level of Efficiency Assumptions'!$D:$D,I770,'Level of Efficiency Assumptions'!$F:$F,J770,'Level of Efficiency Assumptions'!$I:$I,'Water Use Calcs'!L770)</f>
        <v>100</v>
      </c>
      <c r="N770" s="567" t="s">
        <v>659</v>
      </c>
      <c r="O770" s="1048">
        <f>SUMIFS('Detailed Fixture Data'!O:O,'Detailed Fixture Data'!C:C,G770,'Detailed Fixture Data'!E:E,I770,'Detailed Fixture Data'!F:F,J770,'Detailed Fixture Data'!L:L,L770)</f>
        <v>0</v>
      </c>
      <c r="P770" s="1030">
        <f>SUMIFS('Intensity of Use Assumptions'!$J:$J,'Intensity of Use Assumptions'!$D:$D,I770,'Intensity of Use Assumptions'!$G:$G,J770,'Intensity of Use Assumptions'!H:H,K770)</f>
        <v>1</v>
      </c>
      <c r="Q770" s="567" t="s">
        <v>67</v>
      </c>
      <c r="R770" s="1032">
        <f>(SUMPRODUCT(M770:M772,O770:O772)*P770)</f>
        <v>0</v>
      </c>
      <c r="S770" s="1033">
        <f>IF(R770=0,0,M772*P770)</f>
        <v>0</v>
      </c>
      <c r="T770" s="225" t="str">
        <f>G770&amp;"-"&amp;J770</f>
        <v>Hotel A-Boiler</v>
      </c>
      <c r="U770" s="1034">
        <f ca="1">IF(ISNA(VLOOKUP(T770,list!$AV$3:$AW$130,2,FALSE)),1,(VLOOKUP(T770,list!$AV$3:$AW$130,2,FALSE)))</f>
        <v>1</v>
      </c>
      <c r="V770" s="1033">
        <f ca="1">R770*U770</f>
        <v>0</v>
      </c>
      <c r="W770" s="1033">
        <f ca="1">S770*U770</f>
        <v>0</v>
      </c>
    </row>
    <row r="771" spans="3:23" x14ac:dyDescent="0.3">
      <c r="C771" s="576"/>
      <c r="D771" s="494" t="s">
        <v>16</v>
      </c>
      <c r="E771" s="494"/>
      <c r="F771" s="181"/>
      <c r="G771" s="494" t="s">
        <v>96</v>
      </c>
      <c r="H771" s="577"/>
      <c r="I771" s="450" t="s">
        <v>43</v>
      </c>
      <c r="J771" s="577" t="s">
        <v>111</v>
      </c>
      <c r="K771" s="382"/>
      <c r="L771" s="1035" t="s">
        <v>65</v>
      </c>
      <c r="M771" s="1036">
        <f>SUMIFS('Level of Efficiency Assumptions'!$J:$J,'Level of Efficiency Assumptions'!$D:$D,I771,'Level of Efficiency Assumptions'!$F:$F,J771,'Level of Efficiency Assumptions'!$I:$I,'Water Use Calcs'!L771)</f>
        <v>75</v>
      </c>
      <c r="N771" s="577"/>
      <c r="O771" s="1048">
        <f>SUMIFS('Detailed Fixture Data'!O:O,'Detailed Fixture Data'!C:C,G771,'Detailed Fixture Data'!E:E,I771,'Detailed Fixture Data'!F:F,J771,'Detailed Fixture Data'!L:L,L771)</f>
        <v>0</v>
      </c>
      <c r="P771" s="1049"/>
      <c r="Q771" s="577"/>
      <c r="R771" s="1039"/>
      <c r="S771" s="521"/>
      <c r="T771" s="225"/>
      <c r="U771" s="521"/>
      <c r="V771" s="1040"/>
      <c r="W771" s="1041"/>
    </row>
    <row r="772" spans="3:23" ht="15" thickBot="1" x14ac:dyDescent="0.35">
      <c r="C772" s="576"/>
      <c r="D772" s="494" t="s">
        <v>16</v>
      </c>
      <c r="E772" s="494"/>
      <c r="F772" s="181"/>
      <c r="G772" s="494" t="s">
        <v>96</v>
      </c>
      <c r="H772" s="577"/>
      <c r="I772" s="450" t="s">
        <v>43</v>
      </c>
      <c r="J772" s="116" t="s">
        <v>111</v>
      </c>
      <c r="K772" s="116"/>
      <c r="L772" s="1042" t="s">
        <v>66</v>
      </c>
      <c r="M772" s="1043">
        <f>SUMIFS('Level of Efficiency Assumptions'!$J:$J,'Level of Efficiency Assumptions'!$D:$D,I772,'Level of Efficiency Assumptions'!$F:$F,J772,'Level of Efficiency Assumptions'!$I:$I,'Water Use Calcs'!L772)</f>
        <v>50</v>
      </c>
      <c r="N772" s="577"/>
      <c r="O772" s="1048">
        <f>SUMIFS('Detailed Fixture Data'!O:O,'Detailed Fixture Data'!C:C,G772,'Detailed Fixture Data'!E:E,I772,'Detailed Fixture Data'!F:F,J772,'Detailed Fixture Data'!L:L,L772)</f>
        <v>0</v>
      </c>
      <c r="P772" s="1049"/>
      <c r="Q772" s="577"/>
      <c r="R772" s="1039"/>
      <c r="S772" s="618"/>
      <c r="T772" s="225"/>
      <c r="U772" s="618"/>
      <c r="V772" s="1045"/>
      <c r="W772" s="1046"/>
    </row>
    <row r="773" spans="3:23" x14ac:dyDescent="0.3">
      <c r="C773" s="576"/>
      <c r="D773" s="494" t="s">
        <v>16</v>
      </c>
      <c r="E773" s="494"/>
      <c r="F773" s="181"/>
      <c r="G773" s="494" t="s">
        <v>96</v>
      </c>
      <c r="H773" s="577"/>
      <c r="I773" s="450" t="s">
        <v>43</v>
      </c>
      <c r="J773" s="577" t="s">
        <v>7</v>
      </c>
      <c r="K773" s="215" t="s">
        <v>365</v>
      </c>
      <c r="L773" s="1012" t="s">
        <v>257</v>
      </c>
      <c r="M773" s="1050"/>
      <c r="N773" s="1050"/>
      <c r="O773" s="1050"/>
      <c r="P773" s="1051"/>
      <c r="Q773" s="981"/>
      <c r="R773" s="1052">
        <f>SUMIFS('Cooling Data'!H:H,'Cooling Data'!$C:$C,$G773,'Cooling Data'!$E:$E,$I773,'Cooling Data'!$F:$F,$J773)</f>
        <v>0</v>
      </c>
      <c r="S773" s="1052">
        <f>SUMIFS('Cooling Data'!J:J,'Cooling Data'!$C:$C,$G773,'Cooling Data'!$E:$E,$I773,'Cooling Data'!$F:$F,$J773)</f>
        <v>0</v>
      </c>
      <c r="T773" s="225" t="str">
        <f>G773&amp;"-"&amp;J773</f>
        <v>Hotel A-Cooling</v>
      </c>
      <c r="U773" s="1034">
        <f ca="1">IF(ISNA(VLOOKUP(T773,list!$AV$3:$AW$130,2,FALSE)),1,(VLOOKUP(T773,list!$AV$3:$AW$130,2,FALSE)))</f>
        <v>1</v>
      </c>
      <c r="V773" s="1033">
        <f ca="1">R773*U773</f>
        <v>0</v>
      </c>
      <c r="W773" s="1033">
        <f ca="1">S773*U773</f>
        <v>0</v>
      </c>
    </row>
    <row r="774" spans="3:23" x14ac:dyDescent="0.3">
      <c r="C774" s="576"/>
      <c r="D774" s="494" t="s">
        <v>16</v>
      </c>
      <c r="E774" s="494"/>
      <c r="F774" s="181"/>
      <c r="G774" s="494" t="s">
        <v>96</v>
      </c>
      <c r="H774" s="577"/>
      <c r="I774" s="450" t="s">
        <v>43</v>
      </c>
      <c r="J774" s="577" t="s">
        <v>7</v>
      </c>
      <c r="K774" s="577"/>
      <c r="L774" s="206"/>
      <c r="M774" s="181"/>
      <c r="N774" s="181"/>
      <c r="O774" s="181"/>
      <c r="P774" s="1053"/>
      <c r="Q774" s="439"/>
      <c r="R774" s="1039"/>
      <c r="S774" s="521"/>
      <c r="T774" s="225"/>
      <c r="U774" s="521"/>
      <c r="V774" s="1040"/>
      <c r="W774" s="1041"/>
    </row>
    <row r="775" spans="3:23" ht="15" thickBot="1" x14ac:dyDescent="0.35">
      <c r="C775" s="576"/>
      <c r="D775" s="494" t="s">
        <v>16</v>
      </c>
      <c r="E775" s="494"/>
      <c r="F775" s="181"/>
      <c r="G775" s="494" t="s">
        <v>96</v>
      </c>
      <c r="H775" s="577"/>
      <c r="I775" s="450" t="s">
        <v>43</v>
      </c>
      <c r="J775" s="116" t="s">
        <v>7</v>
      </c>
      <c r="K775" s="116"/>
      <c r="L775" s="207"/>
      <c r="M775" s="924"/>
      <c r="N775" s="924"/>
      <c r="O775" s="924"/>
      <c r="P775" s="1054"/>
      <c r="Q775" s="606"/>
      <c r="R775" s="1039"/>
      <c r="S775" s="618"/>
      <c r="T775" s="225"/>
      <c r="U775" s="618"/>
      <c r="V775" s="1045"/>
      <c r="W775" s="1046"/>
    </row>
    <row r="776" spans="3:23" x14ac:dyDescent="0.3">
      <c r="C776" s="576"/>
      <c r="D776" s="494" t="s">
        <v>16</v>
      </c>
      <c r="E776" s="494"/>
      <c r="F776" s="181"/>
      <c r="G776" s="494" t="s">
        <v>96</v>
      </c>
      <c r="H776" s="577"/>
      <c r="I776" s="450" t="s">
        <v>43</v>
      </c>
      <c r="J776" s="577" t="s">
        <v>34</v>
      </c>
      <c r="K776" s="577" t="s">
        <v>36</v>
      </c>
      <c r="L776" s="1047" t="s">
        <v>64</v>
      </c>
      <c r="M776" s="1036">
        <f>SUMIFS('Level of Efficiency Assumptions'!$J:$J,'Level of Efficiency Assumptions'!$D:$D,I776,'Level of Efficiency Assumptions'!$F:$F,J776,'Level of Efficiency Assumptions'!$I:$I,'Water Use Calcs'!L776)</f>
        <v>10</v>
      </c>
      <c r="N776" s="567" t="s">
        <v>661</v>
      </c>
      <c r="O776" s="1048">
        <f>SUMIFS('Detailed Fixture Data'!O:O,'Detailed Fixture Data'!C:C,G776,'Detailed Fixture Data'!E:E,I776,'Detailed Fixture Data'!F:F,J776,'Detailed Fixture Data'!L:L,L776)</f>
        <v>0</v>
      </c>
      <c r="P776" s="1030">
        <f>SUMIFS('Intensity of Use Assumptions'!$J:$J,'Intensity of Use Assumptions'!$D:$D,I776,'Intensity of Use Assumptions'!$G:$G,J776,'Intensity of Use Assumptions'!H:H,K776)</f>
        <v>1</v>
      </c>
      <c r="Q776" s="567" t="s">
        <v>67</v>
      </c>
      <c r="R776" s="1032">
        <f>(SUMPRODUCT(M776:M778,O776:O778)*P776)</f>
        <v>0</v>
      </c>
      <c r="S776" s="1033">
        <f>IF(R776=0,0,M778*P776)</f>
        <v>0</v>
      </c>
      <c r="T776" s="225" t="str">
        <f>G776&amp;"-"&amp;J776</f>
        <v>Hotel A-Swimming Pool</v>
      </c>
      <c r="U776" s="1034">
        <f ca="1">IF(ISNA(VLOOKUP(T776,list!$AV$3:$AW$130,2,FALSE)),1,(VLOOKUP(T776,list!$AV$3:$AW$130,2,FALSE)))</f>
        <v>1</v>
      </c>
      <c r="V776" s="1033">
        <f ca="1">R776*U776</f>
        <v>0</v>
      </c>
      <c r="W776" s="1033">
        <f ca="1">S776*U776</f>
        <v>0</v>
      </c>
    </row>
    <row r="777" spans="3:23" x14ac:dyDescent="0.3">
      <c r="C777" s="576"/>
      <c r="D777" s="494" t="s">
        <v>16</v>
      </c>
      <c r="E777" s="494"/>
      <c r="F777" s="181"/>
      <c r="G777" s="494" t="s">
        <v>96</v>
      </c>
      <c r="H777" s="577"/>
      <c r="I777" s="450" t="s">
        <v>43</v>
      </c>
      <c r="J777" s="577" t="s">
        <v>34</v>
      </c>
      <c r="K777" s="577"/>
      <c r="L777" s="1035" t="s">
        <v>65</v>
      </c>
      <c r="M777" s="1036">
        <f>SUMIFS('Level of Efficiency Assumptions'!$J:$J,'Level of Efficiency Assumptions'!$D:$D,I777,'Level of Efficiency Assumptions'!$F:$F,J777,'Level of Efficiency Assumptions'!$I:$I,'Water Use Calcs'!L777)</f>
        <v>7.5</v>
      </c>
      <c r="N777" s="577"/>
      <c r="O777" s="1048">
        <f>SUMIFS('Detailed Fixture Data'!O:O,'Detailed Fixture Data'!C:C,G777,'Detailed Fixture Data'!E:E,I777,'Detailed Fixture Data'!F:F,J777,'Detailed Fixture Data'!L:L,L777)</f>
        <v>0</v>
      </c>
      <c r="P777" s="1049"/>
      <c r="Q777" s="577"/>
      <c r="R777" s="1039"/>
      <c r="S777" s="521"/>
      <c r="T777" s="225"/>
      <c r="U777" s="521"/>
      <c r="V777" s="1040"/>
      <c r="W777" s="1041"/>
    </row>
    <row r="778" spans="3:23" ht="15" thickBot="1" x14ac:dyDescent="0.35">
      <c r="C778" s="576"/>
      <c r="D778" s="494" t="s">
        <v>16</v>
      </c>
      <c r="E778" s="494"/>
      <c r="F778" s="181"/>
      <c r="G778" s="494" t="s">
        <v>96</v>
      </c>
      <c r="H778" s="577"/>
      <c r="I778" s="450" t="s">
        <v>43</v>
      </c>
      <c r="J778" s="116" t="s">
        <v>34</v>
      </c>
      <c r="K778" s="116"/>
      <c r="L778" s="1042" t="s">
        <v>66</v>
      </c>
      <c r="M778" s="1043">
        <f>SUMIFS('Level of Efficiency Assumptions'!$J:$J,'Level of Efficiency Assumptions'!$D:$D,I778,'Level of Efficiency Assumptions'!$F:$F,J778,'Level of Efficiency Assumptions'!$I:$I,'Water Use Calcs'!L778)</f>
        <v>5</v>
      </c>
      <c r="N778" s="577"/>
      <c r="O778" s="1048">
        <f>SUMIFS('Detailed Fixture Data'!O:O,'Detailed Fixture Data'!C:C,G778,'Detailed Fixture Data'!E:E,I778,'Detailed Fixture Data'!F:F,J778,'Detailed Fixture Data'!L:L,L778)</f>
        <v>0</v>
      </c>
      <c r="P778" s="1049"/>
      <c r="Q778" s="577"/>
      <c r="R778" s="1039"/>
      <c r="S778" s="618"/>
      <c r="T778" s="225"/>
      <c r="U778" s="618"/>
      <c r="V778" s="1045"/>
      <c r="W778" s="1046"/>
    </row>
    <row r="779" spans="3:23" x14ac:dyDescent="0.3">
      <c r="C779" s="576"/>
      <c r="D779" s="494" t="s">
        <v>16</v>
      </c>
      <c r="E779" s="494"/>
      <c r="F779" s="181"/>
      <c r="G779" s="494" t="s">
        <v>96</v>
      </c>
      <c r="H779" s="577"/>
      <c r="I779" s="450" t="s">
        <v>43</v>
      </c>
      <c r="J779" s="577" t="s">
        <v>35</v>
      </c>
      <c r="K779" s="577" t="s">
        <v>36</v>
      </c>
      <c r="L779" s="1047" t="s">
        <v>64</v>
      </c>
      <c r="M779" s="1036">
        <f>SUMIFS('Level of Efficiency Assumptions'!$J:$J,'Level of Efficiency Assumptions'!$D:$D,I779,'Level of Efficiency Assumptions'!$F:$F,J779,'Level of Efficiency Assumptions'!$I:$I,'Water Use Calcs'!L779)</f>
        <v>0</v>
      </c>
      <c r="N779" s="567" t="s">
        <v>588</v>
      </c>
      <c r="O779" s="1048">
        <f>SUMIFS('Detailed Fixture Data'!O:O,'Detailed Fixture Data'!C:C,G779,'Detailed Fixture Data'!E:E,I779,'Detailed Fixture Data'!F:F,J779,'Detailed Fixture Data'!L:L,L779)</f>
        <v>0</v>
      </c>
      <c r="P779" s="1030">
        <f>SUMIFS('Intensity of Use Assumptions'!$J:$J,'Intensity of Use Assumptions'!$D:$D,I779,'Intensity of Use Assumptions'!$G:$G,J779,'Intensity of Use Assumptions'!H:H,K779)</f>
        <v>0</v>
      </c>
      <c r="Q779" s="567" t="s">
        <v>67</v>
      </c>
      <c r="R779" s="1032">
        <f>(SUMPRODUCT(M779:M781,O779:O781)*P779)</f>
        <v>0</v>
      </c>
      <c r="S779" s="1033">
        <f>IF(R779=0,0,M781*P779)</f>
        <v>0</v>
      </c>
      <c r="T779" s="225" t="str">
        <f>G779&amp;"-"&amp;J779</f>
        <v>Hotel A-Spas</v>
      </c>
      <c r="U779" s="1034">
        <f ca="1">IF(ISNA(VLOOKUP(T779,list!$AV$3:$AW$130,2,FALSE)),1,(VLOOKUP(T779,list!$AV$3:$AW$130,2,FALSE)))</f>
        <v>1</v>
      </c>
      <c r="V779" s="1033">
        <f ca="1">R779*U779</f>
        <v>0</v>
      </c>
      <c r="W779" s="1033">
        <f ca="1">S779*U779</f>
        <v>0</v>
      </c>
    </row>
    <row r="780" spans="3:23" x14ac:dyDescent="0.3">
      <c r="C780" s="576"/>
      <c r="D780" s="494" t="s">
        <v>16</v>
      </c>
      <c r="E780" s="494"/>
      <c r="F780" s="181"/>
      <c r="G780" s="494" t="s">
        <v>96</v>
      </c>
      <c r="H780" s="577"/>
      <c r="I780" s="450" t="s">
        <v>43</v>
      </c>
      <c r="J780" s="577" t="s">
        <v>35</v>
      </c>
      <c r="K780" s="577"/>
      <c r="L780" s="1035" t="s">
        <v>65</v>
      </c>
      <c r="M780" s="1036">
        <f>SUMIFS('Level of Efficiency Assumptions'!$J:$J,'Level of Efficiency Assumptions'!$D:$D,I780,'Level of Efficiency Assumptions'!$F:$F,J780,'Level of Efficiency Assumptions'!$I:$I,'Water Use Calcs'!L780)</f>
        <v>0</v>
      </c>
      <c r="N780" s="577"/>
      <c r="O780" s="1048">
        <f>SUMIFS('Detailed Fixture Data'!O:O,'Detailed Fixture Data'!C:C,G780,'Detailed Fixture Data'!E:E,I780,'Detailed Fixture Data'!F:F,J780,'Detailed Fixture Data'!L:L,L780)</f>
        <v>0</v>
      </c>
      <c r="P780" s="1049"/>
      <c r="Q780" s="577"/>
      <c r="R780" s="1039"/>
      <c r="S780" s="521"/>
      <c r="T780" s="225"/>
      <c r="U780" s="521"/>
      <c r="V780" s="1040"/>
      <c r="W780" s="1041"/>
    </row>
    <row r="781" spans="3:23" ht="15" thickBot="1" x14ac:dyDescent="0.35">
      <c r="C781" s="576"/>
      <c r="D781" s="494" t="s">
        <v>16</v>
      </c>
      <c r="E781" s="494"/>
      <c r="F781" s="181"/>
      <c r="G781" s="494" t="s">
        <v>96</v>
      </c>
      <c r="H781" s="577"/>
      <c r="I781" s="450" t="s">
        <v>43</v>
      </c>
      <c r="J781" s="116" t="s">
        <v>35</v>
      </c>
      <c r="K781" s="116"/>
      <c r="L781" s="1042" t="s">
        <v>66</v>
      </c>
      <c r="M781" s="1043">
        <f>SUMIFS('Level of Efficiency Assumptions'!$J:$J,'Level of Efficiency Assumptions'!$D:$D,I781,'Level of Efficiency Assumptions'!$F:$F,J781,'Level of Efficiency Assumptions'!$I:$I,'Water Use Calcs'!L781)</f>
        <v>0</v>
      </c>
      <c r="N781" s="577"/>
      <c r="O781" s="1048">
        <f>SUMIFS('Detailed Fixture Data'!O:O,'Detailed Fixture Data'!C:C,G781,'Detailed Fixture Data'!E:E,I781,'Detailed Fixture Data'!F:F,J781,'Detailed Fixture Data'!L:L,L781)</f>
        <v>0</v>
      </c>
      <c r="P781" s="1049"/>
      <c r="Q781" s="577"/>
      <c r="R781" s="1039"/>
      <c r="S781" s="618"/>
      <c r="T781" s="225"/>
      <c r="U781" s="618"/>
      <c r="V781" s="1045"/>
      <c r="W781" s="1046"/>
    </row>
    <row r="782" spans="3:23" x14ac:dyDescent="0.3">
      <c r="C782" s="576"/>
      <c r="D782" s="494" t="s">
        <v>16</v>
      </c>
      <c r="E782" s="494"/>
      <c r="F782" s="181"/>
      <c r="G782" s="494" t="s">
        <v>96</v>
      </c>
      <c r="H782" s="577"/>
      <c r="I782" s="450" t="s">
        <v>43</v>
      </c>
      <c r="J782" s="577" t="s">
        <v>21</v>
      </c>
      <c r="K782" s="577" t="s">
        <v>17</v>
      </c>
      <c r="L782" s="1047" t="s">
        <v>64</v>
      </c>
      <c r="M782" s="1036">
        <f>SUMIFS('Level of Efficiency Assumptions'!$J:$J,'Level of Efficiency Assumptions'!$D:$D,I782,'Level of Efficiency Assumptions'!$F:$F,J782,'Level of Efficiency Assumptions'!$I:$I,'Water Use Calcs'!L782)</f>
        <v>3.5</v>
      </c>
      <c r="N782" s="567" t="s">
        <v>235</v>
      </c>
      <c r="O782" s="1048">
        <f>SUMIFS('Detailed Fixture Data'!O:O,'Detailed Fixture Data'!C:C,G782,'Detailed Fixture Data'!E:E,I782,'Detailed Fixture Data'!F:F,J782,'Detailed Fixture Data'!L:L,L782)</f>
        <v>0</v>
      </c>
      <c r="P782" s="1030">
        <f>SUMIFS('Intensity of Use Assumptions'!$J:$J,'Intensity of Use Assumptions'!$D:$D,I782,'Intensity of Use Assumptions'!$G:$G,J782,'Intensity of Use Assumptions'!H:H,K782)</f>
        <v>10</v>
      </c>
      <c r="Q782" s="567" t="s">
        <v>236</v>
      </c>
      <c r="R782" s="1032">
        <f>(SUMPRODUCT(M782:M784,O782:O784)*P782)</f>
        <v>0</v>
      </c>
      <c r="S782" s="1033">
        <f>IF(R782=0,0,M784*P782)</f>
        <v>0</v>
      </c>
      <c r="T782" s="225" t="str">
        <f>G782&amp;"-"&amp;J782</f>
        <v>Hotel A-Laundry</v>
      </c>
      <c r="U782" s="1034">
        <f ca="1">IF(ISNA(VLOOKUP(T782,list!$AV$3:$AW$130,2,FALSE)),1,(VLOOKUP(T782,list!$AV$3:$AW$130,2,FALSE)))</f>
        <v>1</v>
      </c>
      <c r="V782" s="1033">
        <f ca="1">R782*U782</f>
        <v>0</v>
      </c>
      <c r="W782" s="1033">
        <f ca="1">S782*U782</f>
        <v>0</v>
      </c>
    </row>
    <row r="783" spans="3:23" x14ac:dyDescent="0.3">
      <c r="C783" s="576"/>
      <c r="D783" s="494" t="s">
        <v>16</v>
      </c>
      <c r="E783" s="494"/>
      <c r="F783" s="181"/>
      <c r="G783" s="494" t="s">
        <v>96</v>
      </c>
      <c r="H783" s="577"/>
      <c r="I783" s="450" t="s">
        <v>43</v>
      </c>
      <c r="J783" s="577" t="s">
        <v>21</v>
      </c>
      <c r="K783" s="577"/>
      <c r="L783" s="1035" t="s">
        <v>65</v>
      </c>
      <c r="M783" s="1036">
        <f>SUMIFS('Level of Efficiency Assumptions'!$J:$J,'Level of Efficiency Assumptions'!$D:$D,I783,'Level of Efficiency Assumptions'!$F:$F,J783,'Level of Efficiency Assumptions'!$I:$I,'Water Use Calcs'!L783)</f>
        <v>2.5</v>
      </c>
      <c r="N783" s="577"/>
      <c r="O783" s="1048">
        <f>SUMIFS('Detailed Fixture Data'!O:O,'Detailed Fixture Data'!C:C,G783,'Detailed Fixture Data'!E:E,I783,'Detailed Fixture Data'!F:F,J783,'Detailed Fixture Data'!L:L,L783)</f>
        <v>0</v>
      </c>
      <c r="P783" s="1049"/>
      <c r="Q783" s="577"/>
      <c r="R783" s="1039"/>
      <c r="S783" s="521"/>
      <c r="T783" s="225"/>
      <c r="U783" s="521"/>
      <c r="V783" s="1040"/>
      <c r="W783" s="1041"/>
    </row>
    <row r="784" spans="3:23" ht="15" thickBot="1" x14ac:dyDescent="0.35">
      <c r="C784" s="576"/>
      <c r="D784" s="494" t="s">
        <v>16</v>
      </c>
      <c r="E784" s="494"/>
      <c r="F784" s="181"/>
      <c r="G784" s="494" t="s">
        <v>96</v>
      </c>
      <c r="H784" s="577"/>
      <c r="I784" s="451" t="s">
        <v>43</v>
      </c>
      <c r="J784" s="116" t="s">
        <v>21</v>
      </c>
      <c r="K784" s="116"/>
      <c r="L784" s="1042" t="s">
        <v>66</v>
      </c>
      <c r="M784" s="1043">
        <f>SUMIFS('Level of Efficiency Assumptions'!$J:$J,'Level of Efficiency Assumptions'!$D:$D,I784,'Level of Efficiency Assumptions'!$F:$F,J784,'Level of Efficiency Assumptions'!$I:$I,'Water Use Calcs'!L784)</f>
        <v>1.5</v>
      </c>
      <c r="N784" s="577"/>
      <c r="O784" s="1048">
        <f>SUMIFS('Detailed Fixture Data'!O:O,'Detailed Fixture Data'!C:C,G784,'Detailed Fixture Data'!E:E,I784,'Detailed Fixture Data'!F:F,J784,'Detailed Fixture Data'!L:L,L784)</f>
        <v>0</v>
      </c>
      <c r="P784" s="1049"/>
      <c r="Q784" s="577"/>
      <c r="R784" s="1039"/>
      <c r="S784" s="618"/>
      <c r="T784" s="225"/>
      <c r="U784" s="618"/>
      <c r="V784" s="1045"/>
      <c r="W784" s="1046"/>
    </row>
    <row r="785" spans="3:23" x14ac:dyDescent="0.3">
      <c r="C785" s="576"/>
      <c r="D785" s="494" t="s">
        <v>16</v>
      </c>
      <c r="E785" s="494"/>
      <c r="F785" s="181"/>
      <c r="G785" s="494" t="s">
        <v>96</v>
      </c>
      <c r="H785" s="651" t="str">
        <f>I785</f>
        <v>Landscaping</v>
      </c>
      <c r="I785" s="450" t="s">
        <v>39</v>
      </c>
      <c r="J785" s="577" t="s">
        <v>42</v>
      </c>
      <c r="K785" s="577" t="s">
        <v>32</v>
      </c>
      <c r="L785" s="1047" t="s">
        <v>64</v>
      </c>
      <c r="M785" s="1036">
        <f>SUMIFS('Level of Efficiency Assumptions'!$J:$J,'Level of Efficiency Assumptions'!$D:$D,I785,'Level of Efficiency Assumptions'!$F:$F,J785,'Level of Efficiency Assumptions'!$I:$I,'Water Use Calcs'!L785)</f>
        <v>28.6</v>
      </c>
      <c r="N785" s="567" t="s">
        <v>816</v>
      </c>
      <c r="O785" s="1048">
        <f>SUMIFS('Detailed Fixture Data'!O:O,'Detailed Fixture Data'!C:C,G785,'Detailed Fixture Data'!E:E,I785,'Detailed Fixture Data'!F:F,J785,'Detailed Fixture Data'!L:L,L785)</f>
        <v>0</v>
      </c>
      <c r="P785" s="1030">
        <f>SUMIFS('Intensity of Use Assumptions'!$J:$J,'Intensity of Use Assumptions'!$D:$D,I785,'Intensity of Use Assumptions'!$G:$G,J785,'Intensity of Use Assumptions'!H:H,K785,'Intensity of Use Assumptions'!F:F,D785)</f>
        <v>2.7397260273972603E-3</v>
      </c>
      <c r="Q785" s="567" t="s">
        <v>815</v>
      </c>
      <c r="R785" s="1032">
        <f>(SUMPRODUCT(M785:M787,O785:O787)*P785)</f>
        <v>0</v>
      </c>
      <c r="S785" s="1033">
        <f>IF(R785=0,0,M787*P785)</f>
        <v>0</v>
      </c>
      <c r="T785" s="225" t="str">
        <f>G785&amp;"-"&amp;J785</f>
        <v>Hotel A-Outdoor irrigation</v>
      </c>
      <c r="U785" s="1034">
        <f ca="1">IF(ISNA(VLOOKUP(T785,list!$AV$3:$AW$130,2,FALSE)),1,(VLOOKUP(T785,list!$AV$3:$AW$130,2,FALSE)))</f>
        <v>1</v>
      </c>
      <c r="V785" s="1033">
        <f ca="1">R785*U785</f>
        <v>0</v>
      </c>
      <c r="W785" s="1033">
        <f ca="1">S785*U785</f>
        <v>0</v>
      </c>
    </row>
    <row r="786" spans="3:23" x14ac:dyDescent="0.3">
      <c r="C786" s="576"/>
      <c r="D786" s="494" t="s">
        <v>16</v>
      </c>
      <c r="E786" s="494"/>
      <c r="F786" s="181"/>
      <c r="G786" s="494" t="s">
        <v>96</v>
      </c>
      <c r="H786" s="577"/>
      <c r="I786" s="450" t="s">
        <v>39</v>
      </c>
      <c r="J786" s="577" t="s">
        <v>42</v>
      </c>
      <c r="K786" s="577"/>
      <c r="L786" s="1035" t="s">
        <v>65</v>
      </c>
      <c r="M786" s="1036">
        <f>SUMIFS('Level of Efficiency Assumptions'!$J:$J,'Level of Efficiency Assumptions'!$D:$D,I786,'Level of Efficiency Assumptions'!$F:$F,J786,'Level of Efficiency Assumptions'!$I:$I,'Water Use Calcs'!L786)</f>
        <v>13.980821518350929</v>
      </c>
      <c r="N786" s="577"/>
      <c r="O786" s="1048">
        <f>SUMIFS('Detailed Fixture Data'!O:O,'Detailed Fixture Data'!C:C,G786,'Detailed Fixture Data'!E:E,I786,'Detailed Fixture Data'!F:F,J786,'Detailed Fixture Data'!L:L,L786)</f>
        <v>0</v>
      </c>
      <c r="P786" s="1049"/>
      <c r="Q786" s="577"/>
      <c r="R786" s="1039"/>
      <c r="S786" s="521"/>
      <c r="T786" s="225"/>
      <c r="U786" s="521"/>
      <c r="V786" s="1040"/>
      <c r="W786" s="1041"/>
    </row>
    <row r="787" spans="3:23" ht="15" thickBot="1" x14ac:dyDescent="0.35">
      <c r="C787" s="576"/>
      <c r="D787" s="494" t="s">
        <v>16</v>
      </c>
      <c r="E787" s="494"/>
      <c r="F787" s="181"/>
      <c r="G787" s="494" t="s">
        <v>96</v>
      </c>
      <c r="H787" s="577"/>
      <c r="I787" s="451" t="s">
        <v>39</v>
      </c>
      <c r="J787" s="116" t="s">
        <v>42</v>
      </c>
      <c r="K787" s="116"/>
      <c r="L787" s="1042" t="s">
        <v>66</v>
      </c>
      <c r="M787" s="1043">
        <f>SUMIFS('Level of Efficiency Assumptions'!$J:$J,'Level of Efficiency Assumptions'!$D:$D,I787,'Level of Efficiency Assumptions'!$F:$F,J787,'Level of Efficiency Assumptions'!$I:$I,'Water Use Calcs'!L787)</f>
        <v>0.59137254901960778</v>
      </c>
      <c r="N787" s="577"/>
      <c r="O787" s="1048">
        <f>SUMIFS('Detailed Fixture Data'!O:O,'Detailed Fixture Data'!C:C,G787,'Detailed Fixture Data'!E:E,I787,'Detailed Fixture Data'!F:F,J787,'Detailed Fixture Data'!L:L,L787)</f>
        <v>0</v>
      </c>
      <c r="P787" s="1049"/>
      <c r="Q787" s="577"/>
      <c r="R787" s="1039"/>
      <c r="S787" s="618"/>
      <c r="T787" s="225"/>
      <c r="U787" s="618"/>
      <c r="V787" s="1045"/>
      <c r="W787" s="1046"/>
    </row>
    <row r="788" spans="3:23" x14ac:dyDescent="0.3">
      <c r="C788" s="576"/>
      <c r="D788" s="494" t="s">
        <v>16</v>
      </c>
      <c r="E788" s="494"/>
      <c r="F788" s="181"/>
      <c r="G788" s="494" t="s">
        <v>96</v>
      </c>
      <c r="H788" s="651" t="str">
        <f>I788</f>
        <v>Other</v>
      </c>
      <c r="I788" s="450" t="s">
        <v>8</v>
      </c>
      <c r="J788" s="577" t="s">
        <v>52</v>
      </c>
      <c r="K788" s="387" t="s">
        <v>362</v>
      </c>
      <c r="L788" s="1047" t="s">
        <v>64</v>
      </c>
      <c r="M788" s="1036">
        <f>SUMIFS('Level of Efficiency Assumptions'!$J:$J,'Level of Efficiency Assumptions'!$D:$D,I788,'Level of Efficiency Assumptions'!$F:$F,J788,'Level of Efficiency Assumptions'!$I:$I,'Water Use Calcs'!L788)</f>
        <v>10</v>
      </c>
      <c r="N788" s="567" t="s">
        <v>660</v>
      </c>
      <c r="O788" s="1048">
        <f>SUMIFS('Detailed Fixture Data'!O:O,'Detailed Fixture Data'!C:C,G788,'Detailed Fixture Data'!E:E,I788,'Detailed Fixture Data'!F:F,J788,'Detailed Fixture Data'!L:L,L788)</f>
        <v>0</v>
      </c>
      <c r="P788" s="1030">
        <f>SUMIFS('Intensity of Use Assumptions'!$J:$J,'Intensity of Use Assumptions'!$D:$D,I788,'Intensity of Use Assumptions'!$G:$G,J788,'Intensity of Use Assumptions'!H:H,K788)</f>
        <v>1</v>
      </c>
      <c r="Q788" s="567" t="s">
        <v>67</v>
      </c>
      <c r="R788" s="1032">
        <f>(SUMPRODUCT(M788:M790,O788:O790)*P788)</f>
        <v>0</v>
      </c>
      <c r="S788" s="1033">
        <f>IF(R788=0,0,M790*P788)</f>
        <v>0</v>
      </c>
      <c r="T788" s="225" t="str">
        <f>G788&amp;"-"&amp;J788</f>
        <v>Hotel A-Other 1</v>
      </c>
      <c r="U788" s="1034">
        <f ca="1">IF(ISNA(VLOOKUP(T788,list!$AV$3:$AW$130,2,FALSE)),1,(VLOOKUP(T788,list!$AV$3:$AW$130,2,FALSE)))</f>
        <v>1</v>
      </c>
      <c r="V788" s="1033">
        <f ca="1">R788*U788</f>
        <v>0</v>
      </c>
      <c r="W788" s="1033">
        <f ca="1">S788*U788</f>
        <v>0</v>
      </c>
    </row>
    <row r="789" spans="3:23" x14ac:dyDescent="0.3">
      <c r="C789" s="576"/>
      <c r="D789" s="494" t="s">
        <v>16</v>
      </c>
      <c r="E789" s="494"/>
      <c r="F789" s="181"/>
      <c r="G789" s="494" t="s">
        <v>96</v>
      </c>
      <c r="H789" s="577"/>
      <c r="I789" s="450" t="s">
        <v>8</v>
      </c>
      <c r="J789" s="577" t="s">
        <v>52</v>
      </c>
      <c r="K789" s="382"/>
      <c r="L789" s="1035" t="s">
        <v>65</v>
      </c>
      <c r="M789" s="1036">
        <f>SUMIFS('Level of Efficiency Assumptions'!$J:$J,'Level of Efficiency Assumptions'!$D:$D,I789,'Level of Efficiency Assumptions'!$F:$F,J789,'Level of Efficiency Assumptions'!$I:$I,'Water Use Calcs'!L789)</f>
        <v>7.5</v>
      </c>
      <c r="N789" s="577"/>
      <c r="O789" s="1048">
        <f>SUMIFS('Detailed Fixture Data'!O:O,'Detailed Fixture Data'!C:C,G789,'Detailed Fixture Data'!E:E,I789,'Detailed Fixture Data'!F:F,J789,'Detailed Fixture Data'!L:L,L789)</f>
        <v>0</v>
      </c>
      <c r="P789" s="1049"/>
      <c r="Q789" s="577"/>
      <c r="R789" s="1039"/>
      <c r="S789" s="521"/>
      <c r="T789" s="225"/>
      <c r="U789" s="521"/>
      <c r="V789" s="1040"/>
      <c r="W789" s="1041"/>
    </row>
    <row r="790" spans="3:23" ht="15" thickBot="1" x14ac:dyDescent="0.35">
      <c r="C790" s="576"/>
      <c r="D790" s="494" t="s">
        <v>16</v>
      </c>
      <c r="E790" s="494"/>
      <c r="F790" s="181"/>
      <c r="G790" s="494" t="s">
        <v>96</v>
      </c>
      <c r="H790" s="577"/>
      <c r="I790" s="450" t="s">
        <v>8</v>
      </c>
      <c r="J790" s="116" t="s">
        <v>52</v>
      </c>
      <c r="K790" s="382"/>
      <c r="L790" s="1042" t="s">
        <v>66</v>
      </c>
      <c r="M790" s="1043">
        <f>SUMIFS('Level of Efficiency Assumptions'!$J:$J,'Level of Efficiency Assumptions'!$D:$D,I790,'Level of Efficiency Assumptions'!$F:$F,J790,'Level of Efficiency Assumptions'!$I:$I,'Water Use Calcs'!L790)</f>
        <v>5</v>
      </c>
      <c r="N790" s="577"/>
      <c r="O790" s="1048">
        <f>SUMIFS('Detailed Fixture Data'!O:O,'Detailed Fixture Data'!C:C,G790,'Detailed Fixture Data'!E:E,I790,'Detailed Fixture Data'!F:F,J790,'Detailed Fixture Data'!L:L,L790)</f>
        <v>0</v>
      </c>
      <c r="P790" s="1049"/>
      <c r="Q790" s="577"/>
      <c r="R790" s="1039"/>
      <c r="S790" s="618"/>
      <c r="T790" s="225"/>
      <c r="U790" s="618"/>
      <c r="V790" s="1045"/>
      <c r="W790" s="1046"/>
    </row>
    <row r="791" spans="3:23" x14ac:dyDescent="0.3">
      <c r="C791" s="576"/>
      <c r="D791" s="494" t="s">
        <v>16</v>
      </c>
      <c r="E791" s="494"/>
      <c r="F791" s="181"/>
      <c r="G791" s="494" t="s">
        <v>96</v>
      </c>
      <c r="H791" s="577"/>
      <c r="I791" s="450" t="s">
        <v>8</v>
      </c>
      <c r="J791" s="577" t="s">
        <v>53</v>
      </c>
      <c r="K791" s="1055" t="s">
        <v>363</v>
      </c>
      <c r="L791" s="1047" t="s">
        <v>64</v>
      </c>
      <c r="M791" s="1036">
        <f>SUMIFS('Level of Efficiency Assumptions'!$J:$J,'Level of Efficiency Assumptions'!$D:$D,I791,'Level of Efficiency Assumptions'!$F:$F,J791,'Level of Efficiency Assumptions'!$I:$I,'Water Use Calcs'!L791)</f>
        <v>10</v>
      </c>
      <c r="N791" s="567" t="s">
        <v>660</v>
      </c>
      <c r="O791" s="1048">
        <f>SUMIFS('Detailed Fixture Data'!O:O,'Detailed Fixture Data'!C:C,G791,'Detailed Fixture Data'!E:E,I791,'Detailed Fixture Data'!F:F,J791,'Detailed Fixture Data'!L:L,L791)</f>
        <v>0</v>
      </c>
      <c r="P791" s="1030">
        <f>SUMIFS('Intensity of Use Assumptions'!$J:$J,'Intensity of Use Assumptions'!$D:$D,I791,'Intensity of Use Assumptions'!$G:$G,J791,'Intensity of Use Assumptions'!H:H,K791)</f>
        <v>1</v>
      </c>
      <c r="Q791" s="567" t="s">
        <v>67</v>
      </c>
      <c r="R791" s="1032">
        <f>(SUMPRODUCT(M791:M793,O791:O793)*P791)</f>
        <v>0</v>
      </c>
      <c r="S791" s="1033">
        <f>IF(R791=0,0,M793*P791)</f>
        <v>0</v>
      </c>
      <c r="T791" s="225" t="str">
        <f>G791&amp;"-"&amp;J791</f>
        <v>Hotel A-Other 2</v>
      </c>
      <c r="U791" s="1034">
        <f ca="1">IF(ISNA(VLOOKUP(T791,list!$AV$3:$AW$130,2,FALSE)),1,(VLOOKUP(T791,list!$AV$3:$AW$130,2,FALSE)))</f>
        <v>1</v>
      </c>
      <c r="V791" s="1033">
        <f ca="1">R791*U791</f>
        <v>0</v>
      </c>
      <c r="W791" s="1033">
        <f ca="1">S791*U791</f>
        <v>0</v>
      </c>
    </row>
    <row r="792" spans="3:23" x14ac:dyDescent="0.3">
      <c r="C792" s="576"/>
      <c r="D792" s="494" t="s">
        <v>16</v>
      </c>
      <c r="E792" s="494"/>
      <c r="F792" s="181"/>
      <c r="G792" s="494" t="s">
        <v>96</v>
      </c>
      <c r="H792" s="577"/>
      <c r="I792" s="450" t="s">
        <v>8</v>
      </c>
      <c r="J792" s="577" t="s">
        <v>53</v>
      </c>
      <c r="K792" s="577"/>
      <c r="L792" s="1035" t="s">
        <v>65</v>
      </c>
      <c r="M792" s="1036">
        <f>SUMIFS('Level of Efficiency Assumptions'!$J:$J,'Level of Efficiency Assumptions'!$D:$D,I792,'Level of Efficiency Assumptions'!$F:$F,J792,'Level of Efficiency Assumptions'!$I:$I,'Water Use Calcs'!L792)</f>
        <v>7.5</v>
      </c>
      <c r="N792" s="577"/>
      <c r="O792" s="1048">
        <f>SUMIFS('Detailed Fixture Data'!O:O,'Detailed Fixture Data'!C:C,G792,'Detailed Fixture Data'!E:E,I792,'Detailed Fixture Data'!F:F,J792,'Detailed Fixture Data'!L:L,L792)</f>
        <v>0</v>
      </c>
      <c r="P792" s="1049"/>
      <c r="Q792" s="577"/>
      <c r="R792" s="1039"/>
      <c r="S792" s="521"/>
      <c r="T792" s="225"/>
      <c r="U792" s="521"/>
      <c r="V792" s="1040"/>
      <c r="W792" s="1041"/>
    </row>
    <row r="793" spans="3:23" ht="15" thickBot="1" x14ac:dyDescent="0.35">
      <c r="C793" s="576"/>
      <c r="D793" s="494" t="s">
        <v>16</v>
      </c>
      <c r="E793" s="494"/>
      <c r="F793" s="181"/>
      <c r="G793" s="494" t="s">
        <v>96</v>
      </c>
      <c r="H793" s="577"/>
      <c r="I793" s="450" t="s">
        <v>8</v>
      </c>
      <c r="J793" s="116" t="s">
        <v>53</v>
      </c>
      <c r="K793" s="116"/>
      <c r="L793" s="1042" t="s">
        <v>66</v>
      </c>
      <c r="M793" s="1043">
        <f>SUMIFS('Level of Efficiency Assumptions'!$J:$J,'Level of Efficiency Assumptions'!$D:$D,I793,'Level of Efficiency Assumptions'!$F:$F,J793,'Level of Efficiency Assumptions'!$I:$I,'Water Use Calcs'!L793)</f>
        <v>5</v>
      </c>
      <c r="N793" s="577"/>
      <c r="O793" s="1048">
        <f>SUMIFS('Detailed Fixture Data'!O:O,'Detailed Fixture Data'!C:C,G793,'Detailed Fixture Data'!E:E,I793,'Detailed Fixture Data'!F:F,J793,'Detailed Fixture Data'!L:L,L793)</f>
        <v>0</v>
      </c>
      <c r="P793" s="1049"/>
      <c r="Q793" s="577"/>
      <c r="R793" s="1039"/>
      <c r="S793" s="618"/>
      <c r="T793" s="225"/>
      <c r="U793" s="618"/>
      <c r="V793" s="1045"/>
      <c r="W793" s="1046"/>
    </row>
    <row r="794" spans="3:23" x14ac:dyDescent="0.3">
      <c r="C794" s="576"/>
      <c r="D794" s="494" t="s">
        <v>16</v>
      </c>
      <c r="E794" s="494"/>
      <c r="F794" s="181"/>
      <c r="G794" s="494" t="s">
        <v>96</v>
      </c>
      <c r="H794" s="577"/>
      <c r="I794" s="450" t="s">
        <v>8</v>
      </c>
      <c r="J794" s="577" t="s">
        <v>54</v>
      </c>
      <c r="K794" s="379" t="s">
        <v>364</v>
      </c>
      <c r="L794" s="1047" t="s">
        <v>64</v>
      </c>
      <c r="M794" s="1036">
        <f>SUMIFS('Level of Efficiency Assumptions'!$J:$J,'Level of Efficiency Assumptions'!$D:$D,I794,'Level of Efficiency Assumptions'!$F:$F,J794,'Level of Efficiency Assumptions'!$I:$I,'Water Use Calcs'!L794)</f>
        <v>10</v>
      </c>
      <c r="N794" s="567" t="s">
        <v>660</v>
      </c>
      <c r="O794" s="1048">
        <f>SUMIFS('Detailed Fixture Data'!O:O,'Detailed Fixture Data'!C:C,G794,'Detailed Fixture Data'!E:E,I794,'Detailed Fixture Data'!F:F,J794,'Detailed Fixture Data'!L:L,L794)</f>
        <v>0</v>
      </c>
      <c r="P794" s="1030">
        <f>SUMIFS('Intensity of Use Assumptions'!$J:$J,'Intensity of Use Assumptions'!$D:$D,I794,'Intensity of Use Assumptions'!$G:$G,J794,'Intensity of Use Assumptions'!H:H,K794)</f>
        <v>1</v>
      </c>
      <c r="Q794" s="567" t="s">
        <v>67</v>
      </c>
      <c r="R794" s="1032">
        <f>(SUMPRODUCT(M794:M796,O794:O796)*P794)</f>
        <v>0</v>
      </c>
      <c r="S794" s="1033">
        <f>IF(R794=0,0,M796*P794)</f>
        <v>0</v>
      </c>
      <c r="T794" s="225" t="str">
        <f>G794&amp;"-"&amp;J794</f>
        <v>Hotel A-Other 3</v>
      </c>
      <c r="U794" s="1034">
        <f ca="1">IF(ISNA(VLOOKUP(T794,list!$AV$3:$AW$130,2,FALSE)),1,(VLOOKUP(T794,list!$AV$3:$AW$130,2,FALSE)))</f>
        <v>1</v>
      </c>
      <c r="V794" s="1033">
        <f ca="1">R794*U794</f>
        <v>0</v>
      </c>
      <c r="W794" s="1033">
        <f ca="1">S794*U794</f>
        <v>0</v>
      </c>
    </row>
    <row r="795" spans="3:23" x14ac:dyDescent="0.3">
      <c r="C795" s="576"/>
      <c r="D795" s="494" t="s">
        <v>16</v>
      </c>
      <c r="E795" s="494"/>
      <c r="F795" s="181"/>
      <c r="G795" s="494" t="s">
        <v>96</v>
      </c>
      <c r="H795" s="577"/>
      <c r="I795" s="450" t="s">
        <v>8</v>
      </c>
      <c r="J795" s="577" t="s">
        <v>54</v>
      </c>
      <c r="K795" s="577"/>
      <c r="L795" s="1035" t="s">
        <v>65</v>
      </c>
      <c r="M795" s="1036">
        <f>SUMIFS('Level of Efficiency Assumptions'!$J:$J,'Level of Efficiency Assumptions'!$D:$D,I795,'Level of Efficiency Assumptions'!$F:$F,J795,'Level of Efficiency Assumptions'!$I:$I,'Water Use Calcs'!L795)</f>
        <v>7.5</v>
      </c>
      <c r="N795" s="577"/>
      <c r="O795" s="1048">
        <f>SUMIFS('Detailed Fixture Data'!O:O,'Detailed Fixture Data'!C:C,G795,'Detailed Fixture Data'!E:E,I795,'Detailed Fixture Data'!F:F,J795,'Detailed Fixture Data'!L:L,L795)</f>
        <v>0</v>
      </c>
      <c r="P795" s="1049"/>
      <c r="Q795" s="577"/>
      <c r="R795" s="1039"/>
      <c r="S795" s="521"/>
      <c r="T795" s="225"/>
      <c r="U795" s="521"/>
      <c r="V795" s="1040"/>
      <c r="W795" s="1041"/>
    </row>
    <row r="796" spans="3:23" ht="15" thickBot="1" x14ac:dyDescent="0.35">
      <c r="C796" s="576"/>
      <c r="D796" s="494" t="s">
        <v>16</v>
      </c>
      <c r="E796" s="494"/>
      <c r="F796" s="181"/>
      <c r="G796" s="501" t="s">
        <v>96</v>
      </c>
      <c r="H796" s="116"/>
      <c r="I796" s="451" t="s">
        <v>8</v>
      </c>
      <c r="J796" s="116" t="s">
        <v>54</v>
      </c>
      <c r="K796" s="116"/>
      <c r="L796" s="1042" t="s">
        <v>66</v>
      </c>
      <c r="M796" s="1043">
        <f>SUMIFS('Level of Efficiency Assumptions'!$J:$J,'Level of Efficiency Assumptions'!$D:$D,I796,'Level of Efficiency Assumptions'!$F:$F,J796,'Level of Efficiency Assumptions'!$I:$I,'Water Use Calcs'!L796)</f>
        <v>5</v>
      </c>
      <c r="N796" s="116"/>
      <c r="O796" s="1048">
        <f>SUMIFS('Detailed Fixture Data'!O:O,'Detailed Fixture Data'!C:C,G796,'Detailed Fixture Data'!E:E,I796,'Detailed Fixture Data'!F:F,J796,'Detailed Fixture Data'!L:L,L796)</f>
        <v>0</v>
      </c>
      <c r="P796" s="1049"/>
      <c r="Q796" s="116"/>
      <c r="R796" s="1045"/>
      <c r="S796" s="618"/>
      <c r="T796" s="225"/>
      <c r="U796" s="618"/>
      <c r="V796" s="1045"/>
      <c r="W796" s="1046"/>
    </row>
    <row r="797" spans="3:23" x14ac:dyDescent="0.3">
      <c r="C797" s="576"/>
      <c r="D797" s="494" t="s">
        <v>16</v>
      </c>
      <c r="E797" s="619" t="str">
        <f>G797</f>
        <v>Hotel B</v>
      </c>
      <c r="F797" s="565" t="str">
        <f>VLOOKUP(E797,'Airport Mapping'!$C$5:$D$39,2,FALSE)</f>
        <v xml:space="preserve"> </v>
      </c>
      <c r="G797" s="494" t="s">
        <v>97</v>
      </c>
      <c r="H797" s="651" t="str">
        <f>I797</f>
        <v>Guestrooms</v>
      </c>
      <c r="I797" s="454" t="s">
        <v>45</v>
      </c>
      <c r="J797" s="567" t="s">
        <v>2</v>
      </c>
      <c r="K797" s="567" t="s">
        <v>17</v>
      </c>
      <c r="L797" s="1028" t="s">
        <v>64</v>
      </c>
      <c r="M797" s="1036">
        <f>SUMIFS('Level of Efficiency Assumptions'!$J:$J,'Level of Efficiency Assumptions'!$D:$D,I797,'Level of Efficiency Assumptions'!$F:$F,J797,'Level of Efficiency Assumptions'!$I:$I,'Water Use Calcs'!L797)</f>
        <v>3.5</v>
      </c>
      <c r="N797" s="567" t="s">
        <v>68</v>
      </c>
      <c r="O797" s="1048">
        <f>SUMIFS('Detailed Fixture Data'!O:O,'Detailed Fixture Data'!C:C,G797,'Detailed Fixture Data'!E:E,I797,'Detailed Fixture Data'!F:F,J797,'Detailed Fixture Data'!L:L,L797)</f>
        <v>0</v>
      </c>
      <c r="P797" s="1030">
        <f>SUMIFS('Intensity of Use Assumptions'!$J:$J,'Intensity of Use Assumptions'!$D:$D,I797,'Intensity of Use Assumptions'!$G:$G,J797,'Intensity of Use Assumptions'!H:H,K797)</f>
        <v>3</v>
      </c>
      <c r="Q797" s="567" t="s">
        <v>67</v>
      </c>
      <c r="R797" s="1032">
        <f>(SUMPRODUCT(M797:M799,O797:O799)*P797)</f>
        <v>0</v>
      </c>
      <c r="S797" s="1033">
        <f>IF(R797=0,0,M799*P797)</f>
        <v>0</v>
      </c>
      <c r="T797" s="225" t="str">
        <f>G797&amp;"-"&amp;J797</f>
        <v>Hotel B-Toilets</v>
      </c>
      <c r="U797" s="1034">
        <f ca="1">IF(ISNA(VLOOKUP(T797,list!$AV$3:$AW$130,2,FALSE)),1,(VLOOKUP(T797,list!$AV$3:$AW$130,2,FALSE)))</f>
        <v>1</v>
      </c>
      <c r="V797" s="1033">
        <f ca="1">R797*U797</f>
        <v>0</v>
      </c>
      <c r="W797" s="1033">
        <f ca="1">S797*U797</f>
        <v>0</v>
      </c>
    </row>
    <row r="798" spans="3:23" x14ac:dyDescent="0.3">
      <c r="C798" s="576"/>
      <c r="D798" s="494" t="s">
        <v>16</v>
      </c>
      <c r="E798" s="494"/>
      <c r="F798" s="181"/>
      <c r="G798" s="494" t="s">
        <v>97</v>
      </c>
      <c r="H798" s="577"/>
      <c r="I798" s="450" t="s">
        <v>45</v>
      </c>
      <c r="J798" s="577" t="s">
        <v>2</v>
      </c>
      <c r="K798" s="577"/>
      <c r="L798" s="1035" t="s">
        <v>65</v>
      </c>
      <c r="M798" s="1036">
        <f>SUMIFS('Level of Efficiency Assumptions'!$J:$J,'Level of Efficiency Assumptions'!$D:$D,I798,'Level of Efficiency Assumptions'!$F:$F,J798,'Level of Efficiency Assumptions'!$I:$I,'Water Use Calcs'!L798)</f>
        <v>1.6</v>
      </c>
      <c r="N798" s="577"/>
      <c r="O798" s="1048">
        <f>SUMIFS('Detailed Fixture Data'!O:O,'Detailed Fixture Data'!C:C,G798,'Detailed Fixture Data'!E:E,I798,'Detailed Fixture Data'!F:F,J798,'Detailed Fixture Data'!L:L,L798)</f>
        <v>0</v>
      </c>
      <c r="P798" s="1049"/>
      <c r="Q798" s="577"/>
      <c r="R798" s="1039"/>
      <c r="S798" s="521"/>
      <c r="T798" s="225"/>
      <c r="U798" s="521"/>
      <c r="V798" s="1040"/>
      <c r="W798" s="1041"/>
    </row>
    <row r="799" spans="3:23" ht="15" thickBot="1" x14ac:dyDescent="0.35">
      <c r="C799" s="576"/>
      <c r="D799" s="494" t="s">
        <v>16</v>
      </c>
      <c r="E799" s="494"/>
      <c r="F799" s="181"/>
      <c r="G799" s="494" t="s">
        <v>97</v>
      </c>
      <c r="H799" s="577"/>
      <c r="I799" s="450" t="s">
        <v>45</v>
      </c>
      <c r="J799" s="116" t="s">
        <v>2</v>
      </c>
      <c r="K799" s="116"/>
      <c r="L799" s="1042" t="s">
        <v>66</v>
      </c>
      <c r="M799" s="1043">
        <f>SUMIFS('Level of Efficiency Assumptions'!$J:$J,'Level of Efficiency Assumptions'!$D:$D,I799,'Level of Efficiency Assumptions'!$F:$F,J799,'Level of Efficiency Assumptions'!$I:$I,'Water Use Calcs'!L799)</f>
        <v>1.28</v>
      </c>
      <c r="N799" s="577"/>
      <c r="O799" s="1048">
        <f>SUMIFS('Detailed Fixture Data'!O:O,'Detailed Fixture Data'!C:C,G799,'Detailed Fixture Data'!E:E,I799,'Detailed Fixture Data'!F:F,J799,'Detailed Fixture Data'!L:L,L799)</f>
        <v>0</v>
      </c>
      <c r="P799" s="1049"/>
      <c r="Q799" s="577"/>
      <c r="R799" s="1039"/>
      <c r="S799" s="618"/>
      <c r="T799" s="225"/>
      <c r="U799" s="618"/>
      <c r="V799" s="1045"/>
      <c r="W799" s="1046"/>
    </row>
    <row r="800" spans="3:23" x14ac:dyDescent="0.3">
      <c r="C800" s="576"/>
      <c r="D800" s="494" t="s">
        <v>16</v>
      </c>
      <c r="E800" s="494"/>
      <c r="F800" s="181"/>
      <c r="G800" s="494" t="s">
        <v>97</v>
      </c>
      <c r="H800" s="577"/>
      <c r="I800" s="450" t="s">
        <v>45</v>
      </c>
      <c r="J800" s="577" t="s">
        <v>18</v>
      </c>
      <c r="K800" s="577" t="s">
        <v>17</v>
      </c>
      <c r="L800" s="1047" t="s">
        <v>64</v>
      </c>
      <c r="M800" s="1036">
        <f>SUMIFS('Level of Efficiency Assumptions'!$J:$J,'Level of Efficiency Assumptions'!$D:$D,I800,'Level of Efficiency Assumptions'!$F:$F,J800,'Level of Efficiency Assumptions'!$I:$I,'Water Use Calcs'!L800)</f>
        <v>3</v>
      </c>
      <c r="N800" s="567" t="s">
        <v>78</v>
      </c>
      <c r="O800" s="1048">
        <f>SUMIFS('Detailed Fixture Data'!O:O,'Detailed Fixture Data'!C:C,G800,'Detailed Fixture Data'!E:E,I800,'Detailed Fixture Data'!F:F,J800,'Detailed Fixture Data'!L:L,L800)</f>
        <v>0</v>
      </c>
      <c r="P800" s="1030">
        <f>SUMIFS('Intensity of Use Assumptions'!$J:$J,'Intensity of Use Assumptions'!$D:$D,I800,'Intensity of Use Assumptions'!$G:$G,J800,'Intensity of Use Assumptions'!H:H,K800)</f>
        <v>1</v>
      </c>
      <c r="Q800" s="567" t="s">
        <v>133</v>
      </c>
      <c r="R800" s="1032">
        <f>(SUMPRODUCT(M800:M802,O800:O802)*P800)</f>
        <v>0</v>
      </c>
      <c r="S800" s="1033">
        <f>IF(R800=0,0,M802*P800)</f>
        <v>0</v>
      </c>
      <c r="T800" s="225" t="str">
        <f>G800&amp;"-"&amp;J800</f>
        <v>Hotel B-Showers</v>
      </c>
      <c r="U800" s="1034">
        <f ca="1">IF(ISNA(VLOOKUP(T800,list!$AV$3:$AW$130,2,FALSE)),1,(VLOOKUP(T800,list!$AV$3:$AW$130,2,FALSE)))</f>
        <v>1</v>
      </c>
      <c r="V800" s="1033">
        <f ca="1">R800*U800</f>
        <v>0</v>
      </c>
      <c r="W800" s="1033">
        <f ca="1">S800*U800</f>
        <v>0</v>
      </c>
    </row>
    <row r="801" spans="2:23" x14ac:dyDescent="0.3">
      <c r="C801" s="576"/>
      <c r="D801" s="494" t="s">
        <v>16</v>
      </c>
      <c r="E801" s="494"/>
      <c r="F801" s="181"/>
      <c r="G801" s="494" t="s">
        <v>97</v>
      </c>
      <c r="H801" s="577"/>
      <c r="I801" s="450" t="s">
        <v>45</v>
      </c>
      <c r="J801" s="577" t="s">
        <v>18</v>
      </c>
      <c r="K801" s="577"/>
      <c r="L801" s="1035" t="s">
        <v>65</v>
      </c>
      <c r="M801" s="1036">
        <f>SUMIFS('Level of Efficiency Assumptions'!$J:$J,'Level of Efficiency Assumptions'!$D:$D,I801,'Level of Efficiency Assumptions'!$F:$F,J801,'Level of Efficiency Assumptions'!$I:$I,'Water Use Calcs'!L801)</f>
        <v>2</v>
      </c>
      <c r="N801" s="577"/>
      <c r="O801" s="1048">
        <f>SUMIFS('Detailed Fixture Data'!O:O,'Detailed Fixture Data'!C:C,G801,'Detailed Fixture Data'!E:E,I801,'Detailed Fixture Data'!F:F,J801,'Detailed Fixture Data'!L:L,L801)</f>
        <v>0</v>
      </c>
      <c r="P801" s="1049"/>
      <c r="Q801" s="577"/>
      <c r="R801" s="1039"/>
      <c r="S801" s="521"/>
      <c r="T801" s="225"/>
      <c r="U801" s="521"/>
      <c r="V801" s="1040"/>
      <c r="W801" s="1041"/>
    </row>
    <row r="802" spans="2:23" ht="15" thickBot="1" x14ac:dyDescent="0.35">
      <c r="C802" s="576"/>
      <c r="D802" s="494" t="s">
        <v>16</v>
      </c>
      <c r="E802" s="494"/>
      <c r="F802" s="181"/>
      <c r="G802" s="494" t="s">
        <v>97</v>
      </c>
      <c r="H802" s="577"/>
      <c r="I802" s="450" t="s">
        <v>45</v>
      </c>
      <c r="J802" s="116" t="s">
        <v>18</v>
      </c>
      <c r="K802" s="116"/>
      <c r="L802" s="1042" t="s">
        <v>66</v>
      </c>
      <c r="M802" s="1043">
        <f>SUMIFS('Level of Efficiency Assumptions'!$J:$J,'Level of Efficiency Assumptions'!$D:$D,I802,'Level of Efficiency Assumptions'!$F:$F,J802,'Level of Efficiency Assumptions'!$I:$I,'Water Use Calcs'!L802)</f>
        <v>1</v>
      </c>
      <c r="N802" s="577"/>
      <c r="O802" s="1048">
        <f>SUMIFS('Detailed Fixture Data'!O:O,'Detailed Fixture Data'!C:C,G802,'Detailed Fixture Data'!E:E,I802,'Detailed Fixture Data'!F:F,J802,'Detailed Fixture Data'!L:L,L802)</f>
        <v>0</v>
      </c>
      <c r="P802" s="1049"/>
      <c r="Q802" s="577"/>
      <c r="R802" s="1039"/>
      <c r="S802" s="618"/>
      <c r="T802" s="225"/>
      <c r="U802" s="618"/>
      <c r="V802" s="1045"/>
      <c r="W802" s="1046"/>
    </row>
    <row r="803" spans="2:23" x14ac:dyDescent="0.3">
      <c r="C803" s="576"/>
      <c r="D803" s="494" t="s">
        <v>16</v>
      </c>
      <c r="E803" s="494"/>
      <c r="F803" s="181"/>
      <c r="G803" s="494" t="s">
        <v>97</v>
      </c>
      <c r="H803" s="577"/>
      <c r="I803" s="450" t="s">
        <v>45</v>
      </c>
      <c r="J803" s="577" t="s">
        <v>33</v>
      </c>
      <c r="K803" s="577" t="s">
        <v>17</v>
      </c>
      <c r="L803" s="1047" t="s">
        <v>64</v>
      </c>
      <c r="M803" s="1036">
        <f>SUMIFS('Level of Efficiency Assumptions'!$J:$J,'Level of Efficiency Assumptions'!$D:$D,I803,'Level of Efficiency Assumptions'!$F:$F,J803,'Level of Efficiency Assumptions'!$I:$I,'Water Use Calcs'!L803)</f>
        <v>2</v>
      </c>
      <c r="N803" s="567" t="s">
        <v>78</v>
      </c>
      <c r="O803" s="1048">
        <f>SUMIFS('Detailed Fixture Data'!O:O,'Detailed Fixture Data'!C:C,G803,'Detailed Fixture Data'!E:E,I803,'Detailed Fixture Data'!F:F,J803,'Detailed Fixture Data'!L:L,L803)</f>
        <v>0</v>
      </c>
      <c r="P803" s="1030">
        <f>SUMIFS('Intensity of Use Assumptions'!$J:$J,'Intensity of Use Assumptions'!$D:$D,I803,'Intensity of Use Assumptions'!$G:$G,J803,'Intensity of Use Assumptions'!H:H,K803)</f>
        <v>0.16666666666666666</v>
      </c>
      <c r="Q803" s="567" t="s">
        <v>133</v>
      </c>
      <c r="R803" s="1032">
        <f>(SUMPRODUCT(M803:M805,O803:O805)*P803)</f>
        <v>0</v>
      </c>
      <c r="S803" s="1033">
        <f>IF(R803=0,0,M805*P803)</f>
        <v>0</v>
      </c>
      <c r="T803" s="225" t="str">
        <f>G803&amp;"-"&amp;J803</f>
        <v>Hotel B-Faucets</v>
      </c>
      <c r="U803" s="1034">
        <f ca="1">IF(ISNA(VLOOKUP(T803,list!$AV$3:$AW$130,2,FALSE)),1,(VLOOKUP(T803,list!$AV$3:$AW$130,2,FALSE)))</f>
        <v>1</v>
      </c>
      <c r="V803" s="1033">
        <f ca="1">R803*U803</f>
        <v>0</v>
      </c>
      <c r="W803" s="1033">
        <f ca="1">S803*U803</f>
        <v>0</v>
      </c>
    </row>
    <row r="804" spans="2:23" x14ac:dyDescent="0.3">
      <c r="C804" s="576"/>
      <c r="D804" s="494" t="s">
        <v>16</v>
      </c>
      <c r="E804" s="494"/>
      <c r="F804" s="181"/>
      <c r="G804" s="494" t="s">
        <v>97</v>
      </c>
      <c r="H804" s="577"/>
      <c r="I804" s="450" t="s">
        <v>45</v>
      </c>
      <c r="J804" s="577" t="s">
        <v>33</v>
      </c>
      <c r="K804" s="577"/>
      <c r="L804" s="1035" t="s">
        <v>65</v>
      </c>
      <c r="M804" s="1036">
        <f>SUMIFS('Level of Efficiency Assumptions'!$J:$J,'Level of Efficiency Assumptions'!$D:$D,I804,'Level of Efficiency Assumptions'!$F:$F,J804,'Level of Efficiency Assumptions'!$I:$I,'Water Use Calcs'!L804)</f>
        <v>1</v>
      </c>
      <c r="N804" s="577"/>
      <c r="O804" s="1048">
        <f>SUMIFS('Detailed Fixture Data'!O:O,'Detailed Fixture Data'!C:C,G804,'Detailed Fixture Data'!E:E,I804,'Detailed Fixture Data'!F:F,J804,'Detailed Fixture Data'!L:L,L804)</f>
        <v>0</v>
      </c>
      <c r="P804" s="1049"/>
      <c r="Q804" s="577"/>
      <c r="R804" s="1039"/>
      <c r="S804" s="521"/>
      <c r="T804" s="225"/>
      <c r="U804" s="521"/>
      <c r="V804" s="1040"/>
      <c r="W804" s="1041"/>
    </row>
    <row r="805" spans="2:23" ht="15" thickBot="1" x14ac:dyDescent="0.35">
      <c r="C805" s="576"/>
      <c r="D805" s="494" t="s">
        <v>16</v>
      </c>
      <c r="E805" s="494"/>
      <c r="F805" s="181"/>
      <c r="G805" s="494" t="s">
        <v>97</v>
      </c>
      <c r="H805" s="577"/>
      <c r="I805" s="451" t="s">
        <v>45</v>
      </c>
      <c r="J805" s="116" t="s">
        <v>33</v>
      </c>
      <c r="K805" s="116"/>
      <c r="L805" s="1042" t="s">
        <v>66</v>
      </c>
      <c r="M805" s="1043">
        <f>SUMIFS('Level of Efficiency Assumptions'!$J:$J,'Level of Efficiency Assumptions'!$D:$D,I805,'Level of Efficiency Assumptions'!$F:$F,J805,'Level of Efficiency Assumptions'!$I:$I,'Water Use Calcs'!L805)</f>
        <v>0.5</v>
      </c>
      <c r="N805" s="577"/>
      <c r="O805" s="1048">
        <f>SUMIFS('Detailed Fixture Data'!O:O,'Detailed Fixture Data'!C:C,G805,'Detailed Fixture Data'!E:E,I805,'Detailed Fixture Data'!F:F,J805,'Detailed Fixture Data'!L:L,L805)</f>
        <v>0</v>
      </c>
      <c r="P805" s="1049"/>
      <c r="Q805" s="577"/>
      <c r="R805" s="1039"/>
      <c r="S805" s="618"/>
      <c r="T805" s="225"/>
      <c r="U805" s="618"/>
      <c r="V805" s="1045"/>
      <c r="W805" s="1046"/>
    </row>
    <row r="806" spans="2:23" x14ac:dyDescent="0.3">
      <c r="C806" s="576"/>
      <c r="D806" s="494" t="s">
        <v>16</v>
      </c>
      <c r="E806" s="494"/>
      <c r="F806" s="181"/>
      <c r="G806" s="494" t="s">
        <v>97</v>
      </c>
      <c r="H806" s="651" t="str">
        <f>I806</f>
        <v>Food Service</v>
      </c>
      <c r="I806" s="450" t="s">
        <v>38</v>
      </c>
      <c r="J806" s="577" t="s">
        <v>114</v>
      </c>
      <c r="K806" s="577" t="s">
        <v>118</v>
      </c>
      <c r="L806" s="1047" t="s">
        <v>64</v>
      </c>
      <c r="M806" s="1036">
        <f>SUMIFS('Level of Efficiency Assumptions'!$J:$J,'Level of Efficiency Assumptions'!$D:$D,I806,'Level of Efficiency Assumptions'!$F:$F,J806,'Level of Efficiency Assumptions'!$I:$I,'Water Use Calcs'!L806)</f>
        <v>2</v>
      </c>
      <c r="N806" s="567" t="s">
        <v>78</v>
      </c>
      <c r="O806" s="1048">
        <f>SUMIFS('Detailed Fixture Data'!O:O,'Detailed Fixture Data'!C:C,G806,'Detailed Fixture Data'!E:E,I806,'Detailed Fixture Data'!F:F,J806,'Detailed Fixture Data'!L:L,L806)</f>
        <v>0</v>
      </c>
      <c r="P806" s="1030">
        <f>SUMIFS('Intensity of Use Assumptions'!$J:$J,'Intensity of Use Assumptions'!$D:$D,I806,'Intensity of Use Assumptions'!$G:$G,J806,'Intensity of Use Assumptions'!H:H,K806)</f>
        <v>1</v>
      </c>
      <c r="Q806" s="567" t="s">
        <v>133</v>
      </c>
      <c r="R806" s="1032">
        <f>(SUMPRODUCT(M806:M808,O806:O808)*P806)</f>
        <v>0</v>
      </c>
      <c r="S806" s="1033">
        <f>IF(R806=0,0,M808*P806)</f>
        <v>0</v>
      </c>
      <c r="T806" s="225" t="str">
        <f>G806&amp;"-"&amp;J806</f>
        <v>Hotel B-Kitchen faucets</v>
      </c>
      <c r="U806" s="1034">
        <f ca="1">IF(ISNA(VLOOKUP(T806,list!$AV$3:$AW$130,2,FALSE)),1,(VLOOKUP(T806,list!$AV$3:$AW$130,2,FALSE)))</f>
        <v>1</v>
      </c>
      <c r="V806" s="1033">
        <f ca="1">R806*U806</f>
        <v>0</v>
      </c>
      <c r="W806" s="1033">
        <f ca="1">S806*U806</f>
        <v>0</v>
      </c>
    </row>
    <row r="807" spans="2:23" x14ac:dyDescent="0.3">
      <c r="C807" s="576"/>
      <c r="D807" s="494" t="s">
        <v>16</v>
      </c>
      <c r="E807" s="494"/>
      <c r="F807" s="181"/>
      <c r="G807" s="494" t="s">
        <v>97</v>
      </c>
      <c r="H807" s="577"/>
      <c r="I807" s="450" t="s">
        <v>38</v>
      </c>
      <c r="J807" s="577" t="s">
        <v>114</v>
      </c>
      <c r="K807" s="577"/>
      <c r="L807" s="1035" t="s">
        <v>65</v>
      </c>
      <c r="M807" s="1036">
        <f>SUMIFS('Level of Efficiency Assumptions'!$J:$J,'Level of Efficiency Assumptions'!$D:$D,I807,'Level of Efficiency Assumptions'!$F:$F,J807,'Level of Efficiency Assumptions'!$I:$I,'Water Use Calcs'!L807)</f>
        <v>1</v>
      </c>
      <c r="N807" s="577"/>
      <c r="O807" s="1048">
        <f>SUMIFS('Detailed Fixture Data'!O:O,'Detailed Fixture Data'!C:C,G807,'Detailed Fixture Data'!E:E,I807,'Detailed Fixture Data'!F:F,J807,'Detailed Fixture Data'!L:L,L807)</f>
        <v>0</v>
      </c>
      <c r="P807" s="1049"/>
      <c r="Q807" s="577"/>
      <c r="R807" s="1039"/>
      <c r="S807" s="521"/>
      <c r="T807" s="225"/>
      <c r="U807" s="521"/>
      <c r="V807" s="1040"/>
      <c r="W807" s="1041"/>
    </row>
    <row r="808" spans="2:23" ht="15" thickBot="1" x14ac:dyDescent="0.35">
      <c r="C808" s="576"/>
      <c r="D808" s="494" t="s">
        <v>16</v>
      </c>
      <c r="E808" s="494"/>
      <c r="F808" s="181"/>
      <c r="G808" s="494" t="s">
        <v>97</v>
      </c>
      <c r="H808" s="577"/>
      <c r="I808" s="450" t="s">
        <v>38</v>
      </c>
      <c r="J808" s="116" t="s">
        <v>114</v>
      </c>
      <c r="K808" s="116"/>
      <c r="L808" s="1042" t="s">
        <v>66</v>
      </c>
      <c r="M808" s="1043">
        <f>SUMIFS('Level of Efficiency Assumptions'!$J:$J,'Level of Efficiency Assumptions'!$D:$D,I808,'Level of Efficiency Assumptions'!$F:$F,J808,'Level of Efficiency Assumptions'!$I:$I,'Water Use Calcs'!L808)</f>
        <v>0.5</v>
      </c>
      <c r="N808" s="577"/>
      <c r="O808" s="1048">
        <f>SUMIFS('Detailed Fixture Data'!O:O,'Detailed Fixture Data'!C:C,G808,'Detailed Fixture Data'!E:E,I808,'Detailed Fixture Data'!F:F,J808,'Detailed Fixture Data'!L:L,L808)</f>
        <v>0</v>
      </c>
      <c r="P808" s="1049"/>
      <c r="Q808" s="116"/>
      <c r="R808" s="1039"/>
      <c r="S808" s="618"/>
      <c r="T808" s="225"/>
      <c r="U808" s="618"/>
      <c r="V808" s="1045"/>
      <c r="W808" s="1046"/>
    </row>
    <row r="809" spans="2:23" x14ac:dyDescent="0.3">
      <c r="B809" s="182"/>
      <c r="C809" s="577"/>
      <c r="D809" s="521" t="s">
        <v>16</v>
      </c>
      <c r="E809" s="521"/>
      <c r="F809" s="180"/>
      <c r="G809" s="521" t="s">
        <v>97</v>
      </c>
      <c r="H809" s="577"/>
      <c r="I809" s="450" t="s">
        <v>38</v>
      </c>
      <c r="J809" s="577" t="s">
        <v>127</v>
      </c>
      <c r="K809" s="577" t="s">
        <v>118</v>
      </c>
      <c r="L809" s="1047" t="s">
        <v>64</v>
      </c>
      <c r="M809" s="1036">
        <f>SUMIFS('Level of Efficiency Assumptions'!$J:$J,'Level of Efficiency Assumptions'!$D:$D,I809,'Level of Efficiency Assumptions'!$F:$F,J809,'Level of Efficiency Assumptions'!$I:$I,'Water Use Calcs'!L809)</f>
        <v>3</v>
      </c>
      <c r="N809" s="567" t="s">
        <v>78</v>
      </c>
      <c r="O809" s="1048">
        <f>SUMIFS('Detailed Fixture Data'!O:O,'Detailed Fixture Data'!C:C,G809,'Detailed Fixture Data'!E:E,I809,'Detailed Fixture Data'!F:F,J809,'Detailed Fixture Data'!L:L,L809)</f>
        <v>0</v>
      </c>
      <c r="P809" s="1030">
        <f>SUMIFS('Intensity of Use Assumptions'!$J:$J,'Intensity of Use Assumptions'!$D:$D,I809,'Intensity of Use Assumptions'!$G:$G,J809,'Intensity of Use Assumptions'!H:H,K809)</f>
        <v>0.02</v>
      </c>
      <c r="Q809" s="577" t="s">
        <v>133</v>
      </c>
      <c r="R809" s="1032">
        <f>(SUMPRODUCT(M809:M811,O809:O811)*P809)</f>
        <v>0</v>
      </c>
      <c r="S809" s="1033">
        <f>IF(R809=0,0,M811*P809)</f>
        <v>0</v>
      </c>
      <c r="T809" s="225" t="str">
        <f>G809&amp;"-"&amp;J809</f>
        <v>Hotel B-Pre-rinse spray valves</v>
      </c>
      <c r="U809" s="1034">
        <f ca="1">IF(ISNA(VLOOKUP(T809,list!$AV$3:$AW$130,2,FALSE)),1,(VLOOKUP(T809,list!$AV$3:$AW$130,2,FALSE)))</f>
        <v>1</v>
      </c>
      <c r="V809" s="1033">
        <f ca="1">R809*U809</f>
        <v>0</v>
      </c>
      <c r="W809" s="1033">
        <f ca="1">S809*U809</f>
        <v>0</v>
      </c>
    </row>
    <row r="810" spans="2:23" x14ac:dyDescent="0.3">
      <c r="B810" s="182"/>
      <c r="C810" s="577"/>
      <c r="D810" s="521" t="s">
        <v>16</v>
      </c>
      <c r="E810" s="521"/>
      <c r="F810" s="180"/>
      <c r="G810" s="521" t="s">
        <v>97</v>
      </c>
      <c r="H810" s="577"/>
      <c r="I810" s="450" t="s">
        <v>38</v>
      </c>
      <c r="J810" s="577" t="s">
        <v>127</v>
      </c>
      <c r="K810" s="577"/>
      <c r="L810" s="1035" t="s">
        <v>65</v>
      </c>
      <c r="M810" s="1036">
        <f>SUMIFS('Level of Efficiency Assumptions'!$J:$J,'Level of Efficiency Assumptions'!$D:$D,I810,'Level of Efficiency Assumptions'!$F:$F,J810,'Level of Efficiency Assumptions'!$I:$I,'Water Use Calcs'!L810)</f>
        <v>2</v>
      </c>
      <c r="N810" s="577"/>
      <c r="O810" s="1048">
        <f>SUMIFS('Detailed Fixture Data'!O:O,'Detailed Fixture Data'!C:C,G810,'Detailed Fixture Data'!E:E,I810,'Detailed Fixture Data'!F:F,J810,'Detailed Fixture Data'!L:L,L810)</f>
        <v>0</v>
      </c>
      <c r="P810" s="1049"/>
      <c r="Q810" s="577"/>
      <c r="R810" s="1039"/>
      <c r="S810" s="521"/>
      <c r="T810" s="225"/>
      <c r="U810" s="521"/>
      <c r="V810" s="1040"/>
      <c r="W810" s="1041"/>
    </row>
    <row r="811" spans="2:23" ht="15" thickBot="1" x14ac:dyDescent="0.35">
      <c r="B811" s="182"/>
      <c r="C811" s="577"/>
      <c r="D811" s="521" t="s">
        <v>16</v>
      </c>
      <c r="E811" s="521"/>
      <c r="F811" s="180"/>
      <c r="G811" s="521" t="s">
        <v>97</v>
      </c>
      <c r="H811" s="577"/>
      <c r="I811" s="450" t="s">
        <v>38</v>
      </c>
      <c r="J811" s="116" t="s">
        <v>127</v>
      </c>
      <c r="K811" s="116"/>
      <c r="L811" s="1042" t="s">
        <v>66</v>
      </c>
      <c r="M811" s="1043">
        <f>SUMIFS('Level of Efficiency Assumptions'!$J:$J,'Level of Efficiency Assumptions'!$D:$D,I811,'Level of Efficiency Assumptions'!$F:$F,J811,'Level of Efficiency Assumptions'!$I:$I,'Water Use Calcs'!L811)</f>
        <v>1.28</v>
      </c>
      <c r="N811" s="116"/>
      <c r="O811" s="1048">
        <f>SUMIFS('Detailed Fixture Data'!O:O,'Detailed Fixture Data'!C:C,G811,'Detailed Fixture Data'!E:E,I811,'Detailed Fixture Data'!F:F,J811,'Detailed Fixture Data'!L:L,L811)</f>
        <v>0</v>
      </c>
      <c r="P811" s="1049"/>
      <c r="Q811" s="577"/>
      <c r="R811" s="1039"/>
      <c r="S811" s="618"/>
      <c r="T811" s="225"/>
      <c r="U811" s="618"/>
      <c r="V811" s="1045"/>
      <c r="W811" s="1046"/>
    </row>
    <row r="812" spans="2:23" x14ac:dyDescent="0.3">
      <c r="C812" s="576"/>
      <c r="D812" s="494" t="s">
        <v>16</v>
      </c>
      <c r="E812" s="494"/>
      <c r="F812" s="181"/>
      <c r="G812" s="494" t="s">
        <v>97</v>
      </c>
      <c r="H812" s="577"/>
      <c r="I812" s="450" t="s">
        <v>38</v>
      </c>
      <c r="J812" s="577" t="s">
        <v>41</v>
      </c>
      <c r="K812" s="577" t="s">
        <v>118</v>
      </c>
      <c r="L812" s="1047" t="s">
        <v>64</v>
      </c>
      <c r="M812" s="1036">
        <f>SUMIFS('Level of Efficiency Assumptions'!$J:$J,'Level of Efficiency Assumptions'!$D:$D,I812,'Level of Efficiency Assumptions'!$F:$F,J812,'Level of Efficiency Assumptions'!$I:$I,'Water Use Calcs'!L812)</f>
        <v>4.5</v>
      </c>
      <c r="N812" s="567" t="s">
        <v>223</v>
      </c>
      <c r="O812" s="1048">
        <f>SUMIFS('Detailed Fixture Data'!O:O,'Detailed Fixture Data'!C:C,G812,'Detailed Fixture Data'!E:E,I812,'Detailed Fixture Data'!F:F,J812,'Detailed Fixture Data'!L:L,L812)</f>
        <v>0</v>
      </c>
      <c r="P812" s="1030">
        <f>SUMIFS('Intensity of Use Assumptions'!$J:$J,'Intensity of Use Assumptions'!$D:$D,I812,'Intensity of Use Assumptions'!$G:$G,J812,'Intensity of Use Assumptions'!H:H,K812)</f>
        <v>0.05</v>
      </c>
      <c r="Q812" s="567" t="s">
        <v>224</v>
      </c>
      <c r="R812" s="1032">
        <f>(SUMPRODUCT(M812:M814,O812:O814)*P812)</f>
        <v>0</v>
      </c>
      <c r="S812" s="1033">
        <f>IF(R812=0,0,M814*P812)</f>
        <v>0</v>
      </c>
      <c r="T812" s="225" t="str">
        <f>G812&amp;"-"&amp;J812</f>
        <v>Hotel B-Dishwashers</v>
      </c>
      <c r="U812" s="1034">
        <f ca="1">IF(ISNA(VLOOKUP(T812,list!$AV$3:$AW$130,2,FALSE)),1,(VLOOKUP(T812,list!$AV$3:$AW$130,2,FALSE)))</f>
        <v>1</v>
      </c>
      <c r="V812" s="1033">
        <f ca="1">R812*U812</f>
        <v>0</v>
      </c>
      <c r="W812" s="1033">
        <f ca="1">S812*U812</f>
        <v>0</v>
      </c>
    </row>
    <row r="813" spans="2:23" x14ac:dyDescent="0.3">
      <c r="C813" s="576"/>
      <c r="D813" s="494" t="s">
        <v>16</v>
      </c>
      <c r="E813" s="494"/>
      <c r="F813" s="181"/>
      <c r="G813" s="494" t="s">
        <v>97</v>
      </c>
      <c r="H813" s="577"/>
      <c r="I813" s="450" t="s">
        <v>38</v>
      </c>
      <c r="J813" s="577" t="s">
        <v>41</v>
      </c>
      <c r="K813" s="577"/>
      <c r="L813" s="1035" t="s">
        <v>65</v>
      </c>
      <c r="M813" s="1036">
        <f>SUMIFS('Level of Efficiency Assumptions'!$J:$J,'Level of Efficiency Assumptions'!$D:$D,I813,'Level of Efficiency Assumptions'!$F:$F,J813,'Level of Efficiency Assumptions'!$I:$I,'Water Use Calcs'!L813)</f>
        <v>2.5</v>
      </c>
      <c r="N813" s="577"/>
      <c r="O813" s="1048">
        <f>SUMIFS('Detailed Fixture Data'!O:O,'Detailed Fixture Data'!C:C,G813,'Detailed Fixture Data'!E:E,I813,'Detailed Fixture Data'!F:F,J813,'Detailed Fixture Data'!L:L,L813)</f>
        <v>0</v>
      </c>
      <c r="P813" s="1049"/>
      <c r="Q813" s="577" t="s">
        <v>80</v>
      </c>
      <c r="R813" s="1039"/>
      <c r="S813" s="521"/>
      <c r="T813" s="225"/>
      <c r="U813" s="521"/>
      <c r="V813" s="1040"/>
      <c r="W813" s="1041"/>
    </row>
    <row r="814" spans="2:23" ht="15" thickBot="1" x14ac:dyDescent="0.35">
      <c r="C814" s="576"/>
      <c r="D814" s="494" t="s">
        <v>16</v>
      </c>
      <c r="E814" s="494"/>
      <c r="F814" s="181"/>
      <c r="G814" s="494" t="s">
        <v>97</v>
      </c>
      <c r="H814" s="577"/>
      <c r="I814" s="450" t="s">
        <v>38</v>
      </c>
      <c r="J814" s="116" t="s">
        <v>41</v>
      </c>
      <c r="K814" s="116"/>
      <c r="L814" s="1042" t="s">
        <v>66</v>
      </c>
      <c r="M814" s="1043">
        <f>SUMIFS('Level of Efficiency Assumptions'!$J:$J,'Level of Efficiency Assumptions'!$D:$D,I814,'Level of Efficiency Assumptions'!$F:$F,J814,'Level of Efficiency Assumptions'!$I:$I,'Water Use Calcs'!L814)</f>
        <v>1</v>
      </c>
      <c r="N814" s="577"/>
      <c r="O814" s="1048">
        <f>SUMIFS('Detailed Fixture Data'!O:O,'Detailed Fixture Data'!C:C,G814,'Detailed Fixture Data'!E:E,I814,'Detailed Fixture Data'!F:F,J814,'Detailed Fixture Data'!L:L,L814)</f>
        <v>0</v>
      </c>
      <c r="P814" s="1049"/>
      <c r="Q814" s="577"/>
      <c r="R814" s="1039"/>
      <c r="S814" s="618"/>
      <c r="T814" s="225"/>
      <c r="U814" s="618"/>
      <c r="V814" s="1045"/>
      <c r="W814" s="1046"/>
    </row>
    <row r="815" spans="2:23" x14ac:dyDescent="0.3">
      <c r="C815" s="576"/>
      <c r="D815" s="494" t="s">
        <v>16</v>
      </c>
      <c r="E815" s="494"/>
      <c r="F815" s="181"/>
      <c r="G815" s="494" t="s">
        <v>97</v>
      </c>
      <c r="H815" s="577"/>
      <c r="I815" s="450" t="s">
        <v>38</v>
      </c>
      <c r="J815" s="577" t="s">
        <v>20</v>
      </c>
      <c r="K815" s="577" t="s">
        <v>17</v>
      </c>
      <c r="L815" s="1047" t="s">
        <v>64</v>
      </c>
      <c r="M815" s="1036">
        <f>SUMIFS('Level of Efficiency Assumptions'!$J:$J,'Level of Efficiency Assumptions'!$D:$D,I815,'Level of Efficiency Assumptions'!$F:$F,J815,'Level of Efficiency Assumptions'!$I:$I,'Water Use Calcs'!L815)</f>
        <v>1.5</v>
      </c>
      <c r="N815" s="567" t="s">
        <v>222</v>
      </c>
      <c r="O815" s="1048">
        <f>SUMIFS('Detailed Fixture Data'!O:O,'Detailed Fixture Data'!C:C,G815,'Detailed Fixture Data'!E:E,I815,'Detailed Fixture Data'!F:F,J815,'Detailed Fixture Data'!L:L,L815)</f>
        <v>0</v>
      </c>
      <c r="P815" s="1030">
        <f>SUMIFS('Intensity of Use Assumptions'!$J:$J,'Intensity of Use Assumptions'!$D:$D,I815,'Intensity of Use Assumptions'!$G:$G,J815,'Intensity of Use Assumptions'!H:H,K815)</f>
        <v>0.5</v>
      </c>
      <c r="Q815" s="567" t="s">
        <v>221</v>
      </c>
      <c r="R815" s="1032">
        <f>(SUMPRODUCT(M815:M817,O815:O817)*P815)</f>
        <v>0</v>
      </c>
      <c r="S815" s="1033">
        <f>IF(R815=0,0,M817*P815)</f>
        <v>0</v>
      </c>
      <c r="T815" s="225" t="str">
        <f>G815&amp;"-"&amp;J815</f>
        <v>Hotel B-Ice machines</v>
      </c>
      <c r="U815" s="1034">
        <f ca="1">IF(ISNA(VLOOKUP(T815,list!$AV$3:$AW$130,2,FALSE)),1,(VLOOKUP(T815,list!$AV$3:$AW$130,2,FALSE)))</f>
        <v>1</v>
      </c>
      <c r="V815" s="1033">
        <f ca="1">R815*U815</f>
        <v>0</v>
      </c>
      <c r="W815" s="1033">
        <f ca="1">S815*U815</f>
        <v>0</v>
      </c>
    </row>
    <row r="816" spans="2:23" x14ac:dyDescent="0.3">
      <c r="C816" s="576"/>
      <c r="D816" s="494" t="s">
        <v>16</v>
      </c>
      <c r="E816" s="494"/>
      <c r="F816" s="181"/>
      <c r="G816" s="494" t="s">
        <v>97</v>
      </c>
      <c r="H816" s="577"/>
      <c r="I816" s="450" t="s">
        <v>38</v>
      </c>
      <c r="J816" s="577" t="s">
        <v>20</v>
      </c>
      <c r="K816" s="577"/>
      <c r="L816" s="1035" t="s">
        <v>65</v>
      </c>
      <c r="M816" s="1036">
        <f>SUMIFS('Level of Efficiency Assumptions'!$J:$J,'Level of Efficiency Assumptions'!$D:$D,I816,'Level of Efficiency Assumptions'!$F:$F,J816,'Level of Efficiency Assumptions'!$I:$I,'Water Use Calcs'!L816)</f>
        <v>0.25</v>
      </c>
      <c r="N816" s="577"/>
      <c r="O816" s="1048">
        <f>SUMIFS('Detailed Fixture Data'!O:O,'Detailed Fixture Data'!C:C,G816,'Detailed Fixture Data'!E:E,I816,'Detailed Fixture Data'!F:F,J816,'Detailed Fixture Data'!L:L,L816)</f>
        <v>0</v>
      </c>
      <c r="P816" s="1049"/>
      <c r="Q816" s="577"/>
      <c r="R816" s="1039"/>
      <c r="S816" s="521"/>
      <c r="T816" s="225"/>
      <c r="U816" s="521"/>
      <c r="V816" s="1040"/>
      <c r="W816" s="1041"/>
    </row>
    <row r="817" spans="3:23" ht="15" thickBot="1" x14ac:dyDescent="0.35">
      <c r="C817" s="576"/>
      <c r="D817" s="494" t="s">
        <v>16</v>
      </c>
      <c r="E817" s="494"/>
      <c r="F817" s="181"/>
      <c r="G817" s="494" t="s">
        <v>97</v>
      </c>
      <c r="H817" s="577"/>
      <c r="I817" s="451" t="s">
        <v>38</v>
      </c>
      <c r="J817" s="116" t="s">
        <v>20</v>
      </c>
      <c r="K817" s="116"/>
      <c r="L817" s="1042" t="s">
        <v>66</v>
      </c>
      <c r="M817" s="1043">
        <f>SUMIFS('Level of Efficiency Assumptions'!$J:$J,'Level of Efficiency Assumptions'!$D:$D,I817,'Level of Efficiency Assumptions'!$F:$F,J817,'Level of Efficiency Assumptions'!$I:$I,'Water Use Calcs'!L817)</f>
        <v>0.12</v>
      </c>
      <c r="N817" s="577"/>
      <c r="O817" s="1048">
        <f>SUMIFS('Detailed Fixture Data'!O:O,'Detailed Fixture Data'!C:C,G817,'Detailed Fixture Data'!E:E,I817,'Detailed Fixture Data'!F:F,J817,'Detailed Fixture Data'!L:L,L817)</f>
        <v>0</v>
      </c>
      <c r="P817" s="1049"/>
      <c r="Q817" s="577"/>
      <c r="R817" s="1039"/>
      <c r="S817" s="618"/>
      <c r="T817" s="225"/>
      <c r="U817" s="618"/>
      <c r="V817" s="1045"/>
      <c r="W817" s="1046"/>
    </row>
    <row r="818" spans="3:23" x14ac:dyDescent="0.3">
      <c r="C818" s="576"/>
      <c r="D818" s="494" t="s">
        <v>16</v>
      </c>
      <c r="E818" s="494"/>
      <c r="F818" s="181"/>
      <c r="G818" s="494" t="s">
        <v>97</v>
      </c>
      <c r="H818" s="651" t="str">
        <f>I818</f>
        <v>Maintenance</v>
      </c>
      <c r="I818" s="450" t="s">
        <v>43</v>
      </c>
      <c r="J818" s="577" t="s">
        <v>111</v>
      </c>
      <c r="K818" s="217" t="s">
        <v>424</v>
      </c>
      <c r="L818" s="1047" t="s">
        <v>64</v>
      </c>
      <c r="M818" s="1036">
        <f>SUMIFS('Level of Efficiency Assumptions'!$J:$J,'Level of Efficiency Assumptions'!$D:$D,I818,'Level of Efficiency Assumptions'!$F:$F,J818,'Level of Efficiency Assumptions'!$I:$I,'Water Use Calcs'!L818)</f>
        <v>100</v>
      </c>
      <c r="N818" s="567" t="s">
        <v>659</v>
      </c>
      <c r="O818" s="1048">
        <f>SUMIFS('Detailed Fixture Data'!O:O,'Detailed Fixture Data'!C:C,G818,'Detailed Fixture Data'!E:E,I818,'Detailed Fixture Data'!F:F,J818,'Detailed Fixture Data'!L:L,L818)</f>
        <v>0</v>
      </c>
      <c r="P818" s="1030">
        <f>SUMIFS('Intensity of Use Assumptions'!$J:$J,'Intensity of Use Assumptions'!$D:$D,I818,'Intensity of Use Assumptions'!$G:$G,J818,'Intensity of Use Assumptions'!H:H,K818)</f>
        <v>1</v>
      </c>
      <c r="Q818" s="567" t="s">
        <v>67</v>
      </c>
      <c r="R818" s="1032">
        <f>(SUMPRODUCT(M818:M820,O818:O820)*P818)</f>
        <v>0</v>
      </c>
      <c r="S818" s="1033">
        <f>IF(R818=0,0,M820*P818)</f>
        <v>0</v>
      </c>
      <c r="T818" s="225" t="str">
        <f>G818&amp;"-"&amp;J818</f>
        <v>Hotel B-Boiler</v>
      </c>
      <c r="U818" s="1034">
        <f ca="1">IF(ISNA(VLOOKUP(T818,list!$AV$3:$AW$130,2,FALSE)),1,(VLOOKUP(T818,list!$AV$3:$AW$130,2,FALSE)))</f>
        <v>1</v>
      </c>
      <c r="V818" s="1033">
        <f ca="1">R818*U818</f>
        <v>0</v>
      </c>
      <c r="W818" s="1033">
        <f ca="1">S818*U818</f>
        <v>0</v>
      </c>
    </row>
    <row r="819" spans="3:23" x14ac:dyDescent="0.3">
      <c r="C819" s="576"/>
      <c r="D819" s="494" t="s">
        <v>16</v>
      </c>
      <c r="E819" s="494"/>
      <c r="F819" s="181"/>
      <c r="G819" s="494" t="s">
        <v>97</v>
      </c>
      <c r="H819" s="577"/>
      <c r="I819" s="450" t="s">
        <v>43</v>
      </c>
      <c r="J819" s="577" t="s">
        <v>111</v>
      </c>
      <c r="K819" s="382"/>
      <c r="L819" s="1035" t="s">
        <v>65</v>
      </c>
      <c r="M819" s="1036">
        <f>SUMIFS('Level of Efficiency Assumptions'!$J:$J,'Level of Efficiency Assumptions'!$D:$D,I819,'Level of Efficiency Assumptions'!$F:$F,J819,'Level of Efficiency Assumptions'!$I:$I,'Water Use Calcs'!L819)</f>
        <v>75</v>
      </c>
      <c r="N819" s="577"/>
      <c r="O819" s="1048">
        <f>SUMIFS('Detailed Fixture Data'!O:O,'Detailed Fixture Data'!C:C,G819,'Detailed Fixture Data'!E:E,I819,'Detailed Fixture Data'!F:F,J819,'Detailed Fixture Data'!L:L,L819)</f>
        <v>0</v>
      </c>
      <c r="P819" s="1049"/>
      <c r="Q819" s="577"/>
      <c r="R819" s="1039"/>
      <c r="S819" s="521"/>
      <c r="T819" s="225"/>
      <c r="U819" s="521"/>
      <c r="V819" s="1040"/>
      <c r="W819" s="1041"/>
    </row>
    <row r="820" spans="3:23" ht="15" thickBot="1" x14ac:dyDescent="0.35">
      <c r="C820" s="576"/>
      <c r="D820" s="494" t="s">
        <v>16</v>
      </c>
      <c r="E820" s="494"/>
      <c r="F820" s="181"/>
      <c r="G820" s="494" t="s">
        <v>97</v>
      </c>
      <c r="H820" s="577"/>
      <c r="I820" s="450" t="s">
        <v>43</v>
      </c>
      <c r="J820" s="116" t="s">
        <v>111</v>
      </c>
      <c r="K820" s="116"/>
      <c r="L820" s="1042" t="s">
        <v>66</v>
      </c>
      <c r="M820" s="1043">
        <f>SUMIFS('Level of Efficiency Assumptions'!$J:$J,'Level of Efficiency Assumptions'!$D:$D,I820,'Level of Efficiency Assumptions'!$F:$F,J820,'Level of Efficiency Assumptions'!$I:$I,'Water Use Calcs'!L820)</f>
        <v>50</v>
      </c>
      <c r="N820" s="577"/>
      <c r="O820" s="1048">
        <f>SUMIFS('Detailed Fixture Data'!O:O,'Detailed Fixture Data'!C:C,G820,'Detailed Fixture Data'!E:E,I820,'Detailed Fixture Data'!F:F,J820,'Detailed Fixture Data'!L:L,L820)</f>
        <v>0</v>
      </c>
      <c r="P820" s="1049"/>
      <c r="Q820" s="577"/>
      <c r="R820" s="1039"/>
      <c r="S820" s="618"/>
      <c r="T820" s="225"/>
      <c r="U820" s="618"/>
      <c r="V820" s="1045"/>
      <c r="W820" s="1046"/>
    </row>
    <row r="821" spans="3:23" x14ac:dyDescent="0.3">
      <c r="C821" s="576"/>
      <c r="D821" s="494" t="s">
        <v>16</v>
      </c>
      <c r="E821" s="494"/>
      <c r="F821" s="181"/>
      <c r="G821" s="494" t="s">
        <v>97</v>
      </c>
      <c r="H821" s="577"/>
      <c r="I821" s="450" t="s">
        <v>43</v>
      </c>
      <c r="J821" s="577" t="s">
        <v>7</v>
      </c>
      <c r="K821" s="215" t="s">
        <v>365</v>
      </c>
      <c r="L821" s="1012" t="s">
        <v>257</v>
      </c>
      <c r="M821" s="1050"/>
      <c r="N821" s="1050"/>
      <c r="O821" s="1050"/>
      <c r="P821" s="1051"/>
      <c r="Q821" s="981"/>
      <c r="R821" s="1052">
        <f>SUMIFS('Cooling Data'!H:H,'Cooling Data'!$C:$C,$G821,'Cooling Data'!$E:$E,$I821,'Cooling Data'!$F:$F,$J821)</f>
        <v>0</v>
      </c>
      <c r="S821" s="1052">
        <f>SUMIFS('Cooling Data'!J:J,'Cooling Data'!$C:$C,$G821,'Cooling Data'!$E:$E,$I821,'Cooling Data'!$F:$F,$J821)</f>
        <v>0</v>
      </c>
      <c r="T821" s="225" t="str">
        <f>G821&amp;"-"&amp;J821</f>
        <v>Hotel B-Cooling</v>
      </c>
      <c r="U821" s="1034">
        <f ca="1">IF(ISNA(VLOOKUP(T821,list!$AV$3:$AW$130,2,FALSE)),1,(VLOOKUP(T821,list!$AV$3:$AW$130,2,FALSE)))</f>
        <v>1</v>
      </c>
      <c r="V821" s="1033">
        <f ca="1">R821*U821</f>
        <v>0</v>
      </c>
      <c r="W821" s="1033">
        <f ca="1">S821*U821</f>
        <v>0</v>
      </c>
    </row>
    <row r="822" spans="3:23" x14ac:dyDescent="0.3">
      <c r="C822" s="576"/>
      <c r="D822" s="494" t="s">
        <v>16</v>
      </c>
      <c r="E822" s="494"/>
      <c r="F822" s="181"/>
      <c r="G822" s="494" t="s">
        <v>97</v>
      </c>
      <c r="H822" s="577"/>
      <c r="I822" s="450" t="s">
        <v>43</v>
      </c>
      <c r="J822" s="577" t="s">
        <v>7</v>
      </c>
      <c r="K822" s="577"/>
      <c r="L822" s="206"/>
      <c r="M822" s="181"/>
      <c r="N822" s="181"/>
      <c r="O822" s="181"/>
      <c r="P822" s="1053"/>
      <c r="Q822" s="439"/>
      <c r="R822" s="1039"/>
      <c r="S822" s="521"/>
      <c r="T822" s="225"/>
      <c r="U822" s="521"/>
      <c r="V822" s="1040"/>
      <c r="W822" s="1041"/>
    </row>
    <row r="823" spans="3:23" ht="15" thickBot="1" x14ac:dyDescent="0.35">
      <c r="C823" s="576"/>
      <c r="D823" s="494" t="s">
        <v>16</v>
      </c>
      <c r="E823" s="494"/>
      <c r="F823" s="181"/>
      <c r="G823" s="494" t="s">
        <v>97</v>
      </c>
      <c r="H823" s="577"/>
      <c r="I823" s="450" t="s">
        <v>43</v>
      </c>
      <c r="J823" s="116" t="s">
        <v>7</v>
      </c>
      <c r="K823" s="116"/>
      <c r="L823" s="207"/>
      <c r="M823" s="924"/>
      <c r="N823" s="924"/>
      <c r="O823" s="924"/>
      <c r="P823" s="1054"/>
      <c r="Q823" s="606"/>
      <c r="R823" s="1039"/>
      <c r="S823" s="618"/>
      <c r="T823" s="225"/>
      <c r="U823" s="618"/>
      <c r="V823" s="1045"/>
      <c r="W823" s="1046"/>
    </row>
    <row r="824" spans="3:23" x14ac:dyDescent="0.3">
      <c r="C824" s="576"/>
      <c r="D824" s="494" t="s">
        <v>16</v>
      </c>
      <c r="E824" s="494"/>
      <c r="F824" s="181"/>
      <c r="G824" s="494" t="s">
        <v>97</v>
      </c>
      <c r="H824" s="577"/>
      <c r="I824" s="450" t="s">
        <v>43</v>
      </c>
      <c r="J824" s="577" t="s">
        <v>34</v>
      </c>
      <c r="K824" s="577" t="s">
        <v>36</v>
      </c>
      <c r="L824" s="1047" t="s">
        <v>64</v>
      </c>
      <c r="M824" s="1036">
        <f>SUMIFS('Level of Efficiency Assumptions'!$J:$J,'Level of Efficiency Assumptions'!$D:$D,I824,'Level of Efficiency Assumptions'!$F:$F,J824,'Level of Efficiency Assumptions'!$I:$I,'Water Use Calcs'!L824)</f>
        <v>10</v>
      </c>
      <c r="N824" s="567" t="s">
        <v>661</v>
      </c>
      <c r="O824" s="1048">
        <f>SUMIFS('Detailed Fixture Data'!O:O,'Detailed Fixture Data'!C:C,G824,'Detailed Fixture Data'!E:E,I824,'Detailed Fixture Data'!F:F,J824,'Detailed Fixture Data'!L:L,L824)</f>
        <v>0</v>
      </c>
      <c r="P824" s="1030">
        <f>SUMIFS('Intensity of Use Assumptions'!$J:$J,'Intensity of Use Assumptions'!$D:$D,I824,'Intensity of Use Assumptions'!$G:$G,J824,'Intensity of Use Assumptions'!H:H,K824)</f>
        <v>1</v>
      </c>
      <c r="Q824" s="567" t="s">
        <v>67</v>
      </c>
      <c r="R824" s="1032">
        <f>(SUMPRODUCT(M824:M826,O824:O826)*P824)</f>
        <v>0</v>
      </c>
      <c r="S824" s="1033">
        <f>IF(R824=0,0,M826*P824)</f>
        <v>0</v>
      </c>
      <c r="T824" s="225" t="str">
        <f>G824&amp;"-"&amp;J824</f>
        <v>Hotel B-Swimming Pool</v>
      </c>
      <c r="U824" s="1034">
        <f ca="1">IF(ISNA(VLOOKUP(T824,list!$AV$3:$AW$130,2,FALSE)),1,(VLOOKUP(T824,list!$AV$3:$AW$130,2,FALSE)))</f>
        <v>1</v>
      </c>
      <c r="V824" s="1033">
        <f ca="1">R824*U824</f>
        <v>0</v>
      </c>
      <c r="W824" s="1033">
        <f ca="1">S824*U824</f>
        <v>0</v>
      </c>
    </row>
    <row r="825" spans="3:23" x14ac:dyDescent="0.3">
      <c r="C825" s="576"/>
      <c r="D825" s="494" t="s">
        <v>16</v>
      </c>
      <c r="E825" s="494"/>
      <c r="F825" s="181"/>
      <c r="G825" s="494" t="s">
        <v>97</v>
      </c>
      <c r="H825" s="577"/>
      <c r="I825" s="450" t="s">
        <v>43</v>
      </c>
      <c r="J825" s="577" t="s">
        <v>34</v>
      </c>
      <c r="K825" s="577"/>
      <c r="L825" s="1035" t="s">
        <v>65</v>
      </c>
      <c r="M825" s="1036">
        <f>SUMIFS('Level of Efficiency Assumptions'!$J:$J,'Level of Efficiency Assumptions'!$D:$D,I825,'Level of Efficiency Assumptions'!$F:$F,J825,'Level of Efficiency Assumptions'!$I:$I,'Water Use Calcs'!L825)</f>
        <v>7.5</v>
      </c>
      <c r="N825" s="577"/>
      <c r="O825" s="1048">
        <f>SUMIFS('Detailed Fixture Data'!O:O,'Detailed Fixture Data'!C:C,G825,'Detailed Fixture Data'!E:E,I825,'Detailed Fixture Data'!F:F,J825,'Detailed Fixture Data'!L:L,L825)</f>
        <v>0</v>
      </c>
      <c r="P825" s="1049"/>
      <c r="Q825" s="577"/>
      <c r="R825" s="1039"/>
      <c r="S825" s="521"/>
      <c r="T825" s="225"/>
      <c r="U825" s="521"/>
      <c r="V825" s="1040"/>
      <c r="W825" s="1041"/>
    </row>
    <row r="826" spans="3:23" ht="15" thickBot="1" x14ac:dyDescent="0.35">
      <c r="C826" s="576"/>
      <c r="D826" s="494" t="s">
        <v>16</v>
      </c>
      <c r="E826" s="494"/>
      <c r="F826" s="181"/>
      <c r="G826" s="494" t="s">
        <v>97</v>
      </c>
      <c r="H826" s="577"/>
      <c r="I826" s="450" t="s">
        <v>43</v>
      </c>
      <c r="J826" s="116" t="s">
        <v>34</v>
      </c>
      <c r="K826" s="116"/>
      <c r="L826" s="1042" t="s">
        <v>66</v>
      </c>
      <c r="M826" s="1043">
        <f>SUMIFS('Level of Efficiency Assumptions'!$J:$J,'Level of Efficiency Assumptions'!$D:$D,I826,'Level of Efficiency Assumptions'!$F:$F,J826,'Level of Efficiency Assumptions'!$I:$I,'Water Use Calcs'!L826)</f>
        <v>5</v>
      </c>
      <c r="N826" s="577"/>
      <c r="O826" s="1048">
        <f>SUMIFS('Detailed Fixture Data'!O:O,'Detailed Fixture Data'!C:C,G826,'Detailed Fixture Data'!E:E,I826,'Detailed Fixture Data'!F:F,J826,'Detailed Fixture Data'!L:L,L826)</f>
        <v>0</v>
      </c>
      <c r="P826" s="1049"/>
      <c r="Q826" s="577"/>
      <c r="R826" s="1039"/>
      <c r="S826" s="618"/>
      <c r="T826" s="225"/>
      <c r="U826" s="618"/>
      <c r="V826" s="1045"/>
      <c r="W826" s="1046"/>
    </row>
    <row r="827" spans="3:23" x14ac:dyDescent="0.3">
      <c r="C827" s="576"/>
      <c r="D827" s="494" t="s">
        <v>16</v>
      </c>
      <c r="E827" s="494"/>
      <c r="F827" s="181"/>
      <c r="G827" s="494" t="s">
        <v>97</v>
      </c>
      <c r="H827" s="577"/>
      <c r="I827" s="450" t="s">
        <v>43</v>
      </c>
      <c r="J827" s="577" t="s">
        <v>21</v>
      </c>
      <c r="K827" s="577" t="s">
        <v>17</v>
      </c>
      <c r="L827" s="1047" t="s">
        <v>64</v>
      </c>
      <c r="M827" s="1036">
        <f>SUMIFS('Level of Efficiency Assumptions'!$J:$J,'Level of Efficiency Assumptions'!$D:$D,I827,'Level of Efficiency Assumptions'!$F:$F,J827,'Level of Efficiency Assumptions'!$I:$I,'Water Use Calcs'!L827)</f>
        <v>3.5</v>
      </c>
      <c r="N827" s="567" t="s">
        <v>235</v>
      </c>
      <c r="O827" s="1048">
        <f>SUMIFS('Detailed Fixture Data'!O:O,'Detailed Fixture Data'!C:C,G827,'Detailed Fixture Data'!E:E,I827,'Detailed Fixture Data'!F:F,J827,'Detailed Fixture Data'!L:L,L827)</f>
        <v>0</v>
      </c>
      <c r="P827" s="1030">
        <f>SUMIFS('Intensity of Use Assumptions'!$J:$J,'Intensity of Use Assumptions'!$D:$D,I827,'Intensity of Use Assumptions'!$G:$G,J827,'Intensity of Use Assumptions'!H:H,K827)</f>
        <v>10</v>
      </c>
      <c r="Q827" s="567" t="s">
        <v>236</v>
      </c>
      <c r="R827" s="1032">
        <f>(SUMPRODUCT(M827:M829,O827:O829)*P827)</f>
        <v>0</v>
      </c>
      <c r="S827" s="1033">
        <f>IF(R827=0,0,M829*P827)</f>
        <v>0</v>
      </c>
      <c r="T827" s="225" t="str">
        <f>G827&amp;"-"&amp;J827</f>
        <v>Hotel B-Laundry</v>
      </c>
      <c r="U827" s="1034">
        <f ca="1">IF(ISNA(VLOOKUP(T827,list!$AV$3:$AW$130,2,FALSE)),1,(VLOOKUP(T827,list!$AV$3:$AW$130,2,FALSE)))</f>
        <v>1</v>
      </c>
      <c r="V827" s="1033">
        <f ca="1">R827*U827</f>
        <v>0</v>
      </c>
      <c r="W827" s="1033">
        <f ca="1">S827*U827</f>
        <v>0</v>
      </c>
    </row>
    <row r="828" spans="3:23" x14ac:dyDescent="0.3">
      <c r="C828" s="576"/>
      <c r="D828" s="494" t="s">
        <v>16</v>
      </c>
      <c r="E828" s="494"/>
      <c r="F828" s="181"/>
      <c r="G828" s="494" t="s">
        <v>97</v>
      </c>
      <c r="H828" s="577"/>
      <c r="I828" s="450" t="s">
        <v>43</v>
      </c>
      <c r="J828" s="577" t="s">
        <v>21</v>
      </c>
      <c r="K828" s="577"/>
      <c r="L828" s="1035" t="s">
        <v>65</v>
      </c>
      <c r="M828" s="1036">
        <f>SUMIFS('Level of Efficiency Assumptions'!$J:$J,'Level of Efficiency Assumptions'!$D:$D,I828,'Level of Efficiency Assumptions'!$F:$F,J828,'Level of Efficiency Assumptions'!$I:$I,'Water Use Calcs'!L828)</f>
        <v>2.5</v>
      </c>
      <c r="N828" s="577"/>
      <c r="O828" s="1048">
        <f>SUMIFS('Detailed Fixture Data'!O:O,'Detailed Fixture Data'!C:C,G828,'Detailed Fixture Data'!E:E,I828,'Detailed Fixture Data'!F:F,J828,'Detailed Fixture Data'!L:L,L828)</f>
        <v>0</v>
      </c>
      <c r="P828" s="1049"/>
      <c r="Q828" s="577"/>
      <c r="R828" s="1039"/>
      <c r="S828" s="521"/>
      <c r="T828" s="225"/>
      <c r="U828" s="521"/>
      <c r="V828" s="1040"/>
      <c r="W828" s="1041"/>
    </row>
    <row r="829" spans="3:23" ht="15" thickBot="1" x14ac:dyDescent="0.35">
      <c r="C829" s="576"/>
      <c r="D829" s="494" t="s">
        <v>16</v>
      </c>
      <c r="E829" s="494"/>
      <c r="F829" s="181"/>
      <c r="G829" s="494" t="s">
        <v>97</v>
      </c>
      <c r="H829" s="577"/>
      <c r="I829" s="451" t="s">
        <v>43</v>
      </c>
      <c r="J829" s="116" t="s">
        <v>21</v>
      </c>
      <c r="K829" s="116"/>
      <c r="L829" s="1042" t="s">
        <v>66</v>
      </c>
      <c r="M829" s="1043">
        <f>SUMIFS('Level of Efficiency Assumptions'!$J:$J,'Level of Efficiency Assumptions'!$D:$D,I829,'Level of Efficiency Assumptions'!$F:$F,J829,'Level of Efficiency Assumptions'!$I:$I,'Water Use Calcs'!L829)</f>
        <v>1.5</v>
      </c>
      <c r="N829" s="577"/>
      <c r="O829" s="1048">
        <f>SUMIFS('Detailed Fixture Data'!O:O,'Detailed Fixture Data'!C:C,G829,'Detailed Fixture Data'!E:E,I829,'Detailed Fixture Data'!F:F,J829,'Detailed Fixture Data'!L:L,L829)</f>
        <v>0</v>
      </c>
      <c r="P829" s="1049"/>
      <c r="Q829" s="577"/>
      <c r="R829" s="1039"/>
      <c r="S829" s="618"/>
      <c r="T829" s="225"/>
      <c r="U829" s="618"/>
      <c r="V829" s="1045"/>
      <c r="W829" s="1046"/>
    </row>
    <row r="830" spans="3:23" x14ac:dyDescent="0.3">
      <c r="C830" s="576"/>
      <c r="D830" s="494" t="s">
        <v>16</v>
      </c>
      <c r="E830" s="494"/>
      <c r="F830" s="181"/>
      <c r="G830" s="494" t="s">
        <v>97</v>
      </c>
      <c r="H830" s="651" t="str">
        <f>I830</f>
        <v>Landscaping</v>
      </c>
      <c r="I830" s="450" t="s">
        <v>39</v>
      </c>
      <c r="J830" s="577" t="s">
        <v>42</v>
      </c>
      <c r="K830" s="577" t="s">
        <v>32</v>
      </c>
      <c r="L830" s="1047" t="s">
        <v>64</v>
      </c>
      <c r="M830" s="1036">
        <f>SUMIFS('Level of Efficiency Assumptions'!$J:$J,'Level of Efficiency Assumptions'!$D:$D,I830,'Level of Efficiency Assumptions'!$F:$F,J830,'Level of Efficiency Assumptions'!$I:$I,'Water Use Calcs'!L830)</f>
        <v>28.6</v>
      </c>
      <c r="N830" s="567" t="s">
        <v>816</v>
      </c>
      <c r="O830" s="1048">
        <f>SUMIFS('Detailed Fixture Data'!O:O,'Detailed Fixture Data'!C:C,G830,'Detailed Fixture Data'!E:E,I830,'Detailed Fixture Data'!F:F,J830,'Detailed Fixture Data'!L:L,L830)</f>
        <v>0</v>
      </c>
      <c r="P830" s="1030">
        <f>SUMIFS('Intensity of Use Assumptions'!$J:$J,'Intensity of Use Assumptions'!$D:$D,I830,'Intensity of Use Assumptions'!$G:$G,J830,'Intensity of Use Assumptions'!H:H,K830,'Intensity of Use Assumptions'!F:F,D830)</f>
        <v>2.7397260273972603E-3</v>
      </c>
      <c r="Q830" s="567" t="s">
        <v>815</v>
      </c>
      <c r="R830" s="1032">
        <f>(SUMPRODUCT(M830:M832,O830:O832)*P830)</f>
        <v>0</v>
      </c>
      <c r="S830" s="1033">
        <f>IF(R830=0,0,M832*P830)</f>
        <v>0</v>
      </c>
      <c r="T830" s="225" t="str">
        <f>G830&amp;"-"&amp;J830</f>
        <v>Hotel B-Outdoor irrigation</v>
      </c>
      <c r="U830" s="1034">
        <f ca="1">IF(ISNA(VLOOKUP(T830,list!$AV$3:$AW$130,2,FALSE)),1,(VLOOKUP(T830,list!$AV$3:$AW$130,2,FALSE)))</f>
        <v>1</v>
      </c>
      <c r="V830" s="1033">
        <f ca="1">R830*U830</f>
        <v>0</v>
      </c>
      <c r="W830" s="1033">
        <f ca="1">S830*U830</f>
        <v>0</v>
      </c>
    </row>
    <row r="831" spans="3:23" x14ac:dyDescent="0.3">
      <c r="C831" s="576"/>
      <c r="D831" s="494" t="s">
        <v>16</v>
      </c>
      <c r="E831" s="494"/>
      <c r="F831" s="181"/>
      <c r="G831" s="494" t="s">
        <v>97</v>
      </c>
      <c r="H831" s="577"/>
      <c r="I831" s="450" t="s">
        <v>39</v>
      </c>
      <c r="J831" s="577" t="s">
        <v>42</v>
      </c>
      <c r="K831" s="577"/>
      <c r="L831" s="1035" t="s">
        <v>65</v>
      </c>
      <c r="M831" s="1036">
        <f>SUMIFS('Level of Efficiency Assumptions'!$J:$J,'Level of Efficiency Assumptions'!$D:$D,I831,'Level of Efficiency Assumptions'!$F:$F,J831,'Level of Efficiency Assumptions'!$I:$I,'Water Use Calcs'!L831)</f>
        <v>13.980821518350929</v>
      </c>
      <c r="N831" s="577"/>
      <c r="O831" s="1048">
        <f>SUMIFS('Detailed Fixture Data'!O:O,'Detailed Fixture Data'!C:C,G831,'Detailed Fixture Data'!E:E,I831,'Detailed Fixture Data'!F:F,J831,'Detailed Fixture Data'!L:L,L831)</f>
        <v>0</v>
      </c>
      <c r="P831" s="1049"/>
      <c r="Q831" s="577"/>
      <c r="R831" s="1039"/>
      <c r="S831" s="521"/>
      <c r="T831" s="225"/>
      <c r="U831" s="521"/>
      <c r="V831" s="1040"/>
      <c r="W831" s="1041"/>
    </row>
    <row r="832" spans="3:23" ht="15" thickBot="1" x14ac:dyDescent="0.35">
      <c r="C832" s="576"/>
      <c r="D832" s="494" t="s">
        <v>16</v>
      </c>
      <c r="E832" s="494"/>
      <c r="F832" s="181"/>
      <c r="G832" s="494" t="s">
        <v>97</v>
      </c>
      <c r="H832" s="577"/>
      <c r="I832" s="451" t="s">
        <v>39</v>
      </c>
      <c r="J832" s="116" t="s">
        <v>42</v>
      </c>
      <c r="K832" s="116"/>
      <c r="L832" s="1042" t="s">
        <v>66</v>
      </c>
      <c r="M832" s="1043">
        <f>SUMIFS('Level of Efficiency Assumptions'!$J:$J,'Level of Efficiency Assumptions'!$D:$D,I832,'Level of Efficiency Assumptions'!$F:$F,J832,'Level of Efficiency Assumptions'!$I:$I,'Water Use Calcs'!L832)</f>
        <v>0.59137254901960778</v>
      </c>
      <c r="N832" s="577"/>
      <c r="O832" s="1048">
        <f>SUMIFS('Detailed Fixture Data'!O:O,'Detailed Fixture Data'!C:C,G832,'Detailed Fixture Data'!E:E,I832,'Detailed Fixture Data'!F:F,J832,'Detailed Fixture Data'!L:L,L832)</f>
        <v>0</v>
      </c>
      <c r="P832" s="1049"/>
      <c r="Q832" s="577"/>
      <c r="R832" s="1039"/>
      <c r="S832" s="618"/>
      <c r="T832" s="225"/>
      <c r="U832" s="618"/>
      <c r="V832" s="1045"/>
      <c r="W832" s="1046"/>
    </row>
    <row r="833" spans="3:23" x14ac:dyDescent="0.3">
      <c r="C833" s="576"/>
      <c r="D833" s="494" t="s">
        <v>16</v>
      </c>
      <c r="E833" s="494"/>
      <c r="F833" s="181"/>
      <c r="G833" s="494" t="s">
        <v>97</v>
      </c>
      <c r="H833" s="651" t="str">
        <f>I833</f>
        <v>Other</v>
      </c>
      <c r="I833" s="450" t="s">
        <v>8</v>
      </c>
      <c r="J833" s="577" t="s">
        <v>52</v>
      </c>
      <c r="K833" s="387" t="s">
        <v>362</v>
      </c>
      <c r="L833" s="1047" t="s">
        <v>64</v>
      </c>
      <c r="M833" s="1036">
        <f>SUMIFS('Level of Efficiency Assumptions'!$J:$J,'Level of Efficiency Assumptions'!$D:$D,I833,'Level of Efficiency Assumptions'!$F:$F,J833,'Level of Efficiency Assumptions'!$I:$I,'Water Use Calcs'!L833)</f>
        <v>10</v>
      </c>
      <c r="N833" s="567" t="s">
        <v>660</v>
      </c>
      <c r="O833" s="1048">
        <f>SUMIFS('Detailed Fixture Data'!O:O,'Detailed Fixture Data'!C:C,G833,'Detailed Fixture Data'!E:E,I833,'Detailed Fixture Data'!F:F,J833,'Detailed Fixture Data'!L:L,L833)</f>
        <v>0</v>
      </c>
      <c r="P833" s="1030">
        <f>SUMIFS('Intensity of Use Assumptions'!$J:$J,'Intensity of Use Assumptions'!$D:$D,I833,'Intensity of Use Assumptions'!$G:$G,J833,'Intensity of Use Assumptions'!H:H,K833)</f>
        <v>1</v>
      </c>
      <c r="Q833" s="567" t="s">
        <v>67</v>
      </c>
      <c r="R833" s="1032">
        <f>(SUMPRODUCT(M833:M835,O833:O835)*P833)</f>
        <v>0</v>
      </c>
      <c r="S833" s="1033">
        <f>IF(R833=0,0,M835*P833)</f>
        <v>0</v>
      </c>
      <c r="T833" s="225" t="str">
        <f>G833&amp;"-"&amp;J833</f>
        <v>Hotel B-Other 1</v>
      </c>
      <c r="U833" s="1034">
        <f ca="1">IF(ISNA(VLOOKUP(T833,list!$AV$3:$AW$130,2,FALSE)),1,(VLOOKUP(T833,list!$AV$3:$AW$130,2,FALSE)))</f>
        <v>1</v>
      </c>
      <c r="V833" s="1033">
        <f ca="1">R833*U833</f>
        <v>0</v>
      </c>
      <c r="W833" s="1033">
        <f ca="1">S833*U833</f>
        <v>0</v>
      </c>
    </row>
    <row r="834" spans="3:23" x14ac:dyDescent="0.3">
      <c r="C834" s="576"/>
      <c r="D834" s="494" t="s">
        <v>16</v>
      </c>
      <c r="E834" s="494"/>
      <c r="F834" s="181"/>
      <c r="G834" s="494" t="s">
        <v>97</v>
      </c>
      <c r="H834" s="577"/>
      <c r="I834" s="450" t="s">
        <v>8</v>
      </c>
      <c r="J834" s="577" t="s">
        <v>52</v>
      </c>
      <c r="K834" s="382"/>
      <c r="L834" s="1035" t="s">
        <v>65</v>
      </c>
      <c r="M834" s="1036">
        <f>SUMIFS('Level of Efficiency Assumptions'!$J:$J,'Level of Efficiency Assumptions'!$D:$D,I834,'Level of Efficiency Assumptions'!$F:$F,J834,'Level of Efficiency Assumptions'!$I:$I,'Water Use Calcs'!L834)</f>
        <v>7.5</v>
      </c>
      <c r="N834" s="577"/>
      <c r="O834" s="1048">
        <f>SUMIFS('Detailed Fixture Data'!O:O,'Detailed Fixture Data'!C:C,G834,'Detailed Fixture Data'!E:E,I834,'Detailed Fixture Data'!F:F,J834,'Detailed Fixture Data'!L:L,L834)</f>
        <v>0</v>
      </c>
      <c r="P834" s="1049"/>
      <c r="Q834" s="577"/>
      <c r="R834" s="1039"/>
      <c r="S834" s="521"/>
      <c r="T834" s="225"/>
      <c r="U834" s="521"/>
      <c r="V834" s="1040"/>
      <c r="W834" s="1041"/>
    </row>
    <row r="835" spans="3:23" ht="15" thickBot="1" x14ac:dyDescent="0.35">
      <c r="C835" s="576"/>
      <c r="D835" s="494" t="s">
        <v>16</v>
      </c>
      <c r="E835" s="494"/>
      <c r="F835" s="181"/>
      <c r="G835" s="494" t="s">
        <v>97</v>
      </c>
      <c r="H835" s="577"/>
      <c r="I835" s="450" t="s">
        <v>8</v>
      </c>
      <c r="J835" s="116" t="s">
        <v>52</v>
      </c>
      <c r="K835" s="382"/>
      <c r="L835" s="1042" t="s">
        <v>66</v>
      </c>
      <c r="M835" s="1043">
        <f>SUMIFS('Level of Efficiency Assumptions'!$J:$J,'Level of Efficiency Assumptions'!$D:$D,I835,'Level of Efficiency Assumptions'!$F:$F,J835,'Level of Efficiency Assumptions'!$I:$I,'Water Use Calcs'!L835)</f>
        <v>5</v>
      </c>
      <c r="N835" s="577"/>
      <c r="O835" s="1048">
        <f>SUMIFS('Detailed Fixture Data'!O:O,'Detailed Fixture Data'!C:C,G835,'Detailed Fixture Data'!E:E,I835,'Detailed Fixture Data'!F:F,J835,'Detailed Fixture Data'!L:L,L835)</f>
        <v>0</v>
      </c>
      <c r="P835" s="1049"/>
      <c r="Q835" s="577"/>
      <c r="R835" s="1039"/>
      <c r="S835" s="618"/>
      <c r="T835" s="225"/>
      <c r="U835" s="618"/>
      <c r="V835" s="1045"/>
      <c r="W835" s="1046"/>
    </row>
    <row r="836" spans="3:23" x14ac:dyDescent="0.3">
      <c r="C836" s="576"/>
      <c r="D836" s="494" t="s">
        <v>16</v>
      </c>
      <c r="E836" s="494"/>
      <c r="F836" s="181"/>
      <c r="G836" s="494" t="s">
        <v>97</v>
      </c>
      <c r="H836" s="577"/>
      <c r="I836" s="450" t="s">
        <v>8</v>
      </c>
      <c r="J836" s="577" t="s">
        <v>53</v>
      </c>
      <c r="K836" s="1055" t="s">
        <v>363</v>
      </c>
      <c r="L836" s="1047" t="s">
        <v>64</v>
      </c>
      <c r="M836" s="1036">
        <f>SUMIFS('Level of Efficiency Assumptions'!$J:$J,'Level of Efficiency Assumptions'!$D:$D,I836,'Level of Efficiency Assumptions'!$F:$F,J836,'Level of Efficiency Assumptions'!$I:$I,'Water Use Calcs'!L836)</f>
        <v>10</v>
      </c>
      <c r="N836" s="567" t="s">
        <v>660</v>
      </c>
      <c r="O836" s="1048">
        <f>SUMIFS('Detailed Fixture Data'!O:O,'Detailed Fixture Data'!C:C,G836,'Detailed Fixture Data'!E:E,I836,'Detailed Fixture Data'!F:F,J836,'Detailed Fixture Data'!L:L,L836)</f>
        <v>0</v>
      </c>
      <c r="P836" s="1030">
        <f>SUMIFS('Intensity of Use Assumptions'!$J:$J,'Intensity of Use Assumptions'!$D:$D,I836,'Intensity of Use Assumptions'!$G:$G,J836,'Intensity of Use Assumptions'!H:H,K836)</f>
        <v>1</v>
      </c>
      <c r="Q836" s="567" t="s">
        <v>67</v>
      </c>
      <c r="R836" s="1032">
        <f>(SUMPRODUCT(M836:M838,O836:O838)*P836)</f>
        <v>0</v>
      </c>
      <c r="S836" s="1033">
        <f>IF(R836=0,0,M838*P836)</f>
        <v>0</v>
      </c>
      <c r="T836" s="225" t="str">
        <f>G836&amp;"-"&amp;J836</f>
        <v>Hotel B-Other 2</v>
      </c>
      <c r="U836" s="1034">
        <f ca="1">IF(ISNA(VLOOKUP(T836,list!$AV$3:$AW$130,2,FALSE)),1,(VLOOKUP(T836,list!$AV$3:$AW$130,2,FALSE)))</f>
        <v>1</v>
      </c>
      <c r="V836" s="1033">
        <f ca="1">R836*U836</f>
        <v>0</v>
      </c>
      <c r="W836" s="1033">
        <f ca="1">S836*U836</f>
        <v>0</v>
      </c>
    </row>
    <row r="837" spans="3:23" x14ac:dyDescent="0.3">
      <c r="C837" s="576"/>
      <c r="D837" s="494" t="s">
        <v>16</v>
      </c>
      <c r="E837" s="494"/>
      <c r="F837" s="181"/>
      <c r="G837" s="494" t="s">
        <v>97</v>
      </c>
      <c r="H837" s="577"/>
      <c r="I837" s="450" t="s">
        <v>8</v>
      </c>
      <c r="J837" s="577" t="s">
        <v>53</v>
      </c>
      <c r="K837" s="577"/>
      <c r="L837" s="1035" t="s">
        <v>65</v>
      </c>
      <c r="M837" s="1036">
        <f>SUMIFS('Level of Efficiency Assumptions'!$J:$J,'Level of Efficiency Assumptions'!$D:$D,I837,'Level of Efficiency Assumptions'!$F:$F,J837,'Level of Efficiency Assumptions'!$I:$I,'Water Use Calcs'!L837)</f>
        <v>7.5</v>
      </c>
      <c r="N837" s="577"/>
      <c r="O837" s="1048">
        <f>SUMIFS('Detailed Fixture Data'!O:O,'Detailed Fixture Data'!C:C,G837,'Detailed Fixture Data'!E:E,I837,'Detailed Fixture Data'!F:F,J837,'Detailed Fixture Data'!L:L,L837)</f>
        <v>0</v>
      </c>
      <c r="P837" s="1049"/>
      <c r="Q837" s="577"/>
      <c r="R837" s="1039"/>
      <c r="S837" s="521"/>
      <c r="T837" s="225"/>
      <c r="U837" s="521"/>
      <c r="V837" s="1040"/>
      <c r="W837" s="1041"/>
    </row>
    <row r="838" spans="3:23" ht="15" thickBot="1" x14ac:dyDescent="0.35">
      <c r="C838" s="576"/>
      <c r="D838" s="494" t="s">
        <v>16</v>
      </c>
      <c r="E838" s="494"/>
      <c r="F838" s="181"/>
      <c r="G838" s="494" t="s">
        <v>97</v>
      </c>
      <c r="H838" s="577"/>
      <c r="I838" s="450" t="s">
        <v>8</v>
      </c>
      <c r="J838" s="116" t="s">
        <v>53</v>
      </c>
      <c r="K838" s="116"/>
      <c r="L838" s="1042" t="s">
        <v>66</v>
      </c>
      <c r="M838" s="1043">
        <f>SUMIFS('Level of Efficiency Assumptions'!$J:$J,'Level of Efficiency Assumptions'!$D:$D,I838,'Level of Efficiency Assumptions'!$F:$F,J838,'Level of Efficiency Assumptions'!$I:$I,'Water Use Calcs'!L838)</f>
        <v>5</v>
      </c>
      <c r="N838" s="577"/>
      <c r="O838" s="1048">
        <f>SUMIFS('Detailed Fixture Data'!O:O,'Detailed Fixture Data'!C:C,G838,'Detailed Fixture Data'!E:E,I838,'Detailed Fixture Data'!F:F,J838,'Detailed Fixture Data'!L:L,L838)</f>
        <v>0</v>
      </c>
      <c r="P838" s="1049"/>
      <c r="Q838" s="577"/>
      <c r="R838" s="1039"/>
      <c r="S838" s="618"/>
      <c r="T838" s="225"/>
      <c r="U838" s="618"/>
      <c r="V838" s="1045"/>
      <c r="W838" s="1046"/>
    </row>
    <row r="839" spans="3:23" x14ac:dyDescent="0.3">
      <c r="C839" s="576"/>
      <c r="D839" s="494" t="s">
        <v>16</v>
      </c>
      <c r="E839" s="494"/>
      <c r="F839" s="181"/>
      <c r="G839" s="494" t="s">
        <v>97</v>
      </c>
      <c r="H839" s="577"/>
      <c r="I839" s="450" t="s">
        <v>8</v>
      </c>
      <c r="J839" s="577" t="s">
        <v>54</v>
      </c>
      <c r="K839" s="379" t="s">
        <v>364</v>
      </c>
      <c r="L839" s="1047" t="s">
        <v>64</v>
      </c>
      <c r="M839" s="1036">
        <f>SUMIFS('Level of Efficiency Assumptions'!$J:$J,'Level of Efficiency Assumptions'!$D:$D,I839,'Level of Efficiency Assumptions'!$F:$F,J839,'Level of Efficiency Assumptions'!$I:$I,'Water Use Calcs'!L839)</f>
        <v>10</v>
      </c>
      <c r="N839" s="567" t="s">
        <v>660</v>
      </c>
      <c r="O839" s="1048">
        <f>SUMIFS('Detailed Fixture Data'!O:O,'Detailed Fixture Data'!C:C,G839,'Detailed Fixture Data'!E:E,I839,'Detailed Fixture Data'!F:F,J839,'Detailed Fixture Data'!L:L,L839)</f>
        <v>0</v>
      </c>
      <c r="P839" s="1030">
        <f>SUMIFS('Intensity of Use Assumptions'!$J:$J,'Intensity of Use Assumptions'!$D:$D,I839,'Intensity of Use Assumptions'!$G:$G,J839,'Intensity of Use Assumptions'!H:H,K839)</f>
        <v>1</v>
      </c>
      <c r="Q839" s="567" t="s">
        <v>67</v>
      </c>
      <c r="R839" s="1032">
        <f>(SUMPRODUCT(M839:M841,O839:O841)*P839)</f>
        <v>0</v>
      </c>
      <c r="S839" s="1033">
        <f>IF(R839=0,0,M841*P839)</f>
        <v>0</v>
      </c>
      <c r="T839" s="225" t="str">
        <f>G839&amp;"-"&amp;J839</f>
        <v>Hotel B-Other 3</v>
      </c>
      <c r="U839" s="1034">
        <f ca="1">IF(ISNA(VLOOKUP(T839,list!$AV$3:$AW$130,2,FALSE)),1,(VLOOKUP(T839,list!$AV$3:$AW$130,2,FALSE)))</f>
        <v>1</v>
      </c>
      <c r="V839" s="1033">
        <f ca="1">R839*U839</f>
        <v>0</v>
      </c>
      <c r="W839" s="1033">
        <f ca="1">S839*U839</f>
        <v>0</v>
      </c>
    </row>
    <row r="840" spans="3:23" x14ac:dyDescent="0.3">
      <c r="C840" s="576"/>
      <c r="D840" s="494" t="s">
        <v>16</v>
      </c>
      <c r="E840" s="494"/>
      <c r="F840" s="181"/>
      <c r="G840" s="494" t="s">
        <v>97</v>
      </c>
      <c r="H840" s="577"/>
      <c r="I840" s="450" t="s">
        <v>8</v>
      </c>
      <c r="J840" s="577" t="s">
        <v>54</v>
      </c>
      <c r="K840" s="577"/>
      <c r="L840" s="1035" t="s">
        <v>65</v>
      </c>
      <c r="M840" s="1036">
        <f>SUMIFS('Level of Efficiency Assumptions'!$J:$J,'Level of Efficiency Assumptions'!$D:$D,I840,'Level of Efficiency Assumptions'!$F:$F,J840,'Level of Efficiency Assumptions'!$I:$I,'Water Use Calcs'!L840)</f>
        <v>7.5</v>
      </c>
      <c r="N840" s="577"/>
      <c r="O840" s="1048">
        <f>SUMIFS('Detailed Fixture Data'!O:O,'Detailed Fixture Data'!C:C,G840,'Detailed Fixture Data'!E:E,I840,'Detailed Fixture Data'!F:F,J840,'Detailed Fixture Data'!L:L,L840)</f>
        <v>0</v>
      </c>
      <c r="P840" s="1049"/>
      <c r="Q840" s="577"/>
      <c r="R840" s="1039"/>
      <c r="S840" s="521"/>
      <c r="T840" s="225"/>
      <c r="U840" s="521"/>
      <c r="V840" s="1040"/>
      <c r="W840" s="1041"/>
    </row>
    <row r="841" spans="3:23" ht="15" thickBot="1" x14ac:dyDescent="0.35">
      <c r="C841" s="576"/>
      <c r="D841" s="494" t="s">
        <v>16</v>
      </c>
      <c r="E841" s="494"/>
      <c r="F841" s="181"/>
      <c r="G841" s="501" t="s">
        <v>97</v>
      </c>
      <c r="H841" s="116"/>
      <c r="I841" s="451" t="s">
        <v>8</v>
      </c>
      <c r="J841" s="116" t="s">
        <v>54</v>
      </c>
      <c r="K841" s="116"/>
      <c r="L841" s="1042" t="s">
        <v>66</v>
      </c>
      <c r="M841" s="1043">
        <f>SUMIFS('Level of Efficiency Assumptions'!$J:$J,'Level of Efficiency Assumptions'!$D:$D,I841,'Level of Efficiency Assumptions'!$F:$F,J841,'Level of Efficiency Assumptions'!$I:$I,'Water Use Calcs'!L841)</f>
        <v>5</v>
      </c>
      <c r="N841" s="116"/>
      <c r="O841" s="1048">
        <f>SUMIFS('Detailed Fixture Data'!O:O,'Detailed Fixture Data'!C:C,G841,'Detailed Fixture Data'!E:E,I841,'Detailed Fixture Data'!F:F,J841,'Detailed Fixture Data'!L:L,L841)</f>
        <v>0</v>
      </c>
      <c r="P841" s="1049"/>
      <c r="Q841" s="116"/>
      <c r="R841" s="1045"/>
      <c r="S841" s="618"/>
      <c r="T841" s="225"/>
      <c r="U841" s="618"/>
      <c r="V841" s="1045"/>
      <c r="W841" s="1046"/>
    </row>
    <row r="842" spans="3:23" x14ac:dyDescent="0.3">
      <c r="C842" s="576"/>
      <c r="D842" s="494" t="s">
        <v>16</v>
      </c>
      <c r="E842" s="619" t="str">
        <f>G842</f>
        <v>Hotel C</v>
      </c>
      <c r="F842" s="565" t="str">
        <f>VLOOKUP(E842,'Airport Mapping'!$C$5:$D$39,2,FALSE)</f>
        <v xml:space="preserve"> </v>
      </c>
      <c r="G842" s="494" t="s">
        <v>98</v>
      </c>
      <c r="H842" s="651" t="str">
        <f>I842</f>
        <v>Guestrooms</v>
      </c>
      <c r="I842" s="454" t="s">
        <v>45</v>
      </c>
      <c r="J842" s="567" t="s">
        <v>2</v>
      </c>
      <c r="K842" s="567" t="s">
        <v>17</v>
      </c>
      <c r="L842" s="1028" t="s">
        <v>64</v>
      </c>
      <c r="M842" s="1036">
        <f>SUMIFS('Level of Efficiency Assumptions'!$J:$J,'Level of Efficiency Assumptions'!$D:$D,I842,'Level of Efficiency Assumptions'!$F:$F,J842,'Level of Efficiency Assumptions'!$I:$I,'Water Use Calcs'!L842)</f>
        <v>3.5</v>
      </c>
      <c r="N842" s="567" t="s">
        <v>68</v>
      </c>
      <c r="O842" s="1048">
        <f>SUMIFS('Detailed Fixture Data'!O:O,'Detailed Fixture Data'!C:C,G842,'Detailed Fixture Data'!E:E,I842,'Detailed Fixture Data'!F:F,J842,'Detailed Fixture Data'!L:L,L842)</f>
        <v>0</v>
      </c>
      <c r="P842" s="1030">
        <f>SUMIFS('Intensity of Use Assumptions'!$J:$J,'Intensity of Use Assumptions'!$D:$D,I842,'Intensity of Use Assumptions'!$G:$G,J842,'Intensity of Use Assumptions'!H:H,K842)</f>
        <v>3</v>
      </c>
      <c r="Q842" s="567" t="s">
        <v>67</v>
      </c>
      <c r="R842" s="1032">
        <f>(SUMPRODUCT(M842:M844,O842:O844)*P842)</f>
        <v>0</v>
      </c>
      <c r="S842" s="1033">
        <f>IF(R842=0,0,M844*P842)</f>
        <v>0</v>
      </c>
      <c r="T842" s="225" t="str">
        <f>G842&amp;"-"&amp;J842</f>
        <v>Hotel C-Toilets</v>
      </c>
      <c r="U842" s="1034">
        <f ca="1">IF(ISNA(VLOOKUP(T842,list!$AV$3:$AW$130,2,FALSE)),1,(VLOOKUP(T842,list!$AV$3:$AW$130,2,FALSE)))</f>
        <v>1</v>
      </c>
      <c r="V842" s="1033">
        <f ca="1">R842*U842</f>
        <v>0</v>
      </c>
      <c r="W842" s="1033">
        <f ca="1">S842*U842</f>
        <v>0</v>
      </c>
    </row>
    <row r="843" spans="3:23" x14ac:dyDescent="0.3">
      <c r="C843" s="576"/>
      <c r="D843" s="494" t="s">
        <v>16</v>
      </c>
      <c r="E843" s="494"/>
      <c r="F843" s="181"/>
      <c r="G843" s="494" t="s">
        <v>98</v>
      </c>
      <c r="H843" s="577"/>
      <c r="I843" s="450" t="s">
        <v>45</v>
      </c>
      <c r="J843" s="577" t="s">
        <v>2</v>
      </c>
      <c r="K843" s="577"/>
      <c r="L843" s="1035" t="s">
        <v>65</v>
      </c>
      <c r="M843" s="1036">
        <f>SUMIFS('Level of Efficiency Assumptions'!$J:$J,'Level of Efficiency Assumptions'!$D:$D,I843,'Level of Efficiency Assumptions'!$F:$F,J843,'Level of Efficiency Assumptions'!$I:$I,'Water Use Calcs'!L843)</f>
        <v>1.6</v>
      </c>
      <c r="N843" s="577"/>
      <c r="O843" s="1048">
        <f>SUMIFS('Detailed Fixture Data'!O:O,'Detailed Fixture Data'!C:C,G843,'Detailed Fixture Data'!E:E,I843,'Detailed Fixture Data'!F:F,J843,'Detailed Fixture Data'!L:L,L843)</f>
        <v>0</v>
      </c>
      <c r="P843" s="1049"/>
      <c r="Q843" s="577"/>
      <c r="R843" s="1039"/>
      <c r="S843" s="521"/>
      <c r="T843" s="225"/>
      <c r="U843" s="521"/>
      <c r="V843" s="1040"/>
      <c r="W843" s="1041"/>
    </row>
    <row r="844" spans="3:23" ht="15" thickBot="1" x14ac:dyDescent="0.35">
      <c r="C844" s="576"/>
      <c r="D844" s="494" t="s">
        <v>16</v>
      </c>
      <c r="E844" s="494"/>
      <c r="F844" s="181"/>
      <c r="G844" s="494" t="s">
        <v>98</v>
      </c>
      <c r="H844" s="577"/>
      <c r="I844" s="450" t="s">
        <v>45</v>
      </c>
      <c r="J844" s="116" t="s">
        <v>2</v>
      </c>
      <c r="K844" s="116"/>
      <c r="L844" s="1042" t="s">
        <v>66</v>
      </c>
      <c r="M844" s="1043">
        <f>SUMIFS('Level of Efficiency Assumptions'!$J:$J,'Level of Efficiency Assumptions'!$D:$D,I844,'Level of Efficiency Assumptions'!$F:$F,J844,'Level of Efficiency Assumptions'!$I:$I,'Water Use Calcs'!L844)</f>
        <v>1.28</v>
      </c>
      <c r="N844" s="577"/>
      <c r="O844" s="1048">
        <f>SUMIFS('Detailed Fixture Data'!O:O,'Detailed Fixture Data'!C:C,G844,'Detailed Fixture Data'!E:E,I844,'Detailed Fixture Data'!F:F,J844,'Detailed Fixture Data'!L:L,L844)</f>
        <v>0</v>
      </c>
      <c r="P844" s="1049"/>
      <c r="Q844" s="577"/>
      <c r="R844" s="1039"/>
      <c r="S844" s="618"/>
      <c r="T844" s="225"/>
      <c r="U844" s="618"/>
      <c r="V844" s="1045"/>
      <c r="W844" s="1046"/>
    </row>
    <row r="845" spans="3:23" x14ac:dyDescent="0.3">
      <c r="C845" s="576"/>
      <c r="D845" s="494" t="s">
        <v>16</v>
      </c>
      <c r="E845" s="494"/>
      <c r="F845" s="181"/>
      <c r="G845" s="494" t="s">
        <v>98</v>
      </c>
      <c r="H845" s="577"/>
      <c r="I845" s="450" t="s">
        <v>45</v>
      </c>
      <c r="J845" s="577" t="s">
        <v>18</v>
      </c>
      <c r="K845" s="577" t="s">
        <v>17</v>
      </c>
      <c r="L845" s="1047" t="s">
        <v>64</v>
      </c>
      <c r="M845" s="1036">
        <f>SUMIFS('Level of Efficiency Assumptions'!$J:$J,'Level of Efficiency Assumptions'!$D:$D,I845,'Level of Efficiency Assumptions'!$F:$F,J845,'Level of Efficiency Assumptions'!$I:$I,'Water Use Calcs'!L845)</f>
        <v>3</v>
      </c>
      <c r="N845" s="567" t="s">
        <v>78</v>
      </c>
      <c r="O845" s="1048">
        <f>SUMIFS('Detailed Fixture Data'!O:O,'Detailed Fixture Data'!C:C,G845,'Detailed Fixture Data'!E:E,I845,'Detailed Fixture Data'!F:F,J845,'Detailed Fixture Data'!L:L,L845)</f>
        <v>0</v>
      </c>
      <c r="P845" s="1030">
        <f>SUMIFS('Intensity of Use Assumptions'!$J:$J,'Intensity of Use Assumptions'!$D:$D,I845,'Intensity of Use Assumptions'!$G:$G,J845,'Intensity of Use Assumptions'!H:H,K845)</f>
        <v>1</v>
      </c>
      <c r="Q845" s="567" t="s">
        <v>133</v>
      </c>
      <c r="R845" s="1032">
        <f>(SUMPRODUCT(M845:M847,O845:O847)*P845)</f>
        <v>0</v>
      </c>
      <c r="S845" s="1033">
        <f>IF(R845=0,0,M847*P845)</f>
        <v>0</v>
      </c>
      <c r="T845" s="225" t="str">
        <f>G845&amp;"-"&amp;J845</f>
        <v>Hotel C-Showers</v>
      </c>
      <c r="U845" s="1034">
        <f ca="1">IF(ISNA(VLOOKUP(T845,list!$AV$3:$AW$130,2,FALSE)),1,(VLOOKUP(T845,list!$AV$3:$AW$130,2,FALSE)))</f>
        <v>1</v>
      </c>
      <c r="V845" s="1033">
        <f ca="1">R845*U845</f>
        <v>0</v>
      </c>
      <c r="W845" s="1033">
        <f ca="1">S845*U845</f>
        <v>0</v>
      </c>
    </row>
    <row r="846" spans="3:23" x14ac:dyDescent="0.3">
      <c r="C846" s="576"/>
      <c r="D846" s="494" t="s">
        <v>16</v>
      </c>
      <c r="E846" s="494"/>
      <c r="F846" s="181"/>
      <c r="G846" s="494" t="s">
        <v>98</v>
      </c>
      <c r="H846" s="577"/>
      <c r="I846" s="450" t="s">
        <v>45</v>
      </c>
      <c r="J846" s="577" t="s">
        <v>18</v>
      </c>
      <c r="K846" s="577"/>
      <c r="L846" s="1035" t="s">
        <v>65</v>
      </c>
      <c r="M846" s="1036">
        <f>SUMIFS('Level of Efficiency Assumptions'!$J:$J,'Level of Efficiency Assumptions'!$D:$D,I846,'Level of Efficiency Assumptions'!$F:$F,J846,'Level of Efficiency Assumptions'!$I:$I,'Water Use Calcs'!L846)</f>
        <v>2</v>
      </c>
      <c r="N846" s="577"/>
      <c r="O846" s="1048">
        <f>SUMIFS('Detailed Fixture Data'!O:O,'Detailed Fixture Data'!C:C,G846,'Detailed Fixture Data'!E:E,I846,'Detailed Fixture Data'!F:F,J846,'Detailed Fixture Data'!L:L,L846)</f>
        <v>0</v>
      </c>
      <c r="P846" s="1049"/>
      <c r="Q846" s="577"/>
      <c r="R846" s="1039"/>
      <c r="S846" s="521"/>
      <c r="T846" s="225"/>
      <c r="U846" s="521"/>
      <c r="V846" s="1040"/>
      <c r="W846" s="1041"/>
    </row>
    <row r="847" spans="3:23" ht="15" thickBot="1" x14ac:dyDescent="0.35">
      <c r="C847" s="576"/>
      <c r="D847" s="494" t="s">
        <v>16</v>
      </c>
      <c r="E847" s="494"/>
      <c r="F847" s="181"/>
      <c r="G847" s="494" t="s">
        <v>98</v>
      </c>
      <c r="H847" s="577"/>
      <c r="I847" s="450" t="s">
        <v>45</v>
      </c>
      <c r="J847" s="116" t="s">
        <v>18</v>
      </c>
      <c r="K847" s="116"/>
      <c r="L847" s="1042" t="s">
        <v>66</v>
      </c>
      <c r="M847" s="1043">
        <f>SUMIFS('Level of Efficiency Assumptions'!$J:$J,'Level of Efficiency Assumptions'!$D:$D,I847,'Level of Efficiency Assumptions'!$F:$F,J847,'Level of Efficiency Assumptions'!$I:$I,'Water Use Calcs'!L847)</f>
        <v>1</v>
      </c>
      <c r="N847" s="577"/>
      <c r="O847" s="1048">
        <f>SUMIFS('Detailed Fixture Data'!O:O,'Detailed Fixture Data'!C:C,G847,'Detailed Fixture Data'!E:E,I847,'Detailed Fixture Data'!F:F,J847,'Detailed Fixture Data'!L:L,L847)</f>
        <v>0</v>
      </c>
      <c r="P847" s="1049"/>
      <c r="Q847" s="577"/>
      <c r="R847" s="1039"/>
      <c r="S847" s="618"/>
      <c r="T847" s="225"/>
      <c r="U847" s="618"/>
      <c r="V847" s="1045"/>
      <c r="W847" s="1046"/>
    </row>
    <row r="848" spans="3:23" x14ac:dyDescent="0.3">
      <c r="C848" s="576"/>
      <c r="D848" s="494" t="s">
        <v>16</v>
      </c>
      <c r="E848" s="494"/>
      <c r="F848" s="181"/>
      <c r="G848" s="494" t="s">
        <v>98</v>
      </c>
      <c r="H848" s="577"/>
      <c r="I848" s="450" t="s">
        <v>45</v>
      </c>
      <c r="J848" s="577" t="s">
        <v>33</v>
      </c>
      <c r="K848" s="577" t="s">
        <v>17</v>
      </c>
      <c r="L848" s="1047" t="s">
        <v>64</v>
      </c>
      <c r="M848" s="1036">
        <f>SUMIFS('Level of Efficiency Assumptions'!$J:$J,'Level of Efficiency Assumptions'!$D:$D,I848,'Level of Efficiency Assumptions'!$F:$F,J848,'Level of Efficiency Assumptions'!$I:$I,'Water Use Calcs'!L848)</f>
        <v>2</v>
      </c>
      <c r="N848" s="567" t="s">
        <v>78</v>
      </c>
      <c r="O848" s="1048">
        <f>SUMIFS('Detailed Fixture Data'!O:O,'Detailed Fixture Data'!C:C,G848,'Detailed Fixture Data'!E:E,I848,'Detailed Fixture Data'!F:F,J848,'Detailed Fixture Data'!L:L,L848)</f>
        <v>0</v>
      </c>
      <c r="P848" s="1030">
        <f>SUMIFS('Intensity of Use Assumptions'!$J:$J,'Intensity of Use Assumptions'!$D:$D,I848,'Intensity of Use Assumptions'!$G:$G,J848,'Intensity of Use Assumptions'!H:H,K848)</f>
        <v>0.16666666666666666</v>
      </c>
      <c r="Q848" s="567" t="s">
        <v>133</v>
      </c>
      <c r="R848" s="1032">
        <f>(SUMPRODUCT(M848:M850,O848:O850)*P848)</f>
        <v>0</v>
      </c>
      <c r="S848" s="1033">
        <f>IF(R848=0,0,M850*P848)</f>
        <v>0</v>
      </c>
      <c r="T848" s="225" t="str">
        <f>G848&amp;"-"&amp;J848</f>
        <v>Hotel C-Faucets</v>
      </c>
      <c r="U848" s="1034">
        <f ca="1">IF(ISNA(VLOOKUP(T848,list!$AV$3:$AW$130,2,FALSE)),1,(VLOOKUP(T848,list!$AV$3:$AW$130,2,FALSE)))</f>
        <v>1</v>
      </c>
      <c r="V848" s="1033">
        <f ca="1">R848*U848</f>
        <v>0</v>
      </c>
      <c r="W848" s="1033">
        <f ca="1">S848*U848</f>
        <v>0</v>
      </c>
    </row>
    <row r="849" spans="2:23" x14ac:dyDescent="0.3">
      <c r="C849" s="576"/>
      <c r="D849" s="494" t="s">
        <v>16</v>
      </c>
      <c r="E849" s="494"/>
      <c r="F849" s="181"/>
      <c r="G849" s="494" t="s">
        <v>98</v>
      </c>
      <c r="H849" s="577"/>
      <c r="I849" s="450" t="s">
        <v>45</v>
      </c>
      <c r="J849" s="577" t="s">
        <v>33</v>
      </c>
      <c r="K849" s="577"/>
      <c r="L849" s="1035" t="s">
        <v>65</v>
      </c>
      <c r="M849" s="1036">
        <f>SUMIFS('Level of Efficiency Assumptions'!$J:$J,'Level of Efficiency Assumptions'!$D:$D,I849,'Level of Efficiency Assumptions'!$F:$F,J849,'Level of Efficiency Assumptions'!$I:$I,'Water Use Calcs'!L849)</f>
        <v>1</v>
      </c>
      <c r="N849" s="577"/>
      <c r="O849" s="1048">
        <f>SUMIFS('Detailed Fixture Data'!O:O,'Detailed Fixture Data'!C:C,G849,'Detailed Fixture Data'!E:E,I849,'Detailed Fixture Data'!F:F,J849,'Detailed Fixture Data'!L:L,L849)</f>
        <v>0</v>
      </c>
      <c r="P849" s="1049"/>
      <c r="Q849" s="577"/>
      <c r="R849" s="1039"/>
      <c r="S849" s="521"/>
      <c r="T849" s="225"/>
      <c r="U849" s="521"/>
      <c r="V849" s="1040"/>
      <c r="W849" s="1041"/>
    </row>
    <row r="850" spans="2:23" ht="15" thickBot="1" x14ac:dyDescent="0.35">
      <c r="C850" s="576"/>
      <c r="D850" s="494" t="s">
        <v>16</v>
      </c>
      <c r="E850" s="494"/>
      <c r="F850" s="181"/>
      <c r="G850" s="494" t="s">
        <v>98</v>
      </c>
      <c r="H850" s="577"/>
      <c r="I850" s="451" t="s">
        <v>45</v>
      </c>
      <c r="J850" s="116" t="s">
        <v>33</v>
      </c>
      <c r="K850" s="116"/>
      <c r="L850" s="1042" t="s">
        <v>66</v>
      </c>
      <c r="M850" s="1043">
        <f>SUMIFS('Level of Efficiency Assumptions'!$J:$J,'Level of Efficiency Assumptions'!$D:$D,I850,'Level of Efficiency Assumptions'!$F:$F,J850,'Level of Efficiency Assumptions'!$I:$I,'Water Use Calcs'!L850)</f>
        <v>0.5</v>
      </c>
      <c r="N850" s="577"/>
      <c r="O850" s="1048">
        <f>SUMIFS('Detailed Fixture Data'!O:O,'Detailed Fixture Data'!C:C,G850,'Detailed Fixture Data'!E:E,I850,'Detailed Fixture Data'!F:F,J850,'Detailed Fixture Data'!L:L,L850)</f>
        <v>0</v>
      </c>
      <c r="P850" s="1049"/>
      <c r="Q850" s="577"/>
      <c r="R850" s="1039"/>
      <c r="S850" s="618"/>
      <c r="T850" s="225"/>
      <c r="U850" s="618"/>
      <c r="V850" s="1045"/>
      <c r="W850" s="1046"/>
    </row>
    <row r="851" spans="2:23" x14ac:dyDescent="0.3">
      <c r="C851" s="576"/>
      <c r="D851" s="494" t="s">
        <v>16</v>
      </c>
      <c r="E851" s="494"/>
      <c r="F851" s="181"/>
      <c r="G851" s="494" t="s">
        <v>98</v>
      </c>
      <c r="H851" s="651" t="str">
        <f>I851</f>
        <v>Food Service</v>
      </c>
      <c r="I851" s="450" t="s">
        <v>38</v>
      </c>
      <c r="J851" s="577" t="s">
        <v>114</v>
      </c>
      <c r="K851" s="577" t="s">
        <v>118</v>
      </c>
      <c r="L851" s="1047" t="s">
        <v>64</v>
      </c>
      <c r="M851" s="1036">
        <f>SUMIFS('Level of Efficiency Assumptions'!$J:$J,'Level of Efficiency Assumptions'!$D:$D,I851,'Level of Efficiency Assumptions'!$F:$F,J851,'Level of Efficiency Assumptions'!$I:$I,'Water Use Calcs'!L851)</f>
        <v>2</v>
      </c>
      <c r="N851" s="567" t="s">
        <v>78</v>
      </c>
      <c r="O851" s="1048">
        <f>SUMIFS('Detailed Fixture Data'!O:O,'Detailed Fixture Data'!C:C,G851,'Detailed Fixture Data'!E:E,I851,'Detailed Fixture Data'!F:F,J851,'Detailed Fixture Data'!L:L,L851)</f>
        <v>0</v>
      </c>
      <c r="P851" s="1030">
        <f>SUMIFS('Intensity of Use Assumptions'!$J:$J,'Intensity of Use Assumptions'!$D:$D,I851,'Intensity of Use Assumptions'!$G:$G,J851,'Intensity of Use Assumptions'!H:H,K851)</f>
        <v>1</v>
      </c>
      <c r="Q851" s="567" t="s">
        <v>133</v>
      </c>
      <c r="R851" s="1032">
        <f>(SUMPRODUCT(M851:M853,O851:O853)*P851)</f>
        <v>0</v>
      </c>
      <c r="S851" s="1033">
        <f>IF(R851=0,0,M853*P851)</f>
        <v>0</v>
      </c>
      <c r="T851" s="225" t="str">
        <f>G851&amp;"-"&amp;J851</f>
        <v>Hotel C-Kitchen faucets</v>
      </c>
      <c r="U851" s="1034">
        <f ca="1">IF(ISNA(VLOOKUP(T851,list!$AV$3:$AW$130,2,FALSE)),1,(VLOOKUP(T851,list!$AV$3:$AW$130,2,FALSE)))</f>
        <v>1</v>
      </c>
      <c r="V851" s="1033">
        <f ca="1">R851*U851</f>
        <v>0</v>
      </c>
      <c r="W851" s="1033">
        <f ca="1">S851*U851</f>
        <v>0</v>
      </c>
    </row>
    <row r="852" spans="2:23" x14ac:dyDescent="0.3">
      <c r="C852" s="576"/>
      <c r="D852" s="494" t="s">
        <v>16</v>
      </c>
      <c r="E852" s="494"/>
      <c r="F852" s="181"/>
      <c r="G852" s="494" t="s">
        <v>98</v>
      </c>
      <c r="H852" s="577"/>
      <c r="I852" s="450" t="s">
        <v>38</v>
      </c>
      <c r="J852" s="577" t="s">
        <v>114</v>
      </c>
      <c r="K852" s="577"/>
      <c r="L852" s="1035" t="s">
        <v>65</v>
      </c>
      <c r="M852" s="1036">
        <f>SUMIFS('Level of Efficiency Assumptions'!$J:$J,'Level of Efficiency Assumptions'!$D:$D,I852,'Level of Efficiency Assumptions'!$F:$F,J852,'Level of Efficiency Assumptions'!$I:$I,'Water Use Calcs'!L852)</f>
        <v>1</v>
      </c>
      <c r="N852" s="577"/>
      <c r="O852" s="1048">
        <f>SUMIFS('Detailed Fixture Data'!O:O,'Detailed Fixture Data'!C:C,G852,'Detailed Fixture Data'!E:E,I852,'Detailed Fixture Data'!F:F,J852,'Detailed Fixture Data'!L:L,L852)</f>
        <v>0</v>
      </c>
      <c r="P852" s="1049"/>
      <c r="Q852" s="577"/>
      <c r="R852" s="1039"/>
      <c r="S852" s="521"/>
      <c r="T852" s="225"/>
      <c r="U852" s="521"/>
      <c r="V852" s="1040"/>
      <c r="W852" s="1041"/>
    </row>
    <row r="853" spans="2:23" ht="15" thickBot="1" x14ac:dyDescent="0.35">
      <c r="C853" s="576"/>
      <c r="D853" s="494" t="s">
        <v>16</v>
      </c>
      <c r="E853" s="494"/>
      <c r="F853" s="181"/>
      <c r="G853" s="494" t="s">
        <v>98</v>
      </c>
      <c r="H853" s="577"/>
      <c r="I853" s="450" t="s">
        <v>38</v>
      </c>
      <c r="J853" s="116" t="s">
        <v>114</v>
      </c>
      <c r="K853" s="116"/>
      <c r="L853" s="1042" t="s">
        <v>66</v>
      </c>
      <c r="M853" s="1043">
        <f>SUMIFS('Level of Efficiency Assumptions'!$J:$J,'Level of Efficiency Assumptions'!$D:$D,I853,'Level of Efficiency Assumptions'!$F:$F,J853,'Level of Efficiency Assumptions'!$I:$I,'Water Use Calcs'!L853)</f>
        <v>0.5</v>
      </c>
      <c r="N853" s="577"/>
      <c r="O853" s="1048">
        <f>SUMIFS('Detailed Fixture Data'!O:O,'Detailed Fixture Data'!C:C,G853,'Detailed Fixture Data'!E:E,I853,'Detailed Fixture Data'!F:F,J853,'Detailed Fixture Data'!L:L,L853)</f>
        <v>0</v>
      </c>
      <c r="P853" s="1049"/>
      <c r="Q853" s="116"/>
      <c r="R853" s="1039"/>
      <c r="S853" s="618"/>
      <c r="T853" s="225"/>
      <c r="U853" s="618"/>
      <c r="V853" s="1045"/>
      <c r="W853" s="1046"/>
    </row>
    <row r="854" spans="2:23" x14ac:dyDescent="0.3">
      <c r="B854" s="182"/>
      <c r="C854" s="577"/>
      <c r="D854" s="521" t="s">
        <v>16</v>
      </c>
      <c r="E854" s="521"/>
      <c r="F854" s="180"/>
      <c r="G854" s="521" t="s">
        <v>98</v>
      </c>
      <c r="H854" s="577"/>
      <c r="I854" s="450" t="s">
        <v>38</v>
      </c>
      <c r="J854" s="577" t="s">
        <v>127</v>
      </c>
      <c r="K854" s="577" t="s">
        <v>118</v>
      </c>
      <c r="L854" s="1047" t="s">
        <v>64</v>
      </c>
      <c r="M854" s="1036">
        <f>SUMIFS('Level of Efficiency Assumptions'!$J:$J,'Level of Efficiency Assumptions'!$D:$D,I854,'Level of Efficiency Assumptions'!$F:$F,J854,'Level of Efficiency Assumptions'!$I:$I,'Water Use Calcs'!L854)</f>
        <v>3</v>
      </c>
      <c r="N854" s="567" t="s">
        <v>78</v>
      </c>
      <c r="O854" s="1048">
        <f>SUMIFS('Detailed Fixture Data'!O:O,'Detailed Fixture Data'!C:C,G854,'Detailed Fixture Data'!E:E,I854,'Detailed Fixture Data'!F:F,J854,'Detailed Fixture Data'!L:L,L854)</f>
        <v>0</v>
      </c>
      <c r="P854" s="1030">
        <f>SUMIFS('Intensity of Use Assumptions'!$J:$J,'Intensity of Use Assumptions'!$D:$D,I854,'Intensity of Use Assumptions'!$G:$G,J854,'Intensity of Use Assumptions'!H:H,K854)</f>
        <v>0.02</v>
      </c>
      <c r="Q854" s="577" t="s">
        <v>133</v>
      </c>
      <c r="R854" s="1032">
        <f>(SUMPRODUCT(M854:M856,O854:O856)*P854)</f>
        <v>0</v>
      </c>
      <c r="S854" s="1033">
        <f>IF(R854=0,0,M856*P854)</f>
        <v>0</v>
      </c>
      <c r="T854" s="225" t="str">
        <f>G854&amp;"-"&amp;J854</f>
        <v>Hotel C-Pre-rinse spray valves</v>
      </c>
      <c r="U854" s="1034">
        <f ca="1">IF(ISNA(VLOOKUP(T854,list!$AV$3:$AW$130,2,FALSE)),1,(VLOOKUP(T854,list!$AV$3:$AW$130,2,FALSE)))</f>
        <v>1</v>
      </c>
      <c r="V854" s="1033">
        <f ca="1">R854*U854</f>
        <v>0</v>
      </c>
      <c r="W854" s="1033">
        <f ca="1">S854*U854</f>
        <v>0</v>
      </c>
    </row>
    <row r="855" spans="2:23" x14ac:dyDescent="0.3">
      <c r="B855" s="182"/>
      <c r="C855" s="577"/>
      <c r="D855" s="521" t="s">
        <v>16</v>
      </c>
      <c r="E855" s="521"/>
      <c r="F855" s="180"/>
      <c r="G855" s="521" t="s">
        <v>98</v>
      </c>
      <c r="H855" s="577"/>
      <c r="I855" s="450" t="s">
        <v>38</v>
      </c>
      <c r="J855" s="577" t="s">
        <v>127</v>
      </c>
      <c r="K855" s="577"/>
      <c r="L855" s="1035" t="s">
        <v>65</v>
      </c>
      <c r="M855" s="1036">
        <f>SUMIFS('Level of Efficiency Assumptions'!$J:$J,'Level of Efficiency Assumptions'!$D:$D,I855,'Level of Efficiency Assumptions'!$F:$F,J855,'Level of Efficiency Assumptions'!$I:$I,'Water Use Calcs'!L855)</f>
        <v>2</v>
      </c>
      <c r="N855" s="577"/>
      <c r="O855" s="1048">
        <f>SUMIFS('Detailed Fixture Data'!O:O,'Detailed Fixture Data'!C:C,G855,'Detailed Fixture Data'!E:E,I855,'Detailed Fixture Data'!F:F,J855,'Detailed Fixture Data'!L:L,L855)</f>
        <v>0</v>
      </c>
      <c r="P855" s="1049"/>
      <c r="Q855" s="577"/>
      <c r="R855" s="1039"/>
      <c r="S855" s="521"/>
      <c r="T855" s="225"/>
      <c r="U855" s="521"/>
      <c r="V855" s="1040"/>
      <c r="W855" s="1041"/>
    </row>
    <row r="856" spans="2:23" ht="15" thickBot="1" x14ac:dyDescent="0.35">
      <c r="B856" s="182"/>
      <c r="C856" s="577"/>
      <c r="D856" s="521" t="s">
        <v>16</v>
      </c>
      <c r="E856" s="521"/>
      <c r="F856" s="180"/>
      <c r="G856" s="521" t="s">
        <v>98</v>
      </c>
      <c r="H856" s="577"/>
      <c r="I856" s="450" t="s">
        <v>38</v>
      </c>
      <c r="J856" s="116" t="s">
        <v>127</v>
      </c>
      <c r="K856" s="116"/>
      <c r="L856" s="1042" t="s">
        <v>66</v>
      </c>
      <c r="M856" s="1043">
        <f>SUMIFS('Level of Efficiency Assumptions'!$J:$J,'Level of Efficiency Assumptions'!$D:$D,I856,'Level of Efficiency Assumptions'!$F:$F,J856,'Level of Efficiency Assumptions'!$I:$I,'Water Use Calcs'!L856)</f>
        <v>1.28</v>
      </c>
      <c r="N856" s="116"/>
      <c r="O856" s="1048">
        <f>SUMIFS('Detailed Fixture Data'!O:O,'Detailed Fixture Data'!C:C,G856,'Detailed Fixture Data'!E:E,I856,'Detailed Fixture Data'!F:F,J856,'Detailed Fixture Data'!L:L,L856)</f>
        <v>0</v>
      </c>
      <c r="P856" s="1049"/>
      <c r="Q856" s="577"/>
      <c r="R856" s="1039"/>
      <c r="S856" s="618"/>
      <c r="T856" s="225"/>
      <c r="U856" s="618"/>
      <c r="V856" s="1045"/>
      <c r="W856" s="1046"/>
    </row>
    <row r="857" spans="2:23" x14ac:dyDescent="0.3">
      <c r="C857" s="576"/>
      <c r="D857" s="494" t="s">
        <v>16</v>
      </c>
      <c r="E857" s="494"/>
      <c r="F857" s="181"/>
      <c r="G857" s="494" t="s">
        <v>98</v>
      </c>
      <c r="H857" s="577"/>
      <c r="I857" s="450" t="s">
        <v>38</v>
      </c>
      <c r="J857" s="577" t="s">
        <v>41</v>
      </c>
      <c r="K857" s="577" t="s">
        <v>118</v>
      </c>
      <c r="L857" s="1047" t="s">
        <v>64</v>
      </c>
      <c r="M857" s="1036">
        <f>SUMIFS('Level of Efficiency Assumptions'!$J:$J,'Level of Efficiency Assumptions'!$D:$D,I857,'Level of Efficiency Assumptions'!$F:$F,J857,'Level of Efficiency Assumptions'!$I:$I,'Water Use Calcs'!L857)</f>
        <v>4.5</v>
      </c>
      <c r="N857" s="567" t="s">
        <v>223</v>
      </c>
      <c r="O857" s="1048">
        <f>SUMIFS('Detailed Fixture Data'!O:O,'Detailed Fixture Data'!C:C,G857,'Detailed Fixture Data'!E:E,I857,'Detailed Fixture Data'!F:F,J857,'Detailed Fixture Data'!L:L,L857)</f>
        <v>0</v>
      </c>
      <c r="P857" s="1030">
        <f>SUMIFS('Intensity of Use Assumptions'!$J:$J,'Intensity of Use Assumptions'!$D:$D,I857,'Intensity of Use Assumptions'!$G:$G,J857,'Intensity of Use Assumptions'!H:H,K857)</f>
        <v>0.05</v>
      </c>
      <c r="Q857" s="567" t="s">
        <v>224</v>
      </c>
      <c r="R857" s="1032">
        <f>(SUMPRODUCT(M857:M859,O857:O859)*P857)</f>
        <v>0</v>
      </c>
      <c r="S857" s="1033">
        <f>IF(R857=0,0,M859*P857)</f>
        <v>0</v>
      </c>
      <c r="T857" s="225" t="str">
        <f>G857&amp;"-"&amp;J857</f>
        <v>Hotel C-Dishwashers</v>
      </c>
      <c r="U857" s="1034">
        <f ca="1">IF(ISNA(VLOOKUP(T857,list!$AV$3:$AW$130,2,FALSE)),1,(VLOOKUP(T857,list!$AV$3:$AW$130,2,FALSE)))</f>
        <v>1</v>
      </c>
      <c r="V857" s="1033">
        <f ca="1">R857*U857</f>
        <v>0</v>
      </c>
      <c r="W857" s="1033">
        <f ca="1">S857*U857</f>
        <v>0</v>
      </c>
    </row>
    <row r="858" spans="2:23" x14ac:dyDescent="0.3">
      <c r="C858" s="576"/>
      <c r="D858" s="494" t="s">
        <v>16</v>
      </c>
      <c r="E858" s="494"/>
      <c r="F858" s="181"/>
      <c r="G858" s="494" t="s">
        <v>98</v>
      </c>
      <c r="H858" s="577"/>
      <c r="I858" s="450" t="s">
        <v>38</v>
      </c>
      <c r="J858" s="577" t="s">
        <v>41</v>
      </c>
      <c r="K858" s="577"/>
      <c r="L858" s="1035" t="s">
        <v>65</v>
      </c>
      <c r="M858" s="1036">
        <f>SUMIFS('Level of Efficiency Assumptions'!$J:$J,'Level of Efficiency Assumptions'!$D:$D,I858,'Level of Efficiency Assumptions'!$F:$F,J858,'Level of Efficiency Assumptions'!$I:$I,'Water Use Calcs'!L858)</f>
        <v>2.5</v>
      </c>
      <c r="N858" s="577"/>
      <c r="O858" s="1048">
        <f>SUMIFS('Detailed Fixture Data'!O:O,'Detailed Fixture Data'!C:C,G858,'Detailed Fixture Data'!E:E,I858,'Detailed Fixture Data'!F:F,J858,'Detailed Fixture Data'!L:L,L858)</f>
        <v>0</v>
      </c>
      <c r="P858" s="1049"/>
      <c r="Q858" s="577" t="s">
        <v>80</v>
      </c>
      <c r="R858" s="1039"/>
      <c r="S858" s="521"/>
      <c r="T858" s="225"/>
      <c r="U858" s="521"/>
      <c r="V858" s="1040"/>
      <c r="W858" s="1041"/>
    </row>
    <row r="859" spans="2:23" ht="15" thickBot="1" x14ac:dyDescent="0.35">
      <c r="C859" s="576"/>
      <c r="D859" s="494" t="s">
        <v>16</v>
      </c>
      <c r="E859" s="494"/>
      <c r="F859" s="181"/>
      <c r="G859" s="494" t="s">
        <v>98</v>
      </c>
      <c r="H859" s="577"/>
      <c r="I859" s="450" t="s">
        <v>38</v>
      </c>
      <c r="J859" s="116" t="s">
        <v>41</v>
      </c>
      <c r="K859" s="116"/>
      <c r="L859" s="1042" t="s">
        <v>66</v>
      </c>
      <c r="M859" s="1043">
        <f>SUMIFS('Level of Efficiency Assumptions'!$J:$J,'Level of Efficiency Assumptions'!$D:$D,I859,'Level of Efficiency Assumptions'!$F:$F,J859,'Level of Efficiency Assumptions'!$I:$I,'Water Use Calcs'!L859)</f>
        <v>1</v>
      </c>
      <c r="N859" s="577"/>
      <c r="O859" s="1048">
        <f>SUMIFS('Detailed Fixture Data'!O:O,'Detailed Fixture Data'!C:C,G859,'Detailed Fixture Data'!E:E,I859,'Detailed Fixture Data'!F:F,J859,'Detailed Fixture Data'!L:L,L859)</f>
        <v>0</v>
      </c>
      <c r="P859" s="1049"/>
      <c r="Q859" s="577"/>
      <c r="R859" s="1039"/>
      <c r="S859" s="618"/>
      <c r="T859" s="225"/>
      <c r="U859" s="618"/>
      <c r="V859" s="1045"/>
      <c r="W859" s="1046"/>
    </row>
    <row r="860" spans="2:23" x14ac:dyDescent="0.3">
      <c r="C860" s="576"/>
      <c r="D860" s="494" t="s">
        <v>16</v>
      </c>
      <c r="E860" s="494"/>
      <c r="F860" s="181"/>
      <c r="G860" s="494" t="s">
        <v>98</v>
      </c>
      <c r="H860" s="577"/>
      <c r="I860" s="450" t="s">
        <v>38</v>
      </c>
      <c r="J860" s="577" t="s">
        <v>20</v>
      </c>
      <c r="K860" s="577" t="s">
        <v>17</v>
      </c>
      <c r="L860" s="1047" t="s">
        <v>64</v>
      </c>
      <c r="M860" s="1036">
        <f>SUMIFS('Level of Efficiency Assumptions'!$J:$J,'Level of Efficiency Assumptions'!$D:$D,I860,'Level of Efficiency Assumptions'!$F:$F,J860,'Level of Efficiency Assumptions'!$I:$I,'Water Use Calcs'!L860)</f>
        <v>1.5</v>
      </c>
      <c r="N860" s="567" t="s">
        <v>222</v>
      </c>
      <c r="O860" s="1048">
        <f>SUMIFS('Detailed Fixture Data'!O:O,'Detailed Fixture Data'!C:C,G860,'Detailed Fixture Data'!E:E,I860,'Detailed Fixture Data'!F:F,J860,'Detailed Fixture Data'!L:L,L860)</f>
        <v>0</v>
      </c>
      <c r="P860" s="1030">
        <f>SUMIFS('Intensity of Use Assumptions'!$J:$J,'Intensity of Use Assumptions'!$D:$D,I860,'Intensity of Use Assumptions'!$G:$G,J860,'Intensity of Use Assumptions'!H:H,K860)</f>
        <v>0.5</v>
      </c>
      <c r="Q860" s="567" t="s">
        <v>221</v>
      </c>
      <c r="R860" s="1032">
        <f>(SUMPRODUCT(M860:M862,O860:O862)*P860)</f>
        <v>0</v>
      </c>
      <c r="S860" s="1033">
        <f>IF(R860=0,0,M862*P860)</f>
        <v>0</v>
      </c>
      <c r="T860" s="225" t="str">
        <f>G860&amp;"-"&amp;J860</f>
        <v>Hotel C-Ice machines</v>
      </c>
      <c r="U860" s="1034">
        <f ca="1">IF(ISNA(VLOOKUP(T860,list!$AV$3:$AW$130,2,FALSE)),1,(VLOOKUP(T860,list!$AV$3:$AW$130,2,FALSE)))</f>
        <v>1</v>
      </c>
      <c r="V860" s="1033">
        <f ca="1">R860*U860</f>
        <v>0</v>
      </c>
      <c r="W860" s="1033">
        <f ca="1">S860*U860</f>
        <v>0</v>
      </c>
    </row>
    <row r="861" spans="2:23" x14ac:dyDescent="0.3">
      <c r="C861" s="576"/>
      <c r="D861" s="494" t="s">
        <v>16</v>
      </c>
      <c r="E861" s="494"/>
      <c r="F861" s="181"/>
      <c r="G861" s="494" t="s">
        <v>98</v>
      </c>
      <c r="H861" s="577"/>
      <c r="I861" s="450" t="s">
        <v>38</v>
      </c>
      <c r="J861" s="577" t="s">
        <v>20</v>
      </c>
      <c r="K861" s="577"/>
      <c r="L861" s="1035" t="s">
        <v>65</v>
      </c>
      <c r="M861" s="1036">
        <f>SUMIFS('Level of Efficiency Assumptions'!$J:$J,'Level of Efficiency Assumptions'!$D:$D,I861,'Level of Efficiency Assumptions'!$F:$F,J861,'Level of Efficiency Assumptions'!$I:$I,'Water Use Calcs'!L861)</f>
        <v>0.25</v>
      </c>
      <c r="N861" s="577"/>
      <c r="O861" s="1048">
        <f>SUMIFS('Detailed Fixture Data'!O:O,'Detailed Fixture Data'!C:C,G861,'Detailed Fixture Data'!E:E,I861,'Detailed Fixture Data'!F:F,J861,'Detailed Fixture Data'!L:L,L861)</f>
        <v>0</v>
      </c>
      <c r="P861" s="1049"/>
      <c r="Q861" s="577"/>
      <c r="R861" s="1039"/>
      <c r="S861" s="521"/>
      <c r="T861" s="225"/>
      <c r="U861" s="521"/>
      <c r="V861" s="1040"/>
      <c r="W861" s="1041"/>
    </row>
    <row r="862" spans="2:23" ht="15" thickBot="1" x14ac:dyDescent="0.35">
      <c r="C862" s="576"/>
      <c r="D862" s="494" t="s">
        <v>16</v>
      </c>
      <c r="E862" s="494"/>
      <c r="F862" s="181"/>
      <c r="G862" s="494" t="s">
        <v>98</v>
      </c>
      <c r="H862" s="577"/>
      <c r="I862" s="451" t="s">
        <v>38</v>
      </c>
      <c r="J862" s="116" t="s">
        <v>20</v>
      </c>
      <c r="K862" s="116"/>
      <c r="L862" s="1042" t="s">
        <v>66</v>
      </c>
      <c r="M862" s="1043">
        <f>SUMIFS('Level of Efficiency Assumptions'!$J:$J,'Level of Efficiency Assumptions'!$D:$D,I862,'Level of Efficiency Assumptions'!$F:$F,J862,'Level of Efficiency Assumptions'!$I:$I,'Water Use Calcs'!L862)</f>
        <v>0.12</v>
      </c>
      <c r="N862" s="577"/>
      <c r="O862" s="1048">
        <f>SUMIFS('Detailed Fixture Data'!O:O,'Detailed Fixture Data'!C:C,G862,'Detailed Fixture Data'!E:E,I862,'Detailed Fixture Data'!F:F,J862,'Detailed Fixture Data'!L:L,L862)</f>
        <v>0</v>
      </c>
      <c r="P862" s="1049"/>
      <c r="Q862" s="577"/>
      <c r="R862" s="1039"/>
      <c r="S862" s="618"/>
      <c r="T862" s="225"/>
      <c r="U862" s="618"/>
      <c r="V862" s="1045"/>
      <c r="W862" s="1046"/>
    </row>
    <row r="863" spans="2:23" x14ac:dyDescent="0.3">
      <c r="C863" s="576"/>
      <c r="D863" s="494" t="s">
        <v>16</v>
      </c>
      <c r="E863" s="494"/>
      <c r="F863" s="181"/>
      <c r="G863" s="494" t="s">
        <v>98</v>
      </c>
      <c r="H863" s="651" t="str">
        <f>I863</f>
        <v>Maintenance</v>
      </c>
      <c r="I863" s="450" t="s">
        <v>43</v>
      </c>
      <c r="J863" s="577" t="s">
        <v>111</v>
      </c>
      <c r="K863" s="217" t="s">
        <v>424</v>
      </c>
      <c r="L863" s="1047" t="s">
        <v>64</v>
      </c>
      <c r="M863" s="1036">
        <f>SUMIFS('Level of Efficiency Assumptions'!$J:$J,'Level of Efficiency Assumptions'!$D:$D,I863,'Level of Efficiency Assumptions'!$F:$F,J863,'Level of Efficiency Assumptions'!$I:$I,'Water Use Calcs'!L863)</f>
        <v>100</v>
      </c>
      <c r="N863" s="567" t="s">
        <v>659</v>
      </c>
      <c r="O863" s="1048">
        <f>SUMIFS('Detailed Fixture Data'!O:O,'Detailed Fixture Data'!C:C,G863,'Detailed Fixture Data'!E:E,I863,'Detailed Fixture Data'!F:F,J863,'Detailed Fixture Data'!L:L,L863)</f>
        <v>0</v>
      </c>
      <c r="P863" s="1030">
        <f>SUMIFS('Intensity of Use Assumptions'!$J:$J,'Intensity of Use Assumptions'!$D:$D,I863,'Intensity of Use Assumptions'!$G:$G,J863,'Intensity of Use Assumptions'!H:H,K863)</f>
        <v>1</v>
      </c>
      <c r="Q863" s="567" t="s">
        <v>67</v>
      </c>
      <c r="R863" s="1032">
        <f>(SUMPRODUCT(M863:M865,O863:O865)*P863)</f>
        <v>0</v>
      </c>
      <c r="S863" s="1033">
        <f>IF(R863=0,0,M865*P863)</f>
        <v>0</v>
      </c>
      <c r="T863" s="225" t="str">
        <f>G863&amp;"-"&amp;J863</f>
        <v>Hotel C-Boiler</v>
      </c>
      <c r="U863" s="1034">
        <f ca="1">IF(ISNA(VLOOKUP(T863,list!$AV$3:$AW$130,2,FALSE)),1,(VLOOKUP(T863,list!$AV$3:$AW$130,2,FALSE)))</f>
        <v>1</v>
      </c>
      <c r="V863" s="1033">
        <f ca="1">R863*U863</f>
        <v>0</v>
      </c>
      <c r="W863" s="1033">
        <f ca="1">S863*U863</f>
        <v>0</v>
      </c>
    </row>
    <row r="864" spans="2:23" x14ac:dyDescent="0.3">
      <c r="C864" s="576"/>
      <c r="D864" s="494" t="s">
        <v>16</v>
      </c>
      <c r="E864" s="494"/>
      <c r="F864" s="181"/>
      <c r="G864" s="494" t="s">
        <v>98</v>
      </c>
      <c r="H864" s="577"/>
      <c r="I864" s="450" t="s">
        <v>43</v>
      </c>
      <c r="J864" s="577" t="s">
        <v>111</v>
      </c>
      <c r="K864" s="382"/>
      <c r="L864" s="1035" t="s">
        <v>65</v>
      </c>
      <c r="M864" s="1036">
        <f>SUMIFS('Level of Efficiency Assumptions'!$J:$J,'Level of Efficiency Assumptions'!$D:$D,I864,'Level of Efficiency Assumptions'!$F:$F,J864,'Level of Efficiency Assumptions'!$I:$I,'Water Use Calcs'!L864)</f>
        <v>75</v>
      </c>
      <c r="N864" s="577"/>
      <c r="O864" s="1048">
        <f>SUMIFS('Detailed Fixture Data'!O:O,'Detailed Fixture Data'!C:C,G864,'Detailed Fixture Data'!E:E,I864,'Detailed Fixture Data'!F:F,J864,'Detailed Fixture Data'!L:L,L864)</f>
        <v>0</v>
      </c>
      <c r="P864" s="1049"/>
      <c r="Q864" s="577"/>
      <c r="R864" s="1039"/>
      <c r="S864" s="521"/>
      <c r="T864" s="225"/>
      <c r="U864" s="521"/>
      <c r="V864" s="1040"/>
      <c r="W864" s="1041"/>
    </row>
    <row r="865" spans="3:23" ht="15" thickBot="1" x14ac:dyDescent="0.35">
      <c r="C865" s="576"/>
      <c r="D865" s="494" t="s">
        <v>16</v>
      </c>
      <c r="E865" s="494"/>
      <c r="F865" s="181"/>
      <c r="G865" s="494" t="s">
        <v>98</v>
      </c>
      <c r="H865" s="577"/>
      <c r="I865" s="450" t="s">
        <v>43</v>
      </c>
      <c r="J865" s="116" t="s">
        <v>111</v>
      </c>
      <c r="K865" s="116"/>
      <c r="L865" s="1042" t="s">
        <v>66</v>
      </c>
      <c r="M865" s="1043">
        <f>SUMIFS('Level of Efficiency Assumptions'!$J:$J,'Level of Efficiency Assumptions'!$D:$D,I865,'Level of Efficiency Assumptions'!$F:$F,J865,'Level of Efficiency Assumptions'!$I:$I,'Water Use Calcs'!L865)</f>
        <v>50</v>
      </c>
      <c r="N865" s="577"/>
      <c r="O865" s="1048">
        <f>SUMIFS('Detailed Fixture Data'!O:O,'Detailed Fixture Data'!C:C,G865,'Detailed Fixture Data'!E:E,I865,'Detailed Fixture Data'!F:F,J865,'Detailed Fixture Data'!L:L,L865)</f>
        <v>0</v>
      </c>
      <c r="P865" s="1049"/>
      <c r="Q865" s="577"/>
      <c r="R865" s="1039"/>
      <c r="S865" s="618"/>
      <c r="T865" s="225"/>
      <c r="U865" s="618"/>
      <c r="V865" s="1045"/>
      <c r="W865" s="1046"/>
    </row>
    <row r="866" spans="3:23" x14ac:dyDescent="0.3">
      <c r="C866" s="576"/>
      <c r="D866" s="494" t="s">
        <v>16</v>
      </c>
      <c r="E866" s="494"/>
      <c r="F866" s="181"/>
      <c r="G866" s="494" t="s">
        <v>98</v>
      </c>
      <c r="H866" s="577"/>
      <c r="I866" s="450" t="s">
        <v>43</v>
      </c>
      <c r="J866" s="577" t="s">
        <v>7</v>
      </c>
      <c r="K866" s="215" t="s">
        <v>365</v>
      </c>
      <c r="L866" s="1012" t="s">
        <v>257</v>
      </c>
      <c r="M866" s="1050"/>
      <c r="N866" s="1050"/>
      <c r="O866" s="1050"/>
      <c r="P866" s="1051"/>
      <c r="Q866" s="981"/>
      <c r="R866" s="1052">
        <f>SUMIFS('Cooling Data'!H:H,'Cooling Data'!$C:$C,$G866,'Cooling Data'!$E:$E,$I866,'Cooling Data'!$F:$F,$J866)</f>
        <v>0</v>
      </c>
      <c r="S866" s="1052">
        <f>SUMIFS('Cooling Data'!J:J,'Cooling Data'!$C:$C,$G866,'Cooling Data'!$E:$E,$I866,'Cooling Data'!$F:$F,$J866)</f>
        <v>0</v>
      </c>
      <c r="T866" s="225" t="str">
        <f>G866&amp;"-"&amp;J866</f>
        <v>Hotel C-Cooling</v>
      </c>
      <c r="U866" s="1034">
        <f ca="1">IF(ISNA(VLOOKUP(T866,list!$AV$3:$AW$130,2,FALSE)),1,(VLOOKUP(T866,list!$AV$3:$AW$130,2,FALSE)))</f>
        <v>1</v>
      </c>
      <c r="V866" s="1033">
        <f ca="1">R866*U866</f>
        <v>0</v>
      </c>
      <c r="W866" s="1033">
        <f ca="1">S866*U866</f>
        <v>0</v>
      </c>
    </row>
    <row r="867" spans="3:23" x14ac:dyDescent="0.3">
      <c r="C867" s="576"/>
      <c r="D867" s="494" t="s">
        <v>16</v>
      </c>
      <c r="E867" s="494"/>
      <c r="F867" s="181"/>
      <c r="G867" s="494" t="s">
        <v>98</v>
      </c>
      <c r="H867" s="577"/>
      <c r="I867" s="450" t="s">
        <v>43</v>
      </c>
      <c r="J867" s="577" t="s">
        <v>7</v>
      </c>
      <c r="K867" s="577"/>
      <c r="L867" s="206"/>
      <c r="M867" s="181"/>
      <c r="N867" s="181"/>
      <c r="O867" s="181"/>
      <c r="P867" s="1053"/>
      <c r="Q867" s="439"/>
      <c r="R867" s="1039"/>
      <c r="S867" s="521"/>
      <c r="T867" s="225"/>
      <c r="U867" s="521"/>
      <c r="V867" s="1040"/>
      <c r="W867" s="1041"/>
    </row>
    <row r="868" spans="3:23" ht="15" thickBot="1" x14ac:dyDescent="0.35">
      <c r="C868" s="576"/>
      <c r="D868" s="494" t="s">
        <v>16</v>
      </c>
      <c r="E868" s="494"/>
      <c r="F868" s="181"/>
      <c r="G868" s="494" t="s">
        <v>98</v>
      </c>
      <c r="H868" s="577"/>
      <c r="I868" s="450" t="s">
        <v>43</v>
      </c>
      <c r="J868" s="116" t="s">
        <v>7</v>
      </c>
      <c r="K868" s="116"/>
      <c r="L868" s="207"/>
      <c r="M868" s="924"/>
      <c r="N868" s="924"/>
      <c r="O868" s="924"/>
      <c r="P868" s="1054"/>
      <c r="Q868" s="606"/>
      <c r="R868" s="1039"/>
      <c r="S868" s="618"/>
      <c r="T868" s="225"/>
      <c r="U868" s="618"/>
      <c r="V868" s="1045"/>
      <c r="W868" s="1046"/>
    </row>
    <row r="869" spans="3:23" x14ac:dyDescent="0.3">
      <c r="C869" s="576"/>
      <c r="D869" s="494" t="s">
        <v>16</v>
      </c>
      <c r="E869" s="494"/>
      <c r="F869" s="181"/>
      <c r="G869" s="494" t="s">
        <v>98</v>
      </c>
      <c r="H869" s="577"/>
      <c r="I869" s="450" t="s">
        <v>43</v>
      </c>
      <c r="J869" s="577" t="s">
        <v>34</v>
      </c>
      <c r="K869" s="577" t="s">
        <v>36</v>
      </c>
      <c r="L869" s="1047" t="s">
        <v>64</v>
      </c>
      <c r="M869" s="1036">
        <f>SUMIFS('Level of Efficiency Assumptions'!$J:$J,'Level of Efficiency Assumptions'!$D:$D,I869,'Level of Efficiency Assumptions'!$F:$F,J869,'Level of Efficiency Assumptions'!$I:$I,'Water Use Calcs'!L869)</f>
        <v>10</v>
      </c>
      <c r="N869" s="567" t="s">
        <v>661</v>
      </c>
      <c r="O869" s="1048">
        <f>SUMIFS('Detailed Fixture Data'!O:O,'Detailed Fixture Data'!C:C,G869,'Detailed Fixture Data'!E:E,I869,'Detailed Fixture Data'!F:F,J869,'Detailed Fixture Data'!L:L,L869)</f>
        <v>0</v>
      </c>
      <c r="P869" s="1030">
        <f>SUMIFS('Intensity of Use Assumptions'!$J:$J,'Intensity of Use Assumptions'!$D:$D,I869,'Intensity of Use Assumptions'!$G:$G,J869,'Intensity of Use Assumptions'!H:H,K869)</f>
        <v>1</v>
      </c>
      <c r="Q869" s="567" t="s">
        <v>67</v>
      </c>
      <c r="R869" s="1032">
        <f>(SUMPRODUCT(M869:M871,O869:O871)*P869)</f>
        <v>0</v>
      </c>
      <c r="S869" s="1033">
        <f>IF(R869=0,0,M871*P869)</f>
        <v>0</v>
      </c>
      <c r="T869" s="225" t="str">
        <f>G869&amp;"-"&amp;J869</f>
        <v>Hotel C-Swimming Pool</v>
      </c>
      <c r="U869" s="1034">
        <f ca="1">IF(ISNA(VLOOKUP(T869,list!$AV$3:$AW$130,2,FALSE)),1,(VLOOKUP(T869,list!$AV$3:$AW$130,2,FALSE)))</f>
        <v>1</v>
      </c>
      <c r="V869" s="1033">
        <f ca="1">R869*U869</f>
        <v>0</v>
      </c>
      <c r="W869" s="1033">
        <f ca="1">S869*U869</f>
        <v>0</v>
      </c>
    </row>
    <row r="870" spans="3:23" x14ac:dyDescent="0.3">
      <c r="C870" s="576"/>
      <c r="D870" s="494" t="s">
        <v>16</v>
      </c>
      <c r="E870" s="494"/>
      <c r="F870" s="181"/>
      <c r="G870" s="494" t="s">
        <v>98</v>
      </c>
      <c r="H870" s="577"/>
      <c r="I870" s="450" t="s">
        <v>43</v>
      </c>
      <c r="J870" s="577" t="s">
        <v>34</v>
      </c>
      <c r="K870" s="577"/>
      <c r="L870" s="1035" t="s">
        <v>65</v>
      </c>
      <c r="M870" s="1036">
        <f>SUMIFS('Level of Efficiency Assumptions'!$J:$J,'Level of Efficiency Assumptions'!$D:$D,I870,'Level of Efficiency Assumptions'!$F:$F,J870,'Level of Efficiency Assumptions'!$I:$I,'Water Use Calcs'!L870)</f>
        <v>7.5</v>
      </c>
      <c r="N870" s="577"/>
      <c r="O870" s="1048">
        <f>SUMIFS('Detailed Fixture Data'!O:O,'Detailed Fixture Data'!C:C,G870,'Detailed Fixture Data'!E:E,I870,'Detailed Fixture Data'!F:F,J870,'Detailed Fixture Data'!L:L,L870)</f>
        <v>0</v>
      </c>
      <c r="P870" s="1049"/>
      <c r="Q870" s="577"/>
      <c r="R870" s="1039"/>
      <c r="S870" s="521"/>
      <c r="T870" s="225"/>
      <c r="U870" s="521"/>
      <c r="V870" s="1040"/>
      <c r="W870" s="1041"/>
    </row>
    <row r="871" spans="3:23" ht="15" thickBot="1" x14ac:dyDescent="0.35">
      <c r="C871" s="576"/>
      <c r="D871" s="494" t="s">
        <v>16</v>
      </c>
      <c r="E871" s="494"/>
      <c r="F871" s="181"/>
      <c r="G871" s="494" t="s">
        <v>98</v>
      </c>
      <c r="H871" s="577"/>
      <c r="I871" s="450" t="s">
        <v>43</v>
      </c>
      <c r="J871" s="116" t="s">
        <v>34</v>
      </c>
      <c r="K871" s="116"/>
      <c r="L871" s="1042" t="s">
        <v>66</v>
      </c>
      <c r="M871" s="1043">
        <f>SUMIFS('Level of Efficiency Assumptions'!$J:$J,'Level of Efficiency Assumptions'!$D:$D,I871,'Level of Efficiency Assumptions'!$F:$F,J871,'Level of Efficiency Assumptions'!$I:$I,'Water Use Calcs'!L871)</f>
        <v>5</v>
      </c>
      <c r="N871" s="577"/>
      <c r="O871" s="1048">
        <f>SUMIFS('Detailed Fixture Data'!O:O,'Detailed Fixture Data'!C:C,G871,'Detailed Fixture Data'!E:E,I871,'Detailed Fixture Data'!F:F,J871,'Detailed Fixture Data'!L:L,L871)</f>
        <v>0</v>
      </c>
      <c r="P871" s="1049"/>
      <c r="Q871" s="577"/>
      <c r="R871" s="1039"/>
      <c r="S871" s="618"/>
      <c r="T871" s="225"/>
      <c r="U871" s="618"/>
      <c r="V871" s="1045"/>
      <c r="W871" s="1046"/>
    </row>
    <row r="872" spans="3:23" x14ac:dyDescent="0.3">
      <c r="C872" s="576"/>
      <c r="D872" s="494" t="s">
        <v>16</v>
      </c>
      <c r="E872" s="494"/>
      <c r="F872" s="181"/>
      <c r="G872" s="494" t="s">
        <v>98</v>
      </c>
      <c r="H872" s="577"/>
      <c r="I872" s="450" t="s">
        <v>43</v>
      </c>
      <c r="J872" s="577" t="s">
        <v>21</v>
      </c>
      <c r="K872" s="577" t="s">
        <v>17</v>
      </c>
      <c r="L872" s="1047" t="s">
        <v>64</v>
      </c>
      <c r="M872" s="1036">
        <f>SUMIFS('Level of Efficiency Assumptions'!$J:$J,'Level of Efficiency Assumptions'!$D:$D,I872,'Level of Efficiency Assumptions'!$F:$F,J872,'Level of Efficiency Assumptions'!$I:$I,'Water Use Calcs'!L872)</f>
        <v>3.5</v>
      </c>
      <c r="N872" s="567" t="s">
        <v>235</v>
      </c>
      <c r="O872" s="1048">
        <f>SUMIFS('Detailed Fixture Data'!O:O,'Detailed Fixture Data'!C:C,G872,'Detailed Fixture Data'!E:E,I872,'Detailed Fixture Data'!F:F,J872,'Detailed Fixture Data'!L:L,L872)</f>
        <v>0</v>
      </c>
      <c r="P872" s="1030">
        <f>SUMIFS('Intensity of Use Assumptions'!$J:$J,'Intensity of Use Assumptions'!$D:$D,I872,'Intensity of Use Assumptions'!$G:$G,J872,'Intensity of Use Assumptions'!H:H,K872)</f>
        <v>10</v>
      </c>
      <c r="Q872" s="567" t="s">
        <v>236</v>
      </c>
      <c r="R872" s="1032">
        <f>(SUMPRODUCT(M872:M874,O872:O874)*P872)</f>
        <v>0</v>
      </c>
      <c r="S872" s="1033">
        <f>IF(R872=0,0,M874*P872)</f>
        <v>0</v>
      </c>
      <c r="T872" s="225" t="str">
        <f>G872&amp;"-"&amp;J872</f>
        <v>Hotel C-Laundry</v>
      </c>
      <c r="U872" s="1034">
        <f ca="1">IF(ISNA(VLOOKUP(T872,list!$AV$3:$AW$130,2,FALSE)),1,(VLOOKUP(T872,list!$AV$3:$AW$130,2,FALSE)))</f>
        <v>1</v>
      </c>
      <c r="V872" s="1033">
        <f ca="1">R872*U872</f>
        <v>0</v>
      </c>
      <c r="W872" s="1033">
        <f ca="1">S872*U872</f>
        <v>0</v>
      </c>
    </row>
    <row r="873" spans="3:23" x14ac:dyDescent="0.3">
      <c r="C873" s="576"/>
      <c r="D873" s="494" t="s">
        <v>16</v>
      </c>
      <c r="E873" s="494"/>
      <c r="F873" s="181"/>
      <c r="G873" s="494" t="s">
        <v>98</v>
      </c>
      <c r="H873" s="577"/>
      <c r="I873" s="450" t="s">
        <v>43</v>
      </c>
      <c r="J873" s="577" t="s">
        <v>21</v>
      </c>
      <c r="K873" s="577"/>
      <c r="L873" s="1035" t="s">
        <v>65</v>
      </c>
      <c r="M873" s="1036">
        <f>SUMIFS('Level of Efficiency Assumptions'!$J:$J,'Level of Efficiency Assumptions'!$D:$D,I873,'Level of Efficiency Assumptions'!$F:$F,J873,'Level of Efficiency Assumptions'!$I:$I,'Water Use Calcs'!L873)</f>
        <v>2.5</v>
      </c>
      <c r="N873" s="577"/>
      <c r="O873" s="1048">
        <f>SUMIFS('Detailed Fixture Data'!O:O,'Detailed Fixture Data'!C:C,G873,'Detailed Fixture Data'!E:E,I873,'Detailed Fixture Data'!F:F,J873,'Detailed Fixture Data'!L:L,L873)</f>
        <v>0</v>
      </c>
      <c r="P873" s="1049"/>
      <c r="Q873" s="577"/>
      <c r="R873" s="1039"/>
      <c r="S873" s="521"/>
      <c r="T873" s="225"/>
      <c r="U873" s="521"/>
      <c r="V873" s="1040"/>
      <c r="W873" s="1041"/>
    </row>
    <row r="874" spans="3:23" ht="15" thickBot="1" x14ac:dyDescent="0.35">
      <c r="C874" s="576"/>
      <c r="D874" s="494" t="s">
        <v>16</v>
      </c>
      <c r="E874" s="494"/>
      <c r="F874" s="181"/>
      <c r="G874" s="494" t="s">
        <v>98</v>
      </c>
      <c r="H874" s="577"/>
      <c r="I874" s="451" t="s">
        <v>43</v>
      </c>
      <c r="J874" s="116" t="s">
        <v>21</v>
      </c>
      <c r="K874" s="116"/>
      <c r="L874" s="1042" t="s">
        <v>66</v>
      </c>
      <c r="M874" s="1043">
        <f>SUMIFS('Level of Efficiency Assumptions'!$J:$J,'Level of Efficiency Assumptions'!$D:$D,I874,'Level of Efficiency Assumptions'!$F:$F,J874,'Level of Efficiency Assumptions'!$I:$I,'Water Use Calcs'!L874)</f>
        <v>1.5</v>
      </c>
      <c r="N874" s="577"/>
      <c r="O874" s="1048">
        <f>SUMIFS('Detailed Fixture Data'!O:O,'Detailed Fixture Data'!C:C,G874,'Detailed Fixture Data'!E:E,I874,'Detailed Fixture Data'!F:F,J874,'Detailed Fixture Data'!L:L,L874)</f>
        <v>0</v>
      </c>
      <c r="P874" s="1049"/>
      <c r="Q874" s="577"/>
      <c r="R874" s="1039"/>
      <c r="S874" s="618"/>
      <c r="T874" s="225"/>
      <c r="U874" s="618"/>
      <c r="V874" s="1045"/>
      <c r="W874" s="1046"/>
    </row>
    <row r="875" spans="3:23" x14ac:dyDescent="0.3">
      <c r="C875" s="576"/>
      <c r="D875" s="494" t="s">
        <v>16</v>
      </c>
      <c r="E875" s="494"/>
      <c r="F875" s="181"/>
      <c r="G875" s="494" t="s">
        <v>98</v>
      </c>
      <c r="H875" s="651" t="str">
        <f>I875</f>
        <v>Landscaping</v>
      </c>
      <c r="I875" s="450" t="s">
        <v>39</v>
      </c>
      <c r="J875" s="577" t="s">
        <v>42</v>
      </c>
      <c r="K875" s="577" t="s">
        <v>32</v>
      </c>
      <c r="L875" s="1047" t="s">
        <v>64</v>
      </c>
      <c r="M875" s="1036">
        <f>SUMIFS('Level of Efficiency Assumptions'!$J:$J,'Level of Efficiency Assumptions'!$D:$D,I875,'Level of Efficiency Assumptions'!$F:$F,J875,'Level of Efficiency Assumptions'!$I:$I,'Water Use Calcs'!L875)</f>
        <v>28.6</v>
      </c>
      <c r="N875" s="567" t="s">
        <v>816</v>
      </c>
      <c r="O875" s="1048">
        <f>SUMIFS('Detailed Fixture Data'!O:O,'Detailed Fixture Data'!C:C,G875,'Detailed Fixture Data'!E:E,I875,'Detailed Fixture Data'!F:F,J875,'Detailed Fixture Data'!L:L,L875)</f>
        <v>0</v>
      </c>
      <c r="P875" s="1030">
        <f>SUMIFS('Intensity of Use Assumptions'!$J:$J,'Intensity of Use Assumptions'!$D:$D,I875,'Intensity of Use Assumptions'!$G:$G,J875,'Intensity of Use Assumptions'!H:H,K875,'Intensity of Use Assumptions'!F:F,D875)</f>
        <v>2.7397260273972603E-3</v>
      </c>
      <c r="Q875" s="567" t="s">
        <v>815</v>
      </c>
      <c r="R875" s="1032">
        <f>(SUMPRODUCT(M875:M877,O875:O877)*P875)</f>
        <v>0</v>
      </c>
      <c r="S875" s="1033">
        <f>IF(R875=0,0,M877*P875)</f>
        <v>0</v>
      </c>
      <c r="T875" s="225" t="str">
        <f>G875&amp;"-"&amp;J875</f>
        <v>Hotel C-Outdoor irrigation</v>
      </c>
      <c r="U875" s="1034">
        <f ca="1">IF(ISNA(VLOOKUP(T875,list!$AV$3:$AW$130,2,FALSE)),1,(VLOOKUP(T875,list!$AV$3:$AW$130,2,FALSE)))</f>
        <v>1</v>
      </c>
      <c r="V875" s="1033">
        <f ca="1">R875*U875</f>
        <v>0</v>
      </c>
      <c r="W875" s="1033">
        <f ca="1">S875*U875</f>
        <v>0</v>
      </c>
    </row>
    <row r="876" spans="3:23" x14ac:dyDescent="0.3">
      <c r="C876" s="576"/>
      <c r="D876" s="494" t="s">
        <v>16</v>
      </c>
      <c r="E876" s="494"/>
      <c r="F876" s="181"/>
      <c r="G876" s="494" t="s">
        <v>98</v>
      </c>
      <c r="H876" s="577"/>
      <c r="I876" s="450" t="s">
        <v>39</v>
      </c>
      <c r="J876" s="577" t="s">
        <v>42</v>
      </c>
      <c r="K876" s="577"/>
      <c r="L876" s="1035" t="s">
        <v>65</v>
      </c>
      <c r="M876" s="1036">
        <f>SUMIFS('Level of Efficiency Assumptions'!$J:$J,'Level of Efficiency Assumptions'!$D:$D,I876,'Level of Efficiency Assumptions'!$F:$F,J876,'Level of Efficiency Assumptions'!$I:$I,'Water Use Calcs'!L876)</f>
        <v>13.980821518350929</v>
      </c>
      <c r="N876" s="577"/>
      <c r="O876" s="1048">
        <f>SUMIFS('Detailed Fixture Data'!O:O,'Detailed Fixture Data'!C:C,G876,'Detailed Fixture Data'!E:E,I876,'Detailed Fixture Data'!F:F,J876,'Detailed Fixture Data'!L:L,L876)</f>
        <v>0</v>
      </c>
      <c r="P876" s="1049"/>
      <c r="Q876" s="577"/>
      <c r="R876" s="1039"/>
      <c r="S876" s="521"/>
      <c r="T876" s="225"/>
      <c r="U876" s="521"/>
      <c r="V876" s="1040"/>
      <c r="W876" s="1041"/>
    </row>
    <row r="877" spans="3:23" ht="15" thickBot="1" x14ac:dyDescent="0.35">
      <c r="C877" s="576"/>
      <c r="D877" s="494" t="s">
        <v>16</v>
      </c>
      <c r="E877" s="494"/>
      <c r="F877" s="181"/>
      <c r="G877" s="494" t="s">
        <v>98</v>
      </c>
      <c r="H877" s="577"/>
      <c r="I877" s="451" t="s">
        <v>39</v>
      </c>
      <c r="J877" s="116" t="s">
        <v>42</v>
      </c>
      <c r="K877" s="116"/>
      <c r="L877" s="1042" t="s">
        <v>66</v>
      </c>
      <c r="M877" s="1043">
        <f>SUMIFS('Level of Efficiency Assumptions'!$J:$J,'Level of Efficiency Assumptions'!$D:$D,I877,'Level of Efficiency Assumptions'!$F:$F,J877,'Level of Efficiency Assumptions'!$I:$I,'Water Use Calcs'!L877)</f>
        <v>0.59137254901960778</v>
      </c>
      <c r="N877" s="577"/>
      <c r="O877" s="1048">
        <f>SUMIFS('Detailed Fixture Data'!O:O,'Detailed Fixture Data'!C:C,G877,'Detailed Fixture Data'!E:E,I877,'Detailed Fixture Data'!F:F,J877,'Detailed Fixture Data'!L:L,L877)</f>
        <v>0</v>
      </c>
      <c r="P877" s="1049"/>
      <c r="Q877" s="577"/>
      <c r="R877" s="1039"/>
      <c r="S877" s="618"/>
      <c r="T877" s="225"/>
      <c r="U877" s="618"/>
      <c r="V877" s="1045"/>
      <c r="W877" s="1046"/>
    </row>
    <row r="878" spans="3:23" x14ac:dyDescent="0.3">
      <c r="C878" s="576"/>
      <c r="D878" s="494" t="s">
        <v>16</v>
      </c>
      <c r="E878" s="494"/>
      <c r="F878" s="181"/>
      <c r="G878" s="494" t="s">
        <v>98</v>
      </c>
      <c r="H878" s="651" t="str">
        <f>I878</f>
        <v>Other</v>
      </c>
      <c r="I878" s="450" t="s">
        <v>8</v>
      </c>
      <c r="J878" s="577" t="s">
        <v>52</v>
      </c>
      <c r="K878" s="387" t="s">
        <v>362</v>
      </c>
      <c r="L878" s="1047" t="s">
        <v>64</v>
      </c>
      <c r="M878" s="1036">
        <f>SUMIFS('Level of Efficiency Assumptions'!$J:$J,'Level of Efficiency Assumptions'!$D:$D,I878,'Level of Efficiency Assumptions'!$F:$F,J878,'Level of Efficiency Assumptions'!$I:$I,'Water Use Calcs'!L878)</f>
        <v>10</v>
      </c>
      <c r="N878" s="567" t="s">
        <v>660</v>
      </c>
      <c r="O878" s="1048">
        <f>SUMIFS('Detailed Fixture Data'!O:O,'Detailed Fixture Data'!C:C,G878,'Detailed Fixture Data'!E:E,I878,'Detailed Fixture Data'!F:F,J878,'Detailed Fixture Data'!L:L,L878)</f>
        <v>0</v>
      </c>
      <c r="P878" s="1030">
        <f>SUMIFS('Intensity of Use Assumptions'!$J:$J,'Intensity of Use Assumptions'!$D:$D,I878,'Intensity of Use Assumptions'!$G:$G,J878,'Intensity of Use Assumptions'!H:H,K878)</f>
        <v>1</v>
      </c>
      <c r="Q878" s="567" t="s">
        <v>67</v>
      </c>
      <c r="R878" s="1032">
        <f>(SUMPRODUCT(M878:M880,O878:O880)*P878)</f>
        <v>0</v>
      </c>
      <c r="S878" s="1033">
        <f>IF(R878=0,0,M880*P878)</f>
        <v>0</v>
      </c>
      <c r="T878" s="225" t="str">
        <f>G878&amp;"-"&amp;J878</f>
        <v>Hotel C-Other 1</v>
      </c>
      <c r="U878" s="1034">
        <f ca="1">IF(ISNA(VLOOKUP(T878,list!$AV$3:$AW$130,2,FALSE)),1,(VLOOKUP(T878,list!$AV$3:$AW$130,2,FALSE)))</f>
        <v>1</v>
      </c>
      <c r="V878" s="1033">
        <f ca="1">R878*U878</f>
        <v>0</v>
      </c>
      <c r="W878" s="1033">
        <f ca="1">S878*U878</f>
        <v>0</v>
      </c>
    </row>
    <row r="879" spans="3:23" x14ac:dyDescent="0.3">
      <c r="C879" s="576"/>
      <c r="D879" s="494" t="s">
        <v>16</v>
      </c>
      <c r="E879" s="494"/>
      <c r="F879" s="181"/>
      <c r="G879" s="494" t="s">
        <v>98</v>
      </c>
      <c r="H879" s="577"/>
      <c r="I879" s="450" t="s">
        <v>8</v>
      </c>
      <c r="J879" s="577" t="s">
        <v>52</v>
      </c>
      <c r="K879" s="382"/>
      <c r="L879" s="1035" t="s">
        <v>65</v>
      </c>
      <c r="M879" s="1036">
        <f>SUMIFS('Level of Efficiency Assumptions'!$J:$J,'Level of Efficiency Assumptions'!$D:$D,I879,'Level of Efficiency Assumptions'!$F:$F,J879,'Level of Efficiency Assumptions'!$I:$I,'Water Use Calcs'!L879)</f>
        <v>7.5</v>
      </c>
      <c r="N879" s="577"/>
      <c r="O879" s="1048">
        <f>SUMIFS('Detailed Fixture Data'!O:O,'Detailed Fixture Data'!C:C,G879,'Detailed Fixture Data'!E:E,I879,'Detailed Fixture Data'!F:F,J879,'Detailed Fixture Data'!L:L,L879)</f>
        <v>0</v>
      </c>
      <c r="P879" s="1049"/>
      <c r="Q879" s="577"/>
      <c r="R879" s="1039"/>
      <c r="S879" s="521"/>
      <c r="T879" s="225"/>
      <c r="U879" s="521"/>
      <c r="V879" s="1040"/>
      <c r="W879" s="1041"/>
    </row>
    <row r="880" spans="3:23" ht="15" thickBot="1" x14ac:dyDescent="0.35">
      <c r="C880" s="576"/>
      <c r="D880" s="494" t="s">
        <v>16</v>
      </c>
      <c r="E880" s="494"/>
      <c r="F880" s="181"/>
      <c r="G880" s="494" t="s">
        <v>98</v>
      </c>
      <c r="H880" s="577"/>
      <c r="I880" s="450" t="s">
        <v>8</v>
      </c>
      <c r="J880" s="116" t="s">
        <v>52</v>
      </c>
      <c r="K880" s="382"/>
      <c r="L880" s="1042" t="s">
        <v>66</v>
      </c>
      <c r="M880" s="1043">
        <f>SUMIFS('Level of Efficiency Assumptions'!$J:$J,'Level of Efficiency Assumptions'!$D:$D,I880,'Level of Efficiency Assumptions'!$F:$F,J880,'Level of Efficiency Assumptions'!$I:$I,'Water Use Calcs'!L880)</f>
        <v>5</v>
      </c>
      <c r="N880" s="577"/>
      <c r="O880" s="1048">
        <f>SUMIFS('Detailed Fixture Data'!O:O,'Detailed Fixture Data'!C:C,G880,'Detailed Fixture Data'!E:E,I880,'Detailed Fixture Data'!F:F,J880,'Detailed Fixture Data'!L:L,L880)</f>
        <v>0</v>
      </c>
      <c r="P880" s="1049"/>
      <c r="Q880" s="577"/>
      <c r="R880" s="1039"/>
      <c r="S880" s="618"/>
      <c r="T880" s="225"/>
      <c r="U880" s="618"/>
      <c r="V880" s="1045"/>
      <c r="W880" s="1046"/>
    </row>
    <row r="881" spans="3:23" x14ac:dyDescent="0.3">
      <c r="C881" s="576"/>
      <c r="D881" s="494" t="s">
        <v>16</v>
      </c>
      <c r="E881" s="494"/>
      <c r="F881" s="181"/>
      <c r="G881" s="494" t="s">
        <v>98</v>
      </c>
      <c r="H881" s="577"/>
      <c r="I881" s="450" t="s">
        <v>8</v>
      </c>
      <c r="J881" s="577" t="s">
        <v>53</v>
      </c>
      <c r="K881" s="1055" t="s">
        <v>363</v>
      </c>
      <c r="L881" s="1047" t="s">
        <v>64</v>
      </c>
      <c r="M881" s="1036">
        <f>SUMIFS('Level of Efficiency Assumptions'!$J:$J,'Level of Efficiency Assumptions'!$D:$D,I881,'Level of Efficiency Assumptions'!$F:$F,J881,'Level of Efficiency Assumptions'!$I:$I,'Water Use Calcs'!L881)</f>
        <v>10</v>
      </c>
      <c r="N881" s="567" t="s">
        <v>660</v>
      </c>
      <c r="O881" s="1048">
        <f>SUMIFS('Detailed Fixture Data'!O:O,'Detailed Fixture Data'!C:C,G881,'Detailed Fixture Data'!E:E,I881,'Detailed Fixture Data'!F:F,J881,'Detailed Fixture Data'!L:L,L881)</f>
        <v>0</v>
      </c>
      <c r="P881" s="1030">
        <f>SUMIFS('Intensity of Use Assumptions'!$J:$J,'Intensity of Use Assumptions'!$D:$D,I881,'Intensity of Use Assumptions'!$G:$G,J881,'Intensity of Use Assumptions'!H:H,K881)</f>
        <v>1</v>
      </c>
      <c r="Q881" s="567" t="s">
        <v>67</v>
      </c>
      <c r="R881" s="1032">
        <f>(SUMPRODUCT(M881:M883,O881:O883)*P881)</f>
        <v>0</v>
      </c>
      <c r="S881" s="1033">
        <f>IF(R881=0,0,M883*P881)</f>
        <v>0</v>
      </c>
      <c r="T881" s="225" t="str">
        <f>G881&amp;"-"&amp;J881</f>
        <v>Hotel C-Other 2</v>
      </c>
      <c r="U881" s="1034">
        <f ca="1">IF(ISNA(VLOOKUP(T881,list!$AV$3:$AW$130,2,FALSE)),1,(VLOOKUP(T881,list!$AV$3:$AW$130,2,FALSE)))</f>
        <v>1</v>
      </c>
      <c r="V881" s="1033">
        <f ca="1">R881*U881</f>
        <v>0</v>
      </c>
      <c r="W881" s="1033">
        <f ca="1">S881*U881</f>
        <v>0</v>
      </c>
    </row>
    <row r="882" spans="3:23" x14ac:dyDescent="0.3">
      <c r="C882" s="576"/>
      <c r="D882" s="494" t="s">
        <v>16</v>
      </c>
      <c r="E882" s="494"/>
      <c r="F882" s="181"/>
      <c r="G882" s="494" t="s">
        <v>98</v>
      </c>
      <c r="H882" s="577"/>
      <c r="I882" s="450" t="s">
        <v>8</v>
      </c>
      <c r="J882" s="577" t="s">
        <v>53</v>
      </c>
      <c r="K882" s="577"/>
      <c r="L882" s="1035" t="s">
        <v>65</v>
      </c>
      <c r="M882" s="1036">
        <f>SUMIFS('Level of Efficiency Assumptions'!$J:$J,'Level of Efficiency Assumptions'!$D:$D,I882,'Level of Efficiency Assumptions'!$F:$F,J882,'Level of Efficiency Assumptions'!$I:$I,'Water Use Calcs'!L882)</f>
        <v>7.5</v>
      </c>
      <c r="N882" s="577"/>
      <c r="O882" s="1048">
        <f>SUMIFS('Detailed Fixture Data'!O:O,'Detailed Fixture Data'!C:C,G882,'Detailed Fixture Data'!E:E,I882,'Detailed Fixture Data'!F:F,J882,'Detailed Fixture Data'!L:L,L882)</f>
        <v>0</v>
      </c>
      <c r="P882" s="1049"/>
      <c r="Q882" s="577"/>
      <c r="R882" s="1039"/>
      <c r="S882" s="521"/>
      <c r="T882" s="225"/>
      <c r="U882" s="521"/>
      <c r="V882" s="1040"/>
      <c r="W882" s="1041"/>
    </row>
    <row r="883" spans="3:23" ht="15" thickBot="1" x14ac:dyDescent="0.35">
      <c r="C883" s="576"/>
      <c r="D883" s="494" t="s">
        <v>16</v>
      </c>
      <c r="E883" s="494"/>
      <c r="F883" s="181"/>
      <c r="G883" s="494" t="s">
        <v>98</v>
      </c>
      <c r="H883" s="577"/>
      <c r="I883" s="450" t="s">
        <v>8</v>
      </c>
      <c r="J883" s="116" t="s">
        <v>53</v>
      </c>
      <c r="K883" s="116"/>
      <c r="L883" s="1042" t="s">
        <v>66</v>
      </c>
      <c r="M883" s="1043">
        <f>SUMIFS('Level of Efficiency Assumptions'!$J:$J,'Level of Efficiency Assumptions'!$D:$D,I883,'Level of Efficiency Assumptions'!$F:$F,J883,'Level of Efficiency Assumptions'!$I:$I,'Water Use Calcs'!L883)</f>
        <v>5</v>
      </c>
      <c r="N883" s="577"/>
      <c r="O883" s="1048">
        <f>SUMIFS('Detailed Fixture Data'!O:O,'Detailed Fixture Data'!C:C,G883,'Detailed Fixture Data'!E:E,I883,'Detailed Fixture Data'!F:F,J883,'Detailed Fixture Data'!L:L,L883)</f>
        <v>0</v>
      </c>
      <c r="P883" s="1049"/>
      <c r="Q883" s="577"/>
      <c r="R883" s="1039"/>
      <c r="S883" s="618"/>
      <c r="T883" s="225"/>
      <c r="U883" s="618"/>
      <c r="V883" s="1045"/>
      <c r="W883" s="1046"/>
    </row>
    <row r="884" spans="3:23" x14ac:dyDescent="0.3">
      <c r="C884" s="576"/>
      <c r="D884" s="494" t="s">
        <v>16</v>
      </c>
      <c r="E884" s="494"/>
      <c r="F884" s="181"/>
      <c r="G884" s="494" t="s">
        <v>98</v>
      </c>
      <c r="H884" s="577"/>
      <c r="I884" s="450" t="s">
        <v>8</v>
      </c>
      <c r="J884" s="577" t="s">
        <v>54</v>
      </c>
      <c r="K884" s="379" t="s">
        <v>364</v>
      </c>
      <c r="L884" s="1047" t="s">
        <v>64</v>
      </c>
      <c r="M884" s="1036">
        <f>SUMIFS('Level of Efficiency Assumptions'!$J:$J,'Level of Efficiency Assumptions'!$D:$D,I884,'Level of Efficiency Assumptions'!$F:$F,J884,'Level of Efficiency Assumptions'!$I:$I,'Water Use Calcs'!L884)</f>
        <v>10</v>
      </c>
      <c r="N884" s="567" t="s">
        <v>660</v>
      </c>
      <c r="O884" s="1048">
        <f>SUMIFS('Detailed Fixture Data'!O:O,'Detailed Fixture Data'!C:C,G884,'Detailed Fixture Data'!E:E,I884,'Detailed Fixture Data'!F:F,J884,'Detailed Fixture Data'!L:L,L884)</f>
        <v>0</v>
      </c>
      <c r="P884" s="1030">
        <f>SUMIFS('Intensity of Use Assumptions'!$J:$J,'Intensity of Use Assumptions'!$D:$D,I884,'Intensity of Use Assumptions'!$G:$G,J884,'Intensity of Use Assumptions'!H:H,K884)</f>
        <v>1</v>
      </c>
      <c r="Q884" s="567" t="s">
        <v>67</v>
      </c>
      <c r="R884" s="1032">
        <f>(SUMPRODUCT(M884:M886,O884:O886)*P884)</f>
        <v>0</v>
      </c>
      <c r="S884" s="1033">
        <f>IF(R884=0,0,M886*P884)</f>
        <v>0</v>
      </c>
      <c r="T884" s="225" t="str">
        <f>G884&amp;"-"&amp;J884</f>
        <v>Hotel C-Other 3</v>
      </c>
      <c r="U884" s="1034">
        <f ca="1">IF(ISNA(VLOOKUP(T884,list!$AV$3:$AW$130,2,FALSE)),1,(VLOOKUP(T884,list!$AV$3:$AW$130,2,FALSE)))</f>
        <v>1</v>
      </c>
      <c r="V884" s="1033">
        <f ca="1">R884*U884</f>
        <v>0</v>
      </c>
      <c r="W884" s="1033">
        <f ca="1">S884*U884</f>
        <v>0</v>
      </c>
    </row>
    <row r="885" spans="3:23" x14ac:dyDescent="0.3">
      <c r="C885" s="576"/>
      <c r="D885" s="494" t="s">
        <v>16</v>
      </c>
      <c r="E885" s="494"/>
      <c r="F885" s="181"/>
      <c r="G885" s="494" t="s">
        <v>98</v>
      </c>
      <c r="H885" s="577"/>
      <c r="I885" s="450" t="s">
        <v>8</v>
      </c>
      <c r="J885" s="577" t="s">
        <v>54</v>
      </c>
      <c r="K885" s="577"/>
      <c r="L885" s="1035" t="s">
        <v>65</v>
      </c>
      <c r="M885" s="1036">
        <f>SUMIFS('Level of Efficiency Assumptions'!$J:$J,'Level of Efficiency Assumptions'!$D:$D,I885,'Level of Efficiency Assumptions'!$F:$F,J885,'Level of Efficiency Assumptions'!$I:$I,'Water Use Calcs'!L885)</f>
        <v>7.5</v>
      </c>
      <c r="N885" s="577"/>
      <c r="O885" s="1048">
        <f>SUMIFS('Detailed Fixture Data'!O:O,'Detailed Fixture Data'!C:C,G885,'Detailed Fixture Data'!E:E,I885,'Detailed Fixture Data'!F:F,J885,'Detailed Fixture Data'!L:L,L885)</f>
        <v>0</v>
      </c>
      <c r="P885" s="1049"/>
      <c r="Q885" s="577"/>
      <c r="R885" s="1039"/>
      <c r="S885" s="521"/>
      <c r="T885" s="225"/>
      <c r="U885" s="521"/>
      <c r="V885" s="1040"/>
      <c r="W885" s="1041"/>
    </row>
    <row r="886" spans="3:23" ht="15" thickBot="1" x14ac:dyDescent="0.35">
      <c r="C886" s="576"/>
      <c r="D886" s="494" t="s">
        <v>16</v>
      </c>
      <c r="E886" s="494"/>
      <c r="F886" s="181"/>
      <c r="G886" s="501" t="s">
        <v>98</v>
      </c>
      <c r="H886" s="116"/>
      <c r="I886" s="451" t="s">
        <v>8</v>
      </c>
      <c r="J886" s="116" t="s">
        <v>54</v>
      </c>
      <c r="K886" s="116"/>
      <c r="L886" s="1042" t="s">
        <v>66</v>
      </c>
      <c r="M886" s="1043">
        <f>SUMIFS('Level of Efficiency Assumptions'!$J:$J,'Level of Efficiency Assumptions'!$D:$D,I886,'Level of Efficiency Assumptions'!$F:$F,J886,'Level of Efficiency Assumptions'!$I:$I,'Water Use Calcs'!L886)</f>
        <v>5</v>
      </c>
      <c r="N886" s="116"/>
      <c r="O886" s="1048">
        <f>SUMIFS('Detailed Fixture Data'!O:O,'Detailed Fixture Data'!C:C,G886,'Detailed Fixture Data'!E:E,I886,'Detailed Fixture Data'!F:F,J886,'Detailed Fixture Data'!L:L,L886)</f>
        <v>0</v>
      </c>
      <c r="P886" s="1049"/>
      <c r="Q886" s="116"/>
      <c r="R886" s="1045"/>
      <c r="S886" s="618"/>
      <c r="T886" s="225"/>
      <c r="U886" s="618"/>
      <c r="V886" s="1045"/>
      <c r="W886" s="1046"/>
    </row>
    <row r="887" spans="3:23" x14ac:dyDescent="0.3">
      <c r="C887" s="576"/>
      <c r="D887" s="494" t="s">
        <v>16</v>
      </c>
      <c r="E887" s="619" t="str">
        <f>G887</f>
        <v>Hotel D</v>
      </c>
      <c r="F887" s="565" t="str">
        <f>VLOOKUP(E887,'Airport Mapping'!$C$5:$D$39,2,FALSE)</f>
        <v xml:space="preserve"> </v>
      </c>
      <c r="G887" s="494" t="s">
        <v>99</v>
      </c>
      <c r="H887" s="651" t="str">
        <f>I887</f>
        <v>Guestrooms</v>
      </c>
      <c r="I887" s="454" t="s">
        <v>45</v>
      </c>
      <c r="J887" s="567" t="s">
        <v>2</v>
      </c>
      <c r="K887" s="567" t="s">
        <v>17</v>
      </c>
      <c r="L887" s="1028" t="s">
        <v>64</v>
      </c>
      <c r="M887" s="1036">
        <f>SUMIFS('Level of Efficiency Assumptions'!$J:$J,'Level of Efficiency Assumptions'!$D:$D,I887,'Level of Efficiency Assumptions'!$F:$F,J887,'Level of Efficiency Assumptions'!$I:$I,'Water Use Calcs'!L887)</f>
        <v>3.5</v>
      </c>
      <c r="N887" s="567" t="s">
        <v>68</v>
      </c>
      <c r="O887" s="1048">
        <f>SUMIFS('Detailed Fixture Data'!O:O,'Detailed Fixture Data'!C:C,G887,'Detailed Fixture Data'!E:E,I887,'Detailed Fixture Data'!F:F,J887,'Detailed Fixture Data'!L:L,L887)</f>
        <v>0</v>
      </c>
      <c r="P887" s="1030">
        <f>SUMIFS('Intensity of Use Assumptions'!$J:$J,'Intensity of Use Assumptions'!$D:$D,I887,'Intensity of Use Assumptions'!$G:$G,J887,'Intensity of Use Assumptions'!H:H,K887)</f>
        <v>3</v>
      </c>
      <c r="Q887" s="567" t="s">
        <v>67</v>
      </c>
      <c r="R887" s="1032">
        <f>(SUMPRODUCT(M887:M889,O887:O889)*P887)</f>
        <v>0</v>
      </c>
      <c r="S887" s="1033">
        <f>IF(R887=0,0,M889*P887)</f>
        <v>0</v>
      </c>
      <c r="T887" s="225" t="str">
        <f>G887&amp;"-"&amp;J887</f>
        <v>Hotel D-Toilets</v>
      </c>
      <c r="U887" s="1034">
        <f ca="1">IF(ISNA(VLOOKUP(T887,list!$AV$3:$AW$130,2,FALSE)),1,(VLOOKUP(T887,list!$AV$3:$AW$130,2,FALSE)))</f>
        <v>1</v>
      </c>
      <c r="V887" s="1033">
        <f ca="1">R887*U887</f>
        <v>0</v>
      </c>
      <c r="W887" s="1033">
        <f ca="1">S887*U887</f>
        <v>0</v>
      </c>
    </row>
    <row r="888" spans="3:23" x14ac:dyDescent="0.3">
      <c r="C888" s="576"/>
      <c r="D888" s="494" t="s">
        <v>16</v>
      </c>
      <c r="E888" s="494"/>
      <c r="F888" s="181"/>
      <c r="G888" s="494" t="s">
        <v>99</v>
      </c>
      <c r="H888" s="577"/>
      <c r="I888" s="450" t="s">
        <v>45</v>
      </c>
      <c r="J888" s="577" t="s">
        <v>2</v>
      </c>
      <c r="K888" s="577"/>
      <c r="L888" s="1035" t="s">
        <v>65</v>
      </c>
      <c r="M888" s="1036">
        <f>SUMIFS('Level of Efficiency Assumptions'!$J:$J,'Level of Efficiency Assumptions'!$D:$D,I888,'Level of Efficiency Assumptions'!$F:$F,J888,'Level of Efficiency Assumptions'!$I:$I,'Water Use Calcs'!L888)</f>
        <v>1.6</v>
      </c>
      <c r="N888" s="577"/>
      <c r="O888" s="1048">
        <f>SUMIFS('Detailed Fixture Data'!O:O,'Detailed Fixture Data'!C:C,G888,'Detailed Fixture Data'!E:E,I888,'Detailed Fixture Data'!F:F,J888,'Detailed Fixture Data'!L:L,L888)</f>
        <v>0</v>
      </c>
      <c r="P888" s="1049"/>
      <c r="Q888" s="577"/>
      <c r="R888" s="1039"/>
      <c r="S888" s="521"/>
      <c r="T888" s="225"/>
      <c r="U888" s="521"/>
      <c r="V888" s="1040"/>
      <c r="W888" s="1041"/>
    </row>
    <row r="889" spans="3:23" ht="15" thickBot="1" x14ac:dyDescent="0.35">
      <c r="C889" s="576"/>
      <c r="D889" s="494" t="s">
        <v>16</v>
      </c>
      <c r="E889" s="494"/>
      <c r="F889" s="181"/>
      <c r="G889" s="494" t="s">
        <v>99</v>
      </c>
      <c r="H889" s="577"/>
      <c r="I889" s="450" t="s">
        <v>45</v>
      </c>
      <c r="J889" s="116" t="s">
        <v>2</v>
      </c>
      <c r="K889" s="116"/>
      <c r="L889" s="1042" t="s">
        <v>66</v>
      </c>
      <c r="M889" s="1043">
        <f>SUMIFS('Level of Efficiency Assumptions'!$J:$J,'Level of Efficiency Assumptions'!$D:$D,I889,'Level of Efficiency Assumptions'!$F:$F,J889,'Level of Efficiency Assumptions'!$I:$I,'Water Use Calcs'!L889)</f>
        <v>1.28</v>
      </c>
      <c r="N889" s="577"/>
      <c r="O889" s="1048">
        <f>SUMIFS('Detailed Fixture Data'!O:O,'Detailed Fixture Data'!C:C,G889,'Detailed Fixture Data'!E:E,I889,'Detailed Fixture Data'!F:F,J889,'Detailed Fixture Data'!L:L,L889)</f>
        <v>0</v>
      </c>
      <c r="P889" s="1049"/>
      <c r="Q889" s="577"/>
      <c r="R889" s="1039"/>
      <c r="S889" s="618"/>
      <c r="T889" s="225"/>
      <c r="U889" s="618"/>
      <c r="V889" s="1045"/>
      <c r="W889" s="1046"/>
    </row>
    <row r="890" spans="3:23" x14ac:dyDescent="0.3">
      <c r="C890" s="576"/>
      <c r="D890" s="494" t="s">
        <v>16</v>
      </c>
      <c r="E890" s="494"/>
      <c r="F890" s="181"/>
      <c r="G890" s="494" t="s">
        <v>99</v>
      </c>
      <c r="H890" s="577"/>
      <c r="I890" s="450" t="s">
        <v>45</v>
      </c>
      <c r="J890" s="577" t="s">
        <v>18</v>
      </c>
      <c r="K890" s="577" t="s">
        <v>17</v>
      </c>
      <c r="L890" s="1047" t="s">
        <v>64</v>
      </c>
      <c r="M890" s="1036">
        <f>SUMIFS('Level of Efficiency Assumptions'!$J:$J,'Level of Efficiency Assumptions'!$D:$D,I890,'Level of Efficiency Assumptions'!$F:$F,J890,'Level of Efficiency Assumptions'!$I:$I,'Water Use Calcs'!L890)</f>
        <v>3</v>
      </c>
      <c r="N890" s="567" t="s">
        <v>78</v>
      </c>
      <c r="O890" s="1048">
        <f>SUMIFS('Detailed Fixture Data'!O:O,'Detailed Fixture Data'!C:C,G890,'Detailed Fixture Data'!E:E,I890,'Detailed Fixture Data'!F:F,J890,'Detailed Fixture Data'!L:L,L890)</f>
        <v>0</v>
      </c>
      <c r="P890" s="1030">
        <f>SUMIFS('Intensity of Use Assumptions'!$J:$J,'Intensity of Use Assumptions'!$D:$D,I890,'Intensity of Use Assumptions'!$G:$G,J890,'Intensity of Use Assumptions'!H:H,K890)</f>
        <v>1</v>
      </c>
      <c r="Q890" s="567" t="s">
        <v>133</v>
      </c>
      <c r="R890" s="1032">
        <f>(SUMPRODUCT(M890:M892,O890:O892)*P890)</f>
        <v>0</v>
      </c>
      <c r="S890" s="1033">
        <f>IF(R890=0,0,M892*P890)</f>
        <v>0</v>
      </c>
      <c r="T890" s="225" t="str">
        <f>G890&amp;"-"&amp;J890</f>
        <v>Hotel D-Showers</v>
      </c>
      <c r="U890" s="1034">
        <f ca="1">IF(ISNA(VLOOKUP(T890,list!$AV$3:$AW$130,2,FALSE)),1,(VLOOKUP(T890,list!$AV$3:$AW$130,2,FALSE)))</f>
        <v>1</v>
      </c>
      <c r="V890" s="1033">
        <f ca="1">R890*U890</f>
        <v>0</v>
      </c>
      <c r="W890" s="1033">
        <f ca="1">S890*U890</f>
        <v>0</v>
      </c>
    </row>
    <row r="891" spans="3:23" x14ac:dyDescent="0.3">
      <c r="C891" s="576"/>
      <c r="D891" s="494" t="s">
        <v>16</v>
      </c>
      <c r="E891" s="494"/>
      <c r="F891" s="181"/>
      <c r="G891" s="494" t="s">
        <v>99</v>
      </c>
      <c r="H891" s="577"/>
      <c r="I891" s="450" t="s">
        <v>45</v>
      </c>
      <c r="J891" s="577" t="s">
        <v>18</v>
      </c>
      <c r="K891" s="577"/>
      <c r="L891" s="1035" t="s">
        <v>65</v>
      </c>
      <c r="M891" s="1036">
        <f>SUMIFS('Level of Efficiency Assumptions'!$J:$J,'Level of Efficiency Assumptions'!$D:$D,I891,'Level of Efficiency Assumptions'!$F:$F,J891,'Level of Efficiency Assumptions'!$I:$I,'Water Use Calcs'!L891)</f>
        <v>2</v>
      </c>
      <c r="N891" s="577"/>
      <c r="O891" s="1048">
        <f>SUMIFS('Detailed Fixture Data'!O:O,'Detailed Fixture Data'!C:C,G891,'Detailed Fixture Data'!E:E,I891,'Detailed Fixture Data'!F:F,J891,'Detailed Fixture Data'!L:L,L891)</f>
        <v>0</v>
      </c>
      <c r="P891" s="1049"/>
      <c r="Q891" s="577"/>
      <c r="R891" s="1039"/>
      <c r="S891" s="521"/>
      <c r="T891" s="225"/>
      <c r="U891" s="521"/>
      <c r="V891" s="1040"/>
      <c r="W891" s="1041"/>
    </row>
    <row r="892" spans="3:23" ht="15" thickBot="1" x14ac:dyDescent="0.35">
      <c r="C892" s="576"/>
      <c r="D892" s="494" t="s">
        <v>16</v>
      </c>
      <c r="E892" s="494"/>
      <c r="F892" s="181"/>
      <c r="G892" s="494" t="s">
        <v>99</v>
      </c>
      <c r="H892" s="577"/>
      <c r="I892" s="450" t="s">
        <v>45</v>
      </c>
      <c r="J892" s="116" t="s">
        <v>18</v>
      </c>
      <c r="K892" s="116"/>
      <c r="L892" s="1042" t="s">
        <v>66</v>
      </c>
      <c r="M892" s="1043">
        <f>SUMIFS('Level of Efficiency Assumptions'!$J:$J,'Level of Efficiency Assumptions'!$D:$D,I892,'Level of Efficiency Assumptions'!$F:$F,J892,'Level of Efficiency Assumptions'!$I:$I,'Water Use Calcs'!L892)</f>
        <v>1</v>
      </c>
      <c r="N892" s="577"/>
      <c r="O892" s="1048">
        <f>SUMIFS('Detailed Fixture Data'!O:O,'Detailed Fixture Data'!C:C,G892,'Detailed Fixture Data'!E:E,I892,'Detailed Fixture Data'!F:F,J892,'Detailed Fixture Data'!L:L,L892)</f>
        <v>0</v>
      </c>
      <c r="P892" s="1049"/>
      <c r="Q892" s="577"/>
      <c r="R892" s="1039"/>
      <c r="S892" s="618"/>
      <c r="T892" s="225"/>
      <c r="U892" s="618"/>
      <c r="V892" s="1045"/>
      <c r="W892" s="1046"/>
    </row>
    <row r="893" spans="3:23" x14ac:dyDescent="0.3">
      <c r="C893" s="576"/>
      <c r="D893" s="494" t="s">
        <v>16</v>
      </c>
      <c r="E893" s="494"/>
      <c r="F893" s="181"/>
      <c r="G893" s="494" t="s">
        <v>99</v>
      </c>
      <c r="H893" s="577"/>
      <c r="I893" s="450" t="s">
        <v>45</v>
      </c>
      <c r="J893" s="577" t="s">
        <v>33</v>
      </c>
      <c r="K893" s="577" t="s">
        <v>17</v>
      </c>
      <c r="L893" s="1047" t="s">
        <v>64</v>
      </c>
      <c r="M893" s="1036">
        <f>SUMIFS('Level of Efficiency Assumptions'!$J:$J,'Level of Efficiency Assumptions'!$D:$D,I893,'Level of Efficiency Assumptions'!$F:$F,J893,'Level of Efficiency Assumptions'!$I:$I,'Water Use Calcs'!L893)</f>
        <v>2</v>
      </c>
      <c r="N893" s="567" t="s">
        <v>78</v>
      </c>
      <c r="O893" s="1048">
        <f>SUMIFS('Detailed Fixture Data'!O:O,'Detailed Fixture Data'!C:C,G893,'Detailed Fixture Data'!E:E,I893,'Detailed Fixture Data'!F:F,J893,'Detailed Fixture Data'!L:L,L893)</f>
        <v>0</v>
      </c>
      <c r="P893" s="1030">
        <f>SUMIFS('Intensity of Use Assumptions'!$J:$J,'Intensity of Use Assumptions'!$D:$D,I893,'Intensity of Use Assumptions'!$G:$G,J893,'Intensity of Use Assumptions'!H:H,K893)</f>
        <v>0.16666666666666666</v>
      </c>
      <c r="Q893" s="567" t="s">
        <v>133</v>
      </c>
      <c r="R893" s="1032">
        <f>(SUMPRODUCT(M893:M895,O893:O895)*P893)</f>
        <v>0</v>
      </c>
      <c r="S893" s="1033">
        <f>IF(R893=0,0,M895*P893)</f>
        <v>0</v>
      </c>
      <c r="T893" s="225" t="str">
        <f>G893&amp;"-"&amp;J893</f>
        <v>Hotel D-Faucets</v>
      </c>
      <c r="U893" s="1034">
        <f ca="1">IF(ISNA(VLOOKUP(T893,list!$AV$3:$AW$130,2,FALSE)),1,(VLOOKUP(T893,list!$AV$3:$AW$130,2,FALSE)))</f>
        <v>1</v>
      </c>
      <c r="V893" s="1033">
        <f ca="1">R893*U893</f>
        <v>0</v>
      </c>
      <c r="W893" s="1033">
        <f ca="1">S893*U893</f>
        <v>0</v>
      </c>
    </row>
    <row r="894" spans="3:23" x14ac:dyDescent="0.3">
      <c r="C894" s="576"/>
      <c r="D894" s="494" t="s">
        <v>16</v>
      </c>
      <c r="E894" s="494"/>
      <c r="F894" s="181"/>
      <c r="G894" s="494" t="s">
        <v>99</v>
      </c>
      <c r="H894" s="577"/>
      <c r="I894" s="450" t="s">
        <v>45</v>
      </c>
      <c r="J894" s="577" t="s">
        <v>33</v>
      </c>
      <c r="K894" s="577"/>
      <c r="L894" s="1035" t="s">
        <v>65</v>
      </c>
      <c r="M894" s="1036">
        <f>SUMIFS('Level of Efficiency Assumptions'!$J:$J,'Level of Efficiency Assumptions'!$D:$D,I894,'Level of Efficiency Assumptions'!$F:$F,J894,'Level of Efficiency Assumptions'!$I:$I,'Water Use Calcs'!L894)</f>
        <v>1</v>
      </c>
      <c r="N894" s="577"/>
      <c r="O894" s="1048">
        <f>SUMIFS('Detailed Fixture Data'!O:O,'Detailed Fixture Data'!C:C,G894,'Detailed Fixture Data'!E:E,I894,'Detailed Fixture Data'!F:F,J894,'Detailed Fixture Data'!L:L,L894)</f>
        <v>0</v>
      </c>
      <c r="P894" s="1049"/>
      <c r="Q894" s="577"/>
      <c r="R894" s="1039"/>
      <c r="S894" s="521"/>
      <c r="T894" s="225"/>
      <c r="U894" s="521"/>
      <c r="V894" s="1040"/>
      <c r="W894" s="1041"/>
    </row>
    <row r="895" spans="3:23" ht="15" thickBot="1" x14ac:dyDescent="0.35">
      <c r="C895" s="576"/>
      <c r="D895" s="494" t="s">
        <v>16</v>
      </c>
      <c r="E895" s="494"/>
      <c r="F895" s="181"/>
      <c r="G895" s="494" t="s">
        <v>99</v>
      </c>
      <c r="H895" s="577"/>
      <c r="I895" s="451" t="s">
        <v>45</v>
      </c>
      <c r="J895" s="116" t="s">
        <v>33</v>
      </c>
      <c r="K895" s="116"/>
      <c r="L895" s="1042" t="s">
        <v>66</v>
      </c>
      <c r="M895" s="1043">
        <f>SUMIFS('Level of Efficiency Assumptions'!$J:$J,'Level of Efficiency Assumptions'!$D:$D,I895,'Level of Efficiency Assumptions'!$F:$F,J895,'Level of Efficiency Assumptions'!$I:$I,'Water Use Calcs'!L895)</f>
        <v>0.5</v>
      </c>
      <c r="N895" s="577"/>
      <c r="O895" s="1048">
        <f>SUMIFS('Detailed Fixture Data'!O:O,'Detailed Fixture Data'!C:C,G895,'Detailed Fixture Data'!E:E,I895,'Detailed Fixture Data'!F:F,J895,'Detailed Fixture Data'!L:L,L895)</f>
        <v>0</v>
      </c>
      <c r="P895" s="1049"/>
      <c r="Q895" s="577"/>
      <c r="R895" s="1039"/>
      <c r="S895" s="618"/>
      <c r="T895" s="225"/>
      <c r="U895" s="618"/>
      <c r="V895" s="1045"/>
      <c r="W895" s="1046"/>
    </row>
    <row r="896" spans="3:23" x14ac:dyDescent="0.3">
      <c r="C896" s="576"/>
      <c r="D896" s="494" t="s">
        <v>16</v>
      </c>
      <c r="E896" s="494"/>
      <c r="F896" s="181"/>
      <c r="G896" s="494" t="s">
        <v>99</v>
      </c>
      <c r="H896" s="651" t="str">
        <f>I896</f>
        <v>Food Service</v>
      </c>
      <c r="I896" s="450" t="s">
        <v>38</v>
      </c>
      <c r="J896" s="577" t="s">
        <v>114</v>
      </c>
      <c r="K896" s="577" t="s">
        <v>118</v>
      </c>
      <c r="L896" s="1047" t="s">
        <v>64</v>
      </c>
      <c r="M896" s="1036">
        <f>SUMIFS('Level of Efficiency Assumptions'!$J:$J,'Level of Efficiency Assumptions'!$D:$D,I896,'Level of Efficiency Assumptions'!$F:$F,J896,'Level of Efficiency Assumptions'!$I:$I,'Water Use Calcs'!L896)</f>
        <v>2</v>
      </c>
      <c r="N896" s="567" t="s">
        <v>78</v>
      </c>
      <c r="O896" s="1048">
        <f>SUMIFS('Detailed Fixture Data'!O:O,'Detailed Fixture Data'!C:C,G896,'Detailed Fixture Data'!E:E,I896,'Detailed Fixture Data'!F:F,J896,'Detailed Fixture Data'!L:L,L896)</f>
        <v>0</v>
      </c>
      <c r="P896" s="1030">
        <f>SUMIFS('Intensity of Use Assumptions'!$J:$J,'Intensity of Use Assumptions'!$D:$D,I896,'Intensity of Use Assumptions'!$G:$G,J896,'Intensity of Use Assumptions'!H:H,K896)</f>
        <v>1</v>
      </c>
      <c r="Q896" s="567" t="s">
        <v>133</v>
      </c>
      <c r="R896" s="1032">
        <f>(SUMPRODUCT(M896:M898,O896:O898)*P896)</f>
        <v>0</v>
      </c>
      <c r="S896" s="1033">
        <f>IF(R896=0,0,M898*P896)</f>
        <v>0</v>
      </c>
      <c r="T896" s="225" t="str">
        <f>G896&amp;"-"&amp;J896</f>
        <v>Hotel D-Kitchen faucets</v>
      </c>
      <c r="U896" s="1034">
        <f ca="1">IF(ISNA(VLOOKUP(T896,list!$AV$3:$AW$130,2,FALSE)),1,(VLOOKUP(T896,list!$AV$3:$AW$130,2,FALSE)))</f>
        <v>1</v>
      </c>
      <c r="V896" s="1033">
        <f ca="1">R896*U896</f>
        <v>0</v>
      </c>
      <c r="W896" s="1033">
        <f ca="1">S896*U896</f>
        <v>0</v>
      </c>
    </row>
    <row r="897" spans="2:23" x14ac:dyDescent="0.3">
      <c r="C897" s="576"/>
      <c r="D897" s="494" t="s">
        <v>16</v>
      </c>
      <c r="E897" s="494"/>
      <c r="F897" s="181"/>
      <c r="G897" s="494" t="s">
        <v>99</v>
      </c>
      <c r="H897" s="577"/>
      <c r="I897" s="450" t="s">
        <v>38</v>
      </c>
      <c r="J897" s="577" t="s">
        <v>114</v>
      </c>
      <c r="K897" s="577"/>
      <c r="L897" s="1035" t="s">
        <v>65</v>
      </c>
      <c r="M897" s="1036">
        <f>SUMIFS('Level of Efficiency Assumptions'!$J:$J,'Level of Efficiency Assumptions'!$D:$D,I897,'Level of Efficiency Assumptions'!$F:$F,J897,'Level of Efficiency Assumptions'!$I:$I,'Water Use Calcs'!L897)</f>
        <v>1</v>
      </c>
      <c r="N897" s="577"/>
      <c r="O897" s="1048">
        <f>SUMIFS('Detailed Fixture Data'!O:O,'Detailed Fixture Data'!C:C,G897,'Detailed Fixture Data'!E:E,I897,'Detailed Fixture Data'!F:F,J897,'Detailed Fixture Data'!L:L,L897)</f>
        <v>0</v>
      </c>
      <c r="P897" s="1049"/>
      <c r="Q897" s="577"/>
      <c r="R897" s="1039"/>
      <c r="S897" s="521"/>
      <c r="T897" s="225"/>
      <c r="U897" s="521"/>
      <c r="V897" s="1040"/>
      <c r="W897" s="1041"/>
    </row>
    <row r="898" spans="2:23" ht="15" thickBot="1" x14ac:dyDescent="0.35">
      <c r="C898" s="576"/>
      <c r="D898" s="494" t="s">
        <v>16</v>
      </c>
      <c r="E898" s="494"/>
      <c r="F898" s="181"/>
      <c r="G898" s="494" t="s">
        <v>99</v>
      </c>
      <c r="H898" s="577"/>
      <c r="I898" s="450" t="s">
        <v>38</v>
      </c>
      <c r="J898" s="116" t="s">
        <v>114</v>
      </c>
      <c r="K898" s="116"/>
      <c r="L898" s="1042" t="s">
        <v>66</v>
      </c>
      <c r="M898" s="1043">
        <f>SUMIFS('Level of Efficiency Assumptions'!$J:$J,'Level of Efficiency Assumptions'!$D:$D,I898,'Level of Efficiency Assumptions'!$F:$F,J898,'Level of Efficiency Assumptions'!$I:$I,'Water Use Calcs'!L898)</f>
        <v>0.5</v>
      </c>
      <c r="N898" s="577"/>
      <c r="O898" s="1048">
        <f>SUMIFS('Detailed Fixture Data'!O:O,'Detailed Fixture Data'!C:C,G898,'Detailed Fixture Data'!E:E,I898,'Detailed Fixture Data'!F:F,J898,'Detailed Fixture Data'!L:L,L898)</f>
        <v>0</v>
      </c>
      <c r="P898" s="1049"/>
      <c r="Q898" s="116"/>
      <c r="R898" s="1039"/>
      <c r="S898" s="618"/>
      <c r="T898" s="225"/>
      <c r="U898" s="618"/>
      <c r="V898" s="1045"/>
      <c r="W898" s="1046"/>
    </row>
    <row r="899" spans="2:23" x14ac:dyDescent="0.3">
      <c r="B899" s="182"/>
      <c r="C899" s="577"/>
      <c r="D899" s="521" t="s">
        <v>16</v>
      </c>
      <c r="E899" s="521"/>
      <c r="F899" s="180"/>
      <c r="G899" s="521" t="s">
        <v>99</v>
      </c>
      <c r="H899" s="577"/>
      <c r="I899" s="450" t="s">
        <v>38</v>
      </c>
      <c r="J899" s="577" t="s">
        <v>127</v>
      </c>
      <c r="K899" s="577" t="s">
        <v>118</v>
      </c>
      <c r="L899" s="1047" t="s">
        <v>64</v>
      </c>
      <c r="M899" s="1036">
        <f>SUMIFS('Level of Efficiency Assumptions'!$J:$J,'Level of Efficiency Assumptions'!$D:$D,I899,'Level of Efficiency Assumptions'!$F:$F,J899,'Level of Efficiency Assumptions'!$I:$I,'Water Use Calcs'!L899)</f>
        <v>3</v>
      </c>
      <c r="N899" s="567" t="s">
        <v>78</v>
      </c>
      <c r="O899" s="1048">
        <f>SUMIFS('Detailed Fixture Data'!O:O,'Detailed Fixture Data'!C:C,G899,'Detailed Fixture Data'!E:E,I899,'Detailed Fixture Data'!F:F,J899,'Detailed Fixture Data'!L:L,L899)</f>
        <v>0</v>
      </c>
      <c r="P899" s="1030">
        <f>SUMIFS('Intensity of Use Assumptions'!$J:$J,'Intensity of Use Assumptions'!$D:$D,I899,'Intensity of Use Assumptions'!$G:$G,J899,'Intensity of Use Assumptions'!H:H,K899)</f>
        <v>0.02</v>
      </c>
      <c r="Q899" s="577" t="s">
        <v>133</v>
      </c>
      <c r="R899" s="1032">
        <f>(SUMPRODUCT(M899:M901,O899:O901)*P899)</f>
        <v>0</v>
      </c>
      <c r="S899" s="1033">
        <f>IF(R899=0,0,M901*P899)</f>
        <v>0</v>
      </c>
      <c r="T899" s="225" t="str">
        <f>G899&amp;"-"&amp;J899</f>
        <v>Hotel D-Pre-rinse spray valves</v>
      </c>
      <c r="U899" s="1034">
        <f ca="1">IF(ISNA(VLOOKUP(T899,list!$AV$3:$AW$130,2,FALSE)),1,(VLOOKUP(T899,list!$AV$3:$AW$130,2,FALSE)))</f>
        <v>1</v>
      </c>
      <c r="V899" s="1033">
        <f ca="1">R899*U899</f>
        <v>0</v>
      </c>
      <c r="W899" s="1033">
        <f ca="1">S899*U899</f>
        <v>0</v>
      </c>
    </row>
    <row r="900" spans="2:23" x14ac:dyDescent="0.3">
      <c r="B900" s="182"/>
      <c r="C900" s="577"/>
      <c r="D900" s="521" t="s">
        <v>16</v>
      </c>
      <c r="E900" s="521"/>
      <c r="F900" s="180"/>
      <c r="G900" s="521" t="s">
        <v>99</v>
      </c>
      <c r="H900" s="577"/>
      <c r="I900" s="450" t="s">
        <v>38</v>
      </c>
      <c r="J900" s="577" t="s">
        <v>127</v>
      </c>
      <c r="K900" s="577"/>
      <c r="L900" s="1035" t="s">
        <v>65</v>
      </c>
      <c r="M900" s="1036">
        <f>SUMIFS('Level of Efficiency Assumptions'!$J:$J,'Level of Efficiency Assumptions'!$D:$D,I900,'Level of Efficiency Assumptions'!$F:$F,J900,'Level of Efficiency Assumptions'!$I:$I,'Water Use Calcs'!L900)</f>
        <v>2</v>
      </c>
      <c r="N900" s="577"/>
      <c r="O900" s="1048">
        <f>SUMIFS('Detailed Fixture Data'!O:O,'Detailed Fixture Data'!C:C,G900,'Detailed Fixture Data'!E:E,I900,'Detailed Fixture Data'!F:F,J900,'Detailed Fixture Data'!L:L,L900)</f>
        <v>0</v>
      </c>
      <c r="P900" s="1049"/>
      <c r="Q900" s="577"/>
      <c r="R900" s="1039"/>
      <c r="S900" s="521"/>
      <c r="T900" s="225"/>
      <c r="U900" s="521"/>
      <c r="V900" s="1040"/>
      <c r="W900" s="1041"/>
    </row>
    <row r="901" spans="2:23" ht="15" thickBot="1" x14ac:dyDescent="0.35">
      <c r="B901" s="182"/>
      <c r="C901" s="577"/>
      <c r="D901" s="521" t="s">
        <v>16</v>
      </c>
      <c r="E901" s="521"/>
      <c r="F901" s="180"/>
      <c r="G901" s="521" t="s">
        <v>99</v>
      </c>
      <c r="H901" s="577"/>
      <c r="I901" s="450" t="s">
        <v>38</v>
      </c>
      <c r="J901" s="116" t="s">
        <v>127</v>
      </c>
      <c r="K901" s="116"/>
      <c r="L901" s="1042" t="s">
        <v>66</v>
      </c>
      <c r="M901" s="1043">
        <f>SUMIFS('Level of Efficiency Assumptions'!$J:$J,'Level of Efficiency Assumptions'!$D:$D,I901,'Level of Efficiency Assumptions'!$F:$F,J901,'Level of Efficiency Assumptions'!$I:$I,'Water Use Calcs'!L901)</f>
        <v>1.28</v>
      </c>
      <c r="N901" s="116"/>
      <c r="O901" s="1048">
        <f>SUMIFS('Detailed Fixture Data'!O:O,'Detailed Fixture Data'!C:C,G901,'Detailed Fixture Data'!E:E,I901,'Detailed Fixture Data'!F:F,J901,'Detailed Fixture Data'!L:L,L901)</f>
        <v>0</v>
      </c>
      <c r="P901" s="1049"/>
      <c r="Q901" s="577"/>
      <c r="R901" s="1039"/>
      <c r="S901" s="618"/>
      <c r="T901" s="225"/>
      <c r="U901" s="618"/>
      <c r="V901" s="1045"/>
      <c r="W901" s="1046"/>
    </row>
    <row r="902" spans="2:23" x14ac:dyDescent="0.3">
      <c r="C902" s="576"/>
      <c r="D902" s="494" t="s">
        <v>16</v>
      </c>
      <c r="E902" s="494"/>
      <c r="F902" s="181"/>
      <c r="G902" s="494" t="s">
        <v>99</v>
      </c>
      <c r="H902" s="577"/>
      <c r="I902" s="450" t="s">
        <v>38</v>
      </c>
      <c r="J902" s="577" t="s">
        <v>41</v>
      </c>
      <c r="K902" s="577" t="s">
        <v>118</v>
      </c>
      <c r="L902" s="1047" t="s">
        <v>64</v>
      </c>
      <c r="M902" s="1036">
        <f>SUMIFS('Level of Efficiency Assumptions'!$J:$J,'Level of Efficiency Assumptions'!$D:$D,I902,'Level of Efficiency Assumptions'!$F:$F,J902,'Level of Efficiency Assumptions'!$I:$I,'Water Use Calcs'!L902)</f>
        <v>4.5</v>
      </c>
      <c r="N902" s="567" t="s">
        <v>223</v>
      </c>
      <c r="O902" s="1048">
        <f>SUMIFS('Detailed Fixture Data'!O:O,'Detailed Fixture Data'!C:C,G902,'Detailed Fixture Data'!E:E,I902,'Detailed Fixture Data'!F:F,J902,'Detailed Fixture Data'!L:L,L902)</f>
        <v>0</v>
      </c>
      <c r="P902" s="1030">
        <f>SUMIFS('Intensity of Use Assumptions'!$J:$J,'Intensity of Use Assumptions'!$D:$D,I902,'Intensity of Use Assumptions'!$G:$G,J902,'Intensity of Use Assumptions'!H:H,K902)</f>
        <v>0.05</v>
      </c>
      <c r="Q902" s="567" t="s">
        <v>224</v>
      </c>
      <c r="R902" s="1032">
        <f>(SUMPRODUCT(M902:M904,O902:O904)*P902)</f>
        <v>0</v>
      </c>
      <c r="S902" s="1033">
        <f>IF(R902=0,0,M904*P902)</f>
        <v>0</v>
      </c>
      <c r="T902" s="225" t="str">
        <f>G902&amp;"-"&amp;J902</f>
        <v>Hotel D-Dishwashers</v>
      </c>
      <c r="U902" s="1034">
        <f ca="1">IF(ISNA(VLOOKUP(T902,list!$AV$3:$AW$130,2,FALSE)),1,(VLOOKUP(T902,list!$AV$3:$AW$130,2,FALSE)))</f>
        <v>1</v>
      </c>
      <c r="V902" s="1033">
        <f ca="1">R902*U902</f>
        <v>0</v>
      </c>
      <c r="W902" s="1033">
        <f ca="1">S902*U902</f>
        <v>0</v>
      </c>
    </row>
    <row r="903" spans="2:23" x14ac:dyDescent="0.3">
      <c r="C903" s="576"/>
      <c r="D903" s="494" t="s">
        <v>16</v>
      </c>
      <c r="E903" s="494"/>
      <c r="F903" s="181"/>
      <c r="G903" s="494" t="s">
        <v>99</v>
      </c>
      <c r="H903" s="577"/>
      <c r="I903" s="450" t="s">
        <v>38</v>
      </c>
      <c r="J903" s="577" t="s">
        <v>41</v>
      </c>
      <c r="K903" s="577"/>
      <c r="L903" s="1035" t="s">
        <v>65</v>
      </c>
      <c r="M903" s="1036">
        <f>SUMIFS('Level of Efficiency Assumptions'!$J:$J,'Level of Efficiency Assumptions'!$D:$D,I903,'Level of Efficiency Assumptions'!$F:$F,J903,'Level of Efficiency Assumptions'!$I:$I,'Water Use Calcs'!L903)</f>
        <v>2.5</v>
      </c>
      <c r="N903" s="577"/>
      <c r="O903" s="1048">
        <f>SUMIFS('Detailed Fixture Data'!O:O,'Detailed Fixture Data'!C:C,G903,'Detailed Fixture Data'!E:E,I903,'Detailed Fixture Data'!F:F,J903,'Detailed Fixture Data'!L:L,L903)</f>
        <v>0</v>
      </c>
      <c r="P903" s="1049"/>
      <c r="Q903" s="577" t="s">
        <v>80</v>
      </c>
      <c r="R903" s="1039"/>
      <c r="S903" s="521"/>
      <c r="T903" s="225"/>
      <c r="U903" s="521"/>
      <c r="V903" s="1040"/>
      <c r="W903" s="1041"/>
    </row>
    <row r="904" spans="2:23" ht="15" thickBot="1" x14ac:dyDescent="0.35">
      <c r="C904" s="576"/>
      <c r="D904" s="494" t="s">
        <v>16</v>
      </c>
      <c r="E904" s="494"/>
      <c r="F904" s="181"/>
      <c r="G904" s="494" t="s">
        <v>99</v>
      </c>
      <c r="H904" s="577"/>
      <c r="I904" s="450" t="s">
        <v>38</v>
      </c>
      <c r="J904" s="116" t="s">
        <v>41</v>
      </c>
      <c r="K904" s="116"/>
      <c r="L904" s="1042" t="s">
        <v>66</v>
      </c>
      <c r="M904" s="1043">
        <f>SUMIFS('Level of Efficiency Assumptions'!$J:$J,'Level of Efficiency Assumptions'!$D:$D,I904,'Level of Efficiency Assumptions'!$F:$F,J904,'Level of Efficiency Assumptions'!$I:$I,'Water Use Calcs'!L904)</f>
        <v>1</v>
      </c>
      <c r="N904" s="577"/>
      <c r="O904" s="1048">
        <f>SUMIFS('Detailed Fixture Data'!O:O,'Detailed Fixture Data'!C:C,G904,'Detailed Fixture Data'!E:E,I904,'Detailed Fixture Data'!F:F,J904,'Detailed Fixture Data'!L:L,L904)</f>
        <v>0</v>
      </c>
      <c r="P904" s="1049"/>
      <c r="Q904" s="577"/>
      <c r="R904" s="1039"/>
      <c r="S904" s="618"/>
      <c r="T904" s="225"/>
      <c r="U904" s="618"/>
      <c r="V904" s="1045"/>
      <c r="W904" s="1046"/>
    </row>
    <row r="905" spans="2:23" x14ac:dyDescent="0.3">
      <c r="C905" s="576"/>
      <c r="D905" s="494" t="s">
        <v>16</v>
      </c>
      <c r="E905" s="494"/>
      <c r="F905" s="181"/>
      <c r="G905" s="494" t="s">
        <v>99</v>
      </c>
      <c r="H905" s="577"/>
      <c r="I905" s="450" t="s">
        <v>38</v>
      </c>
      <c r="J905" s="577" t="s">
        <v>20</v>
      </c>
      <c r="K905" s="577" t="s">
        <v>17</v>
      </c>
      <c r="L905" s="1047" t="s">
        <v>64</v>
      </c>
      <c r="M905" s="1036">
        <f>SUMIFS('Level of Efficiency Assumptions'!$J:$J,'Level of Efficiency Assumptions'!$D:$D,I905,'Level of Efficiency Assumptions'!$F:$F,J905,'Level of Efficiency Assumptions'!$I:$I,'Water Use Calcs'!L905)</f>
        <v>1.5</v>
      </c>
      <c r="N905" s="567" t="s">
        <v>222</v>
      </c>
      <c r="O905" s="1048">
        <f>SUMIFS('Detailed Fixture Data'!O:O,'Detailed Fixture Data'!C:C,G905,'Detailed Fixture Data'!E:E,I905,'Detailed Fixture Data'!F:F,J905,'Detailed Fixture Data'!L:L,L905)</f>
        <v>0</v>
      </c>
      <c r="P905" s="1030">
        <f>SUMIFS('Intensity of Use Assumptions'!$J:$J,'Intensity of Use Assumptions'!$D:$D,I905,'Intensity of Use Assumptions'!$G:$G,J905,'Intensity of Use Assumptions'!H:H,K905)</f>
        <v>0.5</v>
      </c>
      <c r="Q905" s="567" t="s">
        <v>221</v>
      </c>
      <c r="R905" s="1032">
        <f>(SUMPRODUCT(M905:M907,O905:O907)*P905)</f>
        <v>0</v>
      </c>
      <c r="S905" s="1033">
        <f>IF(R905=0,0,M907*P905)</f>
        <v>0</v>
      </c>
      <c r="T905" s="225" t="str">
        <f>G905&amp;"-"&amp;J905</f>
        <v>Hotel D-Ice machines</v>
      </c>
      <c r="U905" s="1034">
        <f ca="1">IF(ISNA(VLOOKUP(T905,list!$AV$3:$AW$130,2,FALSE)),1,(VLOOKUP(T905,list!$AV$3:$AW$130,2,FALSE)))</f>
        <v>1</v>
      </c>
      <c r="V905" s="1033">
        <f ca="1">R905*U905</f>
        <v>0</v>
      </c>
      <c r="W905" s="1033">
        <f ca="1">S905*U905</f>
        <v>0</v>
      </c>
    </row>
    <row r="906" spans="2:23" x14ac:dyDescent="0.3">
      <c r="C906" s="576"/>
      <c r="D906" s="494" t="s">
        <v>16</v>
      </c>
      <c r="E906" s="494"/>
      <c r="F906" s="181"/>
      <c r="G906" s="494" t="s">
        <v>99</v>
      </c>
      <c r="H906" s="577"/>
      <c r="I906" s="450" t="s">
        <v>38</v>
      </c>
      <c r="J906" s="577" t="s">
        <v>20</v>
      </c>
      <c r="K906" s="577"/>
      <c r="L906" s="1035" t="s">
        <v>65</v>
      </c>
      <c r="M906" s="1036">
        <f>SUMIFS('Level of Efficiency Assumptions'!$J:$J,'Level of Efficiency Assumptions'!$D:$D,I906,'Level of Efficiency Assumptions'!$F:$F,J906,'Level of Efficiency Assumptions'!$I:$I,'Water Use Calcs'!L906)</f>
        <v>0.25</v>
      </c>
      <c r="N906" s="577"/>
      <c r="O906" s="1048">
        <f>SUMIFS('Detailed Fixture Data'!O:O,'Detailed Fixture Data'!C:C,G906,'Detailed Fixture Data'!E:E,I906,'Detailed Fixture Data'!F:F,J906,'Detailed Fixture Data'!L:L,L906)</f>
        <v>0</v>
      </c>
      <c r="P906" s="1049"/>
      <c r="Q906" s="577"/>
      <c r="R906" s="1039"/>
      <c r="S906" s="521"/>
      <c r="T906" s="225"/>
      <c r="U906" s="521"/>
      <c r="V906" s="1040"/>
      <c r="W906" s="1041"/>
    </row>
    <row r="907" spans="2:23" ht="15" thickBot="1" x14ac:dyDescent="0.35">
      <c r="C907" s="576"/>
      <c r="D907" s="494" t="s">
        <v>16</v>
      </c>
      <c r="E907" s="494"/>
      <c r="F907" s="181"/>
      <c r="G907" s="494" t="s">
        <v>99</v>
      </c>
      <c r="H907" s="577"/>
      <c r="I907" s="451" t="s">
        <v>38</v>
      </c>
      <c r="J907" s="116" t="s">
        <v>20</v>
      </c>
      <c r="K907" s="116"/>
      <c r="L907" s="1042" t="s">
        <v>66</v>
      </c>
      <c r="M907" s="1043">
        <f>SUMIFS('Level of Efficiency Assumptions'!$J:$J,'Level of Efficiency Assumptions'!$D:$D,I907,'Level of Efficiency Assumptions'!$F:$F,J907,'Level of Efficiency Assumptions'!$I:$I,'Water Use Calcs'!L907)</f>
        <v>0.12</v>
      </c>
      <c r="N907" s="577"/>
      <c r="O907" s="1048">
        <f>SUMIFS('Detailed Fixture Data'!O:O,'Detailed Fixture Data'!C:C,G907,'Detailed Fixture Data'!E:E,I907,'Detailed Fixture Data'!F:F,J907,'Detailed Fixture Data'!L:L,L907)</f>
        <v>0</v>
      </c>
      <c r="P907" s="1049"/>
      <c r="Q907" s="577"/>
      <c r="R907" s="1039"/>
      <c r="S907" s="618"/>
      <c r="T907" s="225"/>
      <c r="U907" s="618"/>
      <c r="V907" s="1045"/>
      <c r="W907" s="1046"/>
    </row>
    <row r="908" spans="2:23" x14ac:dyDescent="0.3">
      <c r="C908" s="576"/>
      <c r="D908" s="494" t="s">
        <v>16</v>
      </c>
      <c r="E908" s="494"/>
      <c r="F908" s="181"/>
      <c r="G908" s="494" t="s">
        <v>99</v>
      </c>
      <c r="H908" s="651" t="str">
        <f>I908</f>
        <v>Maintenance</v>
      </c>
      <c r="I908" s="450" t="s">
        <v>43</v>
      </c>
      <c r="J908" s="577" t="s">
        <v>111</v>
      </c>
      <c r="K908" s="217" t="s">
        <v>424</v>
      </c>
      <c r="L908" s="1047" t="s">
        <v>64</v>
      </c>
      <c r="M908" s="1036">
        <f>SUMIFS('Level of Efficiency Assumptions'!$J:$J,'Level of Efficiency Assumptions'!$D:$D,I908,'Level of Efficiency Assumptions'!$F:$F,J908,'Level of Efficiency Assumptions'!$I:$I,'Water Use Calcs'!L908)</f>
        <v>100</v>
      </c>
      <c r="N908" s="567" t="s">
        <v>659</v>
      </c>
      <c r="O908" s="1048">
        <f>SUMIFS('Detailed Fixture Data'!O:O,'Detailed Fixture Data'!C:C,G908,'Detailed Fixture Data'!E:E,I908,'Detailed Fixture Data'!F:F,J908,'Detailed Fixture Data'!L:L,L908)</f>
        <v>0</v>
      </c>
      <c r="P908" s="1030">
        <f>SUMIFS('Intensity of Use Assumptions'!$J:$J,'Intensity of Use Assumptions'!$D:$D,I908,'Intensity of Use Assumptions'!$G:$G,J908,'Intensity of Use Assumptions'!H:H,K908)</f>
        <v>1</v>
      </c>
      <c r="Q908" s="567" t="s">
        <v>67</v>
      </c>
      <c r="R908" s="1032">
        <f>(SUMPRODUCT(M908:M910,O908:O910)*P908)</f>
        <v>0</v>
      </c>
      <c r="S908" s="1033">
        <f>IF(R908=0,0,M910*P908)</f>
        <v>0</v>
      </c>
      <c r="T908" s="225" t="str">
        <f>G908&amp;"-"&amp;J908</f>
        <v>Hotel D-Boiler</v>
      </c>
      <c r="U908" s="1034">
        <f ca="1">IF(ISNA(VLOOKUP(T908,list!$AV$3:$AW$130,2,FALSE)),1,(VLOOKUP(T908,list!$AV$3:$AW$130,2,FALSE)))</f>
        <v>1</v>
      </c>
      <c r="V908" s="1033">
        <f ca="1">R908*U908</f>
        <v>0</v>
      </c>
      <c r="W908" s="1033">
        <f ca="1">S908*U908</f>
        <v>0</v>
      </c>
    </row>
    <row r="909" spans="2:23" x14ac:dyDescent="0.3">
      <c r="C909" s="576"/>
      <c r="D909" s="494" t="s">
        <v>16</v>
      </c>
      <c r="E909" s="494"/>
      <c r="F909" s="181"/>
      <c r="G909" s="494" t="s">
        <v>99</v>
      </c>
      <c r="H909" s="577"/>
      <c r="I909" s="450" t="s">
        <v>43</v>
      </c>
      <c r="J909" s="577" t="s">
        <v>111</v>
      </c>
      <c r="K909" s="382"/>
      <c r="L909" s="1035" t="s">
        <v>65</v>
      </c>
      <c r="M909" s="1036">
        <f>SUMIFS('Level of Efficiency Assumptions'!$J:$J,'Level of Efficiency Assumptions'!$D:$D,I909,'Level of Efficiency Assumptions'!$F:$F,J909,'Level of Efficiency Assumptions'!$I:$I,'Water Use Calcs'!L909)</f>
        <v>75</v>
      </c>
      <c r="N909" s="577"/>
      <c r="O909" s="1048">
        <f>SUMIFS('Detailed Fixture Data'!O:O,'Detailed Fixture Data'!C:C,G909,'Detailed Fixture Data'!E:E,I909,'Detailed Fixture Data'!F:F,J909,'Detailed Fixture Data'!L:L,L909)</f>
        <v>0</v>
      </c>
      <c r="P909" s="1049"/>
      <c r="Q909" s="577"/>
      <c r="R909" s="1039"/>
      <c r="S909" s="521"/>
      <c r="T909" s="225"/>
      <c r="U909" s="521"/>
      <c r="V909" s="1040"/>
      <c r="W909" s="1041"/>
    </row>
    <row r="910" spans="2:23" ht="15" thickBot="1" x14ac:dyDescent="0.35">
      <c r="C910" s="576"/>
      <c r="D910" s="494" t="s">
        <v>16</v>
      </c>
      <c r="E910" s="494"/>
      <c r="F910" s="181"/>
      <c r="G910" s="494" t="s">
        <v>99</v>
      </c>
      <c r="H910" s="577"/>
      <c r="I910" s="450" t="s">
        <v>43</v>
      </c>
      <c r="J910" s="116" t="s">
        <v>111</v>
      </c>
      <c r="K910" s="116"/>
      <c r="L910" s="1042" t="s">
        <v>66</v>
      </c>
      <c r="M910" s="1043">
        <f>SUMIFS('Level of Efficiency Assumptions'!$J:$J,'Level of Efficiency Assumptions'!$D:$D,I910,'Level of Efficiency Assumptions'!$F:$F,J910,'Level of Efficiency Assumptions'!$I:$I,'Water Use Calcs'!L910)</f>
        <v>50</v>
      </c>
      <c r="N910" s="577"/>
      <c r="O910" s="1048">
        <f>SUMIFS('Detailed Fixture Data'!O:O,'Detailed Fixture Data'!C:C,G910,'Detailed Fixture Data'!E:E,I910,'Detailed Fixture Data'!F:F,J910,'Detailed Fixture Data'!L:L,L910)</f>
        <v>0</v>
      </c>
      <c r="P910" s="1049"/>
      <c r="Q910" s="577"/>
      <c r="R910" s="1039"/>
      <c r="S910" s="618"/>
      <c r="T910" s="225"/>
      <c r="U910" s="618"/>
      <c r="V910" s="1045"/>
      <c r="W910" s="1046"/>
    </row>
    <row r="911" spans="2:23" x14ac:dyDescent="0.3">
      <c r="C911" s="576"/>
      <c r="D911" s="494" t="s">
        <v>16</v>
      </c>
      <c r="E911" s="494"/>
      <c r="F911" s="181"/>
      <c r="G911" s="494" t="s">
        <v>99</v>
      </c>
      <c r="H911" s="577"/>
      <c r="I911" s="450" t="s">
        <v>43</v>
      </c>
      <c r="J911" s="577" t="s">
        <v>7</v>
      </c>
      <c r="K911" s="215" t="s">
        <v>365</v>
      </c>
      <c r="L911" s="1012" t="s">
        <v>257</v>
      </c>
      <c r="M911" s="1050"/>
      <c r="N911" s="1050"/>
      <c r="O911" s="1050"/>
      <c r="P911" s="1051"/>
      <c r="Q911" s="981"/>
      <c r="R911" s="1052">
        <f>SUMIFS('Cooling Data'!H:H,'Cooling Data'!$C:$C,$G911,'Cooling Data'!$E:$E,$I911,'Cooling Data'!$F:$F,$J911)</f>
        <v>0</v>
      </c>
      <c r="S911" s="1052">
        <f>SUMIFS('Cooling Data'!J:J,'Cooling Data'!$C:$C,$G911,'Cooling Data'!$E:$E,$I911,'Cooling Data'!$F:$F,$J911)</f>
        <v>0</v>
      </c>
      <c r="T911" s="225" t="str">
        <f>G911&amp;"-"&amp;J911</f>
        <v>Hotel D-Cooling</v>
      </c>
      <c r="U911" s="1034">
        <f ca="1">IF(ISNA(VLOOKUP(T911,list!$AV$3:$AW$130,2,FALSE)),1,(VLOOKUP(T911,list!$AV$3:$AW$130,2,FALSE)))</f>
        <v>1</v>
      </c>
      <c r="V911" s="1033">
        <f ca="1">R911*U911</f>
        <v>0</v>
      </c>
      <c r="W911" s="1033">
        <f ca="1">S911*U911</f>
        <v>0</v>
      </c>
    </row>
    <row r="912" spans="2:23" x14ac:dyDescent="0.3">
      <c r="C912" s="576"/>
      <c r="D912" s="494" t="s">
        <v>16</v>
      </c>
      <c r="E912" s="494"/>
      <c r="F912" s="181"/>
      <c r="G912" s="494" t="s">
        <v>99</v>
      </c>
      <c r="H912" s="577"/>
      <c r="I912" s="450" t="s">
        <v>43</v>
      </c>
      <c r="J912" s="577" t="s">
        <v>7</v>
      </c>
      <c r="K912" s="577"/>
      <c r="L912" s="206"/>
      <c r="M912" s="181"/>
      <c r="N912" s="181"/>
      <c r="O912" s="181"/>
      <c r="P912" s="1053"/>
      <c r="Q912" s="439"/>
      <c r="R912" s="1039"/>
      <c r="S912" s="521"/>
      <c r="T912" s="225"/>
      <c r="U912" s="521"/>
      <c r="V912" s="1040"/>
      <c r="W912" s="1041"/>
    </row>
    <row r="913" spans="3:23" ht="15" thickBot="1" x14ac:dyDescent="0.35">
      <c r="C913" s="576"/>
      <c r="D913" s="494" t="s">
        <v>16</v>
      </c>
      <c r="E913" s="494"/>
      <c r="F913" s="181"/>
      <c r="G913" s="494" t="s">
        <v>99</v>
      </c>
      <c r="H913" s="577"/>
      <c r="I913" s="450" t="s">
        <v>43</v>
      </c>
      <c r="J913" s="116" t="s">
        <v>7</v>
      </c>
      <c r="K913" s="116"/>
      <c r="L913" s="207"/>
      <c r="M913" s="924"/>
      <c r="N913" s="924"/>
      <c r="O913" s="924"/>
      <c r="P913" s="1054"/>
      <c r="Q913" s="606"/>
      <c r="R913" s="1039"/>
      <c r="S913" s="618"/>
      <c r="T913" s="225"/>
      <c r="U913" s="618"/>
      <c r="V913" s="1045"/>
      <c r="W913" s="1046"/>
    </row>
    <row r="914" spans="3:23" x14ac:dyDescent="0.3">
      <c r="C914" s="576"/>
      <c r="D914" s="494" t="s">
        <v>16</v>
      </c>
      <c r="E914" s="494"/>
      <c r="F914" s="181"/>
      <c r="G914" s="494" t="s">
        <v>99</v>
      </c>
      <c r="H914" s="577"/>
      <c r="I914" s="450" t="s">
        <v>43</v>
      </c>
      <c r="J914" s="577" t="s">
        <v>34</v>
      </c>
      <c r="K914" s="577" t="s">
        <v>36</v>
      </c>
      <c r="L914" s="1047" t="s">
        <v>64</v>
      </c>
      <c r="M914" s="1036">
        <f>SUMIFS('Level of Efficiency Assumptions'!$J:$J,'Level of Efficiency Assumptions'!$D:$D,I914,'Level of Efficiency Assumptions'!$F:$F,J914,'Level of Efficiency Assumptions'!$I:$I,'Water Use Calcs'!L914)</f>
        <v>10</v>
      </c>
      <c r="N914" s="567" t="s">
        <v>661</v>
      </c>
      <c r="O914" s="1048">
        <f>SUMIFS('Detailed Fixture Data'!O:O,'Detailed Fixture Data'!C:C,G914,'Detailed Fixture Data'!E:E,I914,'Detailed Fixture Data'!F:F,J914,'Detailed Fixture Data'!L:L,L914)</f>
        <v>0</v>
      </c>
      <c r="P914" s="1030">
        <f>SUMIFS('Intensity of Use Assumptions'!$J:$J,'Intensity of Use Assumptions'!$D:$D,I914,'Intensity of Use Assumptions'!$G:$G,J914,'Intensity of Use Assumptions'!H:H,K914)</f>
        <v>1</v>
      </c>
      <c r="Q914" s="567" t="s">
        <v>67</v>
      </c>
      <c r="R914" s="1032">
        <f>(SUMPRODUCT(M914:M916,O914:O916)*P914)</f>
        <v>0</v>
      </c>
      <c r="S914" s="1033">
        <f>IF(R914=0,0,M916*P914)</f>
        <v>0</v>
      </c>
      <c r="T914" s="225" t="str">
        <f>G914&amp;"-"&amp;J914</f>
        <v>Hotel D-Swimming Pool</v>
      </c>
      <c r="U914" s="1034">
        <f ca="1">IF(ISNA(VLOOKUP(T914,list!$AV$3:$AW$130,2,FALSE)),1,(VLOOKUP(T914,list!$AV$3:$AW$130,2,FALSE)))</f>
        <v>1</v>
      </c>
      <c r="V914" s="1033">
        <f ca="1">R914*U914</f>
        <v>0</v>
      </c>
      <c r="W914" s="1033">
        <f ca="1">S914*U914</f>
        <v>0</v>
      </c>
    </row>
    <row r="915" spans="3:23" x14ac:dyDescent="0.3">
      <c r="C915" s="576"/>
      <c r="D915" s="494" t="s">
        <v>16</v>
      </c>
      <c r="E915" s="494"/>
      <c r="F915" s="181"/>
      <c r="G915" s="494" t="s">
        <v>99</v>
      </c>
      <c r="H915" s="577"/>
      <c r="I915" s="450" t="s">
        <v>43</v>
      </c>
      <c r="J915" s="577" t="s">
        <v>34</v>
      </c>
      <c r="K915" s="577"/>
      <c r="L915" s="1035" t="s">
        <v>65</v>
      </c>
      <c r="M915" s="1036">
        <f>SUMIFS('Level of Efficiency Assumptions'!$J:$J,'Level of Efficiency Assumptions'!$D:$D,I915,'Level of Efficiency Assumptions'!$F:$F,J915,'Level of Efficiency Assumptions'!$I:$I,'Water Use Calcs'!L915)</f>
        <v>7.5</v>
      </c>
      <c r="N915" s="577"/>
      <c r="O915" s="1048">
        <f>SUMIFS('Detailed Fixture Data'!O:O,'Detailed Fixture Data'!C:C,G915,'Detailed Fixture Data'!E:E,I915,'Detailed Fixture Data'!F:F,J915,'Detailed Fixture Data'!L:L,L915)</f>
        <v>0</v>
      </c>
      <c r="P915" s="1049"/>
      <c r="Q915" s="577"/>
      <c r="R915" s="1039"/>
      <c r="S915" s="521"/>
      <c r="T915" s="225"/>
      <c r="U915" s="521"/>
      <c r="V915" s="1040"/>
      <c r="W915" s="1041"/>
    </row>
    <row r="916" spans="3:23" ht="15" thickBot="1" x14ac:dyDescent="0.35">
      <c r="C916" s="576"/>
      <c r="D916" s="494" t="s">
        <v>16</v>
      </c>
      <c r="E916" s="494"/>
      <c r="F916" s="181"/>
      <c r="G916" s="494" t="s">
        <v>99</v>
      </c>
      <c r="H916" s="577"/>
      <c r="I916" s="450" t="s">
        <v>43</v>
      </c>
      <c r="J916" s="116" t="s">
        <v>34</v>
      </c>
      <c r="K916" s="116"/>
      <c r="L916" s="1042" t="s">
        <v>66</v>
      </c>
      <c r="M916" s="1043">
        <f>SUMIFS('Level of Efficiency Assumptions'!$J:$J,'Level of Efficiency Assumptions'!$D:$D,I916,'Level of Efficiency Assumptions'!$F:$F,J916,'Level of Efficiency Assumptions'!$I:$I,'Water Use Calcs'!L916)</f>
        <v>5</v>
      </c>
      <c r="N916" s="577"/>
      <c r="O916" s="1048">
        <f>SUMIFS('Detailed Fixture Data'!O:O,'Detailed Fixture Data'!C:C,G916,'Detailed Fixture Data'!E:E,I916,'Detailed Fixture Data'!F:F,J916,'Detailed Fixture Data'!L:L,L916)</f>
        <v>0</v>
      </c>
      <c r="P916" s="1049"/>
      <c r="Q916" s="577"/>
      <c r="R916" s="1039"/>
      <c r="S916" s="618"/>
      <c r="T916" s="225"/>
      <c r="U916" s="618"/>
      <c r="V916" s="1045"/>
      <c r="W916" s="1046"/>
    </row>
    <row r="917" spans="3:23" x14ac:dyDescent="0.3">
      <c r="C917" s="576"/>
      <c r="D917" s="494" t="s">
        <v>16</v>
      </c>
      <c r="E917" s="494"/>
      <c r="F917" s="181"/>
      <c r="G917" s="494" t="s">
        <v>99</v>
      </c>
      <c r="H917" s="577"/>
      <c r="I917" s="450" t="s">
        <v>43</v>
      </c>
      <c r="J917" s="577" t="s">
        <v>21</v>
      </c>
      <c r="K917" s="577" t="s">
        <v>17</v>
      </c>
      <c r="L917" s="1047" t="s">
        <v>64</v>
      </c>
      <c r="M917" s="1036">
        <f>SUMIFS('Level of Efficiency Assumptions'!$J:$J,'Level of Efficiency Assumptions'!$D:$D,I917,'Level of Efficiency Assumptions'!$F:$F,J917,'Level of Efficiency Assumptions'!$I:$I,'Water Use Calcs'!L917)</f>
        <v>3.5</v>
      </c>
      <c r="N917" s="567" t="s">
        <v>235</v>
      </c>
      <c r="O917" s="1048">
        <f>SUMIFS('Detailed Fixture Data'!O:O,'Detailed Fixture Data'!C:C,G917,'Detailed Fixture Data'!E:E,I917,'Detailed Fixture Data'!F:F,J917,'Detailed Fixture Data'!L:L,L917)</f>
        <v>0</v>
      </c>
      <c r="P917" s="1030">
        <f>SUMIFS('Intensity of Use Assumptions'!$J:$J,'Intensity of Use Assumptions'!$D:$D,I917,'Intensity of Use Assumptions'!$G:$G,J917,'Intensity of Use Assumptions'!H:H,K917)</f>
        <v>10</v>
      </c>
      <c r="Q917" s="567" t="s">
        <v>236</v>
      </c>
      <c r="R917" s="1032">
        <f>(SUMPRODUCT(M917:M919,O917:O919)*P917)</f>
        <v>0</v>
      </c>
      <c r="S917" s="1033">
        <f>IF(R917=0,0,M919*P917)</f>
        <v>0</v>
      </c>
      <c r="T917" s="225" t="str">
        <f>G917&amp;"-"&amp;J917</f>
        <v>Hotel D-Laundry</v>
      </c>
      <c r="U917" s="1034">
        <f ca="1">IF(ISNA(VLOOKUP(T917,list!$AV$3:$AW$130,2,FALSE)),1,(VLOOKUP(T917,list!$AV$3:$AW$130,2,FALSE)))</f>
        <v>1</v>
      </c>
      <c r="V917" s="1033">
        <f ca="1">R917*U917</f>
        <v>0</v>
      </c>
      <c r="W917" s="1033">
        <f ca="1">S917*U917</f>
        <v>0</v>
      </c>
    </row>
    <row r="918" spans="3:23" x14ac:dyDescent="0.3">
      <c r="C918" s="576"/>
      <c r="D918" s="494" t="s">
        <v>16</v>
      </c>
      <c r="E918" s="494"/>
      <c r="F918" s="181"/>
      <c r="G918" s="494" t="s">
        <v>99</v>
      </c>
      <c r="H918" s="577"/>
      <c r="I918" s="450" t="s">
        <v>43</v>
      </c>
      <c r="J918" s="577" t="s">
        <v>21</v>
      </c>
      <c r="K918" s="577"/>
      <c r="L918" s="1035" t="s">
        <v>65</v>
      </c>
      <c r="M918" s="1036">
        <f>SUMIFS('Level of Efficiency Assumptions'!$J:$J,'Level of Efficiency Assumptions'!$D:$D,I918,'Level of Efficiency Assumptions'!$F:$F,J918,'Level of Efficiency Assumptions'!$I:$I,'Water Use Calcs'!L918)</f>
        <v>2.5</v>
      </c>
      <c r="N918" s="577"/>
      <c r="O918" s="1048">
        <f>SUMIFS('Detailed Fixture Data'!O:O,'Detailed Fixture Data'!C:C,G918,'Detailed Fixture Data'!E:E,I918,'Detailed Fixture Data'!F:F,J918,'Detailed Fixture Data'!L:L,L918)</f>
        <v>0</v>
      </c>
      <c r="P918" s="1049"/>
      <c r="Q918" s="577"/>
      <c r="R918" s="1039"/>
      <c r="S918" s="521"/>
      <c r="T918" s="225"/>
      <c r="U918" s="521"/>
      <c r="V918" s="1040"/>
      <c r="W918" s="1041"/>
    </row>
    <row r="919" spans="3:23" ht="15" thickBot="1" x14ac:dyDescent="0.35">
      <c r="C919" s="576"/>
      <c r="D919" s="494" t="s">
        <v>16</v>
      </c>
      <c r="E919" s="494"/>
      <c r="F919" s="181"/>
      <c r="G919" s="494" t="s">
        <v>99</v>
      </c>
      <c r="H919" s="577"/>
      <c r="I919" s="451" t="s">
        <v>43</v>
      </c>
      <c r="J919" s="116" t="s">
        <v>21</v>
      </c>
      <c r="K919" s="116"/>
      <c r="L919" s="1042" t="s">
        <v>66</v>
      </c>
      <c r="M919" s="1043">
        <f>SUMIFS('Level of Efficiency Assumptions'!$J:$J,'Level of Efficiency Assumptions'!$D:$D,I919,'Level of Efficiency Assumptions'!$F:$F,J919,'Level of Efficiency Assumptions'!$I:$I,'Water Use Calcs'!L919)</f>
        <v>1.5</v>
      </c>
      <c r="N919" s="577"/>
      <c r="O919" s="1048">
        <f>SUMIFS('Detailed Fixture Data'!O:O,'Detailed Fixture Data'!C:C,G919,'Detailed Fixture Data'!E:E,I919,'Detailed Fixture Data'!F:F,J919,'Detailed Fixture Data'!L:L,L919)</f>
        <v>0</v>
      </c>
      <c r="P919" s="1049"/>
      <c r="Q919" s="577"/>
      <c r="R919" s="1039"/>
      <c r="S919" s="618"/>
      <c r="T919" s="225"/>
      <c r="U919" s="618"/>
      <c r="V919" s="1045"/>
      <c r="W919" s="1046"/>
    </row>
    <row r="920" spans="3:23" x14ac:dyDescent="0.3">
      <c r="C920" s="576"/>
      <c r="D920" s="494" t="s">
        <v>16</v>
      </c>
      <c r="E920" s="494"/>
      <c r="F920" s="181"/>
      <c r="G920" s="494" t="s">
        <v>99</v>
      </c>
      <c r="H920" s="651" t="str">
        <f>I920</f>
        <v>Landscaping</v>
      </c>
      <c r="I920" s="450" t="s">
        <v>39</v>
      </c>
      <c r="J920" s="577" t="s">
        <v>42</v>
      </c>
      <c r="K920" s="577" t="s">
        <v>32</v>
      </c>
      <c r="L920" s="1047" t="s">
        <v>64</v>
      </c>
      <c r="M920" s="1036">
        <f>SUMIFS('Level of Efficiency Assumptions'!$J:$J,'Level of Efficiency Assumptions'!$D:$D,I920,'Level of Efficiency Assumptions'!$F:$F,J920,'Level of Efficiency Assumptions'!$I:$I,'Water Use Calcs'!L920)</f>
        <v>28.6</v>
      </c>
      <c r="N920" s="567" t="s">
        <v>816</v>
      </c>
      <c r="O920" s="1048">
        <f>SUMIFS('Detailed Fixture Data'!O:O,'Detailed Fixture Data'!C:C,G920,'Detailed Fixture Data'!E:E,I920,'Detailed Fixture Data'!F:F,J920,'Detailed Fixture Data'!L:L,L920)</f>
        <v>0</v>
      </c>
      <c r="P920" s="1030">
        <f>SUMIFS('Intensity of Use Assumptions'!$J:$J,'Intensity of Use Assumptions'!$D:$D,I920,'Intensity of Use Assumptions'!$G:$G,J920,'Intensity of Use Assumptions'!H:H,K920,'Intensity of Use Assumptions'!F:F,D920)</f>
        <v>2.7397260273972603E-3</v>
      </c>
      <c r="Q920" s="567" t="s">
        <v>815</v>
      </c>
      <c r="R920" s="1032">
        <f>(SUMPRODUCT(M920:M922,O920:O922)*P920)</f>
        <v>0</v>
      </c>
      <c r="S920" s="1033">
        <f>IF(R920=0,0,M922*P920)</f>
        <v>0</v>
      </c>
      <c r="T920" s="225" t="str">
        <f>G920&amp;"-"&amp;J920</f>
        <v>Hotel D-Outdoor irrigation</v>
      </c>
      <c r="U920" s="1034">
        <f ca="1">IF(ISNA(VLOOKUP(T920,list!$AV$3:$AW$130,2,FALSE)),1,(VLOOKUP(T920,list!$AV$3:$AW$130,2,FALSE)))</f>
        <v>1</v>
      </c>
      <c r="V920" s="1033">
        <f ca="1">R920*U920</f>
        <v>0</v>
      </c>
      <c r="W920" s="1033">
        <f ca="1">S920*U920</f>
        <v>0</v>
      </c>
    </row>
    <row r="921" spans="3:23" x14ac:dyDescent="0.3">
      <c r="C921" s="576"/>
      <c r="D921" s="494" t="s">
        <v>16</v>
      </c>
      <c r="E921" s="494"/>
      <c r="F921" s="181"/>
      <c r="G921" s="494" t="s">
        <v>99</v>
      </c>
      <c r="H921" s="577"/>
      <c r="I921" s="450" t="s">
        <v>39</v>
      </c>
      <c r="J921" s="577" t="s">
        <v>42</v>
      </c>
      <c r="K921" s="577"/>
      <c r="L921" s="1035" t="s">
        <v>65</v>
      </c>
      <c r="M921" s="1036">
        <f>SUMIFS('Level of Efficiency Assumptions'!$J:$J,'Level of Efficiency Assumptions'!$D:$D,I921,'Level of Efficiency Assumptions'!$F:$F,J921,'Level of Efficiency Assumptions'!$I:$I,'Water Use Calcs'!L921)</f>
        <v>13.980821518350929</v>
      </c>
      <c r="N921" s="577"/>
      <c r="O921" s="1048">
        <f>SUMIFS('Detailed Fixture Data'!O:O,'Detailed Fixture Data'!C:C,G921,'Detailed Fixture Data'!E:E,I921,'Detailed Fixture Data'!F:F,J921,'Detailed Fixture Data'!L:L,L921)</f>
        <v>0</v>
      </c>
      <c r="P921" s="1049"/>
      <c r="Q921" s="577"/>
      <c r="R921" s="1039"/>
      <c r="S921" s="521"/>
      <c r="T921" s="225"/>
      <c r="U921" s="521"/>
      <c r="V921" s="1040"/>
      <c r="W921" s="1041"/>
    </row>
    <row r="922" spans="3:23" ht="15" thickBot="1" x14ac:dyDescent="0.35">
      <c r="C922" s="576"/>
      <c r="D922" s="494" t="s">
        <v>16</v>
      </c>
      <c r="E922" s="494"/>
      <c r="F922" s="181"/>
      <c r="G922" s="494" t="s">
        <v>99</v>
      </c>
      <c r="H922" s="577"/>
      <c r="I922" s="451" t="s">
        <v>39</v>
      </c>
      <c r="J922" s="116" t="s">
        <v>42</v>
      </c>
      <c r="K922" s="116"/>
      <c r="L922" s="1042" t="s">
        <v>66</v>
      </c>
      <c r="M922" s="1043">
        <f>SUMIFS('Level of Efficiency Assumptions'!$J:$J,'Level of Efficiency Assumptions'!$D:$D,I922,'Level of Efficiency Assumptions'!$F:$F,J922,'Level of Efficiency Assumptions'!$I:$I,'Water Use Calcs'!L922)</f>
        <v>0.59137254901960778</v>
      </c>
      <c r="N922" s="577"/>
      <c r="O922" s="1048">
        <f>SUMIFS('Detailed Fixture Data'!O:O,'Detailed Fixture Data'!C:C,G922,'Detailed Fixture Data'!E:E,I922,'Detailed Fixture Data'!F:F,J922,'Detailed Fixture Data'!L:L,L922)</f>
        <v>0</v>
      </c>
      <c r="P922" s="1049"/>
      <c r="Q922" s="577"/>
      <c r="R922" s="1039"/>
      <c r="S922" s="618"/>
      <c r="T922" s="225"/>
      <c r="U922" s="618"/>
      <c r="V922" s="1045"/>
      <c r="W922" s="1046"/>
    </row>
    <row r="923" spans="3:23" x14ac:dyDescent="0.3">
      <c r="C923" s="576"/>
      <c r="D923" s="494" t="s">
        <v>16</v>
      </c>
      <c r="E923" s="494"/>
      <c r="F923" s="181"/>
      <c r="G923" s="494" t="s">
        <v>99</v>
      </c>
      <c r="H923" s="651" t="str">
        <f>I923</f>
        <v>Other</v>
      </c>
      <c r="I923" s="450" t="s">
        <v>8</v>
      </c>
      <c r="J923" s="577" t="s">
        <v>52</v>
      </c>
      <c r="K923" s="387" t="s">
        <v>362</v>
      </c>
      <c r="L923" s="1047" t="s">
        <v>64</v>
      </c>
      <c r="M923" s="1036">
        <f>SUMIFS('Level of Efficiency Assumptions'!$J:$J,'Level of Efficiency Assumptions'!$D:$D,I923,'Level of Efficiency Assumptions'!$F:$F,J923,'Level of Efficiency Assumptions'!$I:$I,'Water Use Calcs'!L923)</f>
        <v>10</v>
      </c>
      <c r="N923" s="567" t="s">
        <v>660</v>
      </c>
      <c r="O923" s="1048">
        <f>SUMIFS('Detailed Fixture Data'!O:O,'Detailed Fixture Data'!C:C,G923,'Detailed Fixture Data'!E:E,I923,'Detailed Fixture Data'!F:F,J923,'Detailed Fixture Data'!L:L,L923)</f>
        <v>0</v>
      </c>
      <c r="P923" s="1030">
        <f>SUMIFS('Intensity of Use Assumptions'!$J:$J,'Intensity of Use Assumptions'!$D:$D,I923,'Intensity of Use Assumptions'!$G:$G,J923,'Intensity of Use Assumptions'!H:H,K923)</f>
        <v>1</v>
      </c>
      <c r="Q923" s="567" t="s">
        <v>67</v>
      </c>
      <c r="R923" s="1032">
        <f>(SUMPRODUCT(M923:M925,O923:O925)*P923)</f>
        <v>0</v>
      </c>
      <c r="S923" s="1033">
        <f>IF(R923=0,0,M925*P923)</f>
        <v>0</v>
      </c>
      <c r="T923" s="225" t="str">
        <f>G923&amp;"-"&amp;J923</f>
        <v>Hotel D-Other 1</v>
      </c>
      <c r="U923" s="1034">
        <f ca="1">IF(ISNA(VLOOKUP(T923,list!$AV$3:$AW$130,2,FALSE)),1,(VLOOKUP(T923,list!$AV$3:$AW$130,2,FALSE)))</f>
        <v>1</v>
      </c>
      <c r="V923" s="1033">
        <f ca="1">R923*U923</f>
        <v>0</v>
      </c>
      <c r="W923" s="1033">
        <f ca="1">S923*U923</f>
        <v>0</v>
      </c>
    </row>
    <row r="924" spans="3:23" x14ac:dyDescent="0.3">
      <c r="C924" s="576"/>
      <c r="D924" s="494" t="s">
        <v>16</v>
      </c>
      <c r="E924" s="494"/>
      <c r="F924" s="181"/>
      <c r="G924" s="494" t="s">
        <v>99</v>
      </c>
      <c r="H924" s="577"/>
      <c r="I924" s="450" t="s">
        <v>8</v>
      </c>
      <c r="J924" s="577" t="s">
        <v>52</v>
      </c>
      <c r="K924" s="382"/>
      <c r="L924" s="1035" t="s">
        <v>65</v>
      </c>
      <c r="M924" s="1036">
        <f>SUMIFS('Level of Efficiency Assumptions'!$J:$J,'Level of Efficiency Assumptions'!$D:$D,I924,'Level of Efficiency Assumptions'!$F:$F,J924,'Level of Efficiency Assumptions'!$I:$I,'Water Use Calcs'!L924)</f>
        <v>7.5</v>
      </c>
      <c r="N924" s="577"/>
      <c r="O924" s="1048">
        <f>SUMIFS('Detailed Fixture Data'!O:O,'Detailed Fixture Data'!C:C,G924,'Detailed Fixture Data'!E:E,I924,'Detailed Fixture Data'!F:F,J924,'Detailed Fixture Data'!L:L,L924)</f>
        <v>0</v>
      </c>
      <c r="P924" s="1049"/>
      <c r="Q924" s="577"/>
      <c r="R924" s="1039"/>
      <c r="S924" s="521"/>
      <c r="T924" s="225"/>
      <c r="U924" s="521"/>
      <c r="V924" s="1040"/>
      <c r="W924" s="1041"/>
    </row>
    <row r="925" spans="3:23" ht="15" thickBot="1" x14ac:dyDescent="0.35">
      <c r="C925" s="576"/>
      <c r="D925" s="494" t="s">
        <v>16</v>
      </c>
      <c r="E925" s="494"/>
      <c r="F925" s="181"/>
      <c r="G925" s="494" t="s">
        <v>99</v>
      </c>
      <c r="H925" s="577"/>
      <c r="I925" s="450" t="s">
        <v>8</v>
      </c>
      <c r="J925" s="116" t="s">
        <v>52</v>
      </c>
      <c r="K925" s="382"/>
      <c r="L925" s="1042" t="s">
        <v>66</v>
      </c>
      <c r="M925" s="1043">
        <f>SUMIFS('Level of Efficiency Assumptions'!$J:$J,'Level of Efficiency Assumptions'!$D:$D,I925,'Level of Efficiency Assumptions'!$F:$F,J925,'Level of Efficiency Assumptions'!$I:$I,'Water Use Calcs'!L925)</f>
        <v>5</v>
      </c>
      <c r="N925" s="577"/>
      <c r="O925" s="1048">
        <f>SUMIFS('Detailed Fixture Data'!O:O,'Detailed Fixture Data'!C:C,G925,'Detailed Fixture Data'!E:E,I925,'Detailed Fixture Data'!F:F,J925,'Detailed Fixture Data'!L:L,L925)</f>
        <v>0</v>
      </c>
      <c r="P925" s="1049"/>
      <c r="Q925" s="577"/>
      <c r="R925" s="1039"/>
      <c r="S925" s="618"/>
      <c r="T925" s="225"/>
      <c r="U925" s="618"/>
      <c r="V925" s="1045"/>
      <c r="W925" s="1046"/>
    </row>
    <row r="926" spans="3:23" x14ac:dyDescent="0.3">
      <c r="C926" s="576"/>
      <c r="D926" s="494" t="s">
        <v>16</v>
      </c>
      <c r="E926" s="494"/>
      <c r="F926" s="181"/>
      <c r="G926" s="494" t="s">
        <v>99</v>
      </c>
      <c r="H926" s="577"/>
      <c r="I926" s="450" t="s">
        <v>8</v>
      </c>
      <c r="J926" s="577" t="s">
        <v>53</v>
      </c>
      <c r="K926" s="1055" t="s">
        <v>363</v>
      </c>
      <c r="L926" s="1047" t="s">
        <v>64</v>
      </c>
      <c r="M926" s="1036">
        <f>SUMIFS('Level of Efficiency Assumptions'!$J:$J,'Level of Efficiency Assumptions'!$D:$D,I926,'Level of Efficiency Assumptions'!$F:$F,J926,'Level of Efficiency Assumptions'!$I:$I,'Water Use Calcs'!L926)</f>
        <v>10</v>
      </c>
      <c r="N926" s="567" t="s">
        <v>660</v>
      </c>
      <c r="O926" s="1048">
        <f>SUMIFS('Detailed Fixture Data'!O:O,'Detailed Fixture Data'!C:C,G926,'Detailed Fixture Data'!E:E,I926,'Detailed Fixture Data'!F:F,J926,'Detailed Fixture Data'!L:L,L926)</f>
        <v>0</v>
      </c>
      <c r="P926" s="1030">
        <f>SUMIFS('Intensity of Use Assumptions'!$J:$J,'Intensity of Use Assumptions'!$D:$D,I926,'Intensity of Use Assumptions'!$G:$G,J926,'Intensity of Use Assumptions'!H:H,K926)</f>
        <v>1</v>
      </c>
      <c r="Q926" s="567" t="s">
        <v>67</v>
      </c>
      <c r="R926" s="1032">
        <f>(SUMPRODUCT(M926:M928,O926:O928)*P926)</f>
        <v>0</v>
      </c>
      <c r="S926" s="1033">
        <f>IF(R926=0,0,M928*P926)</f>
        <v>0</v>
      </c>
      <c r="T926" s="225" t="str">
        <f>G926&amp;"-"&amp;J926</f>
        <v>Hotel D-Other 2</v>
      </c>
      <c r="U926" s="1034">
        <f ca="1">IF(ISNA(VLOOKUP(T926,list!$AV$3:$AW$130,2,FALSE)),1,(VLOOKUP(T926,list!$AV$3:$AW$130,2,FALSE)))</f>
        <v>1</v>
      </c>
      <c r="V926" s="1033">
        <f ca="1">R926*U926</f>
        <v>0</v>
      </c>
      <c r="W926" s="1033">
        <f ca="1">S926*U926</f>
        <v>0</v>
      </c>
    </row>
    <row r="927" spans="3:23" x14ac:dyDescent="0.3">
      <c r="C927" s="576"/>
      <c r="D927" s="494" t="s">
        <v>16</v>
      </c>
      <c r="E927" s="494"/>
      <c r="F927" s="181"/>
      <c r="G927" s="494" t="s">
        <v>99</v>
      </c>
      <c r="H927" s="577"/>
      <c r="I927" s="450" t="s">
        <v>8</v>
      </c>
      <c r="J927" s="577" t="s">
        <v>53</v>
      </c>
      <c r="K927" s="577"/>
      <c r="L927" s="1035" t="s">
        <v>65</v>
      </c>
      <c r="M927" s="1036">
        <f>SUMIFS('Level of Efficiency Assumptions'!$J:$J,'Level of Efficiency Assumptions'!$D:$D,I927,'Level of Efficiency Assumptions'!$F:$F,J927,'Level of Efficiency Assumptions'!$I:$I,'Water Use Calcs'!L927)</f>
        <v>7.5</v>
      </c>
      <c r="N927" s="577"/>
      <c r="O927" s="1048">
        <f>SUMIFS('Detailed Fixture Data'!O:O,'Detailed Fixture Data'!C:C,G927,'Detailed Fixture Data'!E:E,I927,'Detailed Fixture Data'!F:F,J927,'Detailed Fixture Data'!L:L,L927)</f>
        <v>0</v>
      </c>
      <c r="P927" s="1049"/>
      <c r="Q927" s="577"/>
      <c r="R927" s="1039"/>
      <c r="S927" s="521"/>
      <c r="T927" s="225"/>
      <c r="U927" s="521"/>
      <c r="V927" s="1040"/>
      <c r="W927" s="1041"/>
    </row>
    <row r="928" spans="3:23" ht="15" thickBot="1" x14ac:dyDescent="0.35">
      <c r="C928" s="576"/>
      <c r="D928" s="494" t="s">
        <v>16</v>
      </c>
      <c r="E928" s="494"/>
      <c r="F928" s="181"/>
      <c r="G928" s="494" t="s">
        <v>99</v>
      </c>
      <c r="H928" s="577"/>
      <c r="I928" s="450" t="s">
        <v>8</v>
      </c>
      <c r="J928" s="116" t="s">
        <v>53</v>
      </c>
      <c r="K928" s="116"/>
      <c r="L928" s="1042" t="s">
        <v>66</v>
      </c>
      <c r="M928" s="1043">
        <f>SUMIFS('Level of Efficiency Assumptions'!$J:$J,'Level of Efficiency Assumptions'!$D:$D,I928,'Level of Efficiency Assumptions'!$F:$F,J928,'Level of Efficiency Assumptions'!$I:$I,'Water Use Calcs'!L928)</f>
        <v>5</v>
      </c>
      <c r="N928" s="577"/>
      <c r="O928" s="1048">
        <f>SUMIFS('Detailed Fixture Data'!O:O,'Detailed Fixture Data'!C:C,G928,'Detailed Fixture Data'!E:E,I928,'Detailed Fixture Data'!F:F,J928,'Detailed Fixture Data'!L:L,L928)</f>
        <v>0</v>
      </c>
      <c r="P928" s="1049"/>
      <c r="Q928" s="577"/>
      <c r="R928" s="1039"/>
      <c r="S928" s="618"/>
      <c r="T928" s="225"/>
      <c r="U928" s="618"/>
      <c r="V928" s="1045"/>
      <c r="W928" s="1046"/>
    </row>
    <row r="929" spans="2:23" x14ac:dyDescent="0.3">
      <c r="C929" s="576"/>
      <c r="D929" s="494" t="s">
        <v>16</v>
      </c>
      <c r="E929" s="494"/>
      <c r="F929" s="181"/>
      <c r="G929" s="494" t="s">
        <v>99</v>
      </c>
      <c r="H929" s="577"/>
      <c r="I929" s="450" t="s">
        <v>8</v>
      </c>
      <c r="J929" s="577" t="s">
        <v>54</v>
      </c>
      <c r="K929" s="379" t="s">
        <v>364</v>
      </c>
      <c r="L929" s="1047" t="s">
        <v>64</v>
      </c>
      <c r="M929" s="1036">
        <f>SUMIFS('Level of Efficiency Assumptions'!$J:$J,'Level of Efficiency Assumptions'!$D:$D,I929,'Level of Efficiency Assumptions'!$F:$F,J929,'Level of Efficiency Assumptions'!$I:$I,'Water Use Calcs'!L929)</f>
        <v>10</v>
      </c>
      <c r="N929" s="567" t="s">
        <v>660</v>
      </c>
      <c r="O929" s="1048">
        <f>SUMIFS('Detailed Fixture Data'!O:O,'Detailed Fixture Data'!C:C,G929,'Detailed Fixture Data'!E:E,I929,'Detailed Fixture Data'!F:F,J929,'Detailed Fixture Data'!L:L,L929)</f>
        <v>0</v>
      </c>
      <c r="P929" s="1030">
        <f>SUMIFS('Intensity of Use Assumptions'!$J:$J,'Intensity of Use Assumptions'!$D:$D,I929,'Intensity of Use Assumptions'!$G:$G,J929,'Intensity of Use Assumptions'!H:H,K929)</f>
        <v>1</v>
      </c>
      <c r="Q929" s="567" t="s">
        <v>67</v>
      </c>
      <c r="R929" s="1032">
        <f>(SUMPRODUCT(M929:M931,O929:O931)*P929)</f>
        <v>0</v>
      </c>
      <c r="S929" s="1033">
        <f>IF(R929=0,0,M931*P929)</f>
        <v>0</v>
      </c>
      <c r="T929" s="225" t="str">
        <f>G929&amp;"-"&amp;J929</f>
        <v>Hotel D-Other 3</v>
      </c>
      <c r="U929" s="1034">
        <f ca="1">IF(ISNA(VLOOKUP(T929,list!$AV$3:$AW$130,2,FALSE)),1,(VLOOKUP(T929,list!$AV$3:$AW$130,2,FALSE)))</f>
        <v>1</v>
      </c>
      <c r="V929" s="1033">
        <f ca="1">R929*U929</f>
        <v>0</v>
      </c>
      <c r="W929" s="1033">
        <f ca="1">S929*U929</f>
        <v>0</v>
      </c>
    </row>
    <row r="930" spans="2:23" x14ac:dyDescent="0.3">
      <c r="C930" s="576"/>
      <c r="D930" s="494" t="s">
        <v>16</v>
      </c>
      <c r="E930" s="494"/>
      <c r="F930" s="181"/>
      <c r="G930" s="494" t="s">
        <v>99</v>
      </c>
      <c r="H930" s="577"/>
      <c r="I930" s="450" t="s">
        <v>8</v>
      </c>
      <c r="J930" s="577" t="s">
        <v>54</v>
      </c>
      <c r="K930" s="577"/>
      <c r="L930" s="1035" t="s">
        <v>65</v>
      </c>
      <c r="M930" s="1036">
        <f>SUMIFS('Level of Efficiency Assumptions'!$J:$J,'Level of Efficiency Assumptions'!$D:$D,I930,'Level of Efficiency Assumptions'!$F:$F,J930,'Level of Efficiency Assumptions'!$I:$I,'Water Use Calcs'!L930)</f>
        <v>7.5</v>
      </c>
      <c r="N930" s="577"/>
      <c r="O930" s="1048">
        <f>SUMIFS('Detailed Fixture Data'!O:O,'Detailed Fixture Data'!C:C,G930,'Detailed Fixture Data'!E:E,I930,'Detailed Fixture Data'!F:F,J930,'Detailed Fixture Data'!L:L,L930)</f>
        <v>0</v>
      </c>
      <c r="P930" s="1049"/>
      <c r="Q930" s="577"/>
      <c r="R930" s="1039"/>
      <c r="S930" s="521"/>
      <c r="T930" s="225"/>
      <c r="U930" s="521"/>
      <c r="V930" s="1040"/>
      <c r="W930" s="1041"/>
    </row>
    <row r="931" spans="2:23" ht="15" thickBot="1" x14ac:dyDescent="0.35">
      <c r="C931" s="576"/>
      <c r="D931" s="494" t="s">
        <v>16</v>
      </c>
      <c r="E931" s="494"/>
      <c r="F931" s="181"/>
      <c r="G931" s="501" t="s">
        <v>99</v>
      </c>
      <c r="H931" s="116"/>
      <c r="I931" s="451" t="s">
        <v>8</v>
      </c>
      <c r="J931" s="116" t="s">
        <v>54</v>
      </c>
      <c r="K931" s="116"/>
      <c r="L931" s="1042" t="s">
        <v>66</v>
      </c>
      <c r="M931" s="1043">
        <f>SUMIFS('Level of Efficiency Assumptions'!$J:$J,'Level of Efficiency Assumptions'!$D:$D,I931,'Level of Efficiency Assumptions'!$F:$F,J931,'Level of Efficiency Assumptions'!$I:$I,'Water Use Calcs'!L931)</f>
        <v>5</v>
      </c>
      <c r="N931" s="116"/>
      <c r="O931" s="1048">
        <f>SUMIFS('Detailed Fixture Data'!O:O,'Detailed Fixture Data'!C:C,G931,'Detailed Fixture Data'!E:E,I931,'Detailed Fixture Data'!F:F,J931,'Detailed Fixture Data'!L:L,L931)</f>
        <v>0</v>
      </c>
      <c r="P931" s="1049"/>
      <c r="Q931" s="116"/>
      <c r="R931" s="1045"/>
      <c r="S931" s="618"/>
      <c r="T931" s="225"/>
      <c r="U931" s="618"/>
      <c r="V931" s="1045"/>
      <c r="W931" s="1046"/>
    </row>
    <row r="932" spans="2:23" x14ac:dyDescent="0.3">
      <c r="C932" s="576"/>
      <c r="D932" s="494" t="s">
        <v>16</v>
      </c>
      <c r="E932" s="619" t="str">
        <f>G932</f>
        <v>Hotel E</v>
      </c>
      <c r="F932" s="565" t="str">
        <f>VLOOKUP(E932,'Airport Mapping'!$C$5:$D$39,2,FALSE)</f>
        <v xml:space="preserve"> </v>
      </c>
      <c r="G932" s="494" t="s">
        <v>100</v>
      </c>
      <c r="H932" s="651" t="str">
        <f>I932</f>
        <v>Guestrooms</v>
      </c>
      <c r="I932" s="454" t="s">
        <v>45</v>
      </c>
      <c r="J932" s="567" t="s">
        <v>2</v>
      </c>
      <c r="K932" s="567" t="s">
        <v>17</v>
      </c>
      <c r="L932" s="1028" t="s">
        <v>64</v>
      </c>
      <c r="M932" s="1036">
        <f>SUMIFS('Level of Efficiency Assumptions'!$J:$J,'Level of Efficiency Assumptions'!$D:$D,I932,'Level of Efficiency Assumptions'!$F:$F,J932,'Level of Efficiency Assumptions'!$I:$I,'Water Use Calcs'!L932)</f>
        <v>3.5</v>
      </c>
      <c r="N932" s="567" t="s">
        <v>68</v>
      </c>
      <c r="O932" s="1048">
        <f>SUMIFS('Detailed Fixture Data'!O:O,'Detailed Fixture Data'!C:C,G932,'Detailed Fixture Data'!E:E,I932,'Detailed Fixture Data'!F:F,J932,'Detailed Fixture Data'!L:L,L932)</f>
        <v>0</v>
      </c>
      <c r="P932" s="1030">
        <f>SUMIFS('Intensity of Use Assumptions'!$J:$J,'Intensity of Use Assumptions'!$D:$D,I932,'Intensity of Use Assumptions'!$G:$G,J932,'Intensity of Use Assumptions'!H:H,K932)</f>
        <v>3</v>
      </c>
      <c r="Q932" s="567" t="s">
        <v>67</v>
      </c>
      <c r="R932" s="1032">
        <f>(SUMPRODUCT(M932:M934,O932:O934)*P932)</f>
        <v>0</v>
      </c>
      <c r="S932" s="1033">
        <f>IF(R932=0,0,M934*P932)</f>
        <v>0</v>
      </c>
      <c r="T932" s="225" t="str">
        <f>G932&amp;"-"&amp;J932</f>
        <v>Hotel E-Toilets</v>
      </c>
      <c r="U932" s="1034">
        <f ca="1">IF(ISNA(VLOOKUP(T932,list!$AV$3:$AW$130,2,FALSE)),1,(VLOOKUP(T932,list!$AV$3:$AW$130,2,FALSE)))</f>
        <v>1</v>
      </c>
      <c r="V932" s="1033">
        <f ca="1">R932*U932</f>
        <v>0</v>
      </c>
      <c r="W932" s="1033">
        <f ca="1">S932*U932</f>
        <v>0</v>
      </c>
    </row>
    <row r="933" spans="2:23" x14ac:dyDescent="0.3">
      <c r="C933" s="576"/>
      <c r="D933" s="494" t="s">
        <v>16</v>
      </c>
      <c r="E933" s="494"/>
      <c r="F933" s="181"/>
      <c r="G933" s="494" t="s">
        <v>100</v>
      </c>
      <c r="H933" s="577"/>
      <c r="I933" s="450" t="s">
        <v>45</v>
      </c>
      <c r="J933" s="577" t="s">
        <v>2</v>
      </c>
      <c r="K933" s="577"/>
      <c r="L933" s="1035" t="s">
        <v>65</v>
      </c>
      <c r="M933" s="1036">
        <f>SUMIFS('Level of Efficiency Assumptions'!$J:$J,'Level of Efficiency Assumptions'!$D:$D,I933,'Level of Efficiency Assumptions'!$F:$F,J933,'Level of Efficiency Assumptions'!$I:$I,'Water Use Calcs'!L933)</f>
        <v>1.6</v>
      </c>
      <c r="N933" s="577"/>
      <c r="O933" s="1048">
        <f>SUMIFS('Detailed Fixture Data'!O:O,'Detailed Fixture Data'!C:C,G933,'Detailed Fixture Data'!E:E,I933,'Detailed Fixture Data'!F:F,J933,'Detailed Fixture Data'!L:L,L933)</f>
        <v>0</v>
      </c>
      <c r="P933" s="1049"/>
      <c r="Q933" s="577"/>
      <c r="R933" s="1039"/>
      <c r="S933" s="521"/>
      <c r="T933" s="225"/>
      <c r="U933" s="521"/>
      <c r="V933" s="1040"/>
      <c r="W933" s="1041"/>
    </row>
    <row r="934" spans="2:23" ht="15" thickBot="1" x14ac:dyDescent="0.35">
      <c r="C934" s="576"/>
      <c r="D934" s="494" t="s">
        <v>16</v>
      </c>
      <c r="E934" s="494"/>
      <c r="F934" s="181"/>
      <c r="G934" s="494" t="s">
        <v>100</v>
      </c>
      <c r="H934" s="577"/>
      <c r="I934" s="450" t="s">
        <v>45</v>
      </c>
      <c r="J934" s="116" t="s">
        <v>2</v>
      </c>
      <c r="K934" s="116"/>
      <c r="L934" s="1042" t="s">
        <v>66</v>
      </c>
      <c r="M934" s="1043">
        <f>SUMIFS('Level of Efficiency Assumptions'!$J:$J,'Level of Efficiency Assumptions'!$D:$D,I934,'Level of Efficiency Assumptions'!$F:$F,J934,'Level of Efficiency Assumptions'!$I:$I,'Water Use Calcs'!L934)</f>
        <v>1.28</v>
      </c>
      <c r="N934" s="577"/>
      <c r="O934" s="1048">
        <f>SUMIFS('Detailed Fixture Data'!O:O,'Detailed Fixture Data'!C:C,G934,'Detailed Fixture Data'!E:E,I934,'Detailed Fixture Data'!F:F,J934,'Detailed Fixture Data'!L:L,L934)</f>
        <v>0</v>
      </c>
      <c r="P934" s="1049"/>
      <c r="Q934" s="577"/>
      <c r="R934" s="1039"/>
      <c r="S934" s="618"/>
      <c r="T934" s="225"/>
      <c r="U934" s="618"/>
      <c r="V934" s="1045"/>
      <c r="W934" s="1046"/>
    </row>
    <row r="935" spans="2:23" x14ac:dyDescent="0.3">
      <c r="C935" s="576"/>
      <c r="D935" s="494" t="s">
        <v>16</v>
      </c>
      <c r="E935" s="494"/>
      <c r="F935" s="181"/>
      <c r="G935" s="494" t="s">
        <v>100</v>
      </c>
      <c r="H935" s="577"/>
      <c r="I935" s="450" t="s">
        <v>45</v>
      </c>
      <c r="J935" s="577" t="s">
        <v>18</v>
      </c>
      <c r="K935" s="577" t="s">
        <v>17</v>
      </c>
      <c r="L935" s="1047" t="s">
        <v>64</v>
      </c>
      <c r="M935" s="1036">
        <f>SUMIFS('Level of Efficiency Assumptions'!$J:$J,'Level of Efficiency Assumptions'!$D:$D,I935,'Level of Efficiency Assumptions'!$F:$F,J935,'Level of Efficiency Assumptions'!$I:$I,'Water Use Calcs'!L935)</f>
        <v>3</v>
      </c>
      <c r="N935" s="567" t="s">
        <v>78</v>
      </c>
      <c r="O935" s="1048">
        <f>SUMIFS('Detailed Fixture Data'!O:O,'Detailed Fixture Data'!C:C,G935,'Detailed Fixture Data'!E:E,I935,'Detailed Fixture Data'!F:F,J935,'Detailed Fixture Data'!L:L,L935)</f>
        <v>0</v>
      </c>
      <c r="P935" s="1030">
        <f>SUMIFS('Intensity of Use Assumptions'!$J:$J,'Intensity of Use Assumptions'!$D:$D,I935,'Intensity of Use Assumptions'!$G:$G,J935,'Intensity of Use Assumptions'!H:H,K935)</f>
        <v>1</v>
      </c>
      <c r="Q935" s="567" t="s">
        <v>133</v>
      </c>
      <c r="R935" s="1032">
        <f>(SUMPRODUCT(M935:M937,O935:O937)*P935)</f>
        <v>0</v>
      </c>
      <c r="S935" s="1033">
        <f>IF(R935=0,0,M937*P935)</f>
        <v>0</v>
      </c>
      <c r="T935" s="225" t="str">
        <f>G935&amp;"-"&amp;J935</f>
        <v>Hotel E-Showers</v>
      </c>
      <c r="U935" s="1034">
        <f ca="1">IF(ISNA(VLOOKUP(T935,list!$AV$3:$AW$130,2,FALSE)),1,(VLOOKUP(T935,list!$AV$3:$AW$130,2,FALSE)))</f>
        <v>1</v>
      </c>
      <c r="V935" s="1033">
        <f ca="1">R935*U935</f>
        <v>0</v>
      </c>
      <c r="W935" s="1033">
        <f ca="1">S935*U935</f>
        <v>0</v>
      </c>
    </row>
    <row r="936" spans="2:23" x14ac:dyDescent="0.3">
      <c r="C936" s="576"/>
      <c r="D936" s="494" t="s">
        <v>16</v>
      </c>
      <c r="E936" s="494"/>
      <c r="F936" s="181"/>
      <c r="G936" s="494" t="s">
        <v>100</v>
      </c>
      <c r="H936" s="577"/>
      <c r="I936" s="450" t="s">
        <v>45</v>
      </c>
      <c r="J936" s="577" t="s">
        <v>18</v>
      </c>
      <c r="K936" s="577"/>
      <c r="L936" s="1035" t="s">
        <v>65</v>
      </c>
      <c r="M936" s="1036">
        <f>SUMIFS('Level of Efficiency Assumptions'!$J:$J,'Level of Efficiency Assumptions'!$D:$D,I936,'Level of Efficiency Assumptions'!$F:$F,J936,'Level of Efficiency Assumptions'!$I:$I,'Water Use Calcs'!L936)</f>
        <v>2</v>
      </c>
      <c r="N936" s="577"/>
      <c r="O936" s="1048">
        <f>SUMIFS('Detailed Fixture Data'!O:O,'Detailed Fixture Data'!C:C,G936,'Detailed Fixture Data'!E:E,I936,'Detailed Fixture Data'!F:F,J936,'Detailed Fixture Data'!L:L,L936)</f>
        <v>0</v>
      </c>
      <c r="P936" s="1049"/>
      <c r="Q936" s="577"/>
      <c r="R936" s="1039"/>
      <c r="S936" s="521"/>
      <c r="T936" s="225"/>
      <c r="U936" s="521"/>
      <c r="V936" s="1040"/>
      <c r="W936" s="1041"/>
    </row>
    <row r="937" spans="2:23" ht="15" thickBot="1" x14ac:dyDescent="0.35">
      <c r="C937" s="576"/>
      <c r="D937" s="494" t="s">
        <v>16</v>
      </c>
      <c r="E937" s="494"/>
      <c r="F937" s="181"/>
      <c r="G937" s="494" t="s">
        <v>100</v>
      </c>
      <c r="H937" s="577"/>
      <c r="I937" s="450" t="s">
        <v>45</v>
      </c>
      <c r="J937" s="116" t="s">
        <v>18</v>
      </c>
      <c r="K937" s="116"/>
      <c r="L937" s="1042" t="s">
        <v>66</v>
      </c>
      <c r="M937" s="1043">
        <f>SUMIFS('Level of Efficiency Assumptions'!$J:$J,'Level of Efficiency Assumptions'!$D:$D,I937,'Level of Efficiency Assumptions'!$F:$F,J937,'Level of Efficiency Assumptions'!$I:$I,'Water Use Calcs'!L937)</f>
        <v>1</v>
      </c>
      <c r="N937" s="577"/>
      <c r="O937" s="1048">
        <f>SUMIFS('Detailed Fixture Data'!O:O,'Detailed Fixture Data'!C:C,G937,'Detailed Fixture Data'!E:E,I937,'Detailed Fixture Data'!F:F,J937,'Detailed Fixture Data'!L:L,L937)</f>
        <v>0</v>
      </c>
      <c r="P937" s="1049"/>
      <c r="Q937" s="577"/>
      <c r="R937" s="1039"/>
      <c r="S937" s="618"/>
      <c r="T937" s="225"/>
      <c r="U937" s="618"/>
      <c r="V937" s="1045"/>
      <c r="W937" s="1046"/>
    </row>
    <row r="938" spans="2:23" x14ac:dyDescent="0.3">
      <c r="C938" s="576"/>
      <c r="D938" s="494" t="s">
        <v>16</v>
      </c>
      <c r="E938" s="494"/>
      <c r="F938" s="181"/>
      <c r="G938" s="494" t="s">
        <v>100</v>
      </c>
      <c r="H938" s="577"/>
      <c r="I938" s="450" t="s">
        <v>45</v>
      </c>
      <c r="J938" s="577" t="s">
        <v>33</v>
      </c>
      <c r="K938" s="577" t="s">
        <v>17</v>
      </c>
      <c r="L938" s="1047" t="s">
        <v>64</v>
      </c>
      <c r="M938" s="1036">
        <f>SUMIFS('Level of Efficiency Assumptions'!$J:$J,'Level of Efficiency Assumptions'!$D:$D,I938,'Level of Efficiency Assumptions'!$F:$F,J938,'Level of Efficiency Assumptions'!$I:$I,'Water Use Calcs'!L938)</f>
        <v>2</v>
      </c>
      <c r="N938" s="567" t="s">
        <v>78</v>
      </c>
      <c r="O938" s="1048">
        <f>SUMIFS('Detailed Fixture Data'!O:O,'Detailed Fixture Data'!C:C,G938,'Detailed Fixture Data'!E:E,I938,'Detailed Fixture Data'!F:F,J938,'Detailed Fixture Data'!L:L,L938)</f>
        <v>0</v>
      </c>
      <c r="P938" s="1030">
        <f>SUMIFS('Intensity of Use Assumptions'!$J:$J,'Intensity of Use Assumptions'!$D:$D,I938,'Intensity of Use Assumptions'!$G:$G,J938,'Intensity of Use Assumptions'!H:H,K938)</f>
        <v>0.16666666666666666</v>
      </c>
      <c r="Q938" s="567" t="s">
        <v>133</v>
      </c>
      <c r="R938" s="1032">
        <f>(SUMPRODUCT(M938:M940,O938:O940)*P938)</f>
        <v>0</v>
      </c>
      <c r="S938" s="1033">
        <f>IF(R938=0,0,M940*P938)</f>
        <v>0</v>
      </c>
      <c r="T938" s="225" t="str">
        <f>G938&amp;"-"&amp;J938</f>
        <v>Hotel E-Faucets</v>
      </c>
      <c r="U938" s="1034">
        <f ca="1">IF(ISNA(VLOOKUP(T938,list!$AV$3:$AW$130,2,FALSE)),1,(VLOOKUP(T938,list!$AV$3:$AW$130,2,FALSE)))</f>
        <v>1</v>
      </c>
      <c r="V938" s="1033">
        <f ca="1">R938*U938</f>
        <v>0</v>
      </c>
      <c r="W938" s="1033">
        <f ca="1">S938*U938</f>
        <v>0</v>
      </c>
    </row>
    <row r="939" spans="2:23" x14ac:dyDescent="0.3">
      <c r="C939" s="576"/>
      <c r="D939" s="494" t="s">
        <v>16</v>
      </c>
      <c r="E939" s="494"/>
      <c r="F939" s="181"/>
      <c r="G939" s="494" t="s">
        <v>100</v>
      </c>
      <c r="H939" s="577"/>
      <c r="I939" s="450" t="s">
        <v>45</v>
      </c>
      <c r="J939" s="577" t="s">
        <v>33</v>
      </c>
      <c r="K939" s="577"/>
      <c r="L939" s="1035" t="s">
        <v>65</v>
      </c>
      <c r="M939" s="1036">
        <f>SUMIFS('Level of Efficiency Assumptions'!$J:$J,'Level of Efficiency Assumptions'!$D:$D,I939,'Level of Efficiency Assumptions'!$F:$F,J939,'Level of Efficiency Assumptions'!$I:$I,'Water Use Calcs'!L939)</f>
        <v>1</v>
      </c>
      <c r="N939" s="577"/>
      <c r="O939" s="1048">
        <f>SUMIFS('Detailed Fixture Data'!O:O,'Detailed Fixture Data'!C:C,G939,'Detailed Fixture Data'!E:E,I939,'Detailed Fixture Data'!F:F,J939,'Detailed Fixture Data'!L:L,L939)</f>
        <v>0</v>
      </c>
      <c r="P939" s="1049"/>
      <c r="Q939" s="577"/>
      <c r="R939" s="1039"/>
      <c r="S939" s="521"/>
      <c r="T939" s="225"/>
      <c r="U939" s="521"/>
      <c r="V939" s="1040"/>
      <c r="W939" s="1041"/>
    </row>
    <row r="940" spans="2:23" ht="15" thickBot="1" x14ac:dyDescent="0.35">
      <c r="C940" s="576"/>
      <c r="D940" s="494" t="s">
        <v>16</v>
      </c>
      <c r="E940" s="494"/>
      <c r="F940" s="181"/>
      <c r="G940" s="494" t="s">
        <v>100</v>
      </c>
      <c r="H940" s="577"/>
      <c r="I940" s="451" t="s">
        <v>45</v>
      </c>
      <c r="J940" s="116" t="s">
        <v>33</v>
      </c>
      <c r="K940" s="116"/>
      <c r="L940" s="1042" t="s">
        <v>66</v>
      </c>
      <c r="M940" s="1043">
        <f>SUMIFS('Level of Efficiency Assumptions'!$J:$J,'Level of Efficiency Assumptions'!$D:$D,I940,'Level of Efficiency Assumptions'!$F:$F,J940,'Level of Efficiency Assumptions'!$I:$I,'Water Use Calcs'!L940)</f>
        <v>0.5</v>
      </c>
      <c r="N940" s="577"/>
      <c r="O940" s="1048">
        <f>SUMIFS('Detailed Fixture Data'!O:O,'Detailed Fixture Data'!C:C,G940,'Detailed Fixture Data'!E:E,I940,'Detailed Fixture Data'!F:F,J940,'Detailed Fixture Data'!L:L,L940)</f>
        <v>0</v>
      </c>
      <c r="P940" s="1049"/>
      <c r="Q940" s="577"/>
      <c r="R940" s="1039"/>
      <c r="S940" s="618"/>
      <c r="T940" s="225"/>
      <c r="U940" s="618"/>
      <c r="V940" s="1045"/>
      <c r="W940" s="1046"/>
    </row>
    <row r="941" spans="2:23" x14ac:dyDescent="0.3">
      <c r="C941" s="576"/>
      <c r="D941" s="494" t="s">
        <v>16</v>
      </c>
      <c r="E941" s="494"/>
      <c r="F941" s="181"/>
      <c r="G941" s="494" t="s">
        <v>100</v>
      </c>
      <c r="H941" s="651" t="str">
        <f>I941</f>
        <v>Food Service</v>
      </c>
      <c r="I941" s="450" t="s">
        <v>38</v>
      </c>
      <c r="J941" s="577" t="s">
        <v>114</v>
      </c>
      <c r="K941" s="577" t="s">
        <v>118</v>
      </c>
      <c r="L941" s="1047" t="s">
        <v>64</v>
      </c>
      <c r="M941" s="1036">
        <f>SUMIFS('Level of Efficiency Assumptions'!$J:$J,'Level of Efficiency Assumptions'!$D:$D,I941,'Level of Efficiency Assumptions'!$F:$F,J941,'Level of Efficiency Assumptions'!$I:$I,'Water Use Calcs'!L941)</f>
        <v>2</v>
      </c>
      <c r="N941" s="567" t="s">
        <v>78</v>
      </c>
      <c r="O941" s="1048">
        <f>SUMIFS('Detailed Fixture Data'!O:O,'Detailed Fixture Data'!C:C,G941,'Detailed Fixture Data'!E:E,I941,'Detailed Fixture Data'!F:F,J941,'Detailed Fixture Data'!L:L,L941)</f>
        <v>0</v>
      </c>
      <c r="P941" s="1030">
        <f>SUMIFS('Intensity of Use Assumptions'!$J:$J,'Intensity of Use Assumptions'!$D:$D,I941,'Intensity of Use Assumptions'!$G:$G,J941,'Intensity of Use Assumptions'!H:H,K941)</f>
        <v>1</v>
      </c>
      <c r="Q941" s="567" t="s">
        <v>133</v>
      </c>
      <c r="R941" s="1032">
        <f>(SUMPRODUCT(M941:M943,O941:O943)*P941)</f>
        <v>0</v>
      </c>
      <c r="S941" s="1033">
        <f>IF(R941=0,0,M943*P941)</f>
        <v>0</v>
      </c>
      <c r="T941" s="225" t="str">
        <f>G941&amp;"-"&amp;J941</f>
        <v>Hotel E-Kitchen faucets</v>
      </c>
      <c r="U941" s="1034">
        <f ca="1">IF(ISNA(VLOOKUP(T941,list!$AV$3:$AW$130,2,FALSE)),1,(VLOOKUP(T941,list!$AV$3:$AW$130,2,FALSE)))</f>
        <v>1</v>
      </c>
      <c r="V941" s="1033">
        <f ca="1">R941*U941</f>
        <v>0</v>
      </c>
      <c r="W941" s="1033">
        <f ca="1">S941*U941</f>
        <v>0</v>
      </c>
    </row>
    <row r="942" spans="2:23" x14ac:dyDescent="0.3">
      <c r="C942" s="576"/>
      <c r="D942" s="494" t="s">
        <v>16</v>
      </c>
      <c r="E942" s="494"/>
      <c r="F942" s="181"/>
      <c r="G942" s="494" t="s">
        <v>100</v>
      </c>
      <c r="H942" s="577"/>
      <c r="I942" s="450" t="s">
        <v>38</v>
      </c>
      <c r="J942" s="577" t="s">
        <v>114</v>
      </c>
      <c r="K942" s="577"/>
      <c r="L942" s="1035" t="s">
        <v>65</v>
      </c>
      <c r="M942" s="1036">
        <f>SUMIFS('Level of Efficiency Assumptions'!$J:$J,'Level of Efficiency Assumptions'!$D:$D,I942,'Level of Efficiency Assumptions'!$F:$F,J942,'Level of Efficiency Assumptions'!$I:$I,'Water Use Calcs'!L942)</f>
        <v>1</v>
      </c>
      <c r="N942" s="577"/>
      <c r="O942" s="1048">
        <f>SUMIFS('Detailed Fixture Data'!O:O,'Detailed Fixture Data'!C:C,G942,'Detailed Fixture Data'!E:E,I942,'Detailed Fixture Data'!F:F,J942,'Detailed Fixture Data'!L:L,L942)</f>
        <v>0</v>
      </c>
      <c r="P942" s="1049"/>
      <c r="Q942" s="577"/>
      <c r="R942" s="1039"/>
      <c r="S942" s="521"/>
      <c r="T942" s="225"/>
      <c r="U942" s="521"/>
      <c r="V942" s="1040"/>
      <c r="W942" s="1041"/>
    </row>
    <row r="943" spans="2:23" ht="15" thickBot="1" x14ac:dyDescent="0.35">
      <c r="C943" s="576"/>
      <c r="D943" s="494" t="s">
        <v>16</v>
      </c>
      <c r="E943" s="494"/>
      <c r="F943" s="181"/>
      <c r="G943" s="494" t="s">
        <v>100</v>
      </c>
      <c r="H943" s="577"/>
      <c r="I943" s="450" t="s">
        <v>38</v>
      </c>
      <c r="J943" s="116" t="s">
        <v>114</v>
      </c>
      <c r="K943" s="116"/>
      <c r="L943" s="1042" t="s">
        <v>66</v>
      </c>
      <c r="M943" s="1043">
        <f>SUMIFS('Level of Efficiency Assumptions'!$J:$J,'Level of Efficiency Assumptions'!$D:$D,I943,'Level of Efficiency Assumptions'!$F:$F,J943,'Level of Efficiency Assumptions'!$I:$I,'Water Use Calcs'!L943)</f>
        <v>0.5</v>
      </c>
      <c r="N943" s="577"/>
      <c r="O943" s="1048">
        <f>SUMIFS('Detailed Fixture Data'!O:O,'Detailed Fixture Data'!C:C,G943,'Detailed Fixture Data'!E:E,I943,'Detailed Fixture Data'!F:F,J943,'Detailed Fixture Data'!L:L,L943)</f>
        <v>0</v>
      </c>
      <c r="P943" s="1049"/>
      <c r="Q943" s="116"/>
      <c r="R943" s="1039"/>
      <c r="S943" s="618"/>
      <c r="T943" s="225"/>
      <c r="U943" s="618"/>
      <c r="V943" s="1045"/>
      <c r="W943" s="1046"/>
    </row>
    <row r="944" spans="2:23" x14ac:dyDescent="0.3">
      <c r="B944" s="182"/>
      <c r="C944" s="577"/>
      <c r="D944" s="521" t="s">
        <v>16</v>
      </c>
      <c r="E944" s="521"/>
      <c r="F944" s="180"/>
      <c r="G944" s="521" t="s">
        <v>100</v>
      </c>
      <c r="H944" s="577"/>
      <c r="I944" s="450" t="s">
        <v>38</v>
      </c>
      <c r="J944" s="577" t="s">
        <v>127</v>
      </c>
      <c r="K944" s="577" t="s">
        <v>118</v>
      </c>
      <c r="L944" s="1047" t="s">
        <v>64</v>
      </c>
      <c r="M944" s="1036">
        <f>SUMIFS('Level of Efficiency Assumptions'!$J:$J,'Level of Efficiency Assumptions'!$D:$D,I944,'Level of Efficiency Assumptions'!$F:$F,J944,'Level of Efficiency Assumptions'!$I:$I,'Water Use Calcs'!L944)</f>
        <v>3</v>
      </c>
      <c r="N944" s="567" t="s">
        <v>78</v>
      </c>
      <c r="O944" s="1048">
        <f>SUMIFS('Detailed Fixture Data'!O:O,'Detailed Fixture Data'!C:C,G944,'Detailed Fixture Data'!E:E,I944,'Detailed Fixture Data'!F:F,J944,'Detailed Fixture Data'!L:L,L944)</f>
        <v>0</v>
      </c>
      <c r="P944" s="1030">
        <f>SUMIFS('Intensity of Use Assumptions'!$J:$J,'Intensity of Use Assumptions'!$D:$D,I944,'Intensity of Use Assumptions'!$G:$G,J944,'Intensity of Use Assumptions'!H:H,K944)</f>
        <v>0.02</v>
      </c>
      <c r="Q944" s="577" t="s">
        <v>133</v>
      </c>
      <c r="R944" s="1032">
        <f>(SUMPRODUCT(M944:M946,O944:O946)*P944)</f>
        <v>0</v>
      </c>
      <c r="S944" s="1033">
        <f>IF(R944=0,0,M946*P944)</f>
        <v>0</v>
      </c>
      <c r="T944" s="225" t="str">
        <f>G944&amp;"-"&amp;J944</f>
        <v>Hotel E-Pre-rinse spray valves</v>
      </c>
      <c r="U944" s="1034">
        <f ca="1">IF(ISNA(VLOOKUP(T944,list!$AV$3:$AW$130,2,FALSE)),1,(VLOOKUP(T944,list!$AV$3:$AW$130,2,FALSE)))</f>
        <v>1</v>
      </c>
      <c r="V944" s="1033">
        <f ca="1">R944*U944</f>
        <v>0</v>
      </c>
      <c r="W944" s="1033">
        <f ca="1">S944*U944</f>
        <v>0</v>
      </c>
    </row>
    <row r="945" spans="2:23" x14ac:dyDescent="0.3">
      <c r="B945" s="182"/>
      <c r="C945" s="577"/>
      <c r="D945" s="521" t="s">
        <v>16</v>
      </c>
      <c r="E945" s="521"/>
      <c r="F945" s="180"/>
      <c r="G945" s="521" t="s">
        <v>100</v>
      </c>
      <c r="H945" s="577"/>
      <c r="I945" s="450" t="s">
        <v>38</v>
      </c>
      <c r="J945" s="577" t="s">
        <v>127</v>
      </c>
      <c r="K945" s="577"/>
      <c r="L945" s="1035" t="s">
        <v>65</v>
      </c>
      <c r="M945" s="1036">
        <f>SUMIFS('Level of Efficiency Assumptions'!$J:$J,'Level of Efficiency Assumptions'!$D:$D,I945,'Level of Efficiency Assumptions'!$F:$F,J945,'Level of Efficiency Assumptions'!$I:$I,'Water Use Calcs'!L945)</f>
        <v>2</v>
      </c>
      <c r="N945" s="577"/>
      <c r="O945" s="1048">
        <f>SUMIFS('Detailed Fixture Data'!O:O,'Detailed Fixture Data'!C:C,G945,'Detailed Fixture Data'!E:E,I945,'Detailed Fixture Data'!F:F,J945,'Detailed Fixture Data'!L:L,L945)</f>
        <v>0</v>
      </c>
      <c r="P945" s="1049"/>
      <c r="Q945" s="577"/>
      <c r="R945" s="1039"/>
      <c r="S945" s="521"/>
      <c r="T945" s="225"/>
      <c r="U945" s="521"/>
      <c r="V945" s="1040"/>
      <c r="W945" s="1041"/>
    </row>
    <row r="946" spans="2:23" ht="15" thickBot="1" x14ac:dyDescent="0.35">
      <c r="B946" s="182"/>
      <c r="C946" s="577"/>
      <c r="D946" s="521" t="s">
        <v>16</v>
      </c>
      <c r="E946" s="521"/>
      <c r="F946" s="180"/>
      <c r="G946" s="521" t="s">
        <v>100</v>
      </c>
      <c r="H946" s="577"/>
      <c r="I946" s="450" t="s">
        <v>38</v>
      </c>
      <c r="J946" s="116" t="s">
        <v>127</v>
      </c>
      <c r="K946" s="116"/>
      <c r="L946" s="1042" t="s">
        <v>66</v>
      </c>
      <c r="M946" s="1043">
        <f>SUMIFS('Level of Efficiency Assumptions'!$J:$J,'Level of Efficiency Assumptions'!$D:$D,I946,'Level of Efficiency Assumptions'!$F:$F,J946,'Level of Efficiency Assumptions'!$I:$I,'Water Use Calcs'!L946)</f>
        <v>1.28</v>
      </c>
      <c r="N946" s="116"/>
      <c r="O946" s="1048">
        <f>SUMIFS('Detailed Fixture Data'!O:O,'Detailed Fixture Data'!C:C,G946,'Detailed Fixture Data'!E:E,I946,'Detailed Fixture Data'!F:F,J946,'Detailed Fixture Data'!L:L,L946)</f>
        <v>0</v>
      </c>
      <c r="P946" s="1049"/>
      <c r="Q946" s="577"/>
      <c r="R946" s="1039"/>
      <c r="S946" s="618"/>
      <c r="T946" s="225"/>
      <c r="U946" s="618"/>
      <c r="V946" s="1045"/>
      <c r="W946" s="1046"/>
    </row>
    <row r="947" spans="2:23" x14ac:dyDescent="0.3">
      <c r="C947" s="576"/>
      <c r="D947" s="494" t="s">
        <v>16</v>
      </c>
      <c r="E947" s="494"/>
      <c r="F947" s="181"/>
      <c r="G947" s="494" t="s">
        <v>100</v>
      </c>
      <c r="H947" s="577"/>
      <c r="I947" s="450" t="s">
        <v>38</v>
      </c>
      <c r="J947" s="577" t="s">
        <v>41</v>
      </c>
      <c r="K947" s="577" t="s">
        <v>118</v>
      </c>
      <c r="L947" s="1047" t="s">
        <v>64</v>
      </c>
      <c r="M947" s="1036">
        <f>SUMIFS('Level of Efficiency Assumptions'!$J:$J,'Level of Efficiency Assumptions'!$D:$D,I947,'Level of Efficiency Assumptions'!$F:$F,J947,'Level of Efficiency Assumptions'!$I:$I,'Water Use Calcs'!L947)</f>
        <v>4.5</v>
      </c>
      <c r="N947" s="567" t="s">
        <v>223</v>
      </c>
      <c r="O947" s="1048">
        <f>SUMIFS('Detailed Fixture Data'!O:O,'Detailed Fixture Data'!C:C,G947,'Detailed Fixture Data'!E:E,I947,'Detailed Fixture Data'!F:F,J947,'Detailed Fixture Data'!L:L,L947)</f>
        <v>0</v>
      </c>
      <c r="P947" s="1030">
        <f>SUMIFS('Intensity of Use Assumptions'!$J:$J,'Intensity of Use Assumptions'!$D:$D,I947,'Intensity of Use Assumptions'!$G:$G,J947,'Intensity of Use Assumptions'!H:H,K947)</f>
        <v>0.05</v>
      </c>
      <c r="Q947" s="567" t="s">
        <v>224</v>
      </c>
      <c r="R947" s="1032">
        <f>(SUMPRODUCT(M947:M949,O947:O949)*P947)</f>
        <v>0</v>
      </c>
      <c r="S947" s="1033">
        <f>IF(R947=0,0,M949*P947)</f>
        <v>0</v>
      </c>
      <c r="T947" s="225" t="str">
        <f>G947&amp;"-"&amp;J947</f>
        <v>Hotel E-Dishwashers</v>
      </c>
      <c r="U947" s="1034">
        <f ca="1">IF(ISNA(VLOOKUP(T947,list!$AV$3:$AW$130,2,FALSE)),1,(VLOOKUP(T947,list!$AV$3:$AW$130,2,FALSE)))</f>
        <v>1</v>
      </c>
      <c r="V947" s="1033">
        <f ca="1">R947*U947</f>
        <v>0</v>
      </c>
      <c r="W947" s="1033">
        <f ca="1">S947*U947</f>
        <v>0</v>
      </c>
    </row>
    <row r="948" spans="2:23" x14ac:dyDescent="0.3">
      <c r="C948" s="576"/>
      <c r="D948" s="494" t="s">
        <v>16</v>
      </c>
      <c r="E948" s="494"/>
      <c r="F948" s="181"/>
      <c r="G948" s="494" t="s">
        <v>100</v>
      </c>
      <c r="H948" s="577"/>
      <c r="I948" s="450" t="s">
        <v>38</v>
      </c>
      <c r="J948" s="577" t="s">
        <v>41</v>
      </c>
      <c r="K948" s="577"/>
      <c r="L948" s="1035" t="s">
        <v>65</v>
      </c>
      <c r="M948" s="1036">
        <f>SUMIFS('Level of Efficiency Assumptions'!$J:$J,'Level of Efficiency Assumptions'!$D:$D,I948,'Level of Efficiency Assumptions'!$F:$F,J948,'Level of Efficiency Assumptions'!$I:$I,'Water Use Calcs'!L948)</f>
        <v>2.5</v>
      </c>
      <c r="N948" s="577"/>
      <c r="O948" s="1048">
        <f>SUMIFS('Detailed Fixture Data'!O:O,'Detailed Fixture Data'!C:C,G948,'Detailed Fixture Data'!E:E,I948,'Detailed Fixture Data'!F:F,J948,'Detailed Fixture Data'!L:L,L948)</f>
        <v>0</v>
      </c>
      <c r="P948" s="1049"/>
      <c r="Q948" s="577" t="s">
        <v>80</v>
      </c>
      <c r="R948" s="1039"/>
      <c r="S948" s="521"/>
      <c r="T948" s="225"/>
      <c r="U948" s="521"/>
      <c r="V948" s="1040"/>
      <c r="W948" s="1041"/>
    </row>
    <row r="949" spans="2:23" ht="15" thickBot="1" x14ac:dyDescent="0.35">
      <c r="C949" s="576"/>
      <c r="D949" s="494" t="s">
        <v>16</v>
      </c>
      <c r="E949" s="494"/>
      <c r="F949" s="181"/>
      <c r="G949" s="494" t="s">
        <v>100</v>
      </c>
      <c r="H949" s="577"/>
      <c r="I949" s="450" t="s">
        <v>38</v>
      </c>
      <c r="J949" s="116" t="s">
        <v>41</v>
      </c>
      <c r="K949" s="116"/>
      <c r="L949" s="1042" t="s">
        <v>66</v>
      </c>
      <c r="M949" s="1043">
        <f>SUMIFS('Level of Efficiency Assumptions'!$J:$J,'Level of Efficiency Assumptions'!$D:$D,I949,'Level of Efficiency Assumptions'!$F:$F,J949,'Level of Efficiency Assumptions'!$I:$I,'Water Use Calcs'!L949)</f>
        <v>1</v>
      </c>
      <c r="N949" s="577"/>
      <c r="O949" s="1048">
        <f>SUMIFS('Detailed Fixture Data'!O:O,'Detailed Fixture Data'!C:C,G949,'Detailed Fixture Data'!E:E,I949,'Detailed Fixture Data'!F:F,J949,'Detailed Fixture Data'!L:L,L949)</f>
        <v>0</v>
      </c>
      <c r="P949" s="1049"/>
      <c r="Q949" s="577"/>
      <c r="R949" s="1039"/>
      <c r="S949" s="618"/>
      <c r="T949" s="225"/>
      <c r="U949" s="618"/>
      <c r="V949" s="1045"/>
      <c r="W949" s="1046"/>
    </row>
    <row r="950" spans="2:23" x14ac:dyDescent="0.3">
      <c r="C950" s="576"/>
      <c r="D950" s="494" t="s">
        <v>16</v>
      </c>
      <c r="E950" s="494"/>
      <c r="F950" s="181"/>
      <c r="G950" s="494" t="s">
        <v>100</v>
      </c>
      <c r="H950" s="577"/>
      <c r="I950" s="450" t="s">
        <v>38</v>
      </c>
      <c r="J950" s="577" t="s">
        <v>20</v>
      </c>
      <c r="K950" s="577" t="s">
        <v>17</v>
      </c>
      <c r="L950" s="1047" t="s">
        <v>64</v>
      </c>
      <c r="M950" s="1036">
        <f>SUMIFS('Level of Efficiency Assumptions'!$J:$J,'Level of Efficiency Assumptions'!$D:$D,I950,'Level of Efficiency Assumptions'!$F:$F,J950,'Level of Efficiency Assumptions'!$I:$I,'Water Use Calcs'!L950)</f>
        <v>1.5</v>
      </c>
      <c r="N950" s="567" t="s">
        <v>222</v>
      </c>
      <c r="O950" s="1048">
        <f>SUMIFS('Detailed Fixture Data'!O:O,'Detailed Fixture Data'!C:C,G950,'Detailed Fixture Data'!E:E,I950,'Detailed Fixture Data'!F:F,J950,'Detailed Fixture Data'!L:L,L950)</f>
        <v>0</v>
      </c>
      <c r="P950" s="1030">
        <f>SUMIFS('Intensity of Use Assumptions'!$J:$J,'Intensity of Use Assumptions'!$D:$D,I950,'Intensity of Use Assumptions'!$G:$G,J950,'Intensity of Use Assumptions'!H:H,K950)</f>
        <v>0.5</v>
      </c>
      <c r="Q950" s="567" t="s">
        <v>221</v>
      </c>
      <c r="R950" s="1032">
        <f>(SUMPRODUCT(M950:M952,O950:O952)*P950)</f>
        <v>0</v>
      </c>
      <c r="S950" s="1033">
        <f>IF(R950=0,0,M952*P950)</f>
        <v>0</v>
      </c>
      <c r="T950" s="225" t="str">
        <f>G950&amp;"-"&amp;J950</f>
        <v>Hotel E-Ice machines</v>
      </c>
      <c r="U950" s="1034">
        <f ca="1">IF(ISNA(VLOOKUP(T950,list!$AV$3:$AW$130,2,FALSE)),1,(VLOOKUP(T950,list!$AV$3:$AW$130,2,FALSE)))</f>
        <v>1</v>
      </c>
      <c r="V950" s="1033">
        <f ca="1">R950*U950</f>
        <v>0</v>
      </c>
      <c r="W950" s="1033">
        <f ca="1">S950*U950</f>
        <v>0</v>
      </c>
    </row>
    <row r="951" spans="2:23" x14ac:dyDescent="0.3">
      <c r="C951" s="576"/>
      <c r="D951" s="494" t="s">
        <v>16</v>
      </c>
      <c r="E951" s="494"/>
      <c r="F951" s="181"/>
      <c r="G951" s="494" t="s">
        <v>100</v>
      </c>
      <c r="H951" s="577"/>
      <c r="I951" s="450" t="s">
        <v>38</v>
      </c>
      <c r="J951" s="577" t="s">
        <v>20</v>
      </c>
      <c r="K951" s="577"/>
      <c r="L951" s="1035" t="s">
        <v>65</v>
      </c>
      <c r="M951" s="1036">
        <f>SUMIFS('Level of Efficiency Assumptions'!$J:$J,'Level of Efficiency Assumptions'!$D:$D,I951,'Level of Efficiency Assumptions'!$F:$F,J951,'Level of Efficiency Assumptions'!$I:$I,'Water Use Calcs'!L951)</f>
        <v>0.25</v>
      </c>
      <c r="N951" s="577"/>
      <c r="O951" s="1048">
        <f>SUMIFS('Detailed Fixture Data'!O:O,'Detailed Fixture Data'!C:C,G951,'Detailed Fixture Data'!E:E,I951,'Detailed Fixture Data'!F:F,J951,'Detailed Fixture Data'!L:L,L951)</f>
        <v>0</v>
      </c>
      <c r="P951" s="1049"/>
      <c r="Q951" s="577"/>
      <c r="R951" s="1039"/>
      <c r="S951" s="521"/>
      <c r="T951" s="225"/>
      <c r="U951" s="521"/>
      <c r="V951" s="1040"/>
      <c r="W951" s="1041"/>
    </row>
    <row r="952" spans="2:23" ht="15" thickBot="1" x14ac:dyDescent="0.35">
      <c r="C952" s="576"/>
      <c r="D952" s="494" t="s">
        <v>16</v>
      </c>
      <c r="E952" s="494"/>
      <c r="F952" s="181"/>
      <c r="G952" s="494" t="s">
        <v>100</v>
      </c>
      <c r="H952" s="577"/>
      <c r="I952" s="451" t="s">
        <v>38</v>
      </c>
      <c r="J952" s="116" t="s">
        <v>20</v>
      </c>
      <c r="K952" s="116"/>
      <c r="L952" s="1042" t="s">
        <v>66</v>
      </c>
      <c r="M952" s="1043">
        <f>SUMIFS('Level of Efficiency Assumptions'!$J:$J,'Level of Efficiency Assumptions'!$D:$D,I952,'Level of Efficiency Assumptions'!$F:$F,J952,'Level of Efficiency Assumptions'!$I:$I,'Water Use Calcs'!L952)</f>
        <v>0.12</v>
      </c>
      <c r="N952" s="577"/>
      <c r="O952" s="1048">
        <f>SUMIFS('Detailed Fixture Data'!O:O,'Detailed Fixture Data'!C:C,G952,'Detailed Fixture Data'!E:E,I952,'Detailed Fixture Data'!F:F,J952,'Detailed Fixture Data'!L:L,L952)</f>
        <v>0</v>
      </c>
      <c r="P952" s="1049"/>
      <c r="Q952" s="577"/>
      <c r="R952" s="1039"/>
      <c r="S952" s="618"/>
      <c r="T952" s="225"/>
      <c r="U952" s="618"/>
      <c r="V952" s="1045"/>
      <c r="W952" s="1046"/>
    </row>
    <row r="953" spans="2:23" x14ac:dyDescent="0.3">
      <c r="C953" s="576"/>
      <c r="D953" s="494" t="s">
        <v>16</v>
      </c>
      <c r="E953" s="494"/>
      <c r="F953" s="181"/>
      <c r="G953" s="494" t="s">
        <v>100</v>
      </c>
      <c r="H953" s="651" t="str">
        <f>I953</f>
        <v>Maintenance</v>
      </c>
      <c r="I953" s="450" t="s">
        <v>43</v>
      </c>
      <c r="J953" s="577" t="s">
        <v>111</v>
      </c>
      <c r="K953" s="217" t="s">
        <v>424</v>
      </c>
      <c r="L953" s="1047" t="s">
        <v>64</v>
      </c>
      <c r="M953" s="1036">
        <f>SUMIFS('Level of Efficiency Assumptions'!$J:$J,'Level of Efficiency Assumptions'!$D:$D,I953,'Level of Efficiency Assumptions'!$F:$F,J953,'Level of Efficiency Assumptions'!$I:$I,'Water Use Calcs'!L953)</f>
        <v>100</v>
      </c>
      <c r="N953" s="567" t="s">
        <v>659</v>
      </c>
      <c r="O953" s="1048">
        <f>SUMIFS('Detailed Fixture Data'!O:O,'Detailed Fixture Data'!C:C,G953,'Detailed Fixture Data'!E:E,I953,'Detailed Fixture Data'!F:F,J953,'Detailed Fixture Data'!L:L,L953)</f>
        <v>0</v>
      </c>
      <c r="P953" s="1030">
        <f>SUMIFS('Intensity of Use Assumptions'!$J:$J,'Intensity of Use Assumptions'!$D:$D,I953,'Intensity of Use Assumptions'!$G:$G,J953,'Intensity of Use Assumptions'!H:H,K953)</f>
        <v>1</v>
      </c>
      <c r="Q953" s="567" t="s">
        <v>67</v>
      </c>
      <c r="R953" s="1032">
        <f>(SUMPRODUCT(M953:M955,O953:O955)*P953)</f>
        <v>0</v>
      </c>
      <c r="S953" s="1033">
        <f>IF(R953=0,0,M955*P953)</f>
        <v>0</v>
      </c>
      <c r="T953" s="225" t="str">
        <f>G953&amp;"-"&amp;J953</f>
        <v>Hotel E-Boiler</v>
      </c>
      <c r="U953" s="1034">
        <f ca="1">IF(ISNA(VLOOKUP(T953,list!$AV$3:$AW$130,2,FALSE)),1,(VLOOKUP(T953,list!$AV$3:$AW$130,2,FALSE)))</f>
        <v>1</v>
      </c>
      <c r="V953" s="1033">
        <f ca="1">R953*U953</f>
        <v>0</v>
      </c>
      <c r="W953" s="1033">
        <f ca="1">S953*U953</f>
        <v>0</v>
      </c>
    </row>
    <row r="954" spans="2:23" x14ac:dyDescent="0.3">
      <c r="C954" s="576"/>
      <c r="D954" s="494" t="s">
        <v>16</v>
      </c>
      <c r="E954" s="494"/>
      <c r="F954" s="181"/>
      <c r="G954" s="494" t="s">
        <v>100</v>
      </c>
      <c r="H954" s="577"/>
      <c r="I954" s="450" t="s">
        <v>43</v>
      </c>
      <c r="J954" s="577" t="s">
        <v>111</v>
      </c>
      <c r="K954" s="382"/>
      <c r="L954" s="1035" t="s">
        <v>65</v>
      </c>
      <c r="M954" s="1036">
        <f>SUMIFS('Level of Efficiency Assumptions'!$J:$J,'Level of Efficiency Assumptions'!$D:$D,I954,'Level of Efficiency Assumptions'!$F:$F,J954,'Level of Efficiency Assumptions'!$I:$I,'Water Use Calcs'!L954)</f>
        <v>75</v>
      </c>
      <c r="N954" s="577"/>
      <c r="O954" s="1048">
        <f>SUMIFS('Detailed Fixture Data'!O:O,'Detailed Fixture Data'!C:C,G954,'Detailed Fixture Data'!E:E,I954,'Detailed Fixture Data'!F:F,J954,'Detailed Fixture Data'!L:L,L954)</f>
        <v>0</v>
      </c>
      <c r="P954" s="1049"/>
      <c r="Q954" s="577"/>
      <c r="R954" s="1039"/>
      <c r="S954" s="521"/>
      <c r="T954" s="225"/>
      <c r="U954" s="521"/>
      <c r="V954" s="1040"/>
      <c r="W954" s="1041"/>
    </row>
    <row r="955" spans="2:23" ht="15" thickBot="1" x14ac:dyDescent="0.35">
      <c r="C955" s="576"/>
      <c r="D955" s="494" t="s">
        <v>16</v>
      </c>
      <c r="E955" s="494"/>
      <c r="F955" s="181"/>
      <c r="G955" s="494" t="s">
        <v>100</v>
      </c>
      <c r="H955" s="577"/>
      <c r="I955" s="450" t="s">
        <v>43</v>
      </c>
      <c r="J955" s="116" t="s">
        <v>111</v>
      </c>
      <c r="K955" s="116"/>
      <c r="L955" s="1042" t="s">
        <v>66</v>
      </c>
      <c r="M955" s="1043">
        <f>SUMIFS('Level of Efficiency Assumptions'!$J:$J,'Level of Efficiency Assumptions'!$D:$D,I955,'Level of Efficiency Assumptions'!$F:$F,J955,'Level of Efficiency Assumptions'!$I:$I,'Water Use Calcs'!L955)</f>
        <v>50</v>
      </c>
      <c r="N955" s="577"/>
      <c r="O955" s="1048">
        <f>SUMIFS('Detailed Fixture Data'!O:O,'Detailed Fixture Data'!C:C,G955,'Detailed Fixture Data'!E:E,I955,'Detailed Fixture Data'!F:F,J955,'Detailed Fixture Data'!L:L,L955)</f>
        <v>0</v>
      </c>
      <c r="P955" s="1049"/>
      <c r="Q955" s="577"/>
      <c r="R955" s="1039"/>
      <c r="S955" s="618"/>
      <c r="T955" s="225"/>
      <c r="U955" s="618"/>
      <c r="V955" s="1045"/>
      <c r="W955" s="1046"/>
    </row>
    <row r="956" spans="2:23" x14ac:dyDescent="0.3">
      <c r="C956" s="576"/>
      <c r="D956" s="494" t="s">
        <v>16</v>
      </c>
      <c r="E956" s="494"/>
      <c r="F956" s="181"/>
      <c r="G956" s="494" t="s">
        <v>100</v>
      </c>
      <c r="H956" s="577"/>
      <c r="I956" s="450" t="s">
        <v>43</v>
      </c>
      <c r="J956" s="577" t="s">
        <v>7</v>
      </c>
      <c r="K956" s="215" t="s">
        <v>365</v>
      </c>
      <c r="L956" s="1012" t="s">
        <v>257</v>
      </c>
      <c r="M956" s="1050"/>
      <c r="N956" s="1050"/>
      <c r="O956" s="1050"/>
      <c r="P956" s="1051"/>
      <c r="Q956" s="981"/>
      <c r="R956" s="1052">
        <f>SUMIFS('Cooling Data'!H:H,'Cooling Data'!$C:$C,$G956,'Cooling Data'!$E:$E,$I956,'Cooling Data'!$F:$F,$J956)</f>
        <v>0</v>
      </c>
      <c r="S956" s="1052">
        <f>SUMIFS('Cooling Data'!J:J,'Cooling Data'!$C:$C,$G956,'Cooling Data'!$E:$E,$I956,'Cooling Data'!$F:$F,$J956)</f>
        <v>0</v>
      </c>
      <c r="T956" s="225" t="str">
        <f>G956&amp;"-"&amp;J956</f>
        <v>Hotel E-Cooling</v>
      </c>
      <c r="U956" s="1034">
        <f ca="1">IF(ISNA(VLOOKUP(T956,list!$AV$3:$AW$130,2,FALSE)),1,(VLOOKUP(T956,list!$AV$3:$AW$130,2,FALSE)))</f>
        <v>1</v>
      </c>
      <c r="V956" s="1033">
        <f ca="1">R956*U956</f>
        <v>0</v>
      </c>
      <c r="W956" s="1033">
        <f ca="1">S956*U956</f>
        <v>0</v>
      </c>
    </row>
    <row r="957" spans="2:23" x14ac:dyDescent="0.3">
      <c r="C957" s="576"/>
      <c r="D957" s="494" t="s">
        <v>16</v>
      </c>
      <c r="E957" s="494"/>
      <c r="F957" s="181"/>
      <c r="G957" s="494" t="s">
        <v>100</v>
      </c>
      <c r="H957" s="577"/>
      <c r="I957" s="450" t="s">
        <v>43</v>
      </c>
      <c r="J957" s="577" t="s">
        <v>7</v>
      </c>
      <c r="K957" s="577"/>
      <c r="L957" s="206"/>
      <c r="M957" s="181"/>
      <c r="N957" s="181"/>
      <c r="O957" s="181"/>
      <c r="P957" s="1053"/>
      <c r="Q957" s="439"/>
      <c r="R957" s="1039"/>
      <c r="S957" s="521"/>
      <c r="T957" s="225"/>
      <c r="U957" s="521"/>
      <c r="V957" s="1040"/>
      <c r="W957" s="1041"/>
    </row>
    <row r="958" spans="2:23" ht="15" thickBot="1" x14ac:dyDescent="0.35">
      <c r="C958" s="576"/>
      <c r="D958" s="494" t="s">
        <v>16</v>
      </c>
      <c r="E958" s="494"/>
      <c r="F958" s="181"/>
      <c r="G958" s="494" t="s">
        <v>100</v>
      </c>
      <c r="H958" s="577"/>
      <c r="I958" s="450" t="s">
        <v>43</v>
      </c>
      <c r="J958" s="116" t="s">
        <v>7</v>
      </c>
      <c r="K958" s="116"/>
      <c r="L958" s="207"/>
      <c r="M958" s="924"/>
      <c r="N958" s="924"/>
      <c r="O958" s="924"/>
      <c r="P958" s="1054"/>
      <c r="Q958" s="606"/>
      <c r="R958" s="1039"/>
      <c r="S958" s="618"/>
      <c r="T958" s="225"/>
      <c r="U958" s="618"/>
      <c r="V958" s="1045"/>
      <c r="W958" s="1046"/>
    </row>
    <row r="959" spans="2:23" x14ac:dyDescent="0.3">
      <c r="C959" s="576"/>
      <c r="D959" s="494" t="s">
        <v>16</v>
      </c>
      <c r="E959" s="494"/>
      <c r="F959" s="181"/>
      <c r="G959" s="494" t="s">
        <v>100</v>
      </c>
      <c r="H959" s="577"/>
      <c r="I959" s="450" t="s">
        <v>43</v>
      </c>
      <c r="J959" s="577" t="s">
        <v>34</v>
      </c>
      <c r="K959" s="577" t="s">
        <v>36</v>
      </c>
      <c r="L959" s="1047" t="s">
        <v>64</v>
      </c>
      <c r="M959" s="1036">
        <f>SUMIFS('Level of Efficiency Assumptions'!$J:$J,'Level of Efficiency Assumptions'!$D:$D,I959,'Level of Efficiency Assumptions'!$F:$F,J959,'Level of Efficiency Assumptions'!$I:$I,'Water Use Calcs'!L959)</f>
        <v>10</v>
      </c>
      <c r="N959" s="567" t="s">
        <v>661</v>
      </c>
      <c r="O959" s="1048">
        <f>SUMIFS('Detailed Fixture Data'!O:O,'Detailed Fixture Data'!C:C,G959,'Detailed Fixture Data'!E:E,I959,'Detailed Fixture Data'!F:F,J959,'Detailed Fixture Data'!L:L,L959)</f>
        <v>0</v>
      </c>
      <c r="P959" s="1030">
        <f>SUMIFS('Intensity of Use Assumptions'!$J:$J,'Intensity of Use Assumptions'!$D:$D,I959,'Intensity of Use Assumptions'!$G:$G,J959,'Intensity of Use Assumptions'!H:H,K959)</f>
        <v>1</v>
      </c>
      <c r="Q959" s="567" t="s">
        <v>67</v>
      </c>
      <c r="R959" s="1032">
        <f>(SUMPRODUCT(M959:M961,O959:O961)*P959)</f>
        <v>0</v>
      </c>
      <c r="S959" s="1033">
        <f>IF(R959=0,0,M961*P959)</f>
        <v>0</v>
      </c>
      <c r="T959" s="225" t="str">
        <f>G959&amp;"-"&amp;J959</f>
        <v>Hotel E-Swimming Pool</v>
      </c>
      <c r="U959" s="1034">
        <f ca="1">IF(ISNA(VLOOKUP(T959,list!$AV$3:$AW$130,2,FALSE)),1,(VLOOKUP(T959,list!$AV$3:$AW$130,2,FALSE)))</f>
        <v>1</v>
      </c>
      <c r="V959" s="1033">
        <f ca="1">R959*U959</f>
        <v>0</v>
      </c>
      <c r="W959" s="1033">
        <f ca="1">S959*U959</f>
        <v>0</v>
      </c>
    </row>
    <row r="960" spans="2:23" x14ac:dyDescent="0.3">
      <c r="C960" s="576"/>
      <c r="D960" s="494" t="s">
        <v>16</v>
      </c>
      <c r="E960" s="494"/>
      <c r="F960" s="181"/>
      <c r="G960" s="494" t="s">
        <v>100</v>
      </c>
      <c r="H960" s="577"/>
      <c r="I960" s="450" t="s">
        <v>43</v>
      </c>
      <c r="J960" s="577" t="s">
        <v>34</v>
      </c>
      <c r="K960" s="577"/>
      <c r="L960" s="1035" t="s">
        <v>65</v>
      </c>
      <c r="M960" s="1036">
        <f>SUMIFS('Level of Efficiency Assumptions'!$J:$J,'Level of Efficiency Assumptions'!$D:$D,I960,'Level of Efficiency Assumptions'!$F:$F,J960,'Level of Efficiency Assumptions'!$I:$I,'Water Use Calcs'!L960)</f>
        <v>7.5</v>
      </c>
      <c r="N960" s="577"/>
      <c r="O960" s="1048">
        <f>SUMIFS('Detailed Fixture Data'!O:O,'Detailed Fixture Data'!C:C,G960,'Detailed Fixture Data'!E:E,I960,'Detailed Fixture Data'!F:F,J960,'Detailed Fixture Data'!L:L,L960)</f>
        <v>0</v>
      </c>
      <c r="P960" s="1049"/>
      <c r="Q960" s="577"/>
      <c r="R960" s="1039"/>
      <c r="S960" s="521"/>
      <c r="T960" s="225"/>
      <c r="U960" s="521"/>
      <c r="V960" s="1040"/>
      <c r="W960" s="1041"/>
    </row>
    <row r="961" spans="3:23" ht="15" thickBot="1" x14ac:dyDescent="0.35">
      <c r="C961" s="576"/>
      <c r="D961" s="494" t="s">
        <v>16</v>
      </c>
      <c r="E961" s="494"/>
      <c r="F961" s="181"/>
      <c r="G961" s="494" t="s">
        <v>100</v>
      </c>
      <c r="H961" s="577"/>
      <c r="I961" s="450" t="s">
        <v>43</v>
      </c>
      <c r="J961" s="116" t="s">
        <v>34</v>
      </c>
      <c r="K961" s="116"/>
      <c r="L961" s="1042" t="s">
        <v>66</v>
      </c>
      <c r="M961" s="1043">
        <f>SUMIFS('Level of Efficiency Assumptions'!$J:$J,'Level of Efficiency Assumptions'!$D:$D,I961,'Level of Efficiency Assumptions'!$F:$F,J961,'Level of Efficiency Assumptions'!$I:$I,'Water Use Calcs'!L961)</f>
        <v>5</v>
      </c>
      <c r="N961" s="577"/>
      <c r="O961" s="1048">
        <f>SUMIFS('Detailed Fixture Data'!O:O,'Detailed Fixture Data'!C:C,G961,'Detailed Fixture Data'!E:E,I961,'Detailed Fixture Data'!F:F,J961,'Detailed Fixture Data'!L:L,L961)</f>
        <v>0</v>
      </c>
      <c r="P961" s="1049"/>
      <c r="Q961" s="577"/>
      <c r="R961" s="1039"/>
      <c r="S961" s="618"/>
      <c r="T961" s="225"/>
      <c r="U961" s="618"/>
      <c r="V961" s="1045"/>
      <c r="W961" s="1046"/>
    </row>
    <row r="962" spans="3:23" x14ac:dyDescent="0.3">
      <c r="C962" s="576"/>
      <c r="D962" s="494" t="s">
        <v>16</v>
      </c>
      <c r="E962" s="494"/>
      <c r="F962" s="181"/>
      <c r="G962" s="494" t="s">
        <v>100</v>
      </c>
      <c r="H962" s="577"/>
      <c r="I962" s="450" t="s">
        <v>43</v>
      </c>
      <c r="J962" s="577" t="s">
        <v>21</v>
      </c>
      <c r="K962" s="577" t="s">
        <v>17</v>
      </c>
      <c r="L962" s="1047" t="s">
        <v>64</v>
      </c>
      <c r="M962" s="1036">
        <f>SUMIFS('Level of Efficiency Assumptions'!$J:$J,'Level of Efficiency Assumptions'!$D:$D,I962,'Level of Efficiency Assumptions'!$F:$F,J962,'Level of Efficiency Assumptions'!$I:$I,'Water Use Calcs'!L962)</f>
        <v>3.5</v>
      </c>
      <c r="N962" s="567" t="s">
        <v>235</v>
      </c>
      <c r="O962" s="1048">
        <f>SUMIFS('Detailed Fixture Data'!O:O,'Detailed Fixture Data'!C:C,G962,'Detailed Fixture Data'!E:E,I962,'Detailed Fixture Data'!F:F,J962,'Detailed Fixture Data'!L:L,L962)</f>
        <v>0</v>
      </c>
      <c r="P962" s="1030">
        <f>SUMIFS('Intensity of Use Assumptions'!$J:$J,'Intensity of Use Assumptions'!$D:$D,I962,'Intensity of Use Assumptions'!$G:$G,J962,'Intensity of Use Assumptions'!H:H,K962)</f>
        <v>10</v>
      </c>
      <c r="Q962" s="567" t="s">
        <v>236</v>
      </c>
      <c r="R962" s="1032">
        <f>(SUMPRODUCT(M962:M964,O962:O964)*P962)</f>
        <v>0</v>
      </c>
      <c r="S962" s="1033">
        <f>IF(R962=0,0,M964*P962)</f>
        <v>0</v>
      </c>
      <c r="T962" s="225" t="str">
        <f>G962&amp;"-"&amp;J962</f>
        <v>Hotel E-Laundry</v>
      </c>
      <c r="U962" s="1034">
        <f ca="1">IF(ISNA(VLOOKUP(T962,list!$AV$3:$AW$130,2,FALSE)),1,(VLOOKUP(T962,list!$AV$3:$AW$130,2,FALSE)))</f>
        <v>1</v>
      </c>
      <c r="V962" s="1033">
        <f ca="1">R962*U962</f>
        <v>0</v>
      </c>
      <c r="W962" s="1033">
        <f ca="1">S962*U962</f>
        <v>0</v>
      </c>
    </row>
    <row r="963" spans="3:23" x14ac:dyDescent="0.3">
      <c r="C963" s="576"/>
      <c r="D963" s="494" t="s">
        <v>16</v>
      </c>
      <c r="E963" s="494"/>
      <c r="F963" s="181"/>
      <c r="G963" s="494" t="s">
        <v>100</v>
      </c>
      <c r="H963" s="577"/>
      <c r="I963" s="450" t="s">
        <v>43</v>
      </c>
      <c r="J963" s="577" t="s">
        <v>21</v>
      </c>
      <c r="K963" s="577"/>
      <c r="L963" s="1035" t="s">
        <v>65</v>
      </c>
      <c r="M963" s="1036">
        <f>SUMIFS('Level of Efficiency Assumptions'!$J:$J,'Level of Efficiency Assumptions'!$D:$D,I963,'Level of Efficiency Assumptions'!$F:$F,J963,'Level of Efficiency Assumptions'!$I:$I,'Water Use Calcs'!L963)</f>
        <v>2.5</v>
      </c>
      <c r="N963" s="577"/>
      <c r="O963" s="1048">
        <f>SUMIFS('Detailed Fixture Data'!O:O,'Detailed Fixture Data'!C:C,G963,'Detailed Fixture Data'!E:E,I963,'Detailed Fixture Data'!F:F,J963,'Detailed Fixture Data'!L:L,L963)</f>
        <v>0</v>
      </c>
      <c r="P963" s="1049"/>
      <c r="Q963" s="577"/>
      <c r="R963" s="1039"/>
      <c r="S963" s="521"/>
      <c r="T963" s="225"/>
      <c r="U963" s="521"/>
      <c r="V963" s="1040"/>
      <c r="W963" s="1041"/>
    </row>
    <row r="964" spans="3:23" ht="15" thickBot="1" x14ac:dyDescent="0.35">
      <c r="C964" s="576"/>
      <c r="D964" s="494" t="s">
        <v>16</v>
      </c>
      <c r="E964" s="494"/>
      <c r="F964" s="181"/>
      <c r="G964" s="494" t="s">
        <v>100</v>
      </c>
      <c r="H964" s="577"/>
      <c r="I964" s="451" t="s">
        <v>43</v>
      </c>
      <c r="J964" s="116" t="s">
        <v>21</v>
      </c>
      <c r="K964" s="116"/>
      <c r="L964" s="1042" t="s">
        <v>66</v>
      </c>
      <c r="M964" s="1043">
        <f>SUMIFS('Level of Efficiency Assumptions'!$J:$J,'Level of Efficiency Assumptions'!$D:$D,I964,'Level of Efficiency Assumptions'!$F:$F,J964,'Level of Efficiency Assumptions'!$I:$I,'Water Use Calcs'!L964)</f>
        <v>1.5</v>
      </c>
      <c r="N964" s="577"/>
      <c r="O964" s="1048">
        <f>SUMIFS('Detailed Fixture Data'!O:O,'Detailed Fixture Data'!C:C,G964,'Detailed Fixture Data'!E:E,I964,'Detailed Fixture Data'!F:F,J964,'Detailed Fixture Data'!L:L,L964)</f>
        <v>0</v>
      </c>
      <c r="P964" s="1049"/>
      <c r="Q964" s="577"/>
      <c r="R964" s="1039"/>
      <c r="S964" s="618"/>
      <c r="T964" s="225"/>
      <c r="U964" s="618"/>
      <c r="V964" s="1045"/>
      <c r="W964" s="1046"/>
    </row>
    <row r="965" spans="3:23" x14ac:dyDescent="0.3">
      <c r="C965" s="576"/>
      <c r="D965" s="494" t="s">
        <v>16</v>
      </c>
      <c r="E965" s="494"/>
      <c r="F965" s="181"/>
      <c r="G965" s="494" t="s">
        <v>100</v>
      </c>
      <c r="H965" s="651" t="str">
        <f>I965</f>
        <v>Landscaping</v>
      </c>
      <c r="I965" s="450" t="s">
        <v>39</v>
      </c>
      <c r="J965" s="577" t="s">
        <v>42</v>
      </c>
      <c r="K965" s="577" t="s">
        <v>32</v>
      </c>
      <c r="L965" s="1047" t="s">
        <v>64</v>
      </c>
      <c r="M965" s="1036">
        <f>SUMIFS('Level of Efficiency Assumptions'!$J:$J,'Level of Efficiency Assumptions'!$D:$D,I965,'Level of Efficiency Assumptions'!$F:$F,J965,'Level of Efficiency Assumptions'!$I:$I,'Water Use Calcs'!L965)</f>
        <v>28.6</v>
      </c>
      <c r="N965" s="567" t="s">
        <v>816</v>
      </c>
      <c r="O965" s="1048">
        <f>SUMIFS('Detailed Fixture Data'!O:O,'Detailed Fixture Data'!C:C,G965,'Detailed Fixture Data'!E:E,I965,'Detailed Fixture Data'!F:F,J965,'Detailed Fixture Data'!L:L,L965)</f>
        <v>0</v>
      </c>
      <c r="P965" s="1030">
        <f>SUMIFS('Intensity of Use Assumptions'!$J:$J,'Intensity of Use Assumptions'!$D:$D,I965,'Intensity of Use Assumptions'!$G:$G,J965,'Intensity of Use Assumptions'!H:H,K965,'Intensity of Use Assumptions'!F:F,D965)</f>
        <v>2.7397260273972603E-3</v>
      </c>
      <c r="Q965" s="567" t="s">
        <v>815</v>
      </c>
      <c r="R965" s="1032">
        <f>(SUMPRODUCT(M965:M967,O965:O967)*P965)</f>
        <v>0</v>
      </c>
      <c r="S965" s="1033">
        <f>IF(R965=0,0,M967*P965)</f>
        <v>0</v>
      </c>
      <c r="T965" s="225" t="str">
        <f>G965&amp;"-"&amp;J965</f>
        <v>Hotel E-Outdoor irrigation</v>
      </c>
      <c r="U965" s="1034">
        <f ca="1">IF(ISNA(VLOOKUP(T965,list!$AV$3:$AW$130,2,FALSE)),1,(VLOOKUP(T965,list!$AV$3:$AW$130,2,FALSE)))</f>
        <v>1</v>
      </c>
      <c r="V965" s="1033">
        <f ca="1">R965*U965</f>
        <v>0</v>
      </c>
      <c r="W965" s="1033">
        <f ca="1">S965*U965</f>
        <v>0</v>
      </c>
    </row>
    <row r="966" spans="3:23" x14ac:dyDescent="0.3">
      <c r="C966" s="576"/>
      <c r="D966" s="494" t="s">
        <v>16</v>
      </c>
      <c r="E966" s="494"/>
      <c r="F966" s="181"/>
      <c r="G966" s="494" t="s">
        <v>100</v>
      </c>
      <c r="H966" s="577"/>
      <c r="I966" s="450" t="s">
        <v>39</v>
      </c>
      <c r="J966" s="577" t="s">
        <v>42</v>
      </c>
      <c r="K966" s="577"/>
      <c r="L966" s="1035" t="s">
        <v>65</v>
      </c>
      <c r="M966" s="1036">
        <f>SUMIFS('Level of Efficiency Assumptions'!$J:$J,'Level of Efficiency Assumptions'!$D:$D,I966,'Level of Efficiency Assumptions'!$F:$F,J966,'Level of Efficiency Assumptions'!$I:$I,'Water Use Calcs'!L966)</f>
        <v>13.980821518350929</v>
      </c>
      <c r="N966" s="577"/>
      <c r="O966" s="1048">
        <f>SUMIFS('Detailed Fixture Data'!O:O,'Detailed Fixture Data'!C:C,G966,'Detailed Fixture Data'!E:E,I966,'Detailed Fixture Data'!F:F,J966,'Detailed Fixture Data'!L:L,L966)</f>
        <v>0</v>
      </c>
      <c r="P966" s="1049"/>
      <c r="Q966" s="577"/>
      <c r="R966" s="1039"/>
      <c r="S966" s="521"/>
      <c r="T966" s="225"/>
      <c r="U966" s="521"/>
      <c r="V966" s="1040"/>
      <c r="W966" s="1041"/>
    </row>
    <row r="967" spans="3:23" ht="15" thickBot="1" x14ac:dyDescent="0.35">
      <c r="C967" s="576"/>
      <c r="D967" s="494" t="s">
        <v>16</v>
      </c>
      <c r="E967" s="494"/>
      <c r="F967" s="181"/>
      <c r="G967" s="494" t="s">
        <v>100</v>
      </c>
      <c r="H967" s="577"/>
      <c r="I967" s="451" t="s">
        <v>39</v>
      </c>
      <c r="J967" s="116" t="s">
        <v>42</v>
      </c>
      <c r="K967" s="116"/>
      <c r="L967" s="1042" t="s">
        <v>66</v>
      </c>
      <c r="M967" s="1043">
        <f>SUMIFS('Level of Efficiency Assumptions'!$J:$J,'Level of Efficiency Assumptions'!$D:$D,I967,'Level of Efficiency Assumptions'!$F:$F,J967,'Level of Efficiency Assumptions'!$I:$I,'Water Use Calcs'!L967)</f>
        <v>0.59137254901960778</v>
      </c>
      <c r="N967" s="577"/>
      <c r="O967" s="1048">
        <f>SUMIFS('Detailed Fixture Data'!O:O,'Detailed Fixture Data'!C:C,G967,'Detailed Fixture Data'!E:E,I967,'Detailed Fixture Data'!F:F,J967,'Detailed Fixture Data'!L:L,L967)</f>
        <v>0</v>
      </c>
      <c r="P967" s="1049"/>
      <c r="Q967" s="577"/>
      <c r="R967" s="1039"/>
      <c r="S967" s="618"/>
      <c r="T967" s="225"/>
      <c r="U967" s="618"/>
      <c r="V967" s="1045"/>
      <c r="W967" s="1046"/>
    </row>
    <row r="968" spans="3:23" x14ac:dyDescent="0.3">
      <c r="C968" s="576"/>
      <c r="D968" s="494" t="s">
        <v>16</v>
      </c>
      <c r="E968" s="494"/>
      <c r="F968" s="181"/>
      <c r="G968" s="494" t="s">
        <v>100</v>
      </c>
      <c r="H968" s="651" t="str">
        <f>I968</f>
        <v>Other</v>
      </c>
      <c r="I968" s="450" t="s">
        <v>8</v>
      </c>
      <c r="J968" s="577" t="s">
        <v>52</v>
      </c>
      <c r="K968" s="387" t="s">
        <v>362</v>
      </c>
      <c r="L968" s="1047" t="s">
        <v>64</v>
      </c>
      <c r="M968" s="1036">
        <f>SUMIFS('Level of Efficiency Assumptions'!$J:$J,'Level of Efficiency Assumptions'!$D:$D,I968,'Level of Efficiency Assumptions'!$F:$F,J968,'Level of Efficiency Assumptions'!$I:$I,'Water Use Calcs'!L968)</f>
        <v>10</v>
      </c>
      <c r="N968" s="567" t="s">
        <v>660</v>
      </c>
      <c r="O968" s="1048">
        <f>SUMIFS('Detailed Fixture Data'!O:O,'Detailed Fixture Data'!C:C,G968,'Detailed Fixture Data'!E:E,I968,'Detailed Fixture Data'!F:F,J968,'Detailed Fixture Data'!L:L,L968)</f>
        <v>0</v>
      </c>
      <c r="P968" s="1030">
        <f>SUMIFS('Intensity of Use Assumptions'!$J:$J,'Intensity of Use Assumptions'!$D:$D,I968,'Intensity of Use Assumptions'!$G:$G,J968,'Intensity of Use Assumptions'!H:H,K968)</f>
        <v>1</v>
      </c>
      <c r="Q968" s="567" t="s">
        <v>67</v>
      </c>
      <c r="R968" s="1032">
        <f>(SUMPRODUCT(M968:M970,O968:O970)*P968)</f>
        <v>0</v>
      </c>
      <c r="S968" s="1033">
        <f>IF(R968=0,0,M970*P968)</f>
        <v>0</v>
      </c>
      <c r="T968" s="225" t="str">
        <f>G968&amp;"-"&amp;J968</f>
        <v>Hotel E-Other 1</v>
      </c>
      <c r="U968" s="1034">
        <f ca="1">IF(ISNA(VLOOKUP(T968,list!$AV$3:$AW$130,2,FALSE)),1,(VLOOKUP(T968,list!$AV$3:$AW$130,2,FALSE)))</f>
        <v>1</v>
      </c>
      <c r="V968" s="1033">
        <f ca="1">R968*U968</f>
        <v>0</v>
      </c>
      <c r="W968" s="1033">
        <f ca="1">S968*U968</f>
        <v>0</v>
      </c>
    </row>
    <row r="969" spans="3:23" x14ac:dyDescent="0.3">
      <c r="C969" s="576"/>
      <c r="D969" s="494" t="s">
        <v>16</v>
      </c>
      <c r="E969" s="494"/>
      <c r="F969" s="181"/>
      <c r="G969" s="494" t="s">
        <v>100</v>
      </c>
      <c r="H969" s="577"/>
      <c r="I969" s="450" t="s">
        <v>8</v>
      </c>
      <c r="J969" s="577" t="s">
        <v>52</v>
      </c>
      <c r="K969" s="382"/>
      <c r="L969" s="1035" t="s">
        <v>65</v>
      </c>
      <c r="M969" s="1036">
        <f>SUMIFS('Level of Efficiency Assumptions'!$J:$J,'Level of Efficiency Assumptions'!$D:$D,I969,'Level of Efficiency Assumptions'!$F:$F,J969,'Level of Efficiency Assumptions'!$I:$I,'Water Use Calcs'!L969)</f>
        <v>7.5</v>
      </c>
      <c r="N969" s="577"/>
      <c r="O969" s="1048">
        <f>SUMIFS('Detailed Fixture Data'!O:O,'Detailed Fixture Data'!C:C,G969,'Detailed Fixture Data'!E:E,I969,'Detailed Fixture Data'!F:F,J969,'Detailed Fixture Data'!L:L,L969)</f>
        <v>0</v>
      </c>
      <c r="P969" s="1049"/>
      <c r="Q969" s="577"/>
      <c r="R969" s="1039"/>
      <c r="S969" s="521"/>
      <c r="T969" s="225"/>
      <c r="U969" s="521"/>
      <c r="V969" s="1040"/>
      <c r="W969" s="1041"/>
    </row>
    <row r="970" spans="3:23" ht="15" thickBot="1" x14ac:dyDescent="0.35">
      <c r="C970" s="576"/>
      <c r="D970" s="494" t="s">
        <v>16</v>
      </c>
      <c r="E970" s="494"/>
      <c r="F970" s="181"/>
      <c r="G970" s="494" t="s">
        <v>100</v>
      </c>
      <c r="H970" s="577"/>
      <c r="I970" s="450" t="s">
        <v>8</v>
      </c>
      <c r="J970" s="116" t="s">
        <v>52</v>
      </c>
      <c r="K970" s="382"/>
      <c r="L970" s="1042" t="s">
        <v>66</v>
      </c>
      <c r="M970" s="1043">
        <f>SUMIFS('Level of Efficiency Assumptions'!$J:$J,'Level of Efficiency Assumptions'!$D:$D,I970,'Level of Efficiency Assumptions'!$F:$F,J970,'Level of Efficiency Assumptions'!$I:$I,'Water Use Calcs'!L970)</f>
        <v>5</v>
      </c>
      <c r="N970" s="577"/>
      <c r="O970" s="1048">
        <f>SUMIFS('Detailed Fixture Data'!O:O,'Detailed Fixture Data'!C:C,G970,'Detailed Fixture Data'!E:E,I970,'Detailed Fixture Data'!F:F,J970,'Detailed Fixture Data'!L:L,L970)</f>
        <v>0</v>
      </c>
      <c r="P970" s="1049"/>
      <c r="Q970" s="577"/>
      <c r="R970" s="1039"/>
      <c r="S970" s="618"/>
      <c r="T970" s="225"/>
      <c r="U970" s="618"/>
      <c r="V970" s="1045"/>
      <c r="W970" s="1046"/>
    </row>
    <row r="971" spans="3:23" x14ac:dyDescent="0.3">
      <c r="C971" s="576"/>
      <c r="D971" s="494" t="s">
        <v>16</v>
      </c>
      <c r="E971" s="494"/>
      <c r="F971" s="181"/>
      <c r="G971" s="494" t="s">
        <v>100</v>
      </c>
      <c r="H971" s="577"/>
      <c r="I971" s="450" t="s">
        <v>8</v>
      </c>
      <c r="J971" s="577" t="s">
        <v>53</v>
      </c>
      <c r="K971" s="1055" t="s">
        <v>363</v>
      </c>
      <c r="L971" s="1047" t="s">
        <v>64</v>
      </c>
      <c r="M971" s="1036">
        <f>SUMIFS('Level of Efficiency Assumptions'!$J:$J,'Level of Efficiency Assumptions'!$D:$D,I971,'Level of Efficiency Assumptions'!$F:$F,J971,'Level of Efficiency Assumptions'!$I:$I,'Water Use Calcs'!L971)</f>
        <v>10</v>
      </c>
      <c r="N971" s="567" t="s">
        <v>660</v>
      </c>
      <c r="O971" s="1048">
        <f>SUMIFS('Detailed Fixture Data'!O:O,'Detailed Fixture Data'!C:C,G971,'Detailed Fixture Data'!E:E,I971,'Detailed Fixture Data'!F:F,J971,'Detailed Fixture Data'!L:L,L971)</f>
        <v>0</v>
      </c>
      <c r="P971" s="1030">
        <f>SUMIFS('Intensity of Use Assumptions'!$J:$J,'Intensity of Use Assumptions'!$D:$D,I971,'Intensity of Use Assumptions'!$G:$G,J971,'Intensity of Use Assumptions'!H:H,K971)</f>
        <v>1</v>
      </c>
      <c r="Q971" s="567" t="s">
        <v>67</v>
      </c>
      <c r="R971" s="1032">
        <f>(SUMPRODUCT(M971:M973,O971:O973)*P971)</f>
        <v>0</v>
      </c>
      <c r="S971" s="1033">
        <f>IF(R971=0,0,M973*P971)</f>
        <v>0</v>
      </c>
      <c r="T971" s="225" t="str">
        <f>G971&amp;"-"&amp;J971</f>
        <v>Hotel E-Other 2</v>
      </c>
      <c r="U971" s="1034">
        <f ca="1">IF(ISNA(VLOOKUP(T971,list!$AV$3:$AW$130,2,FALSE)),1,(VLOOKUP(T971,list!$AV$3:$AW$130,2,FALSE)))</f>
        <v>1</v>
      </c>
      <c r="V971" s="1033">
        <f ca="1">R971*U971</f>
        <v>0</v>
      </c>
      <c r="W971" s="1033">
        <f ca="1">S971*U971</f>
        <v>0</v>
      </c>
    </row>
    <row r="972" spans="3:23" x14ac:dyDescent="0.3">
      <c r="C972" s="576"/>
      <c r="D972" s="494" t="s">
        <v>16</v>
      </c>
      <c r="E972" s="494"/>
      <c r="F972" s="181"/>
      <c r="G972" s="494" t="s">
        <v>100</v>
      </c>
      <c r="H972" s="577"/>
      <c r="I972" s="450" t="s">
        <v>8</v>
      </c>
      <c r="J972" s="577" t="s">
        <v>53</v>
      </c>
      <c r="K972" s="577"/>
      <c r="L972" s="1035" t="s">
        <v>65</v>
      </c>
      <c r="M972" s="1036">
        <f>SUMIFS('Level of Efficiency Assumptions'!$J:$J,'Level of Efficiency Assumptions'!$D:$D,I972,'Level of Efficiency Assumptions'!$F:$F,J972,'Level of Efficiency Assumptions'!$I:$I,'Water Use Calcs'!L972)</f>
        <v>7.5</v>
      </c>
      <c r="N972" s="577"/>
      <c r="O972" s="1048">
        <f>SUMIFS('Detailed Fixture Data'!O:O,'Detailed Fixture Data'!C:C,G972,'Detailed Fixture Data'!E:E,I972,'Detailed Fixture Data'!F:F,J972,'Detailed Fixture Data'!L:L,L972)</f>
        <v>0</v>
      </c>
      <c r="P972" s="1049"/>
      <c r="Q972" s="577"/>
      <c r="R972" s="1039"/>
      <c r="S972" s="521"/>
      <c r="T972" s="225"/>
      <c r="U972" s="521"/>
      <c r="V972" s="1040"/>
      <c r="W972" s="1041"/>
    </row>
    <row r="973" spans="3:23" ht="15" thickBot="1" x14ac:dyDescent="0.35">
      <c r="C973" s="576"/>
      <c r="D973" s="494" t="s">
        <v>16</v>
      </c>
      <c r="E973" s="494"/>
      <c r="F973" s="181"/>
      <c r="G973" s="494" t="s">
        <v>100</v>
      </c>
      <c r="H973" s="577"/>
      <c r="I973" s="450" t="s">
        <v>8</v>
      </c>
      <c r="J973" s="116" t="s">
        <v>53</v>
      </c>
      <c r="K973" s="116"/>
      <c r="L973" s="1042" t="s">
        <v>66</v>
      </c>
      <c r="M973" s="1043">
        <f>SUMIFS('Level of Efficiency Assumptions'!$J:$J,'Level of Efficiency Assumptions'!$D:$D,I973,'Level of Efficiency Assumptions'!$F:$F,J973,'Level of Efficiency Assumptions'!$I:$I,'Water Use Calcs'!L973)</f>
        <v>5</v>
      </c>
      <c r="N973" s="577"/>
      <c r="O973" s="1048">
        <f>SUMIFS('Detailed Fixture Data'!O:O,'Detailed Fixture Data'!C:C,G973,'Detailed Fixture Data'!E:E,I973,'Detailed Fixture Data'!F:F,J973,'Detailed Fixture Data'!L:L,L973)</f>
        <v>0</v>
      </c>
      <c r="P973" s="1049"/>
      <c r="Q973" s="577"/>
      <c r="R973" s="1039"/>
      <c r="S973" s="618"/>
      <c r="T973" s="225"/>
      <c r="U973" s="618"/>
      <c r="V973" s="1045"/>
      <c r="W973" s="1046"/>
    </row>
    <row r="974" spans="3:23" x14ac:dyDescent="0.3">
      <c r="C974" s="576"/>
      <c r="D974" s="494" t="s">
        <v>16</v>
      </c>
      <c r="E974" s="494"/>
      <c r="F974" s="181"/>
      <c r="G974" s="494" t="s">
        <v>100</v>
      </c>
      <c r="H974" s="577"/>
      <c r="I974" s="450" t="s">
        <v>8</v>
      </c>
      <c r="J974" s="577" t="s">
        <v>54</v>
      </c>
      <c r="K974" s="379" t="s">
        <v>364</v>
      </c>
      <c r="L974" s="1047" t="s">
        <v>64</v>
      </c>
      <c r="M974" s="1036">
        <f>SUMIFS('Level of Efficiency Assumptions'!$J:$J,'Level of Efficiency Assumptions'!$D:$D,I974,'Level of Efficiency Assumptions'!$F:$F,J974,'Level of Efficiency Assumptions'!$I:$I,'Water Use Calcs'!L974)</f>
        <v>10</v>
      </c>
      <c r="N974" s="567" t="s">
        <v>660</v>
      </c>
      <c r="O974" s="1048">
        <f>SUMIFS('Detailed Fixture Data'!O:O,'Detailed Fixture Data'!C:C,G974,'Detailed Fixture Data'!E:E,I974,'Detailed Fixture Data'!F:F,J974,'Detailed Fixture Data'!L:L,L974)</f>
        <v>0</v>
      </c>
      <c r="P974" s="1030">
        <f>SUMIFS('Intensity of Use Assumptions'!$J:$J,'Intensity of Use Assumptions'!$D:$D,I974,'Intensity of Use Assumptions'!$G:$G,J974,'Intensity of Use Assumptions'!H:H,K974)</f>
        <v>1</v>
      </c>
      <c r="Q974" s="567" t="s">
        <v>67</v>
      </c>
      <c r="R974" s="1032">
        <f>(SUMPRODUCT(M974:M976,O974:O976)*P974)</f>
        <v>0</v>
      </c>
      <c r="S974" s="1033">
        <f>IF(R974=0,0,M976*P974)</f>
        <v>0</v>
      </c>
      <c r="T974" s="225" t="str">
        <f>G974&amp;"-"&amp;J974</f>
        <v>Hotel E-Other 3</v>
      </c>
      <c r="U974" s="1034">
        <f ca="1">IF(ISNA(VLOOKUP(T974,list!$AV$3:$AW$130,2,FALSE)),1,(VLOOKUP(T974,list!$AV$3:$AW$130,2,FALSE)))</f>
        <v>1</v>
      </c>
      <c r="V974" s="1033">
        <f ca="1">R974*U974</f>
        <v>0</v>
      </c>
      <c r="W974" s="1033">
        <f ca="1">S974*U974</f>
        <v>0</v>
      </c>
    </row>
    <row r="975" spans="3:23" x14ac:dyDescent="0.3">
      <c r="C975" s="576"/>
      <c r="D975" s="494" t="s">
        <v>16</v>
      </c>
      <c r="E975" s="494"/>
      <c r="F975" s="181"/>
      <c r="G975" s="494" t="s">
        <v>100</v>
      </c>
      <c r="H975" s="577"/>
      <c r="I975" s="450" t="s">
        <v>8</v>
      </c>
      <c r="J975" s="577" t="s">
        <v>54</v>
      </c>
      <c r="K975" s="577"/>
      <c r="L975" s="1035" t="s">
        <v>65</v>
      </c>
      <c r="M975" s="1036">
        <f>SUMIFS('Level of Efficiency Assumptions'!$J:$J,'Level of Efficiency Assumptions'!$D:$D,I975,'Level of Efficiency Assumptions'!$F:$F,J975,'Level of Efficiency Assumptions'!$I:$I,'Water Use Calcs'!L975)</f>
        <v>7.5</v>
      </c>
      <c r="N975" s="577"/>
      <c r="O975" s="1048">
        <f>SUMIFS('Detailed Fixture Data'!O:O,'Detailed Fixture Data'!C:C,G975,'Detailed Fixture Data'!E:E,I975,'Detailed Fixture Data'!F:F,J975,'Detailed Fixture Data'!L:L,L975)</f>
        <v>0</v>
      </c>
      <c r="P975" s="1049"/>
      <c r="Q975" s="577"/>
      <c r="R975" s="1039"/>
      <c r="S975" s="521"/>
      <c r="T975" s="225"/>
      <c r="U975" s="521"/>
      <c r="V975" s="1040"/>
      <c r="W975" s="1041"/>
    </row>
    <row r="976" spans="3:23" ht="15" thickBot="1" x14ac:dyDescent="0.35">
      <c r="C976" s="605"/>
      <c r="D976" s="501" t="s">
        <v>16</v>
      </c>
      <c r="E976" s="494"/>
      <c r="F976" s="181"/>
      <c r="G976" s="494" t="s">
        <v>100</v>
      </c>
      <c r="H976" s="577"/>
      <c r="I976" s="451" t="s">
        <v>8</v>
      </c>
      <c r="J976" s="116" t="s">
        <v>54</v>
      </c>
      <c r="K976" s="116"/>
      <c r="L976" s="1042" t="s">
        <v>66</v>
      </c>
      <c r="M976" s="1043">
        <f>SUMIFS('Level of Efficiency Assumptions'!$J:$J,'Level of Efficiency Assumptions'!$D:$D,I976,'Level of Efficiency Assumptions'!$F:$F,J976,'Level of Efficiency Assumptions'!$I:$I,'Water Use Calcs'!L976)</f>
        <v>5</v>
      </c>
      <c r="N976" s="116"/>
      <c r="O976" s="1048">
        <f>SUMIFS('Detailed Fixture Data'!O:O,'Detailed Fixture Data'!C:C,G976,'Detailed Fixture Data'!E:E,I976,'Detailed Fixture Data'!F:F,J976,'Detailed Fixture Data'!L:L,L976)</f>
        <v>0</v>
      </c>
      <c r="P976" s="1049"/>
      <c r="Q976" s="116"/>
      <c r="R976" s="1045"/>
      <c r="S976" s="618"/>
      <c r="T976" s="225"/>
      <c r="U976" s="618"/>
      <c r="V976" s="1045"/>
      <c r="W976" s="1046"/>
    </row>
    <row r="977" spans="3:23" x14ac:dyDescent="0.3">
      <c r="C977" s="1063" t="s">
        <v>417</v>
      </c>
      <c r="D977" s="493" t="s">
        <v>417</v>
      </c>
      <c r="E977" s="619" t="str">
        <f>G977</f>
        <v>Central Heating/Cooling Plant</v>
      </c>
      <c r="F977" s="565" t="str">
        <f>VLOOKUP(E977,'Airport Mapping'!$C$5:$D$39,2,FALSE)</f>
        <v xml:space="preserve"> </v>
      </c>
      <c r="G977" s="493" t="s">
        <v>417</v>
      </c>
      <c r="H977" s="651" t="str">
        <f>I977</f>
        <v>Maintenance</v>
      </c>
      <c r="I977" s="454" t="s">
        <v>43</v>
      </c>
      <c r="J977" s="567" t="s">
        <v>111</v>
      </c>
      <c r="K977" s="217" t="s">
        <v>424</v>
      </c>
      <c r="L977" s="1028" t="s">
        <v>64</v>
      </c>
      <c r="M977" s="1036">
        <f>SUMIFS('Level of Efficiency Assumptions'!$J:$J,'Level of Efficiency Assumptions'!$D:$D,I977,'Level of Efficiency Assumptions'!$F:$F,J977,'Level of Efficiency Assumptions'!$I:$I,'Water Use Calcs'!L977)</f>
        <v>100</v>
      </c>
      <c r="N977" s="567" t="s">
        <v>659</v>
      </c>
      <c r="O977" s="1048">
        <f>SUMIFS('Detailed Fixture Data'!O:O,'Detailed Fixture Data'!C:C,G977,'Detailed Fixture Data'!E:E,I977,'Detailed Fixture Data'!F:F,J977,'Detailed Fixture Data'!L:L,L977)</f>
        <v>0</v>
      </c>
      <c r="P977" s="1030">
        <f>SUMIFS('Intensity of Use Assumptions'!$J:$J,'Intensity of Use Assumptions'!$D:$D,I977,'Intensity of Use Assumptions'!$G:$G,J977,'Intensity of Use Assumptions'!H:H,K977)</f>
        <v>1</v>
      </c>
      <c r="Q977" s="567" t="s">
        <v>67</v>
      </c>
      <c r="R977" s="1032">
        <f>(SUMPRODUCT(M977:M979,O977:O979)*P977)</f>
        <v>0</v>
      </c>
      <c r="S977" s="1033">
        <f>IF(R977=0,0,M979*P977)</f>
        <v>0</v>
      </c>
      <c r="T977" s="225" t="str">
        <f>G977&amp;"-"&amp;J977</f>
        <v>Central Heating/Cooling Plant-Boiler</v>
      </c>
      <c r="U977" s="1034">
        <f ca="1">IF(ISNA(VLOOKUP(T977,list!$AV$3:$AW$130,2,FALSE)),1,(VLOOKUP(T977,list!$AV$3:$AW$130,2,FALSE)))</f>
        <v>1</v>
      </c>
      <c r="V977" s="1033">
        <f ca="1">R977*U977</f>
        <v>0</v>
      </c>
      <c r="W977" s="1033">
        <f ca="1">S977*U977</f>
        <v>0</v>
      </c>
    </row>
    <row r="978" spans="3:23" x14ac:dyDescent="0.3">
      <c r="C978" s="576"/>
      <c r="D978" s="493" t="s">
        <v>417</v>
      </c>
      <c r="E978" s="494"/>
      <c r="F978" s="182"/>
      <c r="G978" s="493" t="s">
        <v>417</v>
      </c>
      <c r="H978" s="577"/>
      <c r="I978" s="450" t="s">
        <v>43</v>
      </c>
      <c r="J978" s="577" t="s">
        <v>111</v>
      </c>
      <c r="K978" s="382"/>
      <c r="L978" s="1035" t="s">
        <v>65</v>
      </c>
      <c r="M978" s="1036">
        <f>SUMIFS('Level of Efficiency Assumptions'!$J:$J,'Level of Efficiency Assumptions'!$D:$D,I978,'Level of Efficiency Assumptions'!$F:$F,J978,'Level of Efficiency Assumptions'!$I:$I,'Water Use Calcs'!L978)</f>
        <v>75</v>
      </c>
      <c r="N978" s="577"/>
      <c r="O978" s="1048">
        <f>SUMIFS('Detailed Fixture Data'!O:O,'Detailed Fixture Data'!C:C,G978,'Detailed Fixture Data'!E:E,I978,'Detailed Fixture Data'!F:F,J978,'Detailed Fixture Data'!L:L,L978)</f>
        <v>0</v>
      </c>
      <c r="P978" s="1049"/>
      <c r="Q978" s="577"/>
      <c r="R978" s="1039"/>
      <c r="S978" s="521"/>
      <c r="T978" s="225"/>
      <c r="U978" s="521"/>
      <c r="V978" s="1040"/>
      <c r="W978" s="1041"/>
    </row>
    <row r="979" spans="3:23" ht="15" thickBot="1" x14ac:dyDescent="0.35">
      <c r="C979" s="576"/>
      <c r="D979" s="493" t="s">
        <v>417</v>
      </c>
      <c r="E979" s="494"/>
      <c r="F979" s="182"/>
      <c r="G979" s="493" t="s">
        <v>417</v>
      </c>
      <c r="H979" s="577"/>
      <c r="I979" s="450" t="s">
        <v>43</v>
      </c>
      <c r="J979" s="116" t="s">
        <v>111</v>
      </c>
      <c r="K979" s="116"/>
      <c r="L979" s="1042" t="s">
        <v>66</v>
      </c>
      <c r="M979" s="1043">
        <f>SUMIFS('Level of Efficiency Assumptions'!$J:$J,'Level of Efficiency Assumptions'!$D:$D,I979,'Level of Efficiency Assumptions'!$F:$F,J979,'Level of Efficiency Assumptions'!$I:$I,'Water Use Calcs'!L979)</f>
        <v>50</v>
      </c>
      <c r="N979" s="577"/>
      <c r="O979" s="1048">
        <f>SUMIFS('Detailed Fixture Data'!O:O,'Detailed Fixture Data'!C:C,G979,'Detailed Fixture Data'!E:E,I979,'Detailed Fixture Data'!F:F,J979,'Detailed Fixture Data'!L:L,L979)</f>
        <v>0</v>
      </c>
      <c r="P979" s="1049"/>
      <c r="Q979" s="577"/>
      <c r="R979" s="1039"/>
      <c r="S979" s="618"/>
      <c r="T979" s="225"/>
      <c r="U979" s="618"/>
      <c r="V979" s="1045"/>
      <c r="W979" s="1046"/>
    </row>
    <row r="980" spans="3:23" x14ac:dyDescent="0.3">
      <c r="C980" s="576"/>
      <c r="D980" s="493" t="s">
        <v>417</v>
      </c>
      <c r="E980" s="494"/>
      <c r="F980" s="182"/>
      <c r="G980" s="493" t="s">
        <v>417</v>
      </c>
      <c r="H980" s="577"/>
      <c r="I980" s="450" t="s">
        <v>43</v>
      </c>
      <c r="J980" s="577" t="s">
        <v>7</v>
      </c>
      <c r="K980" s="215" t="s">
        <v>365</v>
      </c>
      <c r="L980" s="1012" t="s">
        <v>257</v>
      </c>
      <c r="M980" s="1050"/>
      <c r="N980" s="1050"/>
      <c r="O980" s="1050"/>
      <c r="P980" s="1051"/>
      <c r="Q980" s="981"/>
      <c r="R980" s="1052">
        <f>SUMIFS('Cooling Data'!H:H,'Cooling Data'!$C:$C,$G980,'Cooling Data'!$E:$E,$I980,'Cooling Data'!$F:$F,$J980)</f>
        <v>0</v>
      </c>
      <c r="S980" s="1052">
        <f>SUMIFS('Cooling Data'!J:J,'Cooling Data'!$C:$C,$G980,'Cooling Data'!$E:$E,$I980,'Cooling Data'!$F:$F,$J980)</f>
        <v>0</v>
      </c>
      <c r="T980" s="225" t="str">
        <f>G980&amp;"-"&amp;J980</f>
        <v>Central Heating/Cooling Plant-Cooling</v>
      </c>
      <c r="U980" s="1034">
        <f ca="1">IF(ISNA(VLOOKUP(T980,list!$AV$3:$AW$130,2,FALSE)),1,(VLOOKUP(T980,list!$AV$3:$AW$130,2,FALSE)))</f>
        <v>1</v>
      </c>
      <c r="V980" s="1033">
        <f ca="1">R980*U980</f>
        <v>0</v>
      </c>
      <c r="W980" s="1033">
        <f ca="1">S980*U980</f>
        <v>0</v>
      </c>
    </row>
    <row r="981" spans="3:23" x14ac:dyDescent="0.3">
      <c r="C981" s="576"/>
      <c r="D981" s="493" t="s">
        <v>417</v>
      </c>
      <c r="E981" s="494"/>
      <c r="F981" s="182"/>
      <c r="G981" s="493" t="s">
        <v>417</v>
      </c>
      <c r="H981" s="577"/>
      <c r="I981" s="450" t="s">
        <v>43</v>
      </c>
      <c r="J981" s="577" t="s">
        <v>7</v>
      </c>
      <c r="K981" s="577"/>
      <c r="L981" s="206"/>
      <c r="M981" s="181"/>
      <c r="N981" s="181"/>
      <c r="O981" s="181"/>
      <c r="P981" s="1053"/>
      <c r="Q981" s="439"/>
      <c r="R981" s="1039"/>
      <c r="S981" s="521"/>
      <c r="T981" s="225"/>
      <c r="U981" s="521"/>
      <c r="V981" s="1040"/>
      <c r="W981" s="1041"/>
    </row>
    <row r="982" spans="3:23" ht="15" thickBot="1" x14ac:dyDescent="0.35">
      <c r="C982" s="576"/>
      <c r="D982" s="493" t="s">
        <v>417</v>
      </c>
      <c r="E982" s="494"/>
      <c r="F982" s="182"/>
      <c r="G982" s="493" t="s">
        <v>417</v>
      </c>
      <c r="H982" s="577"/>
      <c r="I982" s="500" t="s">
        <v>43</v>
      </c>
      <c r="J982" s="116" t="s">
        <v>7</v>
      </c>
      <c r="K982" s="116"/>
      <c r="L982" s="207"/>
      <c r="M982" s="924"/>
      <c r="N982" s="924"/>
      <c r="O982" s="924"/>
      <c r="P982" s="1054"/>
      <c r="Q982" s="606"/>
      <c r="R982" s="1039"/>
      <c r="S982" s="618"/>
      <c r="T982" s="225"/>
      <c r="U982" s="618"/>
      <c r="V982" s="1045"/>
      <c r="W982" s="1046"/>
    </row>
    <row r="983" spans="3:23" x14ac:dyDescent="0.3">
      <c r="C983" s="576"/>
      <c r="D983" s="493" t="s">
        <v>417</v>
      </c>
      <c r="E983" s="494"/>
      <c r="F983" s="182"/>
      <c r="G983" s="493" t="s">
        <v>417</v>
      </c>
      <c r="H983" s="651" t="str">
        <f>I983</f>
        <v>Other</v>
      </c>
      <c r="I983" s="450" t="s">
        <v>8</v>
      </c>
      <c r="J983" s="577" t="s">
        <v>52</v>
      </c>
      <c r="K983" s="387" t="s">
        <v>362</v>
      </c>
      <c r="L983" s="1047" t="s">
        <v>64</v>
      </c>
      <c r="M983" s="1036">
        <f>SUMIFS('Level of Efficiency Assumptions'!$J:$J,'Level of Efficiency Assumptions'!$D:$D,I983,'Level of Efficiency Assumptions'!$F:$F,J983,'Level of Efficiency Assumptions'!$I:$I,'Water Use Calcs'!L983)</f>
        <v>10</v>
      </c>
      <c r="N983" s="567" t="s">
        <v>660</v>
      </c>
      <c r="O983" s="1048">
        <f>SUMIFS('Detailed Fixture Data'!O:O,'Detailed Fixture Data'!C:C,G983,'Detailed Fixture Data'!E:E,I983,'Detailed Fixture Data'!F:F,J983,'Detailed Fixture Data'!L:L,L983)</f>
        <v>0</v>
      </c>
      <c r="P983" s="1030">
        <f>SUMIFS('Intensity of Use Assumptions'!$J:$J,'Intensity of Use Assumptions'!$D:$D,I983,'Intensity of Use Assumptions'!$G:$G,J983,'Intensity of Use Assumptions'!H:H,K983)</f>
        <v>1</v>
      </c>
      <c r="Q983" s="567" t="s">
        <v>67</v>
      </c>
      <c r="R983" s="1032">
        <f>(SUMPRODUCT(M983:M985,O983:O985)*P983)</f>
        <v>0</v>
      </c>
      <c r="S983" s="1033">
        <f>IF(R983=0,0,M985*P983)</f>
        <v>0</v>
      </c>
      <c r="T983" s="225" t="str">
        <f>G983&amp;"-"&amp;J983</f>
        <v>Central Heating/Cooling Plant-Other 1</v>
      </c>
      <c r="U983" s="1034">
        <f ca="1">IF(ISNA(VLOOKUP(T983,list!$AV$3:$AW$130,2,FALSE)),1,(VLOOKUP(T983,list!$AV$3:$AW$130,2,FALSE)))</f>
        <v>1</v>
      </c>
      <c r="V983" s="1033">
        <f ca="1">R983*U983</f>
        <v>0</v>
      </c>
      <c r="W983" s="1033">
        <f ca="1">S983*U983</f>
        <v>0</v>
      </c>
    </row>
    <row r="984" spans="3:23" x14ac:dyDescent="0.3">
      <c r="C984" s="576"/>
      <c r="D984" s="493" t="s">
        <v>417</v>
      </c>
      <c r="E984" s="494"/>
      <c r="F984" s="182"/>
      <c r="G984" s="493" t="s">
        <v>417</v>
      </c>
      <c r="H984" s="577"/>
      <c r="I984" s="450" t="s">
        <v>8</v>
      </c>
      <c r="J984" s="577" t="s">
        <v>52</v>
      </c>
      <c r="K984" s="382"/>
      <c r="L984" s="1035" t="s">
        <v>65</v>
      </c>
      <c r="M984" s="1036">
        <f>SUMIFS('Level of Efficiency Assumptions'!$J:$J,'Level of Efficiency Assumptions'!$D:$D,I984,'Level of Efficiency Assumptions'!$F:$F,J984,'Level of Efficiency Assumptions'!$I:$I,'Water Use Calcs'!L984)</f>
        <v>7.5</v>
      </c>
      <c r="N984" s="577"/>
      <c r="O984" s="1048">
        <f>SUMIFS('Detailed Fixture Data'!O:O,'Detailed Fixture Data'!C:C,G984,'Detailed Fixture Data'!E:E,I984,'Detailed Fixture Data'!F:F,J984,'Detailed Fixture Data'!L:L,L984)</f>
        <v>0</v>
      </c>
      <c r="P984" s="1049"/>
      <c r="Q984" s="577"/>
      <c r="R984" s="1039"/>
      <c r="S984" s="521"/>
      <c r="T984" s="225"/>
      <c r="U984" s="521"/>
      <c r="V984" s="1040"/>
      <c r="W984" s="1041"/>
    </row>
    <row r="985" spans="3:23" ht="15" thickBot="1" x14ac:dyDescent="0.35">
      <c r="C985" s="576"/>
      <c r="D985" s="493" t="s">
        <v>417</v>
      </c>
      <c r="E985" s="494"/>
      <c r="F985" s="182"/>
      <c r="G985" s="493" t="s">
        <v>417</v>
      </c>
      <c r="H985" s="577"/>
      <c r="I985" s="450" t="s">
        <v>8</v>
      </c>
      <c r="J985" s="116" t="s">
        <v>52</v>
      </c>
      <c r="K985" s="382"/>
      <c r="L985" s="1042" t="s">
        <v>66</v>
      </c>
      <c r="M985" s="1043">
        <f>SUMIFS('Level of Efficiency Assumptions'!$J:$J,'Level of Efficiency Assumptions'!$D:$D,I985,'Level of Efficiency Assumptions'!$F:$F,J985,'Level of Efficiency Assumptions'!$I:$I,'Water Use Calcs'!L985)</f>
        <v>5</v>
      </c>
      <c r="N985" s="577"/>
      <c r="O985" s="1048">
        <f>SUMIFS('Detailed Fixture Data'!O:O,'Detailed Fixture Data'!C:C,G985,'Detailed Fixture Data'!E:E,I985,'Detailed Fixture Data'!F:F,J985,'Detailed Fixture Data'!L:L,L985)</f>
        <v>0</v>
      </c>
      <c r="P985" s="1049"/>
      <c r="Q985" s="577"/>
      <c r="R985" s="1039"/>
      <c r="S985" s="618"/>
      <c r="T985" s="225"/>
      <c r="U985" s="618"/>
      <c r="V985" s="1045"/>
      <c r="W985" s="1046"/>
    </row>
    <row r="986" spans="3:23" x14ac:dyDescent="0.3">
      <c r="C986" s="576"/>
      <c r="D986" s="493" t="s">
        <v>417</v>
      </c>
      <c r="E986" s="494"/>
      <c r="F986" s="182"/>
      <c r="G986" s="493" t="s">
        <v>417</v>
      </c>
      <c r="H986" s="577"/>
      <c r="I986" s="450" t="s">
        <v>8</v>
      </c>
      <c r="J986" s="577" t="s">
        <v>53</v>
      </c>
      <c r="K986" s="1055" t="s">
        <v>363</v>
      </c>
      <c r="L986" s="1047" t="s">
        <v>64</v>
      </c>
      <c r="M986" s="1036">
        <f>SUMIFS('Level of Efficiency Assumptions'!$J:$J,'Level of Efficiency Assumptions'!$D:$D,I986,'Level of Efficiency Assumptions'!$F:$F,J986,'Level of Efficiency Assumptions'!$I:$I,'Water Use Calcs'!L986)</f>
        <v>10</v>
      </c>
      <c r="N986" s="567" t="s">
        <v>660</v>
      </c>
      <c r="O986" s="1048">
        <f>SUMIFS('Detailed Fixture Data'!O:O,'Detailed Fixture Data'!C:C,G986,'Detailed Fixture Data'!E:E,I986,'Detailed Fixture Data'!F:F,J986,'Detailed Fixture Data'!L:L,L986)</f>
        <v>0</v>
      </c>
      <c r="P986" s="1030">
        <f>SUMIFS('Intensity of Use Assumptions'!$J:$J,'Intensity of Use Assumptions'!$D:$D,I986,'Intensity of Use Assumptions'!$G:$G,J986,'Intensity of Use Assumptions'!H:H,K986)</f>
        <v>1</v>
      </c>
      <c r="Q986" s="567" t="s">
        <v>67</v>
      </c>
      <c r="R986" s="1032">
        <f>(SUMPRODUCT(M986:M988,O986:O988)*P986)</f>
        <v>0</v>
      </c>
      <c r="S986" s="1033">
        <f>IF(R986=0,0,M988*P986)</f>
        <v>0</v>
      </c>
      <c r="T986" s="225" t="str">
        <f>G986&amp;"-"&amp;J986</f>
        <v>Central Heating/Cooling Plant-Other 2</v>
      </c>
      <c r="U986" s="1034">
        <f ca="1">IF(ISNA(VLOOKUP(T986,list!$AV$3:$AW$130,2,FALSE)),1,(VLOOKUP(T986,list!$AV$3:$AW$130,2,FALSE)))</f>
        <v>1</v>
      </c>
      <c r="V986" s="1033">
        <f ca="1">R986*U986</f>
        <v>0</v>
      </c>
      <c r="W986" s="1033">
        <f ca="1">S986*U986</f>
        <v>0</v>
      </c>
    </row>
    <row r="987" spans="3:23" x14ac:dyDescent="0.3">
      <c r="C987" s="576"/>
      <c r="D987" s="493" t="s">
        <v>417</v>
      </c>
      <c r="E987" s="494"/>
      <c r="F987" s="182"/>
      <c r="G987" s="493" t="s">
        <v>417</v>
      </c>
      <c r="H987" s="577"/>
      <c r="I987" s="450" t="s">
        <v>8</v>
      </c>
      <c r="J987" s="577" t="s">
        <v>53</v>
      </c>
      <c r="K987" s="577"/>
      <c r="L987" s="1035" t="s">
        <v>65</v>
      </c>
      <c r="M987" s="1036">
        <f>SUMIFS('Level of Efficiency Assumptions'!$J:$J,'Level of Efficiency Assumptions'!$D:$D,I987,'Level of Efficiency Assumptions'!$F:$F,J987,'Level of Efficiency Assumptions'!$I:$I,'Water Use Calcs'!L987)</f>
        <v>7.5</v>
      </c>
      <c r="N987" s="577"/>
      <c r="O987" s="1048">
        <f>SUMIFS('Detailed Fixture Data'!O:O,'Detailed Fixture Data'!C:C,G987,'Detailed Fixture Data'!E:E,I987,'Detailed Fixture Data'!F:F,J987,'Detailed Fixture Data'!L:L,L987)</f>
        <v>0</v>
      </c>
      <c r="P987" s="1049"/>
      <c r="Q987" s="577"/>
      <c r="R987" s="1039"/>
      <c r="S987" s="521"/>
      <c r="T987" s="225"/>
      <c r="U987" s="521"/>
      <c r="V987" s="1040"/>
      <c r="W987" s="1041"/>
    </row>
    <row r="988" spans="3:23" ht="15" thickBot="1" x14ac:dyDescent="0.35">
      <c r="C988" s="576"/>
      <c r="D988" s="493" t="s">
        <v>417</v>
      </c>
      <c r="E988" s="494"/>
      <c r="F988" s="182"/>
      <c r="G988" s="493" t="s">
        <v>417</v>
      </c>
      <c r="H988" s="577"/>
      <c r="I988" s="450" t="s">
        <v>8</v>
      </c>
      <c r="J988" s="116" t="s">
        <v>53</v>
      </c>
      <c r="K988" s="116"/>
      <c r="L988" s="1042" t="s">
        <v>66</v>
      </c>
      <c r="M988" s="1043">
        <f>SUMIFS('Level of Efficiency Assumptions'!$J:$J,'Level of Efficiency Assumptions'!$D:$D,I988,'Level of Efficiency Assumptions'!$F:$F,J988,'Level of Efficiency Assumptions'!$I:$I,'Water Use Calcs'!L988)</f>
        <v>5</v>
      </c>
      <c r="N988" s="577"/>
      <c r="O988" s="1048">
        <f>SUMIFS('Detailed Fixture Data'!O:O,'Detailed Fixture Data'!C:C,G988,'Detailed Fixture Data'!E:E,I988,'Detailed Fixture Data'!F:F,J988,'Detailed Fixture Data'!L:L,L988)</f>
        <v>0</v>
      </c>
      <c r="P988" s="1049"/>
      <c r="Q988" s="577"/>
      <c r="R988" s="1039"/>
      <c r="S988" s="618"/>
      <c r="T988" s="225"/>
      <c r="U988" s="618"/>
      <c r="V988" s="1045"/>
      <c r="W988" s="1046"/>
    </row>
    <row r="989" spans="3:23" x14ac:dyDescent="0.3">
      <c r="C989" s="576"/>
      <c r="D989" s="493" t="s">
        <v>417</v>
      </c>
      <c r="E989" s="494"/>
      <c r="F989" s="182"/>
      <c r="G989" s="493" t="s">
        <v>417</v>
      </c>
      <c r="H989" s="577"/>
      <c r="I989" s="450" t="s">
        <v>8</v>
      </c>
      <c r="J989" s="577" t="s">
        <v>54</v>
      </c>
      <c r="K989" s="379" t="s">
        <v>364</v>
      </c>
      <c r="L989" s="1047" t="s">
        <v>64</v>
      </c>
      <c r="M989" s="1036">
        <f>SUMIFS('Level of Efficiency Assumptions'!$J:$J,'Level of Efficiency Assumptions'!$D:$D,I989,'Level of Efficiency Assumptions'!$F:$F,J989,'Level of Efficiency Assumptions'!$I:$I,'Water Use Calcs'!L989)</f>
        <v>10</v>
      </c>
      <c r="N989" s="567" t="s">
        <v>660</v>
      </c>
      <c r="O989" s="1048">
        <f>SUMIFS('Detailed Fixture Data'!O:O,'Detailed Fixture Data'!C:C,G989,'Detailed Fixture Data'!E:E,I989,'Detailed Fixture Data'!F:F,J989,'Detailed Fixture Data'!L:L,L989)</f>
        <v>0</v>
      </c>
      <c r="P989" s="1030">
        <f>SUMIFS('Intensity of Use Assumptions'!$J:$J,'Intensity of Use Assumptions'!$D:$D,I989,'Intensity of Use Assumptions'!$G:$G,J989,'Intensity of Use Assumptions'!H:H,K989)</f>
        <v>1</v>
      </c>
      <c r="Q989" s="567" t="s">
        <v>67</v>
      </c>
      <c r="R989" s="1032">
        <f>(SUMPRODUCT(M989:M991,O989:O991)*P989)</f>
        <v>0</v>
      </c>
      <c r="S989" s="1033">
        <f>IF(R989=0,0,M991*P989)</f>
        <v>0</v>
      </c>
      <c r="T989" s="225" t="str">
        <f>G989&amp;"-"&amp;J989</f>
        <v>Central Heating/Cooling Plant-Other 3</v>
      </c>
      <c r="U989" s="1034">
        <f ca="1">IF(ISNA(VLOOKUP(T989,list!$AV$3:$AW$130,2,FALSE)),1,(VLOOKUP(T989,list!$AV$3:$AW$130,2,FALSE)))</f>
        <v>1</v>
      </c>
      <c r="V989" s="1033">
        <f ca="1">R989*U989</f>
        <v>0</v>
      </c>
      <c r="W989" s="1033">
        <f ca="1">S989*U989</f>
        <v>0</v>
      </c>
    </row>
    <row r="990" spans="3:23" x14ac:dyDescent="0.3">
      <c r="C990" s="576"/>
      <c r="D990" s="493" t="s">
        <v>417</v>
      </c>
      <c r="E990" s="494"/>
      <c r="F990" s="182"/>
      <c r="G990" s="493" t="s">
        <v>417</v>
      </c>
      <c r="H990" s="577"/>
      <c r="I990" s="450" t="s">
        <v>8</v>
      </c>
      <c r="J990" s="577" t="s">
        <v>54</v>
      </c>
      <c r="K990" s="577"/>
      <c r="L990" s="1035" t="s">
        <v>65</v>
      </c>
      <c r="M990" s="1036">
        <f>SUMIFS('Level of Efficiency Assumptions'!$J:$J,'Level of Efficiency Assumptions'!$D:$D,I990,'Level of Efficiency Assumptions'!$F:$F,J990,'Level of Efficiency Assumptions'!$I:$I,'Water Use Calcs'!L990)</f>
        <v>7.5</v>
      </c>
      <c r="N990" s="577"/>
      <c r="O990" s="1048">
        <f>SUMIFS('Detailed Fixture Data'!O:O,'Detailed Fixture Data'!C:C,G990,'Detailed Fixture Data'!E:E,I990,'Detailed Fixture Data'!F:F,J990,'Detailed Fixture Data'!L:L,L990)</f>
        <v>0</v>
      </c>
      <c r="P990" s="1049"/>
      <c r="Q990" s="577"/>
      <c r="R990" s="1039"/>
      <c r="S990" s="521"/>
      <c r="T990" s="225"/>
      <c r="U990" s="521"/>
      <c r="V990" s="1040"/>
      <c r="W990" s="1041"/>
    </row>
    <row r="991" spans="3:23" ht="15" thickBot="1" x14ac:dyDescent="0.35">
      <c r="C991" s="576"/>
      <c r="D991" s="493" t="s">
        <v>417</v>
      </c>
      <c r="E991" s="494"/>
      <c r="F991" s="182"/>
      <c r="G991" s="493" t="s">
        <v>417</v>
      </c>
      <c r="H991" s="116"/>
      <c r="I991" s="451" t="s">
        <v>8</v>
      </c>
      <c r="J991" s="116" t="s">
        <v>54</v>
      </c>
      <c r="K991" s="116"/>
      <c r="L991" s="1042" t="s">
        <v>66</v>
      </c>
      <c r="M991" s="1043">
        <f>SUMIFS('Level of Efficiency Assumptions'!$J:$J,'Level of Efficiency Assumptions'!$D:$D,I991,'Level of Efficiency Assumptions'!$F:$F,J991,'Level of Efficiency Assumptions'!$I:$I,'Water Use Calcs'!L991)</f>
        <v>5</v>
      </c>
      <c r="N991" s="116"/>
      <c r="O991" s="1048">
        <f>SUMIFS('Detailed Fixture Data'!O:O,'Detailed Fixture Data'!C:C,G991,'Detailed Fixture Data'!E:E,I991,'Detailed Fixture Data'!F:F,J991,'Detailed Fixture Data'!L:L,L991)</f>
        <v>0</v>
      </c>
      <c r="P991" s="1049"/>
      <c r="Q991" s="116"/>
      <c r="R991" s="1045"/>
      <c r="S991" s="618"/>
      <c r="T991" s="225"/>
      <c r="U991" s="618"/>
      <c r="V991" s="1045"/>
      <c r="W991" s="1046"/>
    </row>
    <row r="992" spans="3:23" x14ac:dyDescent="0.3">
      <c r="C992" s="651" t="str">
        <f>D992</f>
        <v>Maintenance &amp; Services</v>
      </c>
      <c r="D992" s="566" t="s">
        <v>419</v>
      </c>
      <c r="E992" s="619" t="str">
        <f>G992</f>
        <v>Maintenance &amp; Services</v>
      </c>
      <c r="F992" s="565" t="str">
        <f>VLOOKUP(E992,'Airport Mapping'!$C$5:$D$39,2,FALSE)</f>
        <v xml:space="preserve"> </v>
      </c>
      <c r="G992" s="494" t="s">
        <v>419</v>
      </c>
      <c r="H992" s="651" t="str">
        <f>I992</f>
        <v>Restrooms</v>
      </c>
      <c r="I992" s="454" t="s">
        <v>37</v>
      </c>
      <c r="J992" s="567" t="s">
        <v>2</v>
      </c>
      <c r="K992" s="577" t="s">
        <v>6</v>
      </c>
      <c r="L992" s="1028" t="s">
        <v>64</v>
      </c>
      <c r="M992" s="1036">
        <f>SUMIFS('Level of Efficiency Assumptions'!$J:$J,'Level of Efficiency Assumptions'!$D:$D,I992,'Level of Efficiency Assumptions'!$F:$F,J992,'Level of Efficiency Assumptions'!$I:$I,'Water Use Calcs'!L992)</f>
        <v>3.5</v>
      </c>
      <c r="N992" s="567" t="s">
        <v>68</v>
      </c>
      <c r="O992" s="1048">
        <f>SUMIFS('Detailed Fixture Data'!O:O,'Detailed Fixture Data'!C:C,G992,'Detailed Fixture Data'!E:E,I992,'Detailed Fixture Data'!F:F,J992,'Detailed Fixture Data'!L:L,L992)</f>
        <v>0</v>
      </c>
      <c r="P992" s="1030">
        <f>SUMIFS('Intensity of Use Assumptions'!$J:$J,'Intensity of Use Assumptions'!$D:$D,I992,'Intensity of Use Assumptions'!$G:$G,J992,'Intensity of Use Assumptions'!H:H,K992)</f>
        <v>2.5</v>
      </c>
      <c r="Q992" s="567" t="s">
        <v>67</v>
      </c>
      <c r="R992" s="1032">
        <f>(SUMPRODUCT(M992:M994,O992:O994)*P992)</f>
        <v>0</v>
      </c>
      <c r="S992" s="1033">
        <f>IF(R992=0,0,M994*P992)</f>
        <v>0</v>
      </c>
      <c r="T992" s="225" t="str">
        <f>G992&amp;"-"&amp;J992</f>
        <v>Maintenance &amp; Services-Toilets</v>
      </c>
      <c r="U992" s="1034">
        <f ca="1">IF(ISNA(VLOOKUP(T992,list!$AV$3:$AW$130,2,FALSE)),1,(VLOOKUP(T992,list!$AV$3:$AW$130,2,FALSE)))</f>
        <v>1</v>
      </c>
      <c r="V992" s="1033">
        <f ca="1">R992*U992</f>
        <v>0</v>
      </c>
      <c r="W992" s="1033">
        <f ca="1">S992*U992</f>
        <v>0</v>
      </c>
    </row>
    <row r="993" spans="3:23" x14ac:dyDescent="0.3">
      <c r="C993" s="576"/>
      <c r="D993" s="494" t="s">
        <v>419</v>
      </c>
      <c r="E993" s="494"/>
      <c r="F993" s="182"/>
      <c r="G993" s="494" t="s">
        <v>419</v>
      </c>
      <c r="H993" s="577"/>
      <c r="I993" s="450" t="s">
        <v>37</v>
      </c>
      <c r="J993" s="577" t="s">
        <v>2</v>
      </c>
      <c r="K993" s="577"/>
      <c r="L993" s="1035" t="s">
        <v>65</v>
      </c>
      <c r="M993" s="1036">
        <f>SUMIFS('Level of Efficiency Assumptions'!$J:$J,'Level of Efficiency Assumptions'!$D:$D,I993,'Level of Efficiency Assumptions'!$F:$F,J993,'Level of Efficiency Assumptions'!$I:$I,'Water Use Calcs'!L993)</f>
        <v>1.6</v>
      </c>
      <c r="N993" s="577"/>
      <c r="O993" s="1048">
        <f>SUMIFS('Detailed Fixture Data'!O:O,'Detailed Fixture Data'!C:C,G993,'Detailed Fixture Data'!E:E,I993,'Detailed Fixture Data'!F:F,J993,'Detailed Fixture Data'!L:L,L993)</f>
        <v>0</v>
      </c>
      <c r="P993" s="1049"/>
      <c r="Q993" s="577"/>
      <c r="R993" s="1039"/>
      <c r="S993" s="521"/>
      <c r="T993" s="225"/>
      <c r="U993" s="521"/>
      <c r="V993" s="1040"/>
      <c r="W993" s="1041"/>
    </row>
    <row r="994" spans="3:23" ht="15" thickBot="1" x14ac:dyDescent="0.35">
      <c r="C994" s="576"/>
      <c r="D994" s="494" t="s">
        <v>419</v>
      </c>
      <c r="E994" s="494"/>
      <c r="F994" s="182"/>
      <c r="G994" s="494" t="s">
        <v>419</v>
      </c>
      <c r="H994" s="577"/>
      <c r="I994" s="450" t="s">
        <v>37</v>
      </c>
      <c r="J994" s="116" t="s">
        <v>2</v>
      </c>
      <c r="K994" s="116"/>
      <c r="L994" s="1042" t="s">
        <v>66</v>
      </c>
      <c r="M994" s="1043">
        <f>SUMIFS('Level of Efficiency Assumptions'!$J:$J,'Level of Efficiency Assumptions'!$D:$D,I994,'Level of Efficiency Assumptions'!$F:$F,J994,'Level of Efficiency Assumptions'!$I:$I,'Water Use Calcs'!L994)</f>
        <v>1.28</v>
      </c>
      <c r="N994" s="577"/>
      <c r="O994" s="1048">
        <f>SUMIFS('Detailed Fixture Data'!O:O,'Detailed Fixture Data'!C:C,G994,'Detailed Fixture Data'!E:E,I994,'Detailed Fixture Data'!F:F,J994,'Detailed Fixture Data'!L:L,L994)</f>
        <v>0</v>
      </c>
      <c r="P994" s="1049"/>
      <c r="Q994" s="577"/>
      <c r="R994" s="1039"/>
      <c r="S994" s="618"/>
      <c r="T994" s="225"/>
      <c r="U994" s="618"/>
      <c r="V994" s="1045"/>
      <c r="W994" s="1046"/>
    </row>
    <row r="995" spans="3:23" x14ac:dyDescent="0.3">
      <c r="C995" s="576"/>
      <c r="D995" s="494" t="s">
        <v>419</v>
      </c>
      <c r="E995" s="494"/>
      <c r="F995" s="182"/>
      <c r="G995" s="494" t="s">
        <v>419</v>
      </c>
      <c r="H995" s="577"/>
      <c r="I995" s="450" t="s">
        <v>37</v>
      </c>
      <c r="J995" s="577" t="s">
        <v>4</v>
      </c>
      <c r="K995" s="577" t="s">
        <v>6</v>
      </c>
      <c r="L995" s="1047" t="s">
        <v>64</v>
      </c>
      <c r="M995" s="1036">
        <f>SUMIFS('Level of Efficiency Assumptions'!$J:$J,'Level of Efficiency Assumptions'!$D:$D,I995,'Level of Efficiency Assumptions'!$F:$F,J995,'Level of Efficiency Assumptions'!$I:$I,'Water Use Calcs'!L995)</f>
        <v>2</v>
      </c>
      <c r="N995" s="567" t="s">
        <v>68</v>
      </c>
      <c r="O995" s="1048">
        <f>SUMIFS('Detailed Fixture Data'!O:O,'Detailed Fixture Data'!C:C,G995,'Detailed Fixture Data'!E:E,I995,'Detailed Fixture Data'!F:F,J995,'Detailed Fixture Data'!L:L,L995)</f>
        <v>0</v>
      </c>
      <c r="P995" s="1030">
        <f>SUMIFS('Intensity of Use Assumptions'!$J:$J,'Intensity of Use Assumptions'!$D:$D,I995,'Intensity of Use Assumptions'!$G:$G,J995,'Intensity of Use Assumptions'!H:H,K995)</f>
        <v>1.5</v>
      </c>
      <c r="Q995" s="567" t="s">
        <v>67</v>
      </c>
      <c r="R995" s="1032">
        <f>(SUMPRODUCT(M995:M997,O995:O997)*P995)</f>
        <v>0</v>
      </c>
      <c r="S995" s="1033">
        <f>IF(R995=0,0,M997*P995)</f>
        <v>0</v>
      </c>
      <c r="T995" s="225" t="str">
        <f>G995&amp;"-"&amp;J995</f>
        <v>Maintenance &amp; Services-Urinals</v>
      </c>
      <c r="U995" s="1034">
        <f ca="1">IF(ISNA(VLOOKUP(T995,list!$AV$3:$AW$130,2,FALSE)),1,(VLOOKUP(T995,list!$AV$3:$AW$130,2,FALSE)))</f>
        <v>1</v>
      </c>
      <c r="V995" s="1033">
        <f ca="1">R995*U995</f>
        <v>0</v>
      </c>
      <c r="W995" s="1033">
        <f ca="1">S995*U995</f>
        <v>0</v>
      </c>
    </row>
    <row r="996" spans="3:23" x14ac:dyDescent="0.3">
      <c r="C996" s="576"/>
      <c r="D996" s="494" t="s">
        <v>419</v>
      </c>
      <c r="E996" s="494"/>
      <c r="F996" s="182"/>
      <c r="G996" s="494" t="s">
        <v>419</v>
      </c>
      <c r="H996" s="577"/>
      <c r="I996" s="450" t="s">
        <v>37</v>
      </c>
      <c r="J996" s="577" t="s">
        <v>4</v>
      </c>
      <c r="K996" s="577"/>
      <c r="L996" s="1035" t="s">
        <v>65</v>
      </c>
      <c r="M996" s="1036">
        <f>SUMIFS('Level of Efficiency Assumptions'!$J:$J,'Level of Efficiency Assumptions'!$D:$D,I996,'Level of Efficiency Assumptions'!$F:$F,J996,'Level of Efficiency Assumptions'!$I:$I,'Water Use Calcs'!L996)</f>
        <v>1</v>
      </c>
      <c r="N996" s="577"/>
      <c r="O996" s="1048">
        <f>SUMIFS('Detailed Fixture Data'!O:O,'Detailed Fixture Data'!C:C,G996,'Detailed Fixture Data'!E:E,I996,'Detailed Fixture Data'!F:F,J996,'Detailed Fixture Data'!L:L,L996)</f>
        <v>0</v>
      </c>
      <c r="P996" s="1049"/>
      <c r="Q996" s="577"/>
      <c r="R996" s="1039"/>
      <c r="S996" s="521"/>
      <c r="T996" s="225"/>
      <c r="U996" s="521"/>
      <c r="V996" s="1040"/>
      <c r="W996" s="1041"/>
    </row>
    <row r="997" spans="3:23" ht="15" thickBot="1" x14ac:dyDescent="0.35">
      <c r="C997" s="576"/>
      <c r="D997" s="494" t="s">
        <v>419</v>
      </c>
      <c r="E997" s="494"/>
      <c r="F997" s="182"/>
      <c r="G997" s="494" t="s">
        <v>419</v>
      </c>
      <c r="H997" s="577"/>
      <c r="I997" s="450" t="s">
        <v>37</v>
      </c>
      <c r="J997" s="116" t="s">
        <v>4</v>
      </c>
      <c r="K997" s="116"/>
      <c r="L997" s="1042" t="s">
        <v>66</v>
      </c>
      <c r="M997" s="1043">
        <f>SUMIFS('Level of Efficiency Assumptions'!$J:$J,'Level of Efficiency Assumptions'!$D:$D,I997,'Level of Efficiency Assumptions'!$F:$F,J997,'Level of Efficiency Assumptions'!$I:$I,'Water Use Calcs'!L997)</f>
        <v>0.125</v>
      </c>
      <c r="N997" s="577"/>
      <c r="O997" s="1048">
        <f>SUMIFS('Detailed Fixture Data'!O:O,'Detailed Fixture Data'!C:C,G997,'Detailed Fixture Data'!E:E,I997,'Detailed Fixture Data'!F:F,J997,'Detailed Fixture Data'!L:L,L997)</f>
        <v>0</v>
      </c>
      <c r="P997" s="1049"/>
      <c r="Q997" s="577"/>
      <c r="R997" s="1039"/>
      <c r="S997" s="618"/>
      <c r="T997" s="225"/>
      <c r="U997" s="618"/>
      <c r="V997" s="1045"/>
      <c r="W997" s="1046"/>
    </row>
    <row r="998" spans="3:23" x14ac:dyDescent="0.3">
      <c r="C998" s="576"/>
      <c r="D998" s="494" t="s">
        <v>419</v>
      </c>
      <c r="E998" s="494"/>
      <c r="F998" s="182"/>
      <c r="G998" s="494" t="s">
        <v>419</v>
      </c>
      <c r="H998" s="577"/>
      <c r="I998" s="450" t="s">
        <v>37</v>
      </c>
      <c r="J998" s="577" t="s">
        <v>33</v>
      </c>
      <c r="K998" s="577" t="s">
        <v>6</v>
      </c>
      <c r="L998" s="1047" t="s">
        <v>64</v>
      </c>
      <c r="M998" s="1036">
        <f>SUMIFS('Level of Efficiency Assumptions'!$J:$J,'Level of Efficiency Assumptions'!$D:$D,I998,'Level of Efficiency Assumptions'!$F:$F,J998,'Level of Efficiency Assumptions'!$I:$I,'Water Use Calcs'!L998)</f>
        <v>2</v>
      </c>
      <c r="N998" s="567" t="s">
        <v>78</v>
      </c>
      <c r="O998" s="1048">
        <f>SUMIFS('Detailed Fixture Data'!O:O,'Detailed Fixture Data'!C:C,G998,'Detailed Fixture Data'!E:E,I998,'Detailed Fixture Data'!F:F,J998,'Detailed Fixture Data'!L:L,L998)</f>
        <v>0</v>
      </c>
      <c r="P998" s="1030">
        <f>SUMIFS('Intensity of Use Assumptions'!$J:$J,'Intensity of Use Assumptions'!$D:$D,I998,'Intensity of Use Assumptions'!$G:$G,J998,'Intensity of Use Assumptions'!H:H,K998)</f>
        <v>0.66666666666666663</v>
      </c>
      <c r="Q998" s="567" t="s">
        <v>133</v>
      </c>
      <c r="R998" s="1032">
        <f>(SUMPRODUCT(M998:M1000,O998:O1000)*P998)</f>
        <v>0</v>
      </c>
      <c r="S998" s="1033">
        <f>IF(R998=0,0,M1000*P998)</f>
        <v>0</v>
      </c>
      <c r="T998" s="225" t="str">
        <f>G998&amp;"-"&amp;J998</f>
        <v>Maintenance &amp; Services-Faucets</v>
      </c>
      <c r="U998" s="1034">
        <f ca="1">IF(ISNA(VLOOKUP(T998,list!$AV$3:$AW$130,2,FALSE)),1,(VLOOKUP(T998,list!$AV$3:$AW$130,2,FALSE)))</f>
        <v>1</v>
      </c>
      <c r="V998" s="1033">
        <f ca="1">R998*U998</f>
        <v>0</v>
      </c>
      <c r="W998" s="1033">
        <f ca="1">S998*U998</f>
        <v>0</v>
      </c>
    </row>
    <row r="999" spans="3:23" x14ac:dyDescent="0.3">
      <c r="C999" s="576"/>
      <c r="D999" s="494" t="s">
        <v>419</v>
      </c>
      <c r="E999" s="494"/>
      <c r="F999" s="182"/>
      <c r="G999" s="494" t="s">
        <v>419</v>
      </c>
      <c r="H999" s="577"/>
      <c r="I999" s="450" t="s">
        <v>37</v>
      </c>
      <c r="J999" s="577" t="s">
        <v>33</v>
      </c>
      <c r="K999" s="577"/>
      <c r="L999" s="1035" t="s">
        <v>65</v>
      </c>
      <c r="M999" s="1036">
        <f>SUMIFS('Level of Efficiency Assumptions'!$J:$J,'Level of Efficiency Assumptions'!$D:$D,I999,'Level of Efficiency Assumptions'!$F:$F,J999,'Level of Efficiency Assumptions'!$I:$I,'Water Use Calcs'!L999)</f>
        <v>1</v>
      </c>
      <c r="N999" s="577"/>
      <c r="O999" s="1048">
        <f>SUMIFS('Detailed Fixture Data'!O:O,'Detailed Fixture Data'!C:C,G999,'Detailed Fixture Data'!E:E,I999,'Detailed Fixture Data'!F:F,J999,'Detailed Fixture Data'!L:L,L999)</f>
        <v>0</v>
      </c>
      <c r="P999" s="1049"/>
      <c r="Q999" s="577"/>
      <c r="R999" s="1039"/>
      <c r="S999" s="521"/>
      <c r="T999" s="225"/>
      <c r="U999" s="521"/>
      <c r="V999" s="1040"/>
      <c r="W999" s="1041"/>
    </row>
    <row r="1000" spans="3:23" ht="15" thickBot="1" x14ac:dyDescent="0.35">
      <c r="C1000" s="576"/>
      <c r="D1000" s="494" t="s">
        <v>419</v>
      </c>
      <c r="E1000" s="494"/>
      <c r="F1000" s="182"/>
      <c r="G1000" s="494" t="s">
        <v>419</v>
      </c>
      <c r="H1000" s="577"/>
      <c r="I1000" s="451" t="s">
        <v>37</v>
      </c>
      <c r="J1000" s="116" t="s">
        <v>33</v>
      </c>
      <c r="K1000" s="116"/>
      <c r="L1000" s="1042" t="s">
        <v>66</v>
      </c>
      <c r="M1000" s="1043">
        <f>SUMIFS('Level of Efficiency Assumptions'!$J:$J,'Level of Efficiency Assumptions'!$D:$D,I1000,'Level of Efficiency Assumptions'!$F:$F,J1000,'Level of Efficiency Assumptions'!$I:$I,'Water Use Calcs'!L1000)</f>
        <v>0.5</v>
      </c>
      <c r="N1000" s="577"/>
      <c r="O1000" s="1048">
        <f>SUMIFS('Detailed Fixture Data'!O:O,'Detailed Fixture Data'!C:C,G1000,'Detailed Fixture Data'!E:E,I1000,'Detailed Fixture Data'!F:F,J1000,'Detailed Fixture Data'!L:L,L1000)</f>
        <v>0</v>
      </c>
      <c r="P1000" s="1049"/>
      <c r="Q1000" s="577"/>
      <c r="R1000" s="1039"/>
      <c r="S1000" s="618"/>
      <c r="T1000" s="225"/>
      <c r="U1000" s="618"/>
      <c r="V1000" s="1045"/>
      <c r="W1000" s="1046"/>
    </row>
    <row r="1001" spans="3:23" x14ac:dyDescent="0.3">
      <c r="C1001" s="576"/>
      <c r="D1001" s="494" t="s">
        <v>419</v>
      </c>
      <c r="E1001" s="494"/>
      <c r="F1001" s="182"/>
      <c r="G1001" s="494" t="s">
        <v>419</v>
      </c>
      <c r="H1001" s="651" t="str">
        <f>I1001</f>
        <v>Break rooms</v>
      </c>
      <c r="I1001" s="450" t="s">
        <v>5</v>
      </c>
      <c r="J1001" s="577" t="s">
        <v>33</v>
      </c>
      <c r="K1001" s="577" t="s">
        <v>6</v>
      </c>
      <c r="L1001" s="1047" t="s">
        <v>64</v>
      </c>
      <c r="M1001" s="1036">
        <f>SUMIFS('Level of Efficiency Assumptions'!$J:$J,'Level of Efficiency Assumptions'!$D:$D,I1001,'Level of Efficiency Assumptions'!$F:$F,J1001,'Level of Efficiency Assumptions'!$I:$I,'Water Use Calcs'!L1001)</f>
        <v>2</v>
      </c>
      <c r="N1001" s="567" t="s">
        <v>78</v>
      </c>
      <c r="O1001" s="1048">
        <f>SUMIFS('Detailed Fixture Data'!O:O,'Detailed Fixture Data'!C:C,G1001,'Detailed Fixture Data'!E:E,I1001,'Detailed Fixture Data'!F:F,J1001,'Detailed Fixture Data'!L:L,L1001)</f>
        <v>0</v>
      </c>
      <c r="P1001" s="1030">
        <f>SUMIFS('Intensity of Use Assumptions'!$J:$J,'Intensity of Use Assumptions'!$D:$D,I1001,'Intensity of Use Assumptions'!$G:$G,J1001,'Intensity of Use Assumptions'!H:H,K1001)</f>
        <v>0.16666666666666666</v>
      </c>
      <c r="Q1001" s="567" t="s">
        <v>133</v>
      </c>
      <c r="R1001" s="1032">
        <f>(SUMPRODUCT(M1001:M1003,O1001:O1003)*P1001)</f>
        <v>0</v>
      </c>
      <c r="S1001" s="1033">
        <f>IF(R1001=0,0,M1003*P1001)</f>
        <v>0</v>
      </c>
      <c r="T1001" s="225" t="str">
        <f>G1001&amp;"-"&amp;J1001</f>
        <v>Maintenance &amp; Services-Faucets</v>
      </c>
      <c r="U1001" s="1034">
        <f ca="1">IF(ISNA(VLOOKUP(T1001,list!$AV$3:$AW$130,2,FALSE)),1,(VLOOKUP(T1001,list!$AV$3:$AW$130,2,FALSE)))</f>
        <v>1</v>
      </c>
      <c r="V1001" s="1033">
        <f ca="1">R1001*U1001</f>
        <v>0</v>
      </c>
      <c r="W1001" s="1033">
        <f ca="1">S1001*U1001</f>
        <v>0</v>
      </c>
    </row>
    <row r="1002" spans="3:23" x14ac:dyDescent="0.3">
      <c r="C1002" s="576"/>
      <c r="D1002" s="494" t="s">
        <v>419</v>
      </c>
      <c r="E1002" s="494"/>
      <c r="F1002" s="182"/>
      <c r="G1002" s="494" t="s">
        <v>419</v>
      </c>
      <c r="H1002" s="577"/>
      <c r="I1002" s="450" t="s">
        <v>5</v>
      </c>
      <c r="J1002" s="577" t="s">
        <v>33</v>
      </c>
      <c r="K1002" s="577"/>
      <c r="L1002" s="1035" t="s">
        <v>65</v>
      </c>
      <c r="M1002" s="1036">
        <f>SUMIFS('Level of Efficiency Assumptions'!$J:$J,'Level of Efficiency Assumptions'!$D:$D,I1002,'Level of Efficiency Assumptions'!$F:$F,J1002,'Level of Efficiency Assumptions'!$I:$I,'Water Use Calcs'!L1002)</f>
        <v>1</v>
      </c>
      <c r="N1002" s="577"/>
      <c r="O1002" s="1048">
        <f>SUMIFS('Detailed Fixture Data'!O:O,'Detailed Fixture Data'!C:C,G1002,'Detailed Fixture Data'!E:E,I1002,'Detailed Fixture Data'!F:F,J1002,'Detailed Fixture Data'!L:L,L1002)</f>
        <v>0</v>
      </c>
      <c r="P1002" s="1049"/>
      <c r="Q1002" s="577"/>
      <c r="R1002" s="1039"/>
      <c r="S1002" s="521"/>
      <c r="T1002" s="225"/>
      <c r="U1002" s="521"/>
      <c r="V1002" s="1040"/>
      <c r="W1002" s="1041"/>
    </row>
    <row r="1003" spans="3:23" ht="15" thickBot="1" x14ac:dyDescent="0.35">
      <c r="C1003" s="576"/>
      <c r="D1003" s="494" t="s">
        <v>419</v>
      </c>
      <c r="E1003" s="494"/>
      <c r="F1003" s="182"/>
      <c r="G1003" s="494" t="s">
        <v>419</v>
      </c>
      <c r="H1003" s="577"/>
      <c r="I1003" s="451" t="s">
        <v>5</v>
      </c>
      <c r="J1003" s="116" t="s">
        <v>33</v>
      </c>
      <c r="K1003" s="116"/>
      <c r="L1003" s="1042" t="s">
        <v>66</v>
      </c>
      <c r="M1003" s="1043">
        <f>SUMIFS('Level of Efficiency Assumptions'!$J:$J,'Level of Efficiency Assumptions'!$D:$D,I1003,'Level of Efficiency Assumptions'!$F:$F,J1003,'Level of Efficiency Assumptions'!$I:$I,'Water Use Calcs'!L1003)</f>
        <v>0.5</v>
      </c>
      <c r="N1003" s="577"/>
      <c r="O1003" s="1048">
        <f>SUMIFS('Detailed Fixture Data'!O:O,'Detailed Fixture Data'!C:C,G1003,'Detailed Fixture Data'!E:E,I1003,'Detailed Fixture Data'!F:F,J1003,'Detailed Fixture Data'!L:L,L1003)</f>
        <v>0</v>
      </c>
      <c r="P1003" s="1049"/>
      <c r="Q1003" s="577"/>
      <c r="R1003" s="1039"/>
      <c r="S1003" s="618"/>
      <c r="T1003" s="225"/>
      <c r="U1003" s="618"/>
      <c r="V1003" s="1045"/>
      <c r="W1003" s="1046"/>
    </row>
    <row r="1004" spans="3:23" x14ac:dyDescent="0.3">
      <c r="C1004" s="576"/>
      <c r="D1004" s="494" t="s">
        <v>419</v>
      </c>
      <c r="E1004" s="494"/>
      <c r="F1004" s="182"/>
      <c r="G1004" s="494" t="s">
        <v>419</v>
      </c>
      <c r="H1004" s="651" t="str">
        <f>I1004</f>
        <v>Maintenance</v>
      </c>
      <c r="I1004" s="454" t="s">
        <v>43</v>
      </c>
      <c r="J1004" s="567" t="s">
        <v>426</v>
      </c>
      <c r="K1004" s="567" t="s">
        <v>10</v>
      </c>
      <c r="L1004" s="1028" t="s">
        <v>64</v>
      </c>
      <c r="M1004" s="1036">
        <f>SUMIFS('Level of Efficiency Assumptions'!$J:$J,'Level of Efficiency Assumptions'!$D:$D,I1004,'Level of Efficiency Assumptions'!$F:$F,J1004,'Level of Efficiency Assumptions'!$I:$I,'Water Use Calcs'!L1004)</f>
        <v>10</v>
      </c>
      <c r="N1004" s="567" t="s">
        <v>659</v>
      </c>
      <c r="O1004" s="1048">
        <f>SUMIFS('Detailed Fixture Data'!O:O,'Detailed Fixture Data'!C:C,G1004,'Detailed Fixture Data'!E:E,I1004,'Detailed Fixture Data'!F:F,J1004,'Detailed Fixture Data'!L:L,L1004)</f>
        <v>0</v>
      </c>
      <c r="P1004" s="1062">
        <f>SUMIFS('Intensity of Use Assumptions'!$J:$J,'Intensity of Use Assumptions'!$D:$D,I1004,'Intensity of Use Assumptions'!$G:$G,J1004,'Intensity of Use Assumptions'!H:H,K1004)</f>
        <v>2E-3</v>
      </c>
      <c r="Q1004" s="567" t="s">
        <v>67</v>
      </c>
      <c r="R1004" s="1032">
        <f>(SUMPRODUCT(M1004:M1006,O1004:O1006)*P1004)</f>
        <v>0</v>
      </c>
      <c r="S1004" s="1033">
        <f>IF(R1004=0,0,M1006*P1004)</f>
        <v>0</v>
      </c>
      <c r="T1004" s="225" t="str">
        <f>G1004&amp;"-"&amp;J1004</f>
        <v>Maintenance &amp; Services-Pavement cleaning</v>
      </c>
      <c r="U1004" s="1034">
        <f ca="1">IF(ISNA(VLOOKUP(T1004,list!$AV$3:$AW$130,2,FALSE)),1,(VLOOKUP(T1004,list!$AV$3:$AW$130,2,FALSE)))</f>
        <v>1</v>
      </c>
      <c r="V1004" s="1033">
        <f ca="1">R1004*U1004</f>
        <v>0</v>
      </c>
      <c r="W1004" s="1033">
        <f ca="1">S1004*U1004</f>
        <v>0</v>
      </c>
    </row>
    <row r="1005" spans="3:23" x14ac:dyDescent="0.3">
      <c r="C1005" s="576"/>
      <c r="D1005" s="494" t="s">
        <v>419</v>
      </c>
      <c r="E1005" s="494"/>
      <c r="F1005" s="182"/>
      <c r="G1005" s="494" t="s">
        <v>419</v>
      </c>
      <c r="H1005" s="577"/>
      <c r="I1005" s="450" t="s">
        <v>43</v>
      </c>
      <c r="J1005" s="577" t="s">
        <v>426</v>
      </c>
      <c r="K1005" s="577"/>
      <c r="L1005" s="1035" t="s">
        <v>65</v>
      </c>
      <c r="M1005" s="1036">
        <f>SUMIFS('Level of Efficiency Assumptions'!$J:$J,'Level of Efficiency Assumptions'!$D:$D,I1005,'Level of Efficiency Assumptions'!$F:$F,J1005,'Level of Efficiency Assumptions'!$I:$I,'Water Use Calcs'!L1005)</f>
        <v>7.5</v>
      </c>
      <c r="N1005" s="577"/>
      <c r="O1005" s="1048">
        <f>SUMIFS('Detailed Fixture Data'!O:O,'Detailed Fixture Data'!C:C,G1005,'Detailed Fixture Data'!E:E,I1005,'Detailed Fixture Data'!F:F,J1005,'Detailed Fixture Data'!L:L,L1005)</f>
        <v>0</v>
      </c>
      <c r="P1005" s="1049"/>
      <c r="Q1005" s="577"/>
      <c r="R1005" s="1039"/>
      <c r="S1005" s="521"/>
      <c r="T1005" s="225"/>
      <c r="U1005" s="521"/>
      <c r="V1005" s="1040"/>
      <c r="W1005" s="1041"/>
    </row>
    <row r="1006" spans="3:23" ht="15" thickBot="1" x14ac:dyDescent="0.35">
      <c r="C1006" s="576"/>
      <c r="D1006" s="494" t="s">
        <v>419</v>
      </c>
      <c r="E1006" s="494"/>
      <c r="F1006" s="182"/>
      <c r="G1006" s="494" t="s">
        <v>419</v>
      </c>
      <c r="H1006" s="577"/>
      <c r="I1006" s="450" t="s">
        <v>43</v>
      </c>
      <c r="J1006" s="116" t="s">
        <v>426</v>
      </c>
      <c r="K1006" s="116"/>
      <c r="L1006" s="1042" t="s">
        <v>66</v>
      </c>
      <c r="M1006" s="1043">
        <f>SUMIFS('Level of Efficiency Assumptions'!$J:$J,'Level of Efficiency Assumptions'!$D:$D,I1006,'Level of Efficiency Assumptions'!$F:$F,J1006,'Level of Efficiency Assumptions'!$I:$I,'Water Use Calcs'!L1006)</f>
        <v>5</v>
      </c>
      <c r="N1006" s="577"/>
      <c r="O1006" s="1048">
        <f>SUMIFS('Detailed Fixture Data'!O:O,'Detailed Fixture Data'!C:C,G1006,'Detailed Fixture Data'!E:E,I1006,'Detailed Fixture Data'!F:F,J1006,'Detailed Fixture Data'!L:L,L1006)</f>
        <v>0</v>
      </c>
      <c r="P1006" s="1049"/>
      <c r="Q1006" s="577"/>
      <c r="R1006" s="1039"/>
      <c r="S1006" s="618"/>
      <c r="T1006" s="225"/>
      <c r="U1006" s="618"/>
      <c r="V1006" s="1045"/>
      <c r="W1006" s="1046"/>
    </row>
    <row r="1007" spans="3:23" x14ac:dyDescent="0.3">
      <c r="C1007" s="576"/>
      <c r="D1007" s="494" t="s">
        <v>419</v>
      </c>
      <c r="E1007" s="494"/>
      <c r="F1007" s="182"/>
      <c r="G1007" s="494" t="s">
        <v>419</v>
      </c>
      <c r="H1007" s="577"/>
      <c r="I1007" s="450" t="s">
        <v>43</v>
      </c>
      <c r="J1007" s="577" t="s">
        <v>24</v>
      </c>
      <c r="K1007" s="577" t="s">
        <v>10</v>
      </c>
      <c r="L1007" s="1047" t="s">
        <v>64</v>
      </c>
      <c r="M1007" s="1036">
        <f>SUMIFS('Level of Efficiency Assumptions'!$J:$J,'Level of Efficiency Assumptions'!$D:$D,I1007,'Level of Efficiency Assumptions'!$F:$F,J1007,'Level of Efficiency Assumptions'!$I:$I,'Water Use Calcs'!L1007)</f>
        <v>10</v>
      </c>
      <c r="N1007" s="567" t="s">
        <v>588</v>
      </c>
      <c r="O1007" s="1048">
        <f>SUMIFS('Detailed Fixture Data'!O:O,'Detailed Fixture Data'!C:C,G1007,'Detailed Fixture Data'!E:E,I1007,'Detailed Fixture Data'!F:F,J1007,'Detailed Fixture Data'!L:L,L1007)</f>
        <v>0</v>
      </c>
      <c r="P1007" s="1030">
        <f>SUMIFS('Intensity of Use Assumptions'!$J:$J,'Intensity of Use Assumptions'!$D:$D,I1007,'Intensity of Use Assumptions'!$G:$G,J1007,'Intensity of Use Assumptions'!H:H,K1007)</f>
        <v>1</v>
      </c>
      <c r="Q1007" s="567" t="s">
        <v>67</v>
      </c>
      <c r="R1007" s="1032">
        <f>(SUMPRODUCT(M1007:M1009,O1007:O1009)*P1007)</f>
        <v>0</v>
      </c>
      <c r="S1007" s="1033">
        <f>IF(R1007=0,0,M1009*P1007)</f>
        <v>0</v>
      </c>
      <c r="T1007" s="225" t="str">
        <f>G1007&amp;"-"&amp;J1007</f>
        <v>Maintenance &amp; Services-Snow removal</v>
      </c>
      <c r="U1007" s="1034">
        <f ca="1">IF(ISNA(VLOOKUP(T1007,list!$AV$3:$AW$130,2,FALSE)),1,(VLOOKUP(T1007,list!$AV$3:$AW$130,2,FALSE)))</f>
        <v>1</v>
      </c>
      <c r="V1007" s="1033">
        <f ca="1">R1007*U1007</f>
        <v>0</v>
      </c>
      <c r="W1007" s="1033">
        <f ca="1">S1007*U1007</f>
        <v>0</v>
      </c>
    </row>
    <row r="1008" spans="3:23" x14ac:dyDescent="0.3">
      <c r="C1008" s="576"/>
      <c r="D1008" s="494" t="s">
        <v>419</v>
      </c>
      <c r="E1008" s="494"/>
      <c r="F1008" s="182"/>
      <c r="G1008" s="494" t="s">
        <v>419</v>
      </c>
      <c r="H1008" s="577"/>
      <c r="I1008" s="450" t="s">
        <v>43</v>
      </c>
      <c r="J1008" s="577" t="s">
        <v>24</v>
      </c>
      <c r="K1008" s="577"/>
      <c r="L1008" s="1035" t="s">
        <v>65</v>
      </c>
      <c r="M1008" s="1036">
        <f>SUMIFS('Level of Efficiency Assumptions'!$J:$J,'Level of Efficiency Assumptions'!$D:$D,I1008,'Level of Efficiency Assumptions'!$F:$F,J1008,'Level of Efficiency Assumptions'!$I:$I,'Water Use Calcs'!L1008)</f>
        <v>7.5</v>
      </c>
      <c r="N1008" s="577"/>
      <c r="O1008" s="1048">
        <f>SUMIFS('Detailed Fixture Data'!O:O,'Detailed Fixture Data'!C:C,G1008,'Detailed Fixture Data'!E:E,I1008,'Detailed Fixture Data'!F:F,J1008,'Detailed Fixture Data'!L:L,L1008)</f>
        <v>0</v>
      </c>
      <c r="P1008" s="1049"/>
      <c r="Q1008" s="577"/>
      <c r="R1008" s="1039"/>
      <c r="S1008" s="521"/>
      <c r="T1008" s="225"/>
      <c r="U1008" s="521"/>
      <c r="V1008" s="1040"/>
      <c r="W1008" s="1041"/>
    </row>
    <row r="1009" spans="3:23" ht="15" thickBot="1" x14ac:dyDescent="0.35">
      <c r="C1009" s="576"/>
      <c r="D1009" s="494" t="s">
        <v>419</v>
      </c>
      <c r="E1009" s="494"/>
      <c r="F1009" s="182"/>
      <c r="G1009" s="494" t="s">
        <v>419</v>
      </c>
      <c r="H1009" s="577"/>
      <c r="I1009" s="450" t="s">
        <v>43</v>
      </c>
      <c r="J1009" s="116" t="s">
        <v>24</v>
      </c>
      <c r="K1009" s="116"/>
      <c r="L1009" s="1042" t="s">
        <v>66</v>
      </c>
      <c r="M1009" s="1043">
        <f>SUMIFS('Level of Efficiency Assumptions'!$J:$J,'Level of Efficiency Assumptions'!$D:$D,I1009,'Level of Efficiency Assumptions'!$F:$F,J1009,'Level of Efficiency Assumptions'!$I:$I,'Water Use Calcs'!L1009)</f>
        <v>5</v>
      </c>
      <c r="N1009" s="577"/>
      <c r="O1009" s="1048">
        <f>SUMIFS('Detailed Fixture Data'!O:O,'Detailed Fixture Data'!C:C,G1009,'Detailed Fixture Data'!E:E,I1009,'Detailed Fixture Data'!F:F,J1009,'Detailed Fixture Data'!L:L,L1009)</f>
        <v>0</v>
      </c>
      <c r="P1009" s="1049"/>
      <c r="Q1009" s="577"/>
      <c r="R1009" s="1039"/>
      <c r="S1009" s="618"/>
      <c r="T1009" s="225"/>
      <c r="U1009" s="618"/>
      <c r="V1009" s="1045"/>
      <c r="W1009" s="1046"/>
    </row>
    <row r="1010" spans="3:23" x14ac:dyDescent="0.3">
      <c r="C1010" s="576"/>
      <c r="D1010" s="494" t="s">
        <v>419</v>
      </c>
      <c r="E1010" s="494"/>
      <c r="F1010" s="182"/>
      <c r="G1010" s="494" t="s">
        <v>419</v>
      </c>
      <c r="H1010" s="577"/>
      <c r="I1010" s="450" t="s">
        <v>43</v>
      </c>
      <c r="J1010" s="577" t="s">
        <v>25</v>
      </c>
      <c r="K1010" s="577" t="s">
        <v>10</v>
      </c>
      <c r="L1010" s="1047" t="s">
        <v>64</v>
      </c>
      <c r="M1010" s="1036">
        <f>SUMIFS('Level of Efficiency Assumptions'!$J:$J,'Level of Efficiency Assumptions'!$D:$D,I1010,'Level of Efficiency Assumptions'!$F:$F,J1010,'Level of Efficiency Assumptions'!$I:$I,'Water Use Calcs'!L1010)</f>
        <v>10</v>
      </c>
      <c r="N1010" s="567" t="s">
        <v>588</v>
      </c>
      <c r="O1010" s="1048">
        <f>SUMIFS('Detailed Fixture Data'!O:O,'Detailed Fixture Data'!C:C,G1010,'Detailed Fixture Data'!E:E,I1010,'Detailed Fixture Data'!F:F,J1010,'Detailed Fixture Data'!L:L,L1010)</f>
        <v>0</v>
      </c>
      <c r="P1010" s="1030">
        <f>SUMIFS('Intensity of Use Assumptions'!$J:$J,'Intensity of Use Assumptions'!$D:$D,I1010,'Intensity of Use Assumptions'!$G:$G,J1010,'Intensity of Use Assumptions'!H:H,K1010)</f>
        <v>1</v>
      </c>
      <c r="Q1010" s="567" t="s">
        <v>67</v>
      </c>
      <c r="R1010" s="1032">
        <f>(SUMPRODUCT(M1010:M1012,O1010:O1012)*P1010)</f>
        <v>0</v>
      </c>
      <c r="S1010" s="1033">
        <f>IF(R1010=0,0,M1012*P1010)</f>
        <v>0</v>
      </c>
      <c r="T1010" s="225" t="str">
        <f>G1010&amp;"-"&amp;J1010</f>
        <v>Maintenance &amp; Services-Fleet vehicle washing</v>
      </c>
      <c r="U1010" s="1034">
        <f ca="1">IF(ISNA(VLOOKUP(T1010,list!$AV$3:$AW$130,2,FALSE)),1,(VLOOKUP(T1010,list!$AV$3:$AW$130,2,FALSE)))</f>
        <v>1</v>
      </c>
      <c r="V1010" s="1033">
        <f ca="1">R1010*U1010</f>
        <v>0</v>
      </c>
      <c r="W1010" s="1033">
        <f ca="1">S1010*U1010</f>
        <v>0</v>
      </c>
    </row>
    <row r="1011" spans="3:23" x14ac:dyDescent="0.3">
      <c r="C1011" s="576"/>
      <c r="D1011" s="494" t="s">
        <v>419</v>
      </c>
      <c r="E1011" s="494"/>
      <c r="F1011" s="182"/>
      <c r="G1011" s="494" t="s">
        <v>419</v>
      </c>
      <c r="H1011" s="577"/>
      <c r="I1011" s="450" t="s">
        <v>43</v>
      </c>
      <c r="J1011" s="577" t="s">
        <v>25</v>
      </c>
      <c r="K1011" s="577"/>
      <c r="L1011" s="1035" t="s">
        <v>65</v>
      </c>
      <c r="M1011" s="1036">
        <f>SUMIFS('Level of Efficiency Assumptions'!$J:$J,'Level of Efficiency Assumptions'!$D:$D,I1011,'Level of Efficiency Assumptions'!$F:$F,J1011,'Level of Efficiency Assumptions'!$I:$I,'Water Use Calcs'!L1011)</f>
        <v>7.5</v>
      </c>
      <c r="N1011" s="577"/>
      <c r="O1011" s="1048">
        <f>SUMIFS('Detailed Fixture Data'!O:O,'Detailed Fixture Data'!C:C,G1011,'Detailed Fixture Data'!E:E,I1011,'Detailed Fixture Data'!F:F,J1011,'Detailed Fixture Data'!L:L,L1011)</f>
        <v>0</v>
      </c>
      <c r="P1011" s="1049"/>
      <c r="Q1011" s="577"/>
      <c r="R1011" s="1039"/>
      <c r="S1011" s="521"/>
      <c r="T1011" s="225"/>
      <c r="U1011" s="521"/>
      <c r="V1011" s="1040"/>
      <c r="W1011" s="1041"/>
    </row>
    <row r="1012" spans="3:23" ht="15" thickBot="1" x14ac:dyDescent="0.35">
      <c r="C1012" s="576"/>
      <c r="D1012" s="494" t="s">
        <v>419</v>
      </c>
      <c r="E1012" s="494"/>
      <c r="F1012" s="182"/>
      <c r="G1012" s="494" t="s">
        <v>419</v>
      </c>
      <c r="H1012" s="577"/>
      <c r="I1012" s="450" t="s">
        <v>43</v>
      </c>
      <c r="J1012" s="116" t="s">
        <v>25</v>
      </c>
      <c r="K1012" s="116"/>
      <c r="L1012" s="1042" t="s">
        <v>66</v>
      </c>
      <c r="M1012" s="1043">
        <f>SUMIFS('Level of Efficiency Assumptions'!$J:$J,'Level of Efficiency Assumptions'!$D:$D,I1012,'Level of Efficiency Assumptions'!$F:$F,J1012,'Level of Efficiency Assumptions'!$I:$I,'Water Use Calcs'!L1012)</f>
        <v>5</v>
      </c>
      <c r="N1012" s="577"/>
      <c r="O1012" s="1048">
        <f>SUMIFS('Detailed Fixture Data'!O:O,'Detailed Fixture Data'!C:C,G1012,'Detailed Fixture Data'!E:E,I1012,'Detailed Fixture Data'!F:F,J1012,'Detailed Fixture Data'!L:L,L1012)</f>
        <v>0</v>
      </c>
      <c r="P1012" s="1049"/>
      <c r="Q1012" s="577"/>
      <c r="R1012" s="1039"/>
      <c r="S1012" s="618"/>
      <c r="T1012" s="225"/>
      <c r="U1012" s="618"/>
      <c r="V1012" s="1045"/>
      <c r="W1012" s="1046"/>
    </row>
    <row r="1013" spans="3:23" x14ac:dyDescent="0.3">
      <c r="C1013" s="576"/>
      <c r="D1013" s="494" t="s">
        <v>419</v>
      </c>
      <c r="E1013" s="494"/>
      <c r="F1013" s="182"/>
      <c r="G1013" s="494" t="s">
        <v>419</v>
      </c>
      <c r="H1013" s="577"/>
      <c r="I1013" s="450" t="s">
        <v>43</v>
      </c>
      <c r="J1013" s="577" t="s">
        <v>26</v>
      </c>
      <c r="K1013" s="577" t="s">
        <v>10</v>
      </c>
      <c r="L1013" s="1047" t="s">
        <v>64</v>
      </c>
      <c r="M1013" s="1036">
        <f>SUMIFS('Level of Efficiency Assumptions'!$J:$J,'Level of Efficiency Assumptions'!$D:$D,I1013,'Level of Efficiency Assumptions'!$F:$F,J1013,'Level of Efficiency Assumptions'!$I:$I,'Water Use Calcs'!L1013)</f>
        <v>10</v>
      </c>
      <c r="N1013" s="567" t="s">
        <v>588</v>
      </c>
      <c r="O1013" s="1048">
        <f>SUMIFS('Detailed Fixture Data'!O:O,'Detailed Fixture Data'!C:C,G1013,'Detailed Fixture Data'!E:E,I1013,'Detailed Fixture Data'!F:F,J1013,'Detailed Fixture Data'!L:L,L1013)</f>
        <v>0</v>
      </c>
      <c r="P1013" s="1030">
        <f>SUMIFS('Intensity of Use Assumptions'!$J:$J,'Intensity of Use Assumptions'!$D:$D,I1013,'Intensity of Use Assumptions'!$G:$G,J1013,'Intensity of Use Assumptions'!H:H,K1013)</f>
        <v>1</v>
      </c>
      <c r="Q1013" s="567" t="s">
        <v>67</v>
      </c>
      <c r="R1013" s="1032">
        <f>(SUMPRODUCT(M1013:M1015,O1013:O1015)*P1013)</f>
        <v>0</v>
      </c>
      <c r="S1013" s="1033">
        <f>IF(R1013=0,0,M1015*P1013)</f>
        <v>0</v>
      </c>
      <c r="T1013" s="225" t="str">
        <f>G1013&amp;"-"&amp;J1013</f>
        <v xml:space="preserve">Maintenance &amp; Services-Runway rubber removal </v>
      </c>
      <c r="U1013" s="1034">
        <f ca="1">IF(ISNA(VLOOKUP(T1013,list!$AV$3:$AW$130,2,FALSE)),1,(VLOOKUP(T1013,list!$AV$3:$AW$130,2,FALSE)))</f>
        <v>1</v>
      </c>
      <c r="V1013" s="1033">
        <f ca="1">R1013*U1013</f>
        <v>0</v>
      </c>
      <c r="W1013" s="1033">
        <f ca="1">S1013*U1013</f>
        <v>0</v>
      </c>
    </row>
    <row r="1014" spans="3:23" x14ac:dyDescent="0.3">
      <c r="C1014" s="576"/>
      <c r="D1014" s="494" t="s">
        <v>419</v>
      </c>
      <c r="E1014" s="494"/>
      <c r="F1014" s="182"/>
      <c r="G1014" s="494" t="s">
        <v>419</v>
      </c>
      <c r="H1014" s="577"/>
      <c r="I1014" s="450" t="s">
        <v>43</v>
      </c>
      <c r="J1014" s="577" t="s">
        <v>26</v>
      </c>
      <c r="K1014" s="577"/>
      <c r="L1014" s="1035" t="s">
        <v>65</v>
      </c>
      <c r="M1014" s="1036">
        <f>SUMIFS('Level of Efficiency Assumptions'!$J:$J,'Level of Efficiency Assumptions'!$D:$D,I1014,'Level of Efficiency Assumptions'!$F:$F,J1014,'Level of Efficiency Assumptions'!$I:$I,'Water Use Calcs'!L1014)</f>
        <v>7.5</v>
      </c>
      <c r="N1014" s="577"/>
      <c r="O1014" s="1048">
        <f>SUMIFS('Detailed Fixture Data'!O:O,'Detailed Fixture Data'!C:C,G1014,'Detailed Fixture Data'!E:E,I1014,'Detailed Fixture Data'!F:F,J1014,'Detailed Fixture Data'!L:L,L1014)</f>
        <v>0</v>
      </c>
      <c r="P1014" s="1049"/>
      <c r="Q1014" s="577"/>
      <c r="R1014" s="1039"/>
      <c r="S1014" s="521"/>
      <c r="T1014" s="225"/>
      <c r="U1014" s="521"/>
      <c r="V1014" s="1040"/>
      <c r="W1014" s="1041"/>
    </row>
    <row r="1015" spans="3:23" ht="15" thickBot="1" x14ac:dyDescent="0.35">
      <c r="C1015" s="576"/>
      <c r="D1015" s="494" t="s">
        <v>419</v>
      </c>
      <c r="E1015" s="494"/>
      <c r="F1015" s="182"/>
      <c r="G1015" s="494" t="s">
        <v>419</v>
      </c>
      <c r="H1015" s="577"/>
      <c r="I1015" s="451" t="s">
        <v>43</v>
      </c>
      <c r="J1015" s="116" t="s">
        <v>26</v>
      </c>
      <c r="K1015" s="116"/>
      <c r="L1015" s="1042" t="s">
        <v>66</v>
      </c>
      <c r="M1015" s="1043">
        <f>SUMIFS('Level of Efficiency Assumptions'!$J:$J,'Level of Efficiency Assumptions'!$D:$D,I1015,'Level of Efficiency Assumptions'!$F:$F,J1015,'Level of Efficiency Assumptions'!$I:$I,'Water Use Calcs'!L1015)</f>
        <v>5</v>
      </c>
      <c r="N1015" s="577"/>
      <c r="O1015" s="1048">
        <f>SUMIFS('Detailed Fixture Data'!O:O,'Detailed Fixture Data'!C:C,G1015,'Detailed Fixture Data'!E:E,I1015,'Detailed Fixture Data'!F:F,J1015,'Detailed Fixture Data'!L:L,L1015)</f>
        <v>0</v>
      </c>
      <c r="P1015" s="1049"/>
      <c r="Q1015" s="577"/>
      <c r="R1015" s="1039"/>
      <c r="S1015" s="618"/>
      <c r="T1015" s="225"/>
      <c r="U1015" s="618"/>
      <c r="V1015" s="1045"/>
      <c r="W1015" s="1046"/>
    </row>
    <row r="1016" spans="3:23" x14ac:dyDescent="0.3">
      <c r="C1016" s="576"/>
      <c r="D1016" s="494" t="s">
        <v>419</v>
      </c>
      <c r="E1016" s="494"/>
      <c r="F1016" s="182"/>
      <c r="G1016" s="494" t="s">
        <v>419</v>
      </c>
      <c r="H1016" s="651" t="str">
        <f>I1016</f>
        <v>Aircraft</v>
      </c>
      <c r="I1016" s="566" t="s">
        <v>44</v>
      </c>
      <c r="J1016" s="577" t="s">
        <v>29</v>
      </c>
      <c r="K1016" s="577" t="s">
        <v>10</v>
      </c>
      <c r="L1016" s="1047" t="s">
        <v>64</v>
      </c>
      <c r="M1016" s="1036">
        <f>SUMIFS('Level of Efficiency Assumptions'!$J:$J,'Level of Efficiency Assumptions'!$D:$D,I1016,'Level of Efficiency Assumptions'!$F:$F,J1016,'Level of Efficiency Assumptions'!$I:$I,'Water Use Calcs'!L1016)</f>
        <v>20</v>
      </c>
      <c r="N1016" s="567" t="s">
        <v>588</v>
      </c>
      <c r="O1016" s="1048">
        <f>SUMIFS('Detailed Fixture Data'!O:O,'Detailed Fixture Data'!C:C,G1016,'Detailed Fixture Data'!E:E,I1016,'Detailed Fixture Data'!F:F,J1016,'Detailed Fixture Data'!L:L,L1016)</f>
        <v>0</v>
      </c>
      <c r="P1016" s="1030">
        <f>SUMIFS('Intensity of Use Assumptions'!$J:$J,'Intensity of Use Assumptions'!$D:$D,I1016,'Intensity of Use Assumptions'!$G:$G,J1016,'Intensity of Use Assumptions'!H:H,K1016)</f>
        <v>1</v>
      </c>
      <c r="Q1016" s="567" t="s">
        <v>67</v>
      </c>
      <c r="R1016" s="1032">
        <f>(SUMPRODUCT(M1016:M1018,O1016:O1018)*P1016)</f>
        <v>0</v>
      </c>
      <c r="S1016" s="1033">
        <f>IF(R1016=0,0,M1018*P1016)</f>
        <v>0</v>
      </c>
      <c r="T1016" s="225" t="str">
        <f>G1016&amp;"-"&amp;J1016</f>
        <v>Maintenance &amp; Services-Deicing</v>
      </c>
      <c r="U1016" s="1034">
        <f ca="1">IF(ISNA(VLOOKUP(T1016,list!$AV$3:$AW$130,2,FALSE)),1,(VLOOKUP(T1016,list!$AV$3:$AW$130,2,FALSE)))</f>
        <v>1</v>
      </c>
      <c r="V1016" s="1033">
        <f ca="1">R1016*U1016</f>
        <v>0</v>
      </c>
      <c r="W1016" s="1033">
        <f ca="1">S1016*U1016</f>
        <v>0</v>
      </c>
    </row>
    <row r="1017" spans="3:23" x14ac:dyDescent="0.3">
      <c r="C1017" s="576"/>
      <c r="D1017" s="494" t="s">
        <v>419</v>
      </c>
      <c r="E1017" s="494"/>
      <c r="F1017" s="182"/>
      <c r="G1017" s="494" t="s">
        <v>419</v>
      </c>
      <c r="H1017" s="577"/>
      <c r="I1017" s="494" t="s">
        <v>44</v>
      </c>
      <c r="J1017" s="577" t="s">
        <v>29</v>
      </c>
      <c r="K1017" s="577"/>
      <c r="L1017" s="1035" t="s">
        <v>65</v>
      </c>
      <c r="M1017" s="1036">
        <f>SUMIFS('Level of Efficiency Assumptions'!$J:$J,'Level of Efficiency Assumptions'!$D:$D,I1017,'Level of Efficiency Assumptions'!$F:$F,J1017,'Level of Efficiency Assumptions'!$I:$I,'Water Use Calcs'!L1017)</f>
        <v>10</v>
      </c>
      <c r="N1017" s="577"/>
      <c r="O1017" s="1048">
        <f>SUMIFS('Detailed Fixture Data'!O:O,'Detailed Fixture Data'!C:C,G1017,'Detailed Fixture Data'!E:E,I1017,'Detailed Fixture Data'!F:F,J1017,'Detailed Fixture Data'!L:L,L1017)</f>
        <v>0</v>
      </c>
      <c r="P1017" s="1049"/>
      <c r="Q1017" s="577"/>
      <c r="R1017" s="1039"/>
      <c r="S1017" s="521"/>
      <c r="T1017" s="225"/>
      <c r="U1017" s="521"/>
      <c r="V1017" s="1040"/>
      <c r="W1017" s="1041"/>
    </row>
    <row r="1018" spans="3:23" ht="15" thickBot="1" x14ac:dyDescent="0.35">
      <c r="C1018" s="576"/>
      <c r="D1018" s="494" t="s">
        <v>419</v>
      </c>
      <c r="E1018" s="494"/>
      <c r="F1018" s="182"/>
      <c r="G1018" s="494" t="s">
        <v>419</v>
      </c>
      <c r="H1018" s="577"/>
      <c r="I1018" s="501" t="s">
        <v>44</v>
      </c>
      <c r="J1018" s="116" t="s">
        <v>29</v>
      </c>
      <c r="K1018" s="116"/>
      <c r="L1018" s="1042" t="s">
        <v>66</v>
      </c>
      <c r="M1018" s="1043">
        <f>SUMIFS('Level of Efficiency Assumptions'!$J:$J,'Level of Efficiency Assumptions'!$D:$D,I1018,'Level of Efficiency Assumptions'!$F:$F,J1018,'Level of Efficiency Assumptions'!$I:$I,'Water Use Calcs'!L1018)</f>
        <v>5</v>
      </c>
      <c r="N1018" s="577"/>
      <c r="O1018" s="1048">
        <f>SUMIFS('Detailed Fixture Data'!O:O,'Detailed Fixture Data'!C:C,G1018,'Detailed Fixture Data'!E:E,I1018,'Detailed Fixture Data'!F:F,J1018,'Detailed Fixture Data'!L:L,L1018)</f>
        <v>0</v>
      </c>
      <c r="P1018" s="1049"/>
      <c r="Q1018" s="577"/>
      <c r="R1018" s="1039"/>
      <c r="S1018" s="618"/>
      <c r="T1018" s="225"/>
      <c r="U1018" s="618"/>
      <c r="V1018" s="1045"/>
      <c r="W1018" s="1046"/>
    </row>
    <row r="1019" spans="3:23" x14ac:dyDescent="0.3">
      <c r="C1019" s="576"/>
      <c r="D1019" s="494" t="s">
        <v>419</v>
      </c>
      <c r="E1019" s="494"/>
      <c r="F1019" s="182"/>
      <c r="G1019" s="494" t="s">
        <v>419</v>
      </c>
      <c r="H1019" s="651" t="str">
        <f>I1019</f>
        <v>Other</v>
      </c>
      <c r="I1019" s="450" t="s">
        <v>8</v>
      </c>
      <c r="J1019" s="577" t="s">
        <v>52</v>
      </c>
      <c r="K1019" s="387" t="s">
        <v>362</v>
      </c>
      <c r="L1019" s="1047" t="s">
        <v>64</v>
      </c>
      <c r="M1019" s="1036">
        <f>SUMIFS('Level of Efficiency Assumptions'!$J:$J,'Level of Efficiency Assumptions'!$D:$D,I1019,'Level of Efficiency Assumptions'!$F:$F,J1019,'Level of Efficiency Assumptions'!$I:$I,'Water Use Calcs'!L1019)</f>
        <v>10</v>
      </c>
      <c r="N1019" s="567" t="s">
        <v>660</v>
      </c>
      <c r="O1019" s="1048">
        <f>SUMIFS('Detailed Fixture Data'!O:O,'Detailed Fixture Data'!C:C,G1019,'Detailed Fixture Data'!E:E,I1019,'Detailed Fixture Data'!F:F,J1019,'Detailed Fixture Data'!L:L,L1019)</f>
        <v>0</v>
      </c>
      <c r="P1019" s="1030">
        <f>SUMIFS('Intensity of Use Assumptions'!$J:$J,'Intensity of Use Assumptions'!$D:$D,I1019,'Intensity of Use Assumptions'!$G:$G,J1019,'Intensity of Use Assumptions'!H:H,K1019)</f>
        <v>1</v>
      </c>
      <c r="Q1019" s="567" t="s">
        <v>67</v>
      </c>
      <c r="R1019" s="1032">
        <f>(SUMPRODUCT(M1019:M1021,O1019:O1021)*P1019)</f>
        <v>0</v>
      </c>
      <c r="S1019" s="1033">
        <f>IF(R1019=0,0,M1021*P1019)</f>
        <v>0</v>
      </c>
      <c r="T1019" s="225" t="str">
        <f>G1019&amp;"-"&amp;J1019</f>
        <v>Maintenance &amp; Services-Other 1</v>
      </c>
      <c r="U1019" s="1034">
        <f ca="1">IF(ISNA(VLOOKUP(T1019,list!$AV$3:$AW$130,2,FALSE)),1,(VLOOKUP(T1019,list!$AV$3:$AW$130,2,FALSE)))</f>
        <v>1</v>
      </c>
      <c r="V1019" s="1033">
        <f ca="1">R1019*U1019</f>
        <v>0</v>
      </c>
      <c r="W1019" s="1033">
        <f ca="1">S1019*U1019</f>
        <v>0</v>
      </c>
    </row>
    <row r="1020" spans="3:23" x14ac:dyDescent="0.3">
      <c r="C1020" s="576"/>
      <c r="D1020" s="494" t="s">
        <v>419</v>
      </c>
      <c r="E1020" s="494"/>
      <c r="F1020" s="182"/>
      <c r="G1020" s="494" t="s">
        <v>419</v>
      </c>
      <c r="H1020" s="577"/>
      <c r="I1020" s="450" t="s">
        <v>8</v>
      </c>
      <c r="J1020" s="577" t="s">
        <v>52</v>
      </c>
      <c r="K1020" s="382"/>
      <c r="L1020" s="1035" t="s">
        <v>65</v>
      </c>
      <c r="M1020" s="1036">
        <f>SUMIFS('Level of Efficiency Assumptions'!$J:$J,'Level of Efficiency Assumptions'!$D:$D,I1020,'Level of Efficiency Assumptions'!$F:$F,J1020,'Level of Efficiency Assumptions'!$I:$I,'Water Use Calcs'!L1020)</f>
        <v>7.5</v>
      </c>
      <c r="N1020" s="577"/>
      <c r="O1020" s="1048">
        <f>SUMIFS('Detailed Fixture Data'!O:O,'Detailed Fixture Data'!C:C,G1020,'Detailed Fixture Data'!E:E,I1020,'Detailed Fixture Data'!F:F,J1020,'Detailed Fixture Data'!L:L,L1020)</f>
        <v>0</v>
      </c>
      <c r="P1020" s="1049"/>
      <c r="Q1020" s="577"/>
      <c r="R1020" s="1039"/>
      <c r="S1020" s="521"/>
      <c r="T1020" s="225"/>
      <c r="U1020" s="521"/>
      <c r="V1020" s="1040"/>
      <c r="W1020" s="1041"/>
    </row>
    <row r="1021" spans="3:23" ht="15" thickBot="1" x14ac:dyDescent="0.35">
      <c r="C1021" s="576"/>
      <c r="D1021" s="494" t="s">
        <v>419</v>
      </c>
      <c r="E1021" s="494"/>
      <c r="F1021" s="182"/>
      <c r="G1021" s="494" t="s">
        <v>419</v>
      </c>
      <c r="H1021" s="577"/>
      <c r="I1021" s="450" t="s">
        <v>8</v>
      </c>
      <c r="J1021" s="116" t="s">
        <v>52</v>
      </c>
      <c r="K1021" s="382"/>
      <c r="L1021" s="1042" t="s">
        <v>66</v>
      </c>
      <c r="M1021" s="1043">
        <f>SUMIFS('Level of Efficiency Assumptions'!$J:$J,'Level of Efficiency Assumptions'!$D:$D,I1021,'Level of Efficiency Assumptions'!$F:$F,J1021,'Level of Efficiency Assumptions'!$I:$I,'Water Use Calcs'!L1021)</f>
        <v>5</v>
      </c>
      <c r="N1021" s="577"/>
      <c r="O1021" s="1048">
        <f>SUMIFS('Detailed Fixture Data'!O:O,'Detailed Fixture Data'!C:C,G1021,'Detailed Fixture Data'!E:E,I1021,'Detailed Fixture Data'!F:F,J1021,'Detailed Fixture Data'!L:L,L1021)</f>
        <v>0</v>
      </c>
      <c r="P1021" s="1049"/>
      <c r="Q1021" s="577"/>
      <c r="R1021" s="1039"/>
      <c r="S1021" s="618"/>
      <c r="T1021" s="225"/>
      <c r="U1021" s="618"/>
      <c r="V1021" s="1045"/>
      <c r="W1021" s="1046"/>
    </row>
    <row r="1022" spans="3:23" x14ac:dyDescent="0.3">
      <c r="C1022" s="576"/>
      <c r="D1022" s="494" t="s">
        <v>419</v>
      </c>
      <c r="E1022" s="494"/>
      <c r="F1022" s="182"/>
      <c r="G1022" s="494" t="s">
        <v>419</v>
      </c>
      <c r="H1022" s="577"/>
      <c r="I1022" s="450" t="s">
        <v>8</v>
      </c>
      <c r="J1022" s="577" t="s">
        <v>53</v>
      </c>
      <c r="K1022" s="1055" t="s">
        <v>363</v>
      </c>
      <c r="L1022" s="1047" t="s">
        <v>64</v>
      </c>
      <c r="M1022" s="1036">
        <f>SUMIFS('Level of Efficiency Assumptions'!$J:$J,'Level of Efficiency Assumptions'!$D:$D,I1022,'Level of Efficiency Assumptions'!$F:$F,J1022,'Level of Efficiency Assumptions'!$I:$I,'Water Use Calcs'!L1022)</f>
        <v>10</v>
      </c>
      <c r="N1022" s="567" t="s">
        <v>660</v>
      </c>
      <c r="O1022" s="1048">
        <f>SUMIFS('Detailed Fixture Data'!O:O,'Detailed Fixture Data'!C:C,G1022,'Detailed Fixture Data'!E:E,I1022,'Detailed Fixture Data'!F:F,J1022,'Detailed Fixture Data'!L:L,L1022)</f>
        <v>0</v>
      </c>
      <c r="P1022" s="1030">
        <f>SUMIFS('Intensity of Use Assumptions'!$J:$J,'Intensity of Use Assumptions'!$D:$D,I1022,'Intensity of Use Assumptions'!$G:$G,J1022,'Intensity of Use Assumptions'!H:H,K1022)</f>
        <v>1</v>
      </c>
      <c r="Q1022" s="567" t="s">
        <v>67</v>
      </c>
      <c r="R1022" s="1032">
        <f>(SUMPRODUCT(M1022:M1024,O1022:O1024)*P1022)</f>
        <v>0</v>
      </c>
      <c r="S1022" s="1033">
        <f>IF(R1022=0,0,M1024*P1022)</f>
        <v>0</v>
      </c>
      <c r="T1022" s="225" t="str">
        <f>G1022&amp;"-"&amp;J1022</f>
        <v>Maintenance &amp; Services-Other 2</v>
      </c>
      <c r="U1022" s="1034">
        <f ca="1">IF(ISNA(VLOOKUP(T1022,list!$AV$3:$AW$130,2,FALSE)),1,(VLOOKUP(T1022,list!$AV$3:$AW$130,2,FALSE)))</f>
        <v>1</v>
      </c>
      <c r="V1022" s="1033">
        <f ca="1">R1022*U1022</f>
        <v>0</v>
      </c>
      <c r="W1022" s="1033">
        <f ca="1">S1022*U1022</f>
        <v>0</v>
      </c>
    </row>
    <row r="1023" spans="3:23" x14ac:dyDescent="0.3">
      <c r="C1023" s="576"/>
      <c r="D1023" s="494" t="s">
        <v>419</v>
      </c>
      <c r="E1023" s="494"/>
      <c r="F1023" s="182"/>
      <c r="G1023" s="494" t="s">
        <v>419</v>
      </c>
      <c r="H1023" s="577"/>
      <c r="I1023" s="450" t="s">
        <v>8</v>
      </c>
      <c r="J1023" s="577" t="s">
        <v>53</v>
      </c>
      <c r="K1023" s="577"/>
      <c r="L1023" s="1035" t="s">
        <v>65</v>
      </c>
      <c r="M1023" s="1036">
        <f>SUMIFS('Level of Efficiency Assumptions'!$J:$J,'Level of Efficiency Assumptions'!$D:$D,I1023,'Level of Efficiency Assumptions'!$F:$F,J1023,'Level of Efficiency Assumptions'!$I:$I,'Water Use Calcs'!L1023)</f>
        <v>7.5</v>
      </c>
      <c r="N1023" s="577"/>
      <c r="O1023" s="1048">
        <f>SUMIFS('Detailed Fixture Data'!O:O,'Detailed Fixture Data'!C:C,G1023,'Detailed Fixture Data'!E:E,I1023,'Detailed Fixture Data'!F:F,J1023,'Detailed Fixture Data'!L:L,L1023)</f>
        <v>0</v>
      </c>
      <c r="P1023" s="1049"/>
      <c r="Q1023" s="577"/>
      <c r="R1023" s="1039"/>
      <c r="S1023" s="521"/>
      <c r="T1023" s="225"/>
      <c r="U1023" s="521"/>
      <c r="V1023" s="1040"/>
      <c r="W1023" s="1041"/>
    </row>
    <row r="1024" spans="3:23" ht="15" thickBot="1" x14ac:dyDescent="0.35">
      <c r="C1024" s="576"/>
      <c r="D1024" s="494" t="s">
        <v>419</v>
      </c>
      <c r="E1024" s="494"/>
      <c r="F1024" s="182"/>
      <c r="G1024" s="494" t="s">
        <v>419</v>
      </c>
      <c r="H1024" s="577"/>
      <c r="I1024" s="450" t="s">
        <v>8</v>
      </c>
      <c r="J1024" s="116" t="s">
        <v>53</v>
      </c>
      <c r="K1024" s="116"/>
      <c r="L1024" s="1042" t="s">
        <v>66</v>
      </c>
      <c r="M1024" s="1043">
        <f>SUMIFS('Level of Efficiency Assumptions'!$J:$J,'Level of Efficiency Assumptions'!$D:$D,I1024,'Level of Efficiency Assumptions'!$F:$F,J1024,'Level of Efficiency Assumptions'!$I:$I,'Water Use Calcs'!L1024)</f>
        <v>5</v>
      </c>
      <c r="N1024" s="577"/>
      <c r="O1024" s="1048">
        <f>SUMIFS('Detailed Fixture Data'!O:O,'Detailed Fixture Data'!C:C,G1024,'Detailed Fixture Data'!E:E,I1024,'Detailed Fixture Data'!F:F,J1024,'Detailed Fixture Data'!L:L,L1024)</f>
        <v>0</v>
      </c>
      <c r="P1024" s="1049"/>
      <c r="Q1024" s="577"/>
      <c r="R1024" s="1039"/>
      <c r="S1024" s="618"/>
      <c r="T1024" s="225"/>
      <c r="U1024" s="618"/>
      <c r="V1024" s="1045"/>
      <c r="W1024" s="1046"/>
    </row>
    <row r="1025" spans="3:23" x14ac:dyDescent="0.3">
      <c r="C1025" s="576"/>
      <c r="D1025" s="494" t="s">
        <v>419</v>
      </c>
      <c r="E1025" s="494"/>
      <c r="F1025" s="182"/>
      <c r="G1025" s="494" t="s">
        <v>419</v>
      </c>
      <c r="H1025" s="577"/>
      <c r="I1025" s="450" t="s">
        <v>8</v>
      </c>
      <c r="J1025" s="577" t="s">
        <v>54</v>
      </c>
      <c r="K1025" s="379" t="s">
        <v>364</v>
      </c>
      <c r="L1025" s="1047" t="s">
        <v>64</v>
      </c>
      <c r="M1025" s="1036">
        <f>SUMIFS('Level of Efficiency Assumptions'!$J:$J,'Level of Efficiency Assumptions'!$D:$D,I1025,'Level of Efficiency Assumptions'!$F:$F,J1025,'Level of Efficiency Assumptions'!$I:$I,'Water Use Calcs'!L1025)</f>
        <v>10</v>
      </c>
      <c r="N1025" s="567" t="s">
        <v>660</v>
      </c>
      <c r="O1025" s="1048">
        <f>SUMIFS('Detailed Fixture Data'!O:O,'Detailed Fixture Data'!C:C,G1025,'Detailed Fixture Data'!E:E,I1025,'Detailed Fixture Data'!F:F,J1025,'Detailed Fixture Data'!L:L,L1025)</f>
        <v>0</v>
      </c>
      <c r="P1025" s="1030">
        <f>SUMIFS('Intensity of Use Assumptions'!$J:$J,'Intensity of Use Assumptions'!$D:$D,I1025,'Intensity of Use Assumptions'!$G:$G,J1025,'Intensity of Use Assumptions'!H:H,K1025)</f>
        <v>1</v>
      </c>
      <c r="Q1025" s="567" t="s">
        <v>67</v>
      </c>
      <c r="R1025" s="1032">
        <f>(SUMPRODUCT(M1025:M1027,O1025:O1027)*P1025)</f>
        <v>0</v>
      </c>
      <c r="S1025" s="1033">
        <f>IF(R1025=0,0,M1027*P1025)</f>
        <v>0</v>
      </c>
      <c r="T1025" s="225" t="str">
        <f>G1025&amp;"-"&amp;J1025</f>
        <v>Maintenance &amp; Services-Other 3</v>
      </c>
      <c r="U1025" s="1034">
        <f ca="1">IF(ISNA(VLOOKUP(T1025,list!$AV$3:$AW$130,2,FALSE)),1,(VLOOKUP(T1025,list!$AV$3:$AW$130,2,FALSE)))</f>
        <v>1</v>
      </c>
      <c r="V1025" s="1033">
        <f ca="1">R1025*U1025</f>
        <v>0</v>
      </c>
      <c r="W1025" s="1033">
        <f ca="1">S1025*U1025</f>
        <v>0</v>
      </c>
    </row>
    <row r="1026" spans="3:23" x14ac:dyDescent="0.3">
      <c r="C1026" s="576"/>
      <c r="D1026" s="494" t="s">
        <v>419</v>
      </c>
      <c r="E1026" s="494"/>
      <c r="F1026" s="182"/>
      <c r="G1026" s="494" t="s">
        <v>419</v>
      </c>
      <c r="H1026" s="577"/>
      <c r="I1026" s="450" t="s">
        <v>8</v>
      </c>
      <c r="J1026" s="577" t="s">
        <v>54</v>
      </c>
      <c r="K1026" s="577"/>
      <c r="L1026" s="1035" t="s">
        <v>65</v>
      </c>
      <c r="M1026" s="1036">
        <f>SUMIFS('Level of Efficiency Assumptions'!$J:$J,'Level of Efficiency Assumptions'!$D:$D,I1026,'Level of Efficiency Assumptions'!$F:$F,J1026,'Level of Efficiency Assumptions'!$I:$I,'Water Use Calcs'!L1026)</f>
        <v>7.5</v>
      </c>
      <c r="N1026" s="577"/>
      <c r="O1026" s="1048">
        <f>SUMIFS('Detailed Fixture Data'!O:O,'Detailed Fixture Data'!C:C,G1026,'Detailed Fixture Data'!E:E,I1026,'Detailed Fixture Data'!F:F,J1026,'Detailed Fixture Data'!L:L,L1026)</f>
        <v>0</v>
      </c>
      <c r="P1026" s="1049"/>
      <c r="Q1026" s="577"/>
      <c r="R1026" s="1039"/>
      <c r="S1026" s="521"/>
      <c r="T1026" s="225"/>
      <c r="U1026" s="521"/>
      <c r="V1026" s="1040"/>
      <c r="W1026" s="1041"/>
    </row>
    <row r="1027" spans="3:23" ht="15" thickBot="1" x14ac:dyDescent="0.35">
      <c r="C1027" s="576"/>
      <c r="D1027" s="501" t="s">
        <v>419</v>
      </c>
      <c r="E1027" s="501"/>
      <c r="F1027" s="184"/>
      <c r="G1027" s="501" t="s">
        <v>419</v>
      </c>
      <c r="H1027" s="116"/>
      <c r="I1027" s="451" t="s">
        <v>8</v>
      </c>
      <c r="J1027" s="116" t="s">
        <v>54</v>
      </c>
      <c r="K1027" s="116"/>
      <c r="L1027" s="1042" t="s">
        <v>66</v>
      </c>
      <c r="M1027" s="1043">
        <f>SUMIFS('Level of Efficiency Assumptions'!$J:$J,'Level of Efficiency Assumptions'!$D:$D,I1027,'Level of Efficiency Assumptions'!$F:$F,J1027,'Level of Efficiency Assumptions'!$I:$I,'Water Use Calcs'!L1027)</f>
        <v>5</v>
      </c>
      <c r="N1027" s="116"/>
      <c r="O1027" s="1048">
        <f>SUMIFS('Detailed Fixture Data'!O:O,'Detailed Fixture Data'!C:C,G1027,'Detailed Fixture Data'!E:E,I1027,'Detailed Fixture Data'!F:F,J1027,'Detailed Fixture Data'!L:L,L1027)</f>
        <v>0</v>
      </c>
      <c r="P1027" s="1049"/>
      <c r="Q1027" s="116"/>
      <c r="R1027" s="1045"/>
      <c r="S1027" s="618"/>
      <c r="T1027" s="225"/>
      <c r="U1027" s="618"/>
      <c r="V1027" s="1045"/>
      <c r="W1027" s="1046"/>
    </row>
    <row r="1028" spans="3:23" x14ac:dyDescent="0.3">
      <c r="C1028" s="651" t="str">
        <f>D1028</f>
        <v>Airlines/Cargo Hangars</v>
      </c>
      <c r="D1028" s="493" t="s">
        <v>471</v>
      </c>
      <c r="E1028" s="619" t="str">
        <f>G1028</f>
        <v>Tenant A</v>
      </c>
      <c r="F1028" s="565" t="str">
        <f>VLOOKUP(E1028,'Airport Mapping'!$C$5:$D$39,2,FALSE)</f>
        <v xml:space="preserve"> </v>
      </c>
      <c r="G1028" s="494" t="s">
        <v>106</v>
      </c>
      <c r="H1028" s="651" t="str">
        <f>I1028</f>
        <v>Restrooms</v>
      </c>
      <c r="I1028" s="454" t="s">
        <v>37</v>
      </c>
      <c r="J1028" s="567" t="s">
        <v>2</v>
      </c>
      <c r="K1028" s="577" t="s">
        <v>6</v>
      </c>
      <c r="L1028" s="1028" t="s">
        <v>64</v>
      </c>
      <c r="M1028" s="1036">
        <f>SUMIFS('Level of Efficiency Assumptions'!$J:$J,'Level of Efficiency Assumptions'!$D:$D,I1028,'Level of Efficiency Assumptions'!$F:$F,J1028,'Level of Efficiency Assumptions'!$I:$I,'Water Use Calcs'!L1028)</f>
        <v>3.5</v>
      </c>
      <c r="N1028" s="567" t="s">
        <v>68</v>
      </c>
      <c r="O1028" s="1048">
        <f>SUMIFS('Detailed Fixture Data'!O:O,'Detailed Fixture Data'!C:C,G1028,'Detailed Fixture Data'!E:E,I1028,'Detailed Fixture Data'!F:F,J1028,'Detailed Fixture Data'!L:L,L1028)</f>
        <v>0</v>
      </c>
      <c r="P1028" s="1030">
        <f>SUMIFS('Intensity of Use Assumptions'!$J:$J,'Intensity of Use Assumptions'!$D:$D,I1028,'Intensity of Use Assumptions'!$G:$G,J1028,'Intensity of Use Assumptions'!H:H,K1028)</f>
        <v>2.5</v>
      </c>
      <c r="Q1028" s="567" t="s">
        <v>67</v>
      </c>
      <c r="R1028" s="1032">
        <f>(SUMPRODUCT(M1028:M1030,O1028:O1030)*P1028)</f>
        <v>0</v>
      </c>
      <c r="S1028" s="1033">
        <f>IF(R1028=0,0,M1030*P1028)</f>
        <v>0</v>
      </c>
      <c r="T1028" s="225" t="str">
        <f>G1028&amp;"-"&amp;J1028</f>
        <v>Tenant A-Toilets</v>
      </c>
      <c r="U1028" s="1034">
        <f ca="1">IF(ISNA(VLOOKUP(T1028,list!$AV$3:$AW$130,2,FALSE)),1,(VLOOKUP(T1028,list!$AV$3:$AW$130,2,FALSE)))</f>
        <v>1</v>
      </c>
      <c r="V1028" s="1033">
        <f ca="1">R1028*U1028</f>
        <v>0</v>
      </c>
      <c r="W1028" s="1033">
        <f ca="1">S1028*U1028</f>
        <v>0</v>
      </c>
    </row>
    <row r="1029" spans="3:23" x14ac:dyDescent="0.3">
      <c r="C1029" s="576"/>
      <c r="D1029" s="493" t="s">
        <v>471</v>
      </c>
      <c r="E1029" s="494"/>
      <c r="F1029" s="182"/>
      <c r="G1029" s="494" t="s">
        <v>106</v>
      </c>
      <c r="H1029" s="577"/>
      <c r="I1029" s="450" t="s">
        <v>37</v>
      </c>
      <c r="J1029" s="577" t="s">
        <v>2</v>
      </c>
      <c r="K1029" s="577"/>
      <c r="L1029" s="1035" t="s">
        <v>65</v>
      </c>
      <c r="M1029" s="1036">
        <f>SUMIFS('Level of Efficiency Assumptions'!$J:$J,'Level of Efficiency Assumptions'!$D:$D,I1029,'Level of Efficiency Assumptions'!$F:$F,J1029,'Level of Efficiency Assumptions'!$I:$I,'Water Use Calcs'!L1029)</f>
        <v>1.6</v>
      </c>
      <c r="N1029" s="577"/>
      <c r="O1029" s="1048">
        <f>SUMIFS('Detailed Fixture Data'!O:O,'Detailed Fixture Data'!C:C,G1029,'Detailed Fixture Data'!E:E,I1029,'Detailed Fixture Data'!F:F,J1029,'Detailed Fixture Data'!L:L,L1029)</f>
        <v>0</v>
      </c>
      <c r="P1029" s="1049"/>
      <c r="Q1029" s="577"/>
      <c r="R1029" s="1039"/>
      <c r="S1029" s="521"/>
      <c r="T1029" s="225"/>
      <c r="U1029" s="521"/>
      <c r="V1029" s="1040"/>
      <c r="W1029" s="1041"/>
    </row>
    <row r="1030" spans="3:23" ht="15" thickBot="1" x14ac:dyDescent="0.35">
      <c r="C1030" s="576"/>
      <c r="D1030" s="493" t="s">
        <v>471</v>
      </c>
      <c r="E1030" s="494"/>
      <c r="F1030" s="182"/>
      <c r="G1030" s="494" t="s">
        <v>106</v>
      </c>
      <c r="H1030" s="577"/>
      <c r="I1030" s="450" t="s">
        <v>37</v>
      </c>
      <c r="J1030" s="116" t="s">
        <v>2</v>
      </c>
      <c r="K1030" s="116"/>
      <c r="L1030" s="1042" t="s">
        <v>66</v>
      </c>
      <c r="M1030" s="1043">
        <f>SUMIFS('Level of Efficiency Assumptions'!$J:$J,'Level of Efficiency Assumptions'!$D:$D,I1030,'Level of Efficiency Assumptions'!$F:$F,J1030,'Level of Efficiency Assumptions'!$I:$I,'Water Use Calcs'!L1030)</f>
        <v>1.28</v>
      </c>
      <c r="N1030" s="577"/>
      <c r="O1030" s="1048">
        <f>SUMIFS('Detailed Fixture Data'!O:O,'Detailed Fixture Data'!C:C,G1030,'Detailed Fixture Data'!E:E,I1030,'Detailed Fixture Data'!F:F,J1030,'Detailed Fixture Data'!L:L,L1030)</f>
        <v>0</v>
      </c>
      <c r="P1030" s="1049"/>
      <c r="Q1030" s="577"/>
      <c r="R1030" s="1039"/>
      <c r="S1030" s="618"/>
      <c r="T1030" s="225"/>
      <c r="U1030" s="618"/>
      <c r="V1030" s="1045"/>
      <c r="W1030" s="1046"/>
    </row>
    <row r="1031" spans="3:23" x14ac:dyDescent="0.3">
      <c r="C1031" s="576"/>
      <c r="D1031" s="493" t="s">
        <v>471</v>
      </c>
      <c r="E1031" s="494"/>
      <c r="F1031" s="182"/>
      <c r="G1031" s="494" t="s">
        <v>106</v>
      </c>
      <c r="H1031" s="577"/>
      <c r="I1031" s="450" t="s">
        <v>37</v>
      </c>
      <c r="J1031" s="577" t="s">
        <v>4</v>
      </c>
      <c r="K1031" s="577" t="s">
        <v>6</v>
      </c>
      <c r="L1031" s="1047" t="s">
        <v>64</v>
      </c>
      <c r="M1031" s="1036">
        <f>SUMIFS('Level of Efficiency Assumptions'!$J:$J,'Level of Efficiency Assumptions'!$D:$D,I1031,'Level of Efficiency Assumptions'!$F:$F,J1031,'Level of Efficiency Assumptions'!$I:$I,'Water Use Calcs'!L1031)</f>
        <v>2</v>
      </c>
      <c r="N1031" s="567" t="s">
        <v>68</v>
      </c>
      <c r="O1031" s="1048">
        <f>SUMIFS('Detailed Fixture Data'!O:O,'Detailed Fixture Data'!C:C,G1031,'Detailed Fixture Data'!E:E,I1031,'Detailed Fixture Data'!F:F,J1031,'Detailed Fixture Data'!L:L,L1031)</f>
        <v>0</v>
      </c>
      <c r="P1031" s="1030">
        <f>SUMIFS('Intensity of Use Assumptions'!$J:$J,'Intensity of Use Assumptions'!$D:$D,I1031,'Intensity of Use Assumptions'!$G:$G,J1031,'Intensity of Use Assumptions'!H:H,K1031)</f>
        <v>1.5</v>
      </c>
      <c r="Q1031" s="567" t="s">
        <v>67</v>
      </c>
      <c r="R1031" s="1032">
        <f>(SUMPRODUCT(M1031:M1033,O1031:O1033)*P1031)</f>
        <v>0</v>
      </c>
      <c r="S1031" s="1033">
        <f>IF(R1031=0,0,M1033*P1031)</f>
        <v>0</v>
      </c>
      <c r="T1031" s="225" t="str">
        <f>G1031&amp;"-"&amp;J1031</f>
        <v>Tenant A-Urinals</v>
      </c>
      <c r="U1031" s="1034">
        <f ca="1">IF(ISNA(VLOOKUP(T1031,list!$AV$3:$AW$130,2,FALSE)),1,(VLOOKUP(T1031,list!$AV$3:$AW$130,2,FALSE)))</f>
        <v>1</v>
      </c>
      <c r="V1031" s="1033">
        <f ca="1">R1031*U1031</f>
        <v>0</v>
      </c>
      <c r="W1031" s="1033">
        <f ca="1">S1031*U1031</f>
        <v>0</v>
      </c>
    </row>
    <row r="1032" spans="3:23" x14ac:dyDescent="0.3">
      <c r="C1032" s="576"/>
      <c r="D1032" s="493" t="s">
        <v>471</v>
      </c>
      <c r="E1032" s="494"/>
      <c r="F1032" s="182"/>
      <c r="G1032" s="494" t="s">
        <v>106</v>
      </c>
      <c r="H1032" s="577"/>
      <c r="I1032" s="450" t="s">
        <v>37</v>
      </c>
      <c r="J1032" s="577" t="s">
        <v>4</v>
      </c>
      <c r="K1032" s="577"/>
      <c r="L1032" s="1035" t="s">
        <v>65</v>
      </c>
      <c r="M1032" s="1036">
        <f>SUMIFS('Level of Efficiency Assumptions'!$J:$J,'Level of Efficiency Assumptions'!$D:$D,I1032,'Level of Efficiency Assumptions'!$F:$F,J1032,'Level of Efficiency Assumptions'!$I:$I,'Water Use Calcs'!L1032)</f>
        <v>1</v>
      </c>
      <c r="N1032" s="577"/>
      <c r="O1032" s="1048">
        <f>SUMIFS('Detailed Fixture Data'!O:O,'Detailed Fixture Data'!C:C,G1032,'Detailed Fixture Data'!E:E,I1032,'Detailed Fixture Data'!F:F,J1032,'Detailed Fixture Data'!L:L,L1032)</f>
        <v>0</v>
      </c>
      <c r="P1032" s="1049"/>
      <c r="Q1032" s="577"/>
      <c r="R1032" s="1039"/>
      <c r="S1032" s="521"/>
      <c r="T1032" s="225"/>
      <c r="U1032" s="521"/>
      <c r="V1032" s="1040"/>
      <c r="W1032" s="1041"/>
    </row>
    <row r="1033" spans="3:23" ht="15" thickBot="1" x14ac:dyDescent="0.35">
      <c r="C1033" s="576"/>
      <c r="D1033" s="493" t="s">
        <v>471</v>
      </c>
      <c r="E1033" s="494"/>
      <c r="F1033" s="182"/>
      <c r="G1033" s="494" t="s">
        <v>106</v>
      </c>
      <c r="H1033" s="577"/>
      <c r="I1033" s="450" t="s">
        <v>37</v>
      </c>
      <c r="J1033" s="116" t="s">
        <v>4</v>
      </c>
      <c r="K1033" s="116"/>
      <c r="L1033" s="1042" t="s">
        <v>66</v>
      </c>
      <c r="M1033" s="1043">
        <f>SUMIFS('Level of Efficiency Assumptions'!$J:$J,'Level of Efficiency Assumptions'!$D:$D,I1033,'Level of Efficiency Assumptions'!$F:$F,J1033,'Level of Efficiency Assumptions'!$I:$I,'Water Use Calcs'!L1033)</f>
        <v>0.125</v>
      </c>
      <c r="N1033" s="577"/>
      <c r="O1033" s="1048">
        <f>SUMIFS('Detailed Fixture Data'!O:O,'Detailed Fixture Data'!C:C,G1033,'Detailed Fixture Data'!E:E,I1033,'Detailed Fixture Data'!F:F,J1033,'Detailed Fixture Data'!L:L,L1033)</f>
        <v>0</v>
      </c>
      <c r="P1033" s="1049"/>
      <c r="Q1033" s="577"/>
      <c r="R1033" s="1039"/>
      <c r="S1033" s="618"/>
      <c r="T1033" s="225"/>
      <c r="U1033" s="618"/>
      <c r="V1033" s="1045"/>
      <c r="W1033" s="1046"/>
    </row>
    <row r="1034" spans="3:23" x14ac:dyDescent="0.3">
      <c r="C1034" s="576"/>
      <c r="D1034" s="493" t="s">
        <v>471</v>
      </c>
      <c r="E1034" s="494"/>
      <c r="F1034" s="182"/>
      <c r="G1034" s="494" t="s">
        <v>106</v>
      </c>
      <c r="H1034" s="577"/>
      <c r="I1034" s="450" t="s">
        <v>37</v>
      </c>
      <c r="J1034" s="577" t="s">
        <v>33</v>
      </c>
      <c r="K1034" s="577" t="s">
        <v>6</v>
      </c>
      <c r="L1034" s="1047" t="s">
        <v>64</v>
      </c>
      <c r="M1034" s="1036">
        <f>SUMIFS('Level of Efficiency Assumptions'!$J:$J,'Level of Efficiency Assumptions'!$D:$D,I1034,'Level of Efficiency Assumptions'!$F:$F,J1034,'Level of Efficiency Assumptions'!$I:$I,'Water Use Calcs'!L1034)</f>
        <v>2</v>
      </c>
      <c r="N1034" s="567" t="s">
        <v>78</v>
      </c>
      <c r="O1034" s="1048">
        <f>SUMIFS('Detailed Fixture Data'!O:O,'Detailed Fixture Data'!C:C,G1034,'Detailed Fixture Data'!E:E,I1034,'Detailed Fixture Data'!F:F,J1034,'Detailed Fixture Data'!L:L,L1034)</f>
        <v>0</v>
      </c>
      <c r="P1034" s="1030">
        <f>SUMIFS('Intensity of Use Assumptions'!$J:$J,'Intensity of Use Assumptions'!$D:$D,I1034,'Intensity of Use Assumptions'!$G:$G,J1034,'Intensity of Use Assumptions'!H:H,K1034)</f>
        <v>0.66666666666666663</v>
      </c>
      <c r="Q1034" s="567" t="s">
        <v>133</v>
      </c>
      <c r="R1034" s="1032">
        <f>(SUMPRODUCT(M1034:M1036,O1034:O1036)*P1034)</f>
        <v>0</v>
      </c>
      <c r="S1034" s="1033">
        <f>IF(R1034=0,0,M1036*P1034)</f>
        <v>0</v>
      </c>
      <c r="T1034" s="225" t="str">
        <f>G1034&amp;"-"&amp;J1034</f>
        <v>Tenant A-Faucets</v>
      </c>
      <c r="U1034" s="1034">
        <f ca="1">IF(ISNA(VLOOKUP(T1034,list!$AV$3:$AW$130,2,FALSE)),1,(VLOOKUP(T1034,list!$AV$3:$AW$130,2,FALSE)))</f>
        <v>1</v>
      </c>
      <c r="V1034" s="1033">
        <f ca="1">R1034*U1034</f>
        <v>0</v>
      </c>
      <c r="W1034" s="1033">
        <f ca="1">S1034*U1034</f>
        <v>0</v>
      </c>
    </row>
    <row r="1035" spans="3:23" x14ac:dyDescent="0.3">
      <c r="C1035" s="576"/>
      <c r="D1035" s="493" t="s">
        <v>471</v>
      </c>
      <c r="E1035" s="494"/>
      <c r="F1035" s="182"/>
      <c r="G1035" s="494" t="s">
        <v>106</v>
      </c>
      <c r="H1035" s="577"/>
      <c r="I1035" s="450" t="s">
        <v>37</v>
      </c>
      <c r="J1035" s="577" t="s">
        <v>33</v>
      </c>
      <c r="K1035" s="577"/>
      <c r="L1035" s="1035" t="s">
        <v>65</v>
      </c>
      <c r="M1035" s="1036">
        <f>SUMIFS('Level of Efficiency Assumptions'!$J:$J,'Level of Efficiency Assumptions'!$D:$D,I1035,'Level of Efficiency Assumptions'!$F:$F,J1035,'Level of Efficiency Assumptions'!$I:$I,'Water Use Calcs'!L1035)</f>
        <v>1</v>
      </c>
      <c r="N1035" s="577"/>
      <c r="O1035" s="1048">
        <f>SUMIFS('Detailed Fixture Data'!O:O,'Detailed Fixture Data'!C:C,G1035,'Detailed Fixture Data'!E:E,I1035,'Detailed Fixture Data'!F:F,J1035,'Detailed Fixture Data'!L:L,L1035)</f>
        <v>0</v>
      </c>
      <c r="P1035" s="1049"/>
      <c r="Q1035" s="577"/>
      <c r="R1035" s="1039"/>
      <c r="S1035" s="521"/>
      <c r="T1035" s="225"/>
      <c r="U1035" s="521"/>
      <c r="V1035" s="1040"/>
      <c r="W1035" s="1041"/>
    </row>
    <row r="1036" spans="3:23" ht="15" thickBot="1" x14ac:dyDescent="0.35">
      <c r="C1036" s="576"/>
      <c r="D1036" s="493" t="s">
        <v>471</v>
      </c>
      <c r="E1036" s="494"/>
      <c r="F1036" s="182"/>
      <c r="G1036" s="494" t="s">
        <v>106</v>
      </c>
      <c r="H1036" s="577"/>
      <c r="I1036" s="451" t="s">
        <v>37</v>
      </c>
      <c r="J1036" s="116" t="s">
        <v>33</v>
      </c>
      <c r="K1036" s="116"/>
      <c r="L1036" s="1042" t="s">
        <v>66</v>
      </c>
      <c r="M1036" s="1043">
        <f>SUMIFS('Level of Efficiency Assumptions'!$J:$J,'Level of Efficiency Assumptions'!$D:$D,I1036,'Level of Efficiency Assumptions'!$F:$F,J1036,'Level of Efficiency Assumptions'!$I:$I,'Water Use Calcs'!L1036)</f>
        <v>0.5</v>
      </c>
      <c r="N1036" s="577"/>
      <c r="O1036" s="1048">
        <f>SUMIFS('Detailed Fixture Data'!O:O,'Detailed Fixture Data'!C:C,G1036,'Detailed Fixture Data'!E:E,I1036,'Detailed Fixture Data'!F:F,J1036,'Detailed Fixture Data'!L:L,L1036)</f>
        <v>0</v>
      </c>
      <c r="P1036" s="1049"/>
      <c r="Q1036" s="577"/>
      <c r="R1036" s="1039"/>
      <c r="S1036" s="618"/>
      <c r="T1036" s="225"/>
      <c r="U1036" s="618"/>
      <c r="V1036" s="1045"/>
      <c r="W1036" s="1046"/>
    </row>
    <row r="1037" spans="3:23" x14ac:dyDescent="0.3">
      <c r="C1037" s="576"/>
      <c r="D1037" s="493" t="s">
        <v>471</v>
      </c>
      <c r="E1037" s="494"/>
      <c r="F1037" s="182"/>
      <c r="G1037" s="494" t="s">
        <v>106</v>
      </c>
      <c r="H1037" s="651" t="str">
        <f>I1037</f>
        <v>Break rooms</v>
      </c>
      <c r="I1037" s="450" t="s">
        <v>5</v>
      </c>
      <c r="J1037" s="577" t="s">
        <v>33</v>
      </c>
      <c r="K1037" s="577" t="s">
        <v>6</v>
      </c>
      <c r="L1037" s="1047" t="s">
        <v>64</v>
      </c>
      <c r="M1037" s="1036">
        <f>SUMIFS('Level of Efficiency Assumptions'!$J:$J,'Level of Efficiency Assumptions'!$D:$D,I1037,'Level of Efficiency Assumptions'!$F:$F,J1037,'Level of Efficiency Assumptions'!$I:$I,'Water Use Calcs'!L1037)</f>
        <v>2</v>
      </c>
      <c r="N1037" s="567" t="s">
        <v>78</v>
      </c>
      <c r="O1037" s="1048">
        <f>SUMIFS('Detailed Fixture Data'!O:O,'Detailed Fixture Data'!C:C,G1037,'Detailed Fixture Data'!E:E,I1037,'Detailed Fixture Data'!F:F,J1037,'Detailed Fixture Data'!L:L,L1037)</f>
        <v>0</v>
      </c>
      <c r="P1037" s="1030">
        <f>SUMIFS('Intensity of Use Assumptions'!$J:$J,'Intensity of Use Assumptions'!$D:$D,I1037,'Intensity of Use Assumptions'!$G:$G,J1037,'Intensity of Use Assumptions'!H:H,K1037)</f>
        <v>0.16666666666666666</v>
      </c>
      <c r="Q1037" s="567" t="s">
        <v>133</v>
      </c>
      <c r="R1037" s="1032">
        <f>(SUMPRODUCT(M1037:M1039,O1037:O1039)*P1037)</f>
        <v>0</v>
      </c>
      <c r="S1037" s="1033">
        <f>IF(R1037=0,0,M1039*P1037)</f>
        <v>0</v>
      </c>
      <c r="T1037" s="225" t="str">
        <f>G1037&amp;"-"&amp;J1037</f>
        <v>Tenant A-Faucets</v>
      </c>
      <c r="U1037" s="1034">
        <f ca="1">IF(ISNA(VLOOKUP(T1037,list!$AV$3:$AW$130,2,FALSE)),1,(VLOOKUP(T1037,list!$AV$3:$AW$130,2,FALSE)))</f>
        <v>1</v>
      </c>
      <c r="V1037" s="1033">
        <f ca="1">R1037*U1037</f>
        <v>0</v>
      </c>
      <c r="W1037" s="1033">
        <f ca="1">S1037*U1037</f>
        <v>0</v>
      </c>
    </row>
    <row r="1038" spans="3:23" x14ac:dyDescent="0.3">
      <c r="C1038" s="576"/>
      <c r="D1038" s="493" t="s">
        <v>471</v>
      </c>
      <c r="E1038" s="494"/>
      <c r="F1038" s="182"/>
      <c r="G1038" s="494" t="s">
        <v>106</v>
      </c>
      <c r="H1038" s="577"/>
      <c r="I1038" s="450" t="s">
        <v>5</v>
      </c>
      <c r="J1038" s="577" t="s">
        <v>33</v>
      </c>
      <c r="K1038" s="577"/>
      <c r="L1038" s="1035" t="s">
        <v>65</v>
      </c>
      <c r="M1038" s="1036">
        <f>SUMIFS('Level of Efficiency Assumptions'!$J:$J,'Level of Efficiency Assumptions'!$D:$D,I1038,'Level of Efficiency Assumptions'!$F:$F,J1038,'Level of Efficiency Assumptions'!$I:$I,'Water Use Calcs'!L1038)</f>
        <v>1</v>
      </c>
      <c r="N1038" s="577"/>
      <c r="O1038" s="1048">
        <f>SUMIFS('Detailed Fixture Data'!O:O,'Detailed Fixture Data'!C:C,G1038,'Detailed Fixture Data'!E:E,I1038,'Detailed Fixture Data'!F:F,J1038,'Detailed Fixture Data'!L:L,L1038)</f>
        <v>0</v>
      </c>
      <c r="P1038" s="1049"/>
      <c r="Q1038" s="577"/>
      <c r="R1038" s="1039"/>
      <c r="S1038" s="521"/>
      <c r="T1038" s="225"/>
      <c r="U1038" s="521"/>
      <c r="V1038" s="1040"/>
      <c r="W1038" s="1041"/>
    </row>
    <row r="1039" spans="3:23" ht="15" thickBot="1" x14ac:dyDescent="0.35">
      <c r="C1039" s="576"/>
      <c r="D1039" s="493" t="s">
        <v>471</v>
      </c>
      <c r="E1039" s="494"/>
      <c r="F1039" s="182"/>
      <c r="G1039" s="494" t="s">
        <v>106</v>
      </c>
      <c r="H1039" s="577"/>
      <c r="I1039" s="451" t="s">
        <v>5</v>
      </c>
      <c r="J1039" s="116" t="s">
        <v>33</v>
      </c>
      <c r="K1039" s="116"/>
      <c r="L1039" s="1042" t="s">
        <v>66</v>
      </c>
      <c r="M1039" s="1043">
        <f>SUMIFS('Level of Efficiency Assumptions'!$J:$J,'Level of Efficiency Assumptions'!$D:$D,I1039,'Level of Efficiency Assumptions'!$F:$F,J1039,'Level of Efficiency Assumptions'!$I:$I,'Water Use Calcs'!L1039)</f>
        <v>0.5</v>
      </c>
      <c r="N1039" s="577"/>
      <c r="O1039" s="1048">
        <f>SUMIFS('Detailed Fixture Data'!O:O,'Detailed Fixture Data'!C:C,G1039,'Detailed Fixture Data'!E:E,I1039,'Detailed Fixture Data'!F:F,J1039,'Detailed Fixture Data'!L:L,L1039)</f>
        <v>0</v>
      </c>
      <c r="P1039" s="1049"/>
      <c r="Q1039" s="577"/>
      <c r="R1039" s="1039"/>
      <c r="S1039" s="618"/>
      <c r="T1039" s="225"/>
      <c r="U1039" s="618"/>
      <c r="V1039" s="1045"/>
      <c r="W1039" s="1046"/>
    </row>
    <row r="1040" spans="3:23" x14ac:dyDescent="0.3">
      <c r="C1040" s="576"/>
      <c r="D1040" s="493" t="s">
        <v>471</v>
      </c>
      <c r="E1040" s="494"/>
      <c r="F1040" s="182"/>
      <c r="G1040" s="494" t="s">
        <v>106</v>
      </c>
      <c r="H1040" s="651" t="str">
        <f>I1040</f>
        <v>Flight kitchens</v>
      </c>
      <c r="I1040" s="450" t="s">
        <v>391</v>
      </c>
      <c r="J1040" s="577" t="s">
        <v>114</v>
      </c>
      <c r="K1040" s="577" t="s">
        <v>118</v>
      </c>
      <c r="L1040" s="1047" t="s">
        <v>64</v>
      </c>
      <c r="M1040" s="1036">
        <f>SUMIFS('Level of Efficiency Assumptions'!$J:$J,'Level of Efficiency Assumptions'!$D:$D,I1040,'Level of Efficiency Assumptions'!$F:$F,J1040,'Level of Efficiency Assumptions'!$I:$I,'Water Use Calcs'!L1040)</f>
        <v>2</v>
      </c>
      <c r="N1040" s="567" t="s">
        <v>78</v>
      </c>
      <c r="O1040" s="1048">
        <f>SUMIFS('Detailed Fixture Data'!O:O,'Detailed Fixture Data'!C:C,G1040,'Detailed Fixture Data'!E:E,I1040,'Detailed Fixture Data'!F:F,J1040,'Detailed Fixture Data'!L:L,L1040)</f>
        <v>0</v>
      </c>
      <c r="P1040" s="1030">
        <f>SUMIFS('Intensity of Use Assumptions'!$J:$J,'Intensity of Use Assumptions'!$D:$D,I1040,'Intensity of Use Assumptions'!$G:$G,J1040,'Intensity of Use Assumptions'!H:H,K1040)</f>
        <v>1</v>
      </c>
      <c r="Q1040" s="567" t="s">
        <v>133</v>
      </c>
      <c r="R1040" s="1032">
        <f>(SUMPRODUCT(M1040:M1042,O1040:O1042)*P1040)</f>
        <v>0</v>
      </c>
      <c r="S1040" s="1033">
        <f>IF(R1040=0,0,M1042*P1040)</f>
        <v>0</v>
      </c>
      <c r="T1040" s="225" t="str">
        <f>G1040&amp;"-"&amp;J1040</f>
        <v>Tenant A-Kitchen faucets</v>
      </c>
      <c r="U1040" s="1034">
        <f ca="1">IF(ISNA(VLOOKUP(T1040,list!$AV$3:$AW$130,2,FALSE)),1,(VLOOKUP(T1040,list!$AV$3:$AW$130,2,FALSE)))</f>
        <v>1</v>
      </c>
      <c r="V1040" s="1033">
        <f ca="1">R1040*U1040</f>
        <v>0</v>
      </c>
      <c r="W1040" s="1033">
        <f ca="1">S1040*U1040</f>
        <v>0</v>
      </c>
    </row>
    <row r="1041" spans="3:23" x14ac:dyDescent="0.3">
      <c r="C1041" s="576"/>
      <c r="D1041" s="493" t="s">
        <v>471</v>
      </c>
      <c r="E1041" s="494"/>
      <c r="F1041" s="182"/>
      <c r="G1041" s="494" t="s">
        <v>106</v>
      </c>
      <c r="H1041" s="577"/>
      <c r="I1041" s="450" t="s">
        <v>391</v>
      </c>
      <c r="J1041" s="577" t="s">
        <v>114</v>
      </c>
      <c r="K1041" s="577"/>
      <c r="L1041" s="1035" t="s">
        <v>65</v>
      </c>
      <c r="M1041" s="1036">
        <f>SUMIFS('Level of Efficiency Assumptions'!$J:$J,'Level of Efficiency Assumptions'!$D:$D,I1041,'Level of Efficiency Assumptions'!$F:$F,J1041,'Level of Efficiency Assumptions'!$I:$I,'Water Use Calcs'!L1041)</f>
        <v>1</v>
      </c>
      <c r="N1041" s="577"/>
      <c r="O1041" s="1048">
        <f>SUMIFS('Detailed Fixture Data'!O:O,'Detailed Fixture Data'!C:C,G1041,'Detailed Fixture Data'!E:E,I1041,'Detailed Fixture Data'!F:F,J1041,'Detailed Fixture Data'!L:L,L1041)</f>
        <v>0</v>
      </c>
      <c r="P1041" s="1049"/>
      <c r="Q1041" s="577"/>
      <c r="R1041" s="1039"/>
      <c r="S1041" s="521"/>
      <c r="T1041" s="225"/>
      <c r="U1041" s="521"/>
      <c r="V1041" s="1040"/>
      <c r="W1041" s="1041"/>
    </row>
    <row r="1042" spans="3:23" ht="15" thickBot="1" x14ac:dyDescent="0.35">
      <c r="C1042" s="576"/>
      <c r="D1042" s="493" t="s">
        <v>471</v>
      </c>
      <c r="E1042" s="494"/>
      <c r="F1042" s="182"/>
      <c r="G1042" s="494" t="s">
        <v>106</v>
      </c>
      <c r="H1042" s="577"/>
      <c r="I1042" s="450" t="s">
        <v>391</v>
      </c>
      <c r="J1042" s="116" t="s">
        <v>114</v>
      </c>
      <c r="K1042" s="116"/>
      <c r="L1042" s="1042" t="s">
        <v>66</v>
      </c>
      <c r="M1042" s="1043">
        <f>SUMIFS('Level of Efficiency Assumptions'!$J:$J,'Level of Efficiency Assumptions'!$D:$D,I1042,'Level of Efficiency Assumptions'!$F:$F,J1042,'Level of Efficiency Assumptions'!$I:$I,'Water Use Calcs'!L1042)</f>
        <v>0.5</v>
      </c>
      <c r="N1042" s="577"/>
      <c r="O1042" s="1048">
        <f>SUMIFS('Detailed Fixture Data'!O:O,'Detailed Fixture Data'!C:C,G1042,'Detailed Fixture Data'!E:E,I1042,'Detailed Fixture Data'!F:F,J1042,'Detailed Fixture Data'!L:L,L1042)</f>
        <v>0</v>
      </c>
      <c r="P1042" s="1049"/>
      <c r="Q1042" s="577"/>
      <c r="R1042" s="1039"/>
      <c r="S1042" s="618"/>
      <c r="T1042" s="225"/>
      <c r="U1042" s="618"/>
      <c r="V1042" s="1045"/>
      <c r="W1042" s="1046"/>
    </row>
    <row r="1043" spans="3:23" x14ac:dyDescent="0.3">
      <c r="C1043" s="576"/>
      <c r="D1043" s="493" t="s">
        <v>471</v>
      </c>
      <c r="E1043" s="494"/>
      <c r="F1043" s="182"/>
      <c r="G1043" s="494" t="s">
        <v>106</v>
      </c>
      <c r="H1043" s="577"/>
      <c r="I1043" s="450" t="s">
        <v>391</v>
      </c>
      <c r="J1043" s="577" t="s">
        <v>41</v>
      </c>
      <c r="K1043" s="577" t="s">
        <v>118</v>
      </c>
      <c r="L1043" s="1047" t="s">
        <v>64</v>
      </c>
      <c r="M1043" s="1036">
        <f>SUMIFS('Level of Efficiency Assumptions'!$J:$J,'Level of Efficiency Assumptions'!$D:$D,I1043,'Level of Efficiency Assumptions'!$F:$F,J1043,'Level of Efficiency Assumptions'!$I:$I,'Water Use Calcs'!L1043)</f>
        <v>4.5</v>
      </c>
      <c r="N1043" s="567" t="s">
        <v>223</v>
      </c>
      <c r="O1043" s="1048">
        <f>SUMIFS('Detailed Fixture Data'!O:O,'Detailed Fixture Data'!C:C,G1043,'Detailed Fixture Data'!E:E,I1043,'Detailed Fixture Data'!F:F,J1043,'Detailed Fixture Data'!L:L,L1043)</f>
        <v>0</v>
      </c>
      <c r="P1043" s="1030">
        <f>SUMIFS('Intensity of Use Assumptions'!$J:$J,'Intensity of Use Assumptions'!$D:$D,I1043,'Intensity of Use Assumptions'!$G:$G,J1043,'Intensity of Use Assumptions'!H:H,K1043)</f>
        <v>0.05</v>
      </c>
      <c r="Q1043" s="567" t="s">
        <v>224</v>
      </c>
      <c r="R1043" s="1032">
        <f>(SUMPRODUCT(M1043:M1045,O1043:O1045)*P1043)</f>
        <v>0</v>
      </c>
      <c r="S1043" s="1033">
        <f>IF(R1043=0,0,M1045*P1043)</f>
        <v>0</v>
      </c>
      <c r="T1043" s="225" t="str">
        <f>G1043&amp;"-"&amp;J1043</f>
        <v>Tenant A-Dishwashers</v>
      </c>
      <c r="U1043" s="1034">
        <f ca="1">IF(ISNA(VLOOKUP(T1043,list!$AV$3:$AW$130,2,FALSE)),1,(VLOOKUP(T1043,list!$AV$3:$AW$130,2,FALSE)))</f>
        <v>1</v>
      </c>
      <c r="V1043" s="1033">
        <f ca="1">R1043*U1043</f>
        <v>0</v>
      </c>
      <c r="W1043" s="1033">
        <f ca="1">S1043*U1043</f>
        <v>0</v>
      </c>
    </row>
    <row r="1044" spans="3:23" x14ac:dyDescent="0.3">
      <c r="C1044" s="576"/>
      <c r="D1044" s="493" t="s">
        <v>471</v>
      </c>
      <c r="E1044" s="494"/>
      <c r="F1044" s="182"/>
      <c r="G1044" s="494" t="s">
        <v>106</v>
      </c>
      <c r="H1044" s="577"/>
      <c r="I1044" s="450" t="s">
        <v>391</v>
      </c>
      <c r="J1044" s="577" t="s">
        <v>41</v>
      </c>
      <c r="K1044" s="577"/>
      <c r="L1044" s="1035" t="s">
        <v>65</v>
      </c>
      <c r="M1044" s="1036">
        <f>SUMIFS('Level of Efficiency Assumptions'!$J:$J,'Level of Efficiency Assumptions'!$D:$D,I1044,'Level of Efficiency Assumptions'!$F:$F,J1044,'Level of Efficiency Assumptions'!$I:$I,'Water Use Calcs'!L1044)</f>
        <v>2.5</v>
      </c>
      <c r="N1044" s="577"/>
      <c r="O1044" s="1048">
        <f>SUMIFS('Detailed Fixture Data'!O:O,'Detailed Fixture Data'!C:C,G1044,'Detailed Fixture Data'!E:E,I1044,'Detailed Fixture Data'!F:F,J1044,'Detailed Fixture Data'!L:L,L1044)</f>
        <v>0</v>
      </c>
      <c r="P1044" s="1049"/>
      <c r="Q1044" s="576" t="s">
        <v>80</v>
      </c>
      <c r="R1044" s="1039"/>
      <c r="S1044" s="521"/>
      <c r="T1044" s="225"/>
      <c r="U1044" s="521"/>
      <c r="V1044" s="1040"/>
      <c r="W1044" s="1041"/>
    </row>
    <row r="1045" spans="3:23" ht="15" thickBot="1" x14ac:dyDescent="0.35">
      <c r="C1045" s="576"/>
      <c r="D1045" s="493" t="s">
        <v>471</v>
      </c>
      <c r="E1045" s="494"/>
      <c r="F1045" s="182"/>
      <c r="G1045" s="494" t="s">
        <v>106</v>
      </c>
      <c r="H1045" s="577"/>
      <c r="I1045" s="450" t="s">
        <v>391</v>
      </c>
      <c r="J1045" s="116" t="s">
        <v>41</v>
      </c>
      <c r="K1045" s="116"/>
      <c r="L1045" s="1042" t="s">
        <v>66</v>
      </c>
      <c r="M1045" s="1043">
        <f>SUMIFS('Level of Efficiency Assumptions'!$J:$J,'Level of Efficiency Assumptions'!$D:$D,I1045,'Level of Efficiency Assumptions'!$F:$F,J1045,'Level of Efficiency Assumptions'!$I:$I,'Water Use Calcs'!L1045)</f>
        <v>1</v>
      </c>
      <c r="N1045" s="577"/>
      <c r="O1045" s="1048">
        <f>SUMIFS('Detailed Fixture Data'!O:O,'Detailed Fixture Data'!C:C,G1045,'Detailed Fixture Data'!E:E,I1045,'Detailed Fixture Data'!F:F,J1045,'Detailed Fixture Data'!L:L,L1045)</f>
        <v>0</v>
      </c>
      <c r="P1045" s="1049"/>
      <c r="Q1045" s="577"/>
      <c r="R1045" s="1039"/>
      <c r="S1045" s="618"/>
      <c r="T1045" s="225"/>
      <c r="U1045" s="618"/>
      <c r="V1045" s="1045"/>
      <c r="W1045" s="1046"/>
    </row>
    <row r="1046" spans="3:23" x14ac:dyDescent="0.3">
      <c r="C1046" s="576"/>
      <c r="D1046" s="493" t="s">
        <v>471</v>
      </c>
      <c r="E1046" s="494"/>
      <c r="F1046" s="182"/>
      <c r="G1046" s="494" t="s">
        <v>106</v>
      </c>
      <c r="H1046" s="577"/>
      <c r="I1046" s="450" t="s">
        <v>391</v>
      </c>
      <c r="J1046" s="577" t="s">
        <v>20</v>
      </c>
      <c r="K1046" s="577" t="s">
        <v>118</v>
      </c>
      <c r="L1046" s="1047" t="s">
        <v>64</v>
      </c>
      <c r="M1046" s="1036">
        <f>SUMIFS('Level of Efficiency Assumptions'!$J:$J,'Level of Efficiency Assumptions'!$D:$D,I1046,'Level of Efficiency Assumptions'!$F:$F,J1046,'Level of Efficiency Assumptions'!$I:$I,'Water Use Calcs'!L1046)</f>
        <v>1.5</v>
      </c>
      <c r="N1046" s="567" t="s">
        <v>222</v>
      </c>
      <c r="O1046" s="1048">
        <f>SUMIFS('Detailed Fixture Data'!O:O,'Detailed Fixture Data'!C:C,G1046,'Detailed Fixture Data'!E:E,I1046,'Detailed Fixture Data'!F:F,J1046,'Detailed Fixture Data'!L:L,L1046)</f>
        <v>0</v>
      </c>
      <c r="P1046" s="1030">
        <f>SUMIFS('Intensity of Use Assumptions'!$J:$J,'Intensity of Use Assumptions'!$D:$D,I1046,'Intensity of Use Assumptions'!$G:$G,J1046,'Intensity of Use Assumptions'!H:H,K1046)</f>
        <v>1</v>
      </c>
      <c r="Q1046" s="567" t="s">
        <v>221</v>
      </c>
      <c r="R1046" s="1032">
        <f>(SUMPRODUCT(M1046:M1048,O1046:O1048)*P1046)</f>
        <v>0</v>
      </c>
      <c r="S1046" s="1033">
        <f>IF(R1046=0,0,M1048*P1046)</f>
        <v>0</v>
      </c>
      <c r="T1046" s="225" t="str">
        <f>G1046&amp;"-"&amp;J1046</f>
        <v>Tenant A-Ice machines</v>
      </c>
      <c r="U1046" s="1034">
        <f ca="1">IF(ISNA(VLOOKUP(T1046,list!$AV$3:$AW$130,2,FALSE)),1,(VLOOKUP(T1046,list!$AV$3:$AW$130,2,FALSE)))</f>
        <v>1</v>
      </c>
      <c r="V1046" s="1033">
        <f ca="1">R1046*U1046</f>
        <v>0</v>
      </c>
      <c r="W1046" s="1033">
        <f ca="1">S1046*U1046</f>
        <v>0</v>
      </c>
    </row>
    <row r="1047" spans="3:23" x14ac:dyDescent="0.3">
      <c r="C1047" s="576"/>
      <c r="D1047" s="493" t="s">
        <v>471</v>
      </c>
      <c r="E1047" s="494"/>
      <c r="F1047" s="182"/>
      <c r="G1047" s="494" t="s">
        <v>106</v>
      </c>
      <c r="H1047" s="577"/>
      <c r="I1047" s="450" t="s">
        <v>391</v>
      </c>
      <c r="J1047" s="577" t="s">
        <v>20</v>
      </c>
      <c r="K1047" s="577"/>
      <c r="L1047" s="1035" t="s">
        <v>65</v>
      </c>
      <c r="M1047" s="1036">
        <f>SUMIFS('Level of Efficiency Assumptions'!$J:$J,'Level of Efficiency Assumptions'!$D:$D,I1047,'Level of Efficiency Assumptions'!$F:$F,J1047,'Level of Efficiency Assumptions'!$I:$I,'Water Use Calcs'!L1047)</f>
        <v>0.25</v>
      </c>
      <c r="N1047" s="577"/>
      <c r="O1047" s="1048">
        <f>SUMIFS('Detailed Fixture Data'!O:O,'Detailed Fixture Data'!C:C,G1047,'Detailed Fixture Data'!E:E,I1047,'Detailed Fixture Data'!F:F,J1047,'Detailed Fixture Data'!L:L,L1047)</f>
        <v>0</v>
      </c>
      <c r="P1047" s="1049"/>
      <c r="Q1047" s="577"/>
      <c r="R1047" s="1039"/>
      <c r="S1047" s="521"/>
      <c r="T1047" s="225"/>
      <c r="U1047" s="521"/>
      <c r="V1047" s="1040"/>
      <c r="W1047" s="1041"/>
    </row>
    <row r="1048" spans="3:23" ht="15" thickBot="1" x14ac:dyDescent="0.35">
      <c r="C1048" s="576"/>
      <c r="D1048" s="493" t="s">
        <v>471</v>
      </c>
      <c r="E1048" s="494"/>
      <c r="F1048" s="182"/>
      <c r="G1048" s="494" t="s">
        <v>106</v>
      </c>
      <c r="H1048" s="577"/>
      <c r="I1048" s="451" t="s">
        <v>391</v>
      </c>
      <c r="J1048" s="116" t="s">
        <v>20</v>
      </c>
      <c r="K1048" s="116"/>
      <c r="L1048" s="1042" t="s">
        <v>66</v>
      </c>
      <c r="M1048" s="1043">
        <f>SUMIFS('Level of Efficiency Assumptions'!$J:$J,'Level of Efficiency Assumptions'!$D:$D,I1048,'Level of Efficiency Assumptions'!$F:$F,J1048,'Level of Efficiency Assumptions'!$I:$I,'Water Use Calcs'!L1048)</f>
        <v>0.12</v>
      </c>
      <c r="N1048" s="577"/>
      <c r="O1048" s="1048">
        <f>SUMIFS('Detailed Fixture Data'!O:O,'Detailed Fixture Data'!C:C,G1048,'Detailed Fixture Data'!E:E,I1048,'Detailed Fixture Data'!F:F,J1048,'Detailed Fixture Data'!L:L,L1048)</f>
        <v>0</v>
      </c>
      <c r="P1048" s="1049"/>
      <c r="Q1048" s="577"/>
      <c r="R1048" s="1039"/>
      <c r="S1048" s="618"/>
      <c r="T1048" s="225"/>
      <c r="U1048" s="618"/>
      <c r="V1048" s="1045"/>
      <c r="W1048" s="1046"/>
    </row>
    <row r="1049" spans="3:23" x14ac:dyDescent="0.3">
      <c r="C1049" s="576"/>
      <c r="D1049" s="493" t="s">
        <v>471</v>
      </c>
      <c r="E1049" s="494"/>
      <c r="F1049" s="182"/>
      <c r="G1049" s="494" t="s">
        <v>106</v>
      </c>
      <c r="H1049" s="651" t="str">
        <f>I1049</f>
        <v>Aircraft</v>
      </c>
      <c r="I1049" s="450" t="s">
        <v>44</v>
      </c>
      <c r="J1049" s="577" t="s">
        <v>27</v>
      </c>
      <c r="K1049" s="577" t="s">
        <v>10</v>
      </c>
      <c r="L1049" s="1047" t="s">
        <v>64</v>
      </c>
      <c r="M1049" s="1036">
        <f>SUMIFS('Level of Efficiency Assumptions'!$J:$J,'Level of Efficiency Assumptions'!$D:$D,I1049,'Level of Efficiency Assumptions'!$F:$F,J1049,'Level of Efficiency Assumptions'!$I:$I,'Water Use Calcs'!L1049)</f>
        <v>10</v>
      </c>
      <c r="N1049" s="567" t="s">
        <v>588</v>
      </c>
      <c r="O1049" s="1048">
        <f>SUMIFS('Detailed Fixture Data'!O:O,'Detailed Fixture Data'!C:C,G1049,'Detailed Fixture Data'!E:E,I1049,'Detailed Fixture Data'!F:F,J1049,'Detailed Fixture Data'!L:L,L1049)</f>
        <v>0</v>
      </c>
      <c r="P1049" s="1030">
        <f>SUMIFS('Intensity of Use Assumptions'!$J:$J,'Intensity of Use Assumptions'!$D:$D,I1049,'Intensity of Use Assumptions'!$G:$G,J1049,'Intensity of Use Assumptions'!H:H,K1049)</f>
        <v>1</v>
      </c>
      <c r="Q1049" s="567" t="s">
        <v>67</v>
      </c>
      <c r="R1049" s="1032">
        <f>(SUMPRODUCT(M1049:M1051,O1049:O1051)*P1049)</f>
        <v>0</v>
      </c>
      <c r="S1049" s="1033">
        <f>IF(R1049=0,0,M1051*P1049)</f>
        <v>0</v>
      </c>
      <c r="T1049" s="225" t="str">
        <f>G1049&amp;"-"&amp;J1049</f>
        <v xml:space="preserve">Tenant A-Aircraft cleaning </v>
      </c>
      <c r="U1049" s="1034">
        <f ca="1">IF(ISNA(VLOOKUP(T1049,list!$AV$3:$AW$130,2,FALSE)),1,(VLOOKUP(T1049,list!$AV$3:$AW$130,2,FALSE)))</f>
        <v>1</v>
      </c>
      <c r="V1049" s="1033">
        <f ca="1">R1049*U1049</f>
        <v>0</v>
      </c>
      <c r="W1049" s="1033">
        <f ca="1">S1049*U1049</f>
        <v>0</v>
      </c>
    </row>
    <row r="1050" spans="3:23" x14ac:dyDescent="0.3">
      <c r="C1050" s="576"/>
      <c r="D1050" s="493" t="s">
        <v>471</v>
      </c>
      <c r="E1050" s="494"/>
      <c r="F1050" s="182"/>
      <c r="G1050" s="494" t="s">
        <v>106</v>
      </c>
      <c r="H1050" s="577"/>
      <c r="I1050" s="450" t="s">
        <v>44</v>
      </c>
      <c r="J1050" s="577" t="s">
        <v>27</v>
      </c>
      <c r="K1050" s="577"/>
      <c r="L1050" s="1035" t="s">
        <v>65</v>
      </c>
      <c r="M1050" s="1036">
        <f>SUMIFS('Level of Efficiency Assumptions'!$J:$J,'Level of Efficiency Assumptions'!$D:$D,I1050,'Level of Efficiency Assumptions'!$F:$F,J1050,'Level of Efficiency Assumptions'!$I:$I,'Water Use Calcs'!L1050)</f>
        <v>7.5</v>
      </c>
      <c r="N1050" s="577"/>
      <c r="O1050" s="1048">
        <f>SUMIFS('Detailed Fixture Data'!O:O,'Detailed Fixture Data'!C:C,G1050,'Detailed Fixture Data'!E:E,I1050,'Detailed Fixture Data'!F:F,J1050,'Detailed Fixture Data'!L:L,L1050)</f>
        <v>0</v>
      </c>
      <c r="P1050" s="1049"/>
      <c r="Q1050" s="577"/>
      <c r="R1050" s="1039"/>
      <c r="S1050" s="521"/>
      <c r="T1050" s="225"/>
      <c r="U1050" s="521"/>
      <c r="V1050" s="1040"/>
      <c r="W1050" s="1041"/>
    </row>
    <row r="1051" spans="3:23" ht="15" thickBot="1" x14ac:dyDescent="0.35">
      <c r="C1051" s="576"/>
      <c r="D1051" s="493" t="s">
        <v>471</v>
      </c>
      <c r="E1051" s="494"/>
      <c r="F1051" s="182"/>
      <c r="G1051" s="494" t="s">
        <v>106</v>
      </c>
      <c r="H1051" s="577"/>
      <c r="I1051" s="450" t="s">
        <v>44</v>
      </c>
      <c r="J1051" s="116" t="s">
        <v>27</v>
      </c>
      <c r="K1051" s="116"/>
      <c r="L1051" s="1042" t="s">
        <v>66</v>
      </c>
      <c r="M1051" s="1043">
        <f>SUMIFS('Level of Efficiency Assumptions'!$J:$J,'Level of Efficiency Assumptions'!$D:$D,I1051,'Level of Efficiency Assumptions'!$F:$F,J1051,'Level of Efficiency Assumptions'!$I:$I,'Water Use Calcs'!L1051)</f>
        <v>5</v>
      </c>
      <c r="N1051" s="577"/>
      <c r="O1051" s="1048">
        <f>SUMIFS('Detailed Fixture Data'!O:O,'Detailed Fixture Data'!C:C,G1051,'Detailed Fixture Data'!E:E,I1051,'Detailed Fixture Data'!F:F,J1051,'Detailed Fixture Data'!L:L,L1051)</f>
        <v>0</v>
      </c>
      <c r="P1051" s="1049"/>
      <c r="Q1051" s="577"/>
      <c r="R1051" s="1039"/>
      <c r="S1051" s="618"/>
      <c r="T1051" s="225"/>
      <c r="U1051" s="618"/>
      <c r="V1051" s="1045"/>
      <c r="W1051" s="1046"/>
    </row>
    <row r="1052" spans="3:23" x14ac:dyDescent="0.3">
      <c r="C1052" s="576"/>
      <c r="D1052" s="493" t="s">
        <v>471</v>
      </c>
      <c r="E1052" s="494"/>
      <c r="F1052" s="182"/>
      <c r="G1052" s="494" t="s">
        <v>106</v>
      </c>
      <c r="H1052" s="577"/>
      <c r="I1052" s="450" t="s">
        <v>44</v>
      </c>
      <c r="J1052" s="577" t="s">
        <v>28</v>
      </c>
      <c r="K1052" s="577" t="s">
        <v>10</v>
      </c>
      <c r="L1052" s="1047" t="s">
        <v>64</v>
      </c>
      <c r="M1052" s="1036">
        <f>SUMIFS('Level of Efficiency Assumptions'!$J:$J,'Level of Efficiency Assumptions'!$D:$D,I1052,'Level of Efficiency Assumptions'!$F:$F,J1052,'Level of Efficiency Assumptions'!$I:$I,'Water Use Calcs'!L1052)</f>
        <v>10</v>
      </c>
      <c r="N1052" s="567" t="s">
        <v>588</v>
      </c>
      <c r="O1052" s="1048">
        <f>SUMIFS('Detailed Fixture Data'!O:O,'Detailed Fixture Data'!C:C,G1052,'Detailed Fixture Data'!E:E,I1052,'Detailed Fixture Data'!F:F,J1052,'Detailed Fixture Data'!L:L,L1052)</f>
        <v>0</v>
      </c>
      <c r="P1052" s="1030">
        <f>SUMIFS('Intensity of Use Assumptions'!$J:$J,'Intensity of Use Assumptions'!$D:$D,I1052,'Intensity of Use Assumptions'!$G:$G,J1052,'Intensity of Use Assumptions'!H:H,K1052)</f>
        <v>1</v>
      </c>
      <c r="Q1052" s="567" t="s">
        <v>67</v>
      </c>
      <c r="R1052" s="1032">
        <f>(SUMPRODUCT(M1052:M1054,O1052:O1054)*P1052)</f>
        <v>0</v>
      </c>
      <c r="S1052" s="1033">
        <f>IF(R1052=0,0,M1054*P1052)</f>
        <v>0</v>
      </c>
      <c r="T1052" s="225" t="str">
        <f>G1052&amp;"-"&amp;J1052</f>
        <v>Tenant A-Onboard aircraft water</v>
      </c>
      <c r="U1052" s="1034">
        <f ca="1">IF(ISNA(VLOOKUP(T1052,list!$AV$3:$AW$130,2,FALSE)),1,(VLOOKUP(T1052,list!$AV$3:$AW$130,2,FALSE)))</f>
        <v>1</v>
      </c>
      <c r="V1052" s="1033">
        <f ca="1">R1052*U1052</f>
        <v>0</v>
      </c>
      <c r="W1052" s="1033">
        <f ca="1">S1052*U1052</f>
        <v>0</v>
      </c>
    </row>
    <row r="1053" spans="3:23" x14ac:dyDescent="0.3">
      <c r="C1053" s="576"/>
      <c r="D1053" s="493" t="s">
        <v>471</v>
      </c>
      <c r="E1053" s="494"/>
      <c r="F1053" s="182"/>
      <c r="G1053" s="494" t="s">
        <v>106</v>
      </c>
      <c r="H1053" s="577"/>
      <c r="I1053" s="450" t="s">
        <v>44</v>
      </c>
      <c r="J1053" s="577" t="s">
        <v>28</v>
      </c>
      <c r="K1053" s="577"/>
      <c r="L1053" s="1035" t="s">
        <v>65</v>
      </c>
      <c r="M1053" s="1036">
        <f>SUMIFS('Level of Efficiency Assumptions'!$J:$J,'Level of Efficiency Assumptions'!$D:$D,I1053,'Level of Efficiency Assumptions'!$F:$F,J1053,'Level of Efficiency Assumptions'!$I:$I,'Water Use Calcs'!L1053)</f>
        <v>7.5</v>
      </c>
      <c r="N1053" s="577"/>
      <c r="O1053" s="1048">
        <f>SUMIFS('Detailed Fixture Data'!O:O,'Detailed Fixture Data'!C:C,G1053,'Detailed Fixture Data'!E:E,I1053,'Detailed Fixture Data'!F:F,J1053,'Detailed Fixture Data'!L:L,L1053)</f>
        <v>0</v>
      </c>
      <c r="P1053" s="1049"/>
      <c r="Q1053" s="577"/>
      <c r="R1053" s="1039"/>
      <c r="S1053" s="521"/>
      <c r="T1053" s="225"/>
      <c r="U1053" s="521"/>
      <c r="V1053" s="1040"/>
      <c r="W1053" s="1041"/>
    </row>
    <row r="1054" spans="3:23" ht="15" thickBot="1" x14ac:dyDescent="0.35">
      <c r="C1054" s="576"/>
      <c r="D1054" s="493" t="s">
        <v>471</v>
      </c>
      <c r="E1054" s="494"/>
      <c r="F1054" s="182"/>
      <c r="G1054" s="494" t="s">
        <v>106</v>
      </c>
      <c r="H1054" s="577"/>
      <c r="I1054" s="450" t="s">
        <v>44</v>
      </c>
      <c r="J1054" s="116" t="s">
        <v>28</v>
      </c>
      <c r="K1054" s="116"/>
      <c r="L1054" s="1042" t="s">
        <v>66</v>
      </c>
      <c r="M1054" s="1043">
        <f>SUMIFS('Level of Efficiency Assumptions'!$J:$J,'Level of Efficiency Assumptions'!$D:$D,I1054,'Level of Efficiency Assumptions'!$F:$F,J1054,'Level of Efficiency Assumptions'!$I:$I,'Water Use Calcs'!L1054)</f>
        <v>5</v>
      </c>
      <c r="N1054" s="577"/>
      <c r="O1054" s="1048">
        <f>SUMIFS('Detailed Fixture Data'!O:O,'Detailed Fixture Data'!C:C,G1054,'Detailed Fixture Data'!E:E,I1054,'Detailed Fixture Data'!F:F,J1054,'Detailed Fixture Data'!L:L,L1054)</f>
        <v>0</v>
      </c>
      <c r="P1054" s="1049"/>
      <c r="Q1054" s="577"/>
      <c r="R1054" s="1039"/>
      <c r="S1054" s="618"/>
      <c r="T1054" s="225"/>
      <c r="U1054" s="618"/>
      <c r="V1054" s="1045"/>
      <c r="W1054" s="1046"/>
    </row>
    <row r="1055" spans="3:23" x14ac:dyDescent="0.3">
      <c r="C1055" s="576"/>
      <c r="D1055" s="493" t="s">
        <v>471</v>
      </c>
      <c r="E1055" s="494"/>
      <c r="F1055" s="182"/>
      <c r="G1055" s="494" t="s">
        <v>106</v>
      </c>
      <c r="H1055" s="577"/>
      <c r="I1055" s="450" t="s">
        <v>44</v>
      </c>
      <c r="J1055" s="577" t="s">
        <v>29</v>
      </c>
      <c r="K1055" s="382" t="s">
        <v>10</v>
      </c>
      <c r="L1055" s="1047" t="s">
        <v>64</v>
      </c>
      <c r="M1055" s="1036">
        <f>SUMIFS('Level of Efficiency Assumptions'!$J:$J,'Level of Efficiency Assumptions'!$D:$D,I1055,'Level of Efficiency Assumptions'!$F:$F,J1055,'Level of Efficiency Assumptions'!$I:$I,'Water Use Calcs'!L1055)</f>
        <v>20</v>
      </c>
      <c r="N1055" s="567" t="s">
        <v>588</v>
      </c>
      <c r="O1055" s="1048">
        <f>SUMIFS('Detailed Fixture Data'!O:O,'Detailed Fixture Data'!C:C,G1055,'Detailed Fixture Data'!E:E,I1055,'Detailed Fixture Data'!F:F,J1055,'Detailed Fixture Data'!L:L,L1055)</f>
        <v>0</v>
      </c>
      <c r="P1055" s="1030">
        <f>SUMIFS('Intensity of Use Assumptions'!$J:$J,'Intensity of Use Assumptions'!$D:$D,I1055,'Intensity of Use Assumptions'!$G:$G,J1055,'Intensity of Use Assumptions'!H:H,K1055)</f>
        <v>1</v>
      </c>
      <c r="Q1055" s="567" t="s">
        <v>67</v>
      </c>
      <c r="R1055" s="1032">
        <f>(SUMPRODUCT(M1055:M1057,O1055:O1057)*P1055)</f>
        <v>0</v>
      </c>
      <c r="S1055" s="1033">
        <f>IF(R1055=0,0,M1057*P1055)</f>
        <v>0</v>
      </c>
      <c r="T1055" s="225" t="str">
        <f>G1055&amp;"-"&amp;J1055</f>
        <v>Tenant A-Deicing</v>
      </c>
      <c r="U1055" s="1034">
        <f ca="1">IF(ISNA(VLOOKUP(T1055,list!$AV$3:$AW$130,2,FALSE)),1,(VLOOKUP(T1055,list!$AV$3:$AW$130,2,FALSE)))</f>
        <v>1</v>
      </c>
      <c r="V1055" s="1033">
        <f ca="1">R1055*U1055</f>
        <v>0</v>
      </c>
      <c r="W1055" s="1033">
        <f ca="1">S1055*U1055</f>
        <v>0</v>
      </c>
    </row>
    <row r="1056" spans="3:23" x14ac:dyDescent="0.3">
      <c r="C1056" s="576"/>
      <c r="D1056" s="493" t="s">
        <v>471</v>
      </c>
      <c r="E1056" s="494"/>
      <c r="F1056" s="182"/>
      <c r="G1056" s="494" t="s">
        <v>106</v>
      </c>
      <c r="H1056" s="577"/>
      <c r="I1056" s="450" t="s">
        <v>44</v>
      </c>
      <c r="J1056" s="577" t="s">
        <v>29</v>
      </c>
      <c r="K1056" s="577"/>
      <c r="L1056" s="1035" t="s">
        <v>65</v>
      </c>
      <c r="M1056" s="1036">
        <f>SUMIFS('Level of Efficiency Assumptions'!$J:$J,'Level of Efficiency Assumptions'!$D:$D,I1056,'Level of Efficiency Assumptions'!$F:$F,J1056,'Level of Efficiency Assumptions'!$I:$I,'Water Use Calcs'!L1056)</f>
        <v>10</v>
      </c>
      <c r="N1056" s="577"/>
      <c r="O1056" s="1048">
        <f>SUMIFS('Detailed Fixture Data'!O:O,'Detailed Fixture Data'!C:C,G1056,'Detailed Fixture Data'!E:E,I1056,'Detailed Fixture Data'!F:F,J1056,'Detailed Fixture Data'!L:L,L1056)</f>
        <v>0</v>
      </c>
      <c r="P1056" s="1049"/>
      <c r="Q1056" s="577"/>
      <c r="R1056" s="1039"/>
      <c r="S1056" s="521"/>
      <c r="T1056" s="225"/>
      <c r="U1056" s="521"/>
      <c r="V1056" s="1040"/>
      <c r="W1056" s="1041"/>
    </row>
    <row r="1057" spans="3:23" ht="15" thickBot="1" x14ac:dyDescent="0.35">
      <c r="C1057" s="576"/>
      <c r="D1057" s="493" t="s">
        <v>471</v>
      </c>
      <c r="E1057" s="494"/>
      <c r="F1057" s="182"/>
      <c r="G1057" s="494" t="s">
        <v>106</v>
      </c>
      <c r="H1057" s="577"/>
      <c r="I1057" s="451" t="s">
        <v>44</v>
      </c>
      <c r="J1057" s="116" t="s">
        <v>29</v>
      </c>
      <c r="K1057" s="116"/>
      <c r="L1057" s="1042" t="s">
        <v>66</v>
      </c>
      <c r="M1057" s="1043">
        <f>SUMIFS('Level of Efficiency Assumptions'!$J:$J,'Level of Efficiency Assumptions'!$D:$D,I1057,'Level of Efficiency Assumptions'!$F:$F,J1057,'Level of Efficiency Assumptions'!$I:$I,'Water Use Calcs'!L1057)</f>
        <v>5</v>
      </c>
      <c r="N1057" s="577"/>
      <c r="O1057" s="1048">
        <f>SUMIFS('Detailed Fixture Data'!O:O,'Detailed Fixture Data'!C:C,G1057,'Detailed Fixture Data'!E:E,I1057,'Detailed Fixture Data'!F:F,J1057,'Detailed Fixture Data'!L:L,L1057)</f>
        <v>0</v>
      </c>
      <c r="P1057" s="1049"/>
      <c r="Q1057" s="577"/>
      <c r="R1057" s="1039"/>
      <c r="S1057" s="618"/>
      <c r="T1057" s="225"/>
      <c r="U1057" s="618"/>
      <c r="V1057" s="1045"/>
      <c r="W1057" s="1046"/>
    </row>
    <row r="1058" spans="3:23" x14ac:dyDescent="0.3">
      <c r="C1058" s="576"/>
      <c r="D1058" s="493" t="s">
        <v>471</v>
      </c>
      <c r="E1058" s="494"/>
      <c r="F1058" s="182"/>
      <c r="G1058" s="494" t="s">
        <v>106</v>
      </c>
      <c r="H1058" s="651" t="str">
        <f>I1058</f>
        <v>Landscaping</v>
      </c>
      <c r="I1058" s="450" t="s">
        <v>39</v>
      </c>
      <c r="J1058" s="577" t="s">
        <v>42</v>
      </c>
      <c r="K1058" s="577" t="s">
        <v>32</v>
      </c>
      <c r="L1058" s="1047" t="s">
        <v>64</v>
      </c>
      <c r="M1058" s="1036">
        <f>SUMIFS('Level of Efficiency Assumptions'!$J:$J,'Level of Efficiency Assumptions'!$D:$D,I1058,'Level of Efficiency Assumptions'!$F:$F,J1058,'Level of Efficiency Assumptions'!$I:$I,'Water Use Calcs'!L1058)</f>
        <v>28.6</v>
      </c>
      <c r="N1058" s="567" t="s">
        <v>816</v>
      </c>
      <c r="O1058" s="1048">
        <f>SUMIFS('Detailed Fixture Data'!O:O,'Detailed Fixture Data'!C:C,G1058,'Detailed Fixture Data'!E:E,I1058,'Detailed Fixture Data'!F:F,J1058,'Detailed Fixture Data'!L:L,L1058)</f>
        <v>0</v>
      </c>
      <c r="P1058" s="1030">
        <f>SUMIFS('Intensity of Use Assumptions'!$J:$J,'Intensity of Use Assumptions'!$D:$D,I1058,'Intensity of Use Assumptions'!$G:$G,J1058,'Intensity of Use Assumptions'!H:H,K1058)</f>
        <v>2.1917808219178079E-2</v>
      </c>
      <c r="Q1058" s="567" t="s">
        <v>815</v>
      </c>
      <c r="R1058" s="1032">
        <f>(SUMPRODUCT(M1058:M1060,O1058:O1060)*P1058)</f>
        <v>0</v>
      </c>
      <c r="S1058" s="1033">
        <f>IF(R1058=0,0,M1060*P1058)</f>
        <v>0</v>
      </c>
      <c r="T1058" s="225" t="str">
        <f>G1058&amp;"-"&amp;J1058</f>
        <v>Tenant A-Outdoor irrigation</v>
      </c>
      <c r="U1058" s="1034">
        <f ca="1">IF(ISNA(VLOOKUP(T1058,list!$AV$3:$AW$130,2,FALSE)),1,(VLOOKUP(T1058,list!$AV$3:$AW$130,2,FALSE)))</f>
        <v>1</v>
      </c>
      <c r="V1058" s="1033">
        <f ca="1">R1058*U1058</f>
        <v>0</v>
      </c>
      <c r="W1058" s="1033">
        <f ca="1">S1058*U1058</f>
        <v>0</v>
      </c>
    </row>
    <row r="1059" spans="3:23" x14ac:dyDescent="0.3">
      <c r="C1059" s="576"/>
      <c r="D1059" s="493" t="s">
        <v>471</v>
      </c>
      <c r="E1059" s="494"/>
      <c r="F1059" s="182"/>
      <c r="G1059" s="494" t="s">
        <v>106</v>
      </c>
      <c r="H1059" s="577"/>
      <c r="I1059" s="450" t="s">
        <v>39</v>
      </c>
      <c r="J1059" s="577" t="s">
        <v>42</v>
      </c>
      <c r="K1059" s="577"/>
      <c r="L1059" s="1035" t="s">
        <v>65</v>
      </c>
      <c r="M1059" s="1036">
        <f>SUMIFS('Level of Efficiency Assumptions'!$J:$J,'Level of Efficiency Assumptions'!$D:$D,I1059,'Level of Efficiency Assumptions'!$F:$F,J1059,'Level of Efficiency Assumptions'!$I:$I,'Water Use Calcs'!L1059)</f>
        <v>13.980821518350929</v>
      </c>
      <c r="N1059" s="577"/>
      <c r="O1059" s="1048">
        <f>SUMIFS('Detailed Fixture Data'!O:O,'Detailed Fixture Data'!C:C,G1059,'Detailed Fixture Data'!E:E,I1059,'Detailed Fixture Data'!F:F,J1059,'Detailed Fixture Data'!L:L,L1059)</f>
        <v>0</v>
      </c>
      <c r="P1059" s="1049"/>
      <c r="Q1059" s="577"/>
      <c r="R1059" s="1039"/>
      <c r="S1059" s="521"/>
      <c r="T1059" s="225"/>
      <c r="U1059" s="521"/>
      <c r="V1059" s="1040"/>
      <c r="W1059" s="1041"/>
    </row>
    <row r="1060" spans="3:23" ht="15" thickBot="1" x14ac:dyDescent="0.35">
      <c r="C1060" s="576"/>
      <c r="D1060" s="493" t="s">
        <v>471</v>
      </c>
      <c r="E1060" s="494"/>
      <c r="F1060" s="182"/>
      <c r="G1060" s="494" t="s">
        <v>106</v>
      </c>
      <c r="H1060" s="577"/>
      <c r="I1060" s="451" t="s">
        <v>39</v>
      </c>
      <c r="J1060" s="116" t="s">
        <v>42</v>
      </c>
      <c r="K1060" s="116"/>
      <c r="L1060" s="1042" t="s">
        <v>66</v>
      </c>
      <c r="M1060" s="1043">
        <f>SUMIFS('Level of Efficiency Assumptions'!$J:$J,'Level of Efficiency Assumptions'!$D:$D,I1060,'Level of Efficiency Assumptions'!$F:$F,J1060,'Level of Efficiency Assumptions'!$I:$I,'Water Use Calcs'!L1060)</f>
        <v>0.59137254901960778</v>
      </c>
      <c r="N1060" s="577"/>
      <c r="O1060" s="1048">
        <f>SUMIFS('Detailed Fixture Data'!O:O,'Detailed Fixture Data'!C:C,G1060,'Detailed Fixture Data'!E:E,I1060,'Detailed Fixture Data'!F:F,J1060,'Detailed Fixture Data'!L:L,L1060)</f>
        <v>0</v>
      </c>
      <c r="P1060" s="1049"/>
      <c r="Q1060" s="577"/>
      <c r="R1060" s="1039"/>
      <c r="S1060" s="618"/>
      <c r="T1060" s="225"/>
      <c r="U1060" s="618"/>
      <c r="V1060" s="1045"/>
      <c r="W1060" s="1046"/>
    </row>
    <row r="1061" spans="3:23" x14ac:dyDescent="0.3">
      <c r="C1061" s="576"/>
      <c r="D1061" s="493" t="s">
        <v>471</v>
      </c>
      <c r="E1061" s="494"/>
      <c r="F1061" s="182"/>
      <c r="G1061" s="494" t="s">
        <v>106</v>
      </c>
      <c r="H1061" s="651" t="str">
        <f>I1061</f>
        <v>Maintenance</v>
      </c>
      <c r="I1061" s="450" t="s">
        <v>43</v>
      </c>
      <c r="J1061" s="577" t="s">
        <v>111</v>
      </c>
      <c r="K1061" s="217" t="s">
        <v>424</v>
      </c>
      <c r="L1061" s="1047" t="s">
        <v>64</v>
      </c>
      <c r="M1061" s="1036">
        <f>SUMIFS('Level of Efficiency Assumptions'!$J:$J,'Level of Efficiency Assumptions'!$D:$D,I1061,'Level of Efficiency Assumptions'!$F:$F,J1061,'Level of Efficiency Assumptions'!$I:$I,'Water Use Calcs'!L1061)</f>
        <v>100</v>
      </c>
      <c r="N1061" s="567" t="s">
        <v>659</v>
      </c>
      <c r="O1061" s="1048">
        <f>SUMIFS('Detailed Fixture Data'!O:O,'Detailed Fixture Data'!C:C,G1061,'Detailed Fixture Data'!E:E,I1061,'Detailed Fixture Data'!F:F,J1061,'Detailed Fixture Data'!L:L,L1061)</f>
        <v>0</v>
      </c>
      <c r="P1061" s="1030">
        <f>SUMIFS('Intensity of Use Assumptions'!$J:$J,'Intensity of Use Assumptions'!$D:$D,I1061,'Intensity of Use Assumptions'!$G:$G,J1061,'Intensity of Use Assumptions'!H:H,K1061)</f>
        <v>1</v>
      </c>
      <c r="Q1061" s="567" t="s">
        <v>67</v>
      </c>
      <c r="R1061" s="1032">
        <f>(SUMPRODUCT(M1061:M1063,O1061:O1063)*P1061)</f>
        <v>0</v>
      </c>
      <c r="S1061" s="1033">
        <f>IF(R1061=0,0,M1063*P1061)</f>
        <v>0</v>
      </c>
      <c r="T1061" s="225" t="str">
        <f>G1061&amp;"-"&amp;J1061</f>
        <v>Tenant A-Boiler</v>
      </c>
      <c r="U1061" s="1034">
        <f ca="1">IF(ISNA(VLOOKUP(T1061,list!$AV$3:$AW$130,2,FALSE)),1,(VLOOKUP(T1061,list!$AV$3:$AW$130,2,FALSE)))</f>
        <v>1</v>
      </c>
      <c r="V1061" s="1033">
        <f ca="1">R1061*U1061</f>
        <v>0</v>
      </c>
      <c r="W1061" s="1033">
        <f ca="1">S1061*U1061</f>
        <v>0</v>
      </c>
    </row>
    <row r="1062" spans="3:23" x14ac:dyDescent="0.3">
      <c r="C1062" s="576"/>
      <c r="D1062" s="493" t="s">
        <v>471</v>
      </c>
      <c r="E1062" s="494"/>
      <c r="F1062" s="182"/>
      <c r="G1062" s="494" t="s">
        <v>106</v>
      </c>
      <c r="H1062" s="577"/>
      <c r="I1062" s="450" t="s">
        <v>43</v>
      </c>
      <c r="J1062" s="577" t="s">
        <v>111</v>
      </c>
      <c r="K1062" s="382"/>
      <c r="L1062" s="1035" t="s">
        <v>65</v>
      </c>
      <c r="M1062" s="1036">
        <f>SUMIFS('Level of Efficiency Assumptions'!$J:$J,'Level of Efficiency Assumptions'!$D:$D,I1062,'Level of Efficiency Assumptions'!$F:$F,J1062,'Level of Efficiency Assumptions'!$I:$I,'Water Use Calcs'!L1062)</f>
        <v>75</v>
      </c>
      <c r="N1062" s="577"/>
      <c r="O1062" s="1048">
        <f>SUMIFS('Detailed Fixture Data'!O:O,'Detailed Fixture Data'!C:C,G1062,'Detailed Fixture Data'!E:E,I1062,'Detailed Fixture Data'!F:F,J1062,'Detailed Fixture Data'!L:L,L1062)</f>
        <v>0</v>
      </c>
      <c r="P1062" s="1049"/>
      <c r="Q1062" s="577"/>
      <c r="R1062" s="1039"/>
      <c r="S1062" s="521"/>
      <c r="T1062" s="225"/>
      <c r="U1062" s="521"/>
      <c r="V1062" s="1040"/>
      <c r="W1062" s="1041"/>
    </row>
    <row r="1063" spans="3:23" ht="15" thickBot="1" x14ac:dyDescent="0.35">
      <c r="C1063" s="576"/>
      <c r="D1063" s="493" t="s">
        <v>471</v>
      </c>
      <c r="E1063" s="494"/>
      <c r="F1063" s="182"/>
      <c r="G1063" s="494" t="s">
        <v>106</v>
      </c>
      <c r="H1063" s="577"/>
      <c r="I1063" s="450" t="s">
        <v>43</v>
      </c>
      <c r="J1063" s="116" t="s">
        <v>111</v>
      </c>
      <c r="K1063" s="116"/>
      <c r="L1063" s="1042" t="s">
        <v>66</v>
      </c>
      <c r="M1063" s="1043">
        <f>SUMIFS('Level of Efficiency Assumptions'!$J:$J,'Level of Efficiency Assumptions'!$D:$D,I1063,'Level of Efficiency Assumptions'!$F:$F,J1063,'Level of Efficiency Assumptions'!$I:$I,'Water Use Calcs'!L1063)</f>
        <v>50</v>
      </c>
      <c r="N1063" s="577"/>
      <c r="O1063" s="1048">
        <f>SUMIFS('Detailed Fixture Data'!O:O,'Detailed Fixture Data'!C:C,G1063,'Detailed Fixture Data'!E:E,I1063,'Detailed Fixture Data'!F:F,J1063,'Detailed Fixture Data'!L:L,L1063)</f>
        <v>0</v>
      </c>
      <c r="P1063" s="1049"/>
      <c r="Q1063" s="577"/>
      <c r="R1063" s="1039"/>
      <c r="S1063" s="618"/>
      <c r="T1063" s="225"/>
      <c r="U1063" s="618"/>
      <c r="V1063" s="1045"/>
      <c r="W1063" s="1046"/>
    </row>
    <row r="1064" spans="3:23" x14ac:dyDescent="0.3">
      <c r="C1064" s="576"/>
      <c r="D1064" s="493" t="s">
        <v>471</v>
      </c>
      <c r="E1064" s="494"/>
      <c r="F1064" s="182"/>
      <c r="G1064" s="494" t="s">
        <v>106</v>
      </c>
      <c r="H1064" s="577"/>
      <c r="I1064" s="450" t="s">
        <v>43</v>
      </c>
      <c r="J1064" s="577" t="s">
        <v>7</v>
      </c>
      <c r="K1064" s="215" t="s">
        <v>365</v>
      </c>
      <c r="L1064" s="1012" t="s">
        <v>257</v>
      </c>
      <c r="M1064" s="1050"/>
      <c r="N1064" s="1050"/>
      <c r="O1064" s="1050"/>
      <c r="P1064" s="1051"/>
      <c r="Q1064" s="981"/>
      <c r="R1064" s="1052">
        <f>SUMIFS('Cooling Data'!H:H,'Cooling Data'!$C:$C,$G1064,'Cooling Data'!$E:$E,$I1064,'Cooling Data'!$F:$F,$J1064)</f>
        <v>0</v>
      </c>
      <c r="S1064" s="1052">
        <f>SUMIFS('Cooling Data'!J:J,'Cooling Data'!$C:$C,$G1064,'Cooling Data'!$E:$E,$I1064,'Cooling Data'!$F:$F,$J1064)</f>
        <v>0</v>
      </c>
      <c r="T1064" s="225" t="str">
        <f>G1064&amp;"-"&amp;J1064</f>
        <v>Tenant A-Cooling</v>
      </c>
      <c r="U1064" s="1034">
        <f ca="1">IF(ISNA(VLOOKUP(T1064,list!$AV$3:$AW$130,2,FALSE)),1,(VLOOKUP(T1064,list!$AV$3:$AW$130,2,FALSE)))</f>
        <v>1</v>
      </c>
      <c r="V1064" s="1033">
        <f ca="1">R1064*U1064</f>
        <v>0</v>
      </c>
      <c r="W1064" s="1033">
        <f ca="1">S1064*U1064</f>
        <v>0</v>
      </c>
    </row>
    <row r="1065" spans="3:23" x14ac:dyDescent="0.3">
      <c r="C1065" s="576"/>
      <c r="D1065" s="493" t="s">
        <v>471</v>
      </c>
      <c r="E1065" s="494"/>
      <c r="F1065" s="182"/>
      <c r="G1065" s="494" t="s">
        <v>106</v>
      </c>
      <c r="H1065" s="577"/>
      <c r="I1065" s="450" t="s">
        <v>43</v>
      </c>
      <c r="J1065" s="577" t="s">
        <v>7</v>
      </c>
      <c r="K1065" s="577"/>
      <c r="L1065" s="206"/>
      <c r="M1065" s="181"/>
      <c r="N1065" s="181"/>
      <c r="O1065" s="181"/>
      <c r="P1065" s="1053"/>
      <c r="Q1065" s="439"/>
      <c r="R1065" s="1039"/>
      <c r="S1065" s="521"/>
      <c r="T1065" s="225"/>
      <c r="U1065" s="521"/>
      <c r="V1065" s="1040"/>
      <c r="W1065" s="1041"/>
    </row>
    <row r="1066" spans="3:23" ht="15" thickBot="1" x14ac:dyDescent="0.35">
      <c r="C1066" s="576"/>
      <c r="D1066" s="493" t="s">
        <v>471</v>
      </c>
      <c r="E1066" s="494"/>
      <c r="F1066" s="182"/>
      <c r="G1066" s="494" t="s">
        <v>106</v>
      </c>
      <c r="H1066" s="577"/>
      <c r="I1066" s="450" t="s">
        <v>43</v>
      </c>
      <c r="J1066" s="116" t="s">
        <v>7</v>
      </c>
      <c r="K1066" s="116"/>
      <c r="L1066" s="207"/>
      <c r="M1066" s="924"/>
      <c r="N1066" s="924"/>
      <c r="O1066" s="924"/>
      <c r="P1066" s="1054"/>
      <c r="Q1066" s="606"/>
      <c r="R1066" s="1039"/>
      <c r="S1066" s="618"/>
      <c r="T1066" s="225"/>
      <c r="U1066" s="618"/>
      <c r="V1066" s="1045"/>
      <c r="W1066" s="1046"/>
    </row>
    <row r="1067" spans="3:23" x14ac:dyDescent="0.3">
      <c r="C1067" s="576"/>
      <c r="D1067" s="493" t="s">
        <v>471</v>
      </c>
      <c r="E1067" s="494"/>
      <c r="F1067" s="182"/>
      <c r="G1067" s="494" t="s">
        <v>106</v>
      </c>
      <c r="H1067" s="577"/>
      <c r="I1067" s="450" t="s">
        <v>43</v>
      </c>
      <c r="J1067" s="567" t="s">
        <v>25</v>
      </c>
      <c r="K1067" s="577" t="s">
        <v>10</v>
      </c>
      <c r="L1067" s="1047" t="s">
        <v>64</v>
      </c>
      <c r="M1067" s="1036">
        <f>SUMIFS('Level of Efficiency Assumptions'!$J:$J,'Level of Efficiency Assumptions'!$D:$D,I1067,'Level of Efficiency Assumptions'!$F:$F,J1067,'Level of Efficiency Assumptions'!$I:$I,'Water Use Calcs'!L1067)</f>
        <v>10</v>
      </c>
      <c r="N1067" s="567" t="s">
        <v>588</v>
      </c>
      <c r="O1067" s="1048">
        <f>SUMIFS('Detailed Fixture Data'!O:O,'Detailed Fixture Data'!C:C,G1067,'Detailed Fixture Data'!E:E,I1067,'Detailed Fixture Data'!F:F,J1067,'Detailed Fixture Data'!L:L,L1067)</f>
        <v>0</v>
      </c>
      <c r="P1067" s="1030">
        <f>SUMIFS('Intensity of Use Assumptions'!$J:$J,'Intensity of Use Assumptions'!$D:$D,I1067,'Intensity of Use Assumptions'!$G:$G,J1067,'Intensity of Use Assumptions'!H:H,K1067)</f>
        <v>1</v>
      </c>
      <c r="Q1067" s="567" t="s">
        <v>67</v>
      </c>
      <c r="R1067" s="1032">
        <f>(SUMPRODUCT(M1067:M1069,O1067:O1069)*P1067)</f>
        <v>0</v>
      </c>
      <c r="S1067" s="1033">
        <f>IF(R1067=0,0,M1069*P1067)</f>
        <v>0</v>
      </c>
      <c r="T1067" s="225" t="str">
        <f>G1067&amp;"-"&amp;J1067</f>
        <v>Tenant A-Fleet vehicle washing</v>
      </c>
      <c r="U1067" s="1034">
        <f ca="1">IF(ISNA(VLOOKUP(T1067,list!$AV$3:$AW$130,2,FALSE)),1,(VLOOKUP(T1067,list!$AV$3:$AW$130,2,FALSE)))</f>
        <v>1</v>
      </c>
      <c r="V1067" s="1033">
        <f ca="1">R1067*U1067</f>
        <v>0</v>
      </c>
      <c r="W1067" s="1033">
        <f ca="1">S1067*U1067</f>
        <v>0</v>
      </c>
    </row>
    <row r="1068" spans="3:23" x14ac:dyDescent="0.3">
      <c r="C1068" s="576"/>
      <c r="D1068" s="493" t="s">
        <v>471</v>
      </c>
      <c r="E1068" s="494"/>
      <c r="F1068" s="182"/>
      <c r="G1068" s="494" t="s">
        <v>106</v>
      </c>
      <c r="H1068" s="577"/>
      <c r="I1068" s="450" t="s">
        <v>43</v>
      </c>
      <c r="J1068" s="577" t="s">
        <v>25</v>
      </c>
      <c r="K1068" s="577"/>
      <c r="L1068" s="1035" t="s">
        <v>65</v>
      </c>
      <c r="M1068" s="1036">
        <f>SUMIFS('Level of Efficiency Assumptions'!$J:$J,'Level of Efficiency Assumptions'!$D:$D,I1068,'Level of Efficiency Assumptions'!$F:$F,J1068,'Level of Efficiency Assumptions'!$I:$I,'Water Use Calcs'!L1068)</f>
        <v>7.5</v>
      </c>
      <c r="N1068" s="577"/>
      <c r="O1068" s="1048">
        <f>SUMIFS('Detailed Fixture Data'!O:O,'Detailed Fixture Data'!C:C,G1068,'Detailed Fixture Data'!E:E,I1068,'Detailed Fixture Data'!F:F,J1068,'Detailed Fixture Data'!L:L,L1068)</f>
        <v>0</v>
      </c>
      <c r="P1068" s="1049"/>
      <c r="Q1068" s="577"/>
      <c r="R1068" s="1039"/>
      <c r="S1068" s="521"/>
      <c r="T1068" s="225"/>
      <c r="U1068" s="521"/>
      <c r="V1068" s="1040"/>
      <c r="W1068" s="1041"/>
    </row>
    <row r="1069" spans="3:23" ht="15" thickBot="1" x14ac:dyDescent="0.35">
      <c r="C1069" s="576"/>
      <c r="D1069" s="493" t="s">
        <v>471</v>
      </c>
      <c r="E1069" s="494"/>
      <c r="F1069" s="182"/>
      <c r="G1069" s="494" t="s">
        <v>106</v>
      </c>
      <c r="H1069" s="577"/>
      <c r="I1069" s="450" t="s">
        <v>43</v>
      </c>
      <c r="J1069" s="116" t="s">
        <v>25</v>
      </c>
      <c r="K1069" s="116"/>
      <c r="L1069" s="1042" t="s">
        <v>66</v>
      </c>
      <c r="M1069" s="1043">
        <f>SUMIFS('Level of Efficiency Assumptions'!$J:$J,'Level of Efficiency Assumptions'!$D:$D,I1069,'Level of Efficiency Assumptions'!$F:$F,J1069,'Level of Efficiency Assumptions'!$I:$I,'Water Use Calcs'!L1069)</f>
        <v>5</v>
      </c>
      <c r="N1069" s="577"/>
      <c r="O1069" s="1048">
        <f>SUMIFS('Detailed Fixture Data'!O:O,'Detailed Fixture Data'!C:C,G1069,'Detailed Fixture Data'!E:E,I1069,'Detailed Fixture Data'!F:F,J1069,'Detailed Fixture Data'!L:L,L1069)</f>
        <v>0</v>
      </c>
      <c r="P1069" s="1049"/>
      <c r="Q1069" s="577"/>
      <c r="R1069" s="1039"/>
      <c r="S1069" s="618"/>
      <c r="T1069" s="225"/>
      <c r="U1069" s="618"/>
      <c r="V1069" s="1045"/>
      <c r="W1069" s="1046"/>
    </row>
    <row r="1070" spans="3:23" x14ac:dyDescent="0.3">
      <c r="C1070" s="576"/>
      <c r="D1070" s="493" t="s">
        <v>471</v>
      </c>
      <c r="E1070" s="494"/>
      <c r="F1070" s="182"/>
      <c r="G1070" s="494" t="s">
        <v>106</v>
      </c>
      <c r="H1070" s="577"/>
      <c r="I1070" s="450" t="s">
        <v>43</v>
      </c>
      <c r="J1070" s="577" t="s">
        <v>426</v>
      </c>
      <c r="K1070" s="577" t="s">
        <v>10</v>
      </c>
      <c r="L1070" s="1047" t="s">
        <v>64</v>
      </c>
      <c r="M1070" s="1036">
        <f>SUMIFS('Level of Efficiency Assumptions'!$J:$J,'Level of Efficiency Assumptions'!$D:$D,I1070,'Level of Efficiency Assumptions'!$F:$F,J1070,'Level of Efficiency Assumptions'!$I:$I,'Water Use Calcs'!L1070)</f>
        <v>10</v>
      </c>
      <c r="N1070" s="567" t="s">
        <v>588</v>
      </c>
      <c r="O1070" s="1048">
        <f>SUMIFS('Detailed Fixture Data'!O:O,'Detailed Fixture Data'!C:C,G1070,'Detailed Fixture Data'!E:E,I1070,'Detailed Fixture Data'!F:F,J1070,'Detailed Fixture Data'!L:L,L1070)</f>
        <v>0</v>
      </c>
      <c r="P1070" s="1030">
        <f>SUMIFS('Intensity of Use Assumptions'!$J:$J,'Intensity of Use Assumptions'!$D:$D,I1070,'Intensity of Use Assumptions'!$G:$G,J1070,'Intensity of Use Assumptions'!H:H,K1070)</f>
        <v>2E-3</v>
      </c>
      <c r="Q1070" s="567" t="s">
        <v>67</v>
      </c>
      <c r="R1070" s="1032">
        <f>(SUMPRODUCT(M1070:M1072,O1070:O1072)*P1070)</f>
        <v>0</v>
      </c>
      <c r="S1070" s="1033">
        <f>IF(R1070=0,0,M1072*P1070)</f>
        <v>0</v>
      </c>
      <c r="T1070" s="225" t="str">
        <f>G1070&amp;"-"&amp;J1070</f>
        <v>Tenant A-Pavement cleaning</v>
      </c>
      <c r="U1070" s="1034">
        <f ca="1">IF(ISNA(VLOOKUP(T1070,list!$AV$3:$AW$130,2,FALSE)),1,(VLOOKUP(T1070,list!$AV$3:$AW$130,2,FALSE)))</f>
        <v>1</v>
      </c>
      <c r="V1070" s="1033">
        <f ca="1">R1070*U1070</f>
        <v>0</v>
      </c>
      <c r="W1070" s="1033">
        <f ca="1">S1070*U1070</f>
        <v>0</v>
      </c>
    </row>
    <row r="1071" spans="3:23" x14ac:dyDescent="0.3">
      <c r="C1071" s="576"/>
      <c r="D1071" s="493" t="s">
        <v>471</v>
      </c>
      <c r="E1071" s="494"/>
      <c r="F1071" s="182"/>
      <c r="G1071" s="494" t="s">
        <v>106</v>
      </c>
      <c r="H1071" s="577"/>
      <c r="I1071" s="450" t="s">
        <v>43</v>
      </c>
      <c r="J1071" s="577" t="s">
        <v>426</v>
      </c>
      <c r="K1071" s="577"/>
      <c r="L1071" s="1035" t="s">
        <v>65</v>
      </c>
      <c r="M1071" s="1036">
        <f>SUMIFS('Level of Efficiency Assumptions'!$J:$J,'Level of Efficiency Assumptions'!$D:$D,I1071,'Level of Efficiency Assumptions'!$F:$F,J1071,'Level of Efficiency Assumptions'!$I:$I,'Water Use Calcs'!L1071)</f>
        <v>7.5</v>
      </c>
      <c r="N1071" s="577"/>
      <c r="O1071" s="1048">
        <f>SUMIFS('Detailed Fixture Data'!O:O,'Detailed Fixture Data'!C:C,G1071,'Detailed Fixture Data'!E:E,I1071,'Detailed Fixture Data'!F:F,J1071,'Detailed Fixture Data'!L:L,L1071)</f>
        <v>0</v>
      </c>
      <c r="P1071" s="1049"/>
      <c r="Q1071" s="577"/>
      <c r="R1071" s="1039"/>
      <c r="S1071" s="521"/>
      <c r="T1071" s="225"/>
      <c r="U1071" s="521"/>
      <c r="V1071" s="1040"/>
      <c r="W1071" s="1041"/>
    </row>
    <row r="1072" spans="3:23" ht="15" thickBot="1" x14ac:dyDescent="0.35">
      <c r="C1072" s="576"/>
      <c r="D1072" s="493" t="s">
        <v>471</v>
      </c>
      <c r="E1072" s="494"/>
      <c r="F1072" s="182"/>
      <c r="G1072" s="494" t="s">
        <v>106</v>
      </c>
      <c r="H1072" s="577"/>
      <c r="I1072" s="451" t="s">
        <v>43</v>
      </c>
      <c r="J1072" s="116" t="s">
        <v>426</v>
      </c>
      <c r="K1072" s="116"/>
      <c r="L1072" s="1042" t="s">
        <v>66</v>
      </c>
      <c r="M1072" s="1043">
        <f>SUMIFS('Level of Efficiency Assumptions'!$J:$J,'Level of Efficiency Assumptions'!$D:$D,I1072,'Level of Efficiency Assumptions'!$F:$F,J1072,'Level of Efficiency Assumptions'!$I:$I,'Water Use Calcs'!L1072)</f>
        <v>5</v>
      </c>
      <c r="N1072" s="577"/>
      <c r="O1072" s="1048">
        <f>SUMIFS('Detailed Fixture Data'!O:O,'Detailed Fixture Data'!C:C,G1072,'Detailed Fixture Data'!E:E,I1072,'Detailed Fixture Data'!F:F,J1072,'Detailed Fixture Data'!L:L,L1072)</f>
        <v>0</v>
      </c>
      <c r="P1072" s="1049"/>
      <c r="Q1072" s="577"/>
      <c r="R1072" s="1039"/>
      <c r="S1072" s="618"/>
      <c r="T1072" s="225"/>
      <c r="U1072" s="618"/>
      <c r="V1072" s="1045"/>
      <c r="W1072" s="1046"/>
    </row>
    <row r="1073" spans="3:23" x14ac:dyDescent="0.3">
      <c r="C1073" s="576"/>
      <c r="D1073" s="493" t="s">
        <v>471</v>
      </c>
      <c r="E1073" s="494"/>
      <c r="F1073" s="182"/>
      <c r="G1073" s="494" t="s">
        <v>106</v>
      </c>
      <c r="H1073" s="651" t="str">
        <f>I1073</f>
        <v>Other</v>
      </c>
      <c r="I1073" s="450" t="s">
        <v>8</v>
      </c>
      <c r="J1073" s="577" t="s">
        <v>52</v>
      </c>
      <c r="K1073" s="387" t="s">
        <v>362</v>
      </c>
      <c r="L1073" s="1047" t="s">
        <v>64</v>
      </c>
      <c r="M1073" s="1036">
        <f>SUMIFS('Level of Efficiency Assumptions'!$J:$J,'Level of Efficiency Assumptions'!$D:$D,I1073,'Level of Efficiency Assumptions'!$F:$F,J1073,'Level of Efficiency Assumptions'!$I:$I,'Water Use Calcs'!L1073)</f>
        <v>10</v>
      </c>
      <c r="N1073" s="567" t="s">
        <v>660</v>
      </c>
      <c r="O1073" s="1048">
        <f>SUMIFS('Detailed Fixture Data'!O:O,'Detailed Fixture Data'!C:C,G1073,'Detailed Fixture Data'!E:E,I1073,'Detailed Fixture Data'!F:F,J1073,'Detailed Fixture Data'!L:L,L1073)</f>
        <v>0</v>
      </c>
      <c r="P1073" s="1030">
        <f>SUMIFS('Intensity of Use Assumptions'!$J:$J,'Intensity of Use Assumptions'!$D:$D,I1073,'Intensity of Use Assumptions'!$G:$G,J1073,'Intensity of Use Assumptions'!H:H,K1073)</f>
        <v>1</v>
      </c>
      <c r="Q1073" s="567" t="s">
        <v>67</v>
      </c>
      <c r="R1073" s="1032">
        <f>(SUMPRODUCT(M1073:M1075,O1073:O1075)*P1073)</f>
        <v>0</v>
      </c>
      <c r="S1073" s="1033">
        <f>IF(R1073=0,0,M1075*P1073)</f>
        <v>0</v>
      </c>
      <c r="T1073" s="225" t="str">
        <f>G1073&amp;"-"&amp;J1073</f>
        <v>Tenant A-Other 1</v>
      </c>
      <c r="U1073" s="1034">
        <f ca="1">IF(ISNA(VLOOKUP(T1073,list!$AV$3:$AW$130,2,FALSE)),1,(VLOOKUP(T1073,list!$AV$3:$AW$130,2,FALSE)))</f>
        <v>1</v>
      </c>
      <c r="V1073" s="1033">
        <f ca="1">R1073*U1073</f>
        <v>0</v>
      </c>
      <c r="W1073" s="1033">
        <f ca="1">S1073*U1073</f>
        <v>0</v>
      </c>
    </row>
    <row r="1074" spans="3:23" x14ac:dyDescent="0.3">
      <c r="C1074" s="576"/>
      <c r="D1074" s="493" t="s">
        <v>471</v>
      </c>
      <c r="E1074" s="494"/>
      <c r="F1074" s="182"/>
      <c r="G1074" s="494" t="s">
        <v>106</v>
      </c>
      <c r="H1074" s="577"/>
      <c r="I1074" s="450" t="s">
        <v>8</v>
      </c>
      <c r="J1074" s="577" t="s">
        <v>52</v>
      </c>
      <c r="K1074" s="382"/>
      <c r="L1074" s="1035" t="s">
        <v>65</v>
      </c>
      <c r="M1074" s="1036">
        <f>SUMIFS('Level of Efficiency Assumptions'!$J:$J,'Level of Efficiency Assumptions'!$D:$D,I1074,'Level of Efficiency Assumptions'!$F:$F,J1074,'Level of Efficiency Assumptions'!$I:$I,'Water Use Calcs'!L1074)</f>
        <v>7.5</v>
      </c>
      <c r="N1074" s="577"/>
      <c r="O1074" s="1048">
        <f>SUMIFS('Detailed Fixture Data'!O:O,'Detailed Fixture Data'!C:C,G1074,'Detailed Fixture Data'!E:E,I1074,'Detailed Fixture Data'!F:F,J1074,'Detailed Fixture Data'!L:L,L1074)</f>
        <v>0</v>
      </c>
      <c r="P1074" s="1049"/>
      <c r="Q1074" s="577"/>
      <c r="R1074" s="1039"/>
      <c r="S1074" s="521"/>
      <c r="T1074" s="225"/>
      <c r="U1074" s="521"/>
      <c r="V1074" s="1040"/>
      <c r="W1074" s="1041"/>
    </row>
    <row r="1075" spans="3:23" ht="15" thickBot="1" x14ac:dyDescent="0.35">
      <c r="C1075" s="576"/>
      <c r="D1075" s="493" t="s">
        <v>471</v>
      </c>
      <c r="E1075" s="494"/>
      <c r="F1075" s="182"/>
      <c r="G1075" s="494" t="s">
        <v>106</v>
      </c>
      <c r="H1075" s="577"/>
      <c r="I1075" s="450" t="s">
        <v>8</v>
      </c>
      <c r="J1075" s="116" t="s">
        <v>52</v>
      </c>
      <c r="K1075" s="382"/>
      <c r="L1075" s="1042" t="s">
        <v>66</v>
      </c>
      <c r="M1075" s="1043">
        <f>SUMIFS('Level of Efficiency Assumptions'!$J:$J,'Level of Efficiency Assumptions'!$D:$D,I1075,'Level of Efficiency Assumptions'!$F:$F,J1075,'Level of Efficiency Assumptions'!$I:$I,'Water Use Calcs'!L1075)</f>
        <v>5</v>
      </c>
      <c r="N1075" s="577"/>
      <c r="O1075" s="1048">
        <f>SUMIFS('Detailed Fixture Data'!O:O,'Detailed Fixture Data'!C:C,G1075,'Detailed Fixture Data'!E:E,I1075,'Detailed Fixture Data'!F:F,J1075,'Detailed Fixture Data'!L:L,L1075)</f>
        <v>0</v>
      </c>
      <c r="P1075" s="1049"/>
      <c r="Q1075" s="577"/>
      <c r="R1075" s="1039"/>
      <c r="S1075" s="618"/>
      <c r="T1075" s="225"/>
      <c r="U1075" s="618"/>
      <c r="V1075" s="1045"/>
      <c r="W1075" s="1046"/>
    </row>
    <row r="1076" spans="3:23" x14ac:dyDescent="0.3">
      <c r="C1076" s="576"/>
      <c r="D1076" s="493" t="s">
        <v>471</v>
      </c>
      <c r="E1076" s="494"/>
      <c r="F1076" s="182"/>
      <c r="G1076" s="494" t="s">
        <v>106</v>
      </c>
      <c r="H1076" s="577"/>
      <c r="I1076" s="450" t="s">
        <v>8</v>
      </c>
      <c r="J1076" s="577" t="s">
        <v>53</v>
      </c>
      <c r="K1076" s="1055" t="s">
        <v>363</v>
      </c>
      <c r="L1076" s="1047" t="s">
        <v>64</v>
      </c>
      <c r="M1076" s="1036">
        <f>SUMIFS('Level of Efficiency Assumptions'!$J:$J,'Level of Efficiency Assumptions'!$D:$D,I1076,'Level of Efficiency Assumptions'!$F:$F,J1076,'Level of Efficiency Assumptions'!$I:$I,'Water Use Calcs'!L1076)</f>
        <v>10</v>
      </c>
      <c r="N1076" s="567" t="s">
        <v>660</v>
      </c>
      <c r="O1076" s="1048">
        <f>SUMIFS('Detailed Fixture Data'!O:O,'Detailed Fixture Data'!C:C,G1076,'Detailed Fixture Data'!E:E,I1076,'Detailed Fixture Data'!F:F,J1076,'Detailed Fixture Data'!L:L,L1076)</f>
        <v>0</v>
      </c>
      <c r="P1076" s="1030">
        <f>SUMIFS('Intensity of Use Assumptions'!$J:$J,'Intensity of Use Assumptions'!$D:$D,I1076,'Intensity of Use Assumptions'!$G:$G,J1076,'Intensity of Use Assumptions'!H:H,K1076)</f>
        <v>1</v>
      </c>
      <c r="Q1076" s="567" t="s">
        <v>67</v>
      </c>
      <c r="R1076" s="1032">
        <f>(SUMPRODUCT(M1076:M1078,O1076:O1078)*P1076)</f>
        <v>0</v>
      </c>
      <c r="S1076" s="1033">
        <f>IF(R1076=0,0,M1078*P1076)</f>
        <v>0</v>
      </c>
      <c r="T1076" s="225" t="str">
        <f>G1076&amp;"-"&amp;J1076</f>
        <v>Tenant A-Other 2</v>
      </c>
      <c r="U1076" s="1034">
        <f ca="1">IF(ISNA(VLOOKUP(T1076,list!$AV$3:$AW$130,2,FALSE)),1,(VLOOKUP(T1076,list!$AV$3:$AW$130,2,FALSE)))</f>
        <v>1</v>
      </c>
      <c r="V1076" s="1033">
        <f ca="1">R1076*U1076</f>
        <v>0</v>
      </c>
      <c r="W1076" s="1033">
        <f ca="1">S1076*U1076</f>
        <v>0</v>
      </c>
    </row>
    <row r="1077" spans="3:23" x14ac:dyDescent="0.3">
      <c r="C1077" s="576"/>
      <c r="D1077" s="493" t="s">
        <v>471</v>
      </c>
      <c r="E1077" s="494"/>
      <c r="F1077" s="182"/>
      <c r="G1077" s="494" t="s">
        <v>106</v>
      </c>
      <c r="H1077" s="577"/>
      <c r="I1077" s="450" t="s">
        <v>8</v>
      </c>
      <c r="J1077" s="577" t="s">
        <v>53</v>
      </c>
      <c r="K1077" s="577"/>
      <c r="L1077" s="1035" t="s">
        <v>65</v>
      </c>
      <c r="M1077" s="1036">
        <f>SUMIFS('Level of Efficiency Assumptions'!$J:$J,'Level of Efficiency Assumptions'!$D:$D,I1077,'Level of Efficiency Assumptions'!$F:$F,J1077,'Level of Efficiency Assumptions'!$I:$I,'Water Use Calcs'!L1077)</f>
        <v>7.5</v>
      </c>
      <c r="N1077" s="577"/>
      <c r="O1077" s="1048">
        <f>SUMIFS('Detailed Fixture Data'!O:O,'Detailed Fixture Data'!C:C,G1077,'Detailed Fixture Data'!E:E,I1077,'Detailed Fixture Data'!F:F,J1077,'Detailed Fixture Data'!L:L,L1077)</f>
        <v>0</v>
      </c>
      <c r="P1077" s="1049"/>
      <c r="Q1077" s="577"/>
      <c r="R1077" s="1039"/>
      <c r="S1077" s="521"/>
      <c r="T1077" s="225"/>
      <c r="U1077" s="521"/>
      <c r="V1077" s="1040"/>
      <c r="W1077" s="1041"/>
    </row>
    <row r="1078" spans="3:23" ht="15" thickBot="1" x14ac:dyDescent="0.35">
      <c r="C1078" s="576"/>
      <c r="D1078" s="493" t="s">
        <v>471</v>
      </c>
      <c r="E1078" s="494"/>
      <c r="F1078" s="182"/>
      <c r="G1078" s="494" t="s">
        <v>106</v>
      </c>
      <c r="H1078" s="577"/>
      <c r="I1078" s="450" t="s">
        <v>8</v>
      </c>
      <c r="J1078" s="116" t="s">
        <v>53</v>
      </c>
      <c r="K1078" s="116"/>
      <c r="L1078" s="1042" t="s">
        <v>66</v>
      </c>
      <c r="M1078" s="1043">
        <f>SUMIFS('Level of Efficiency Assumptions'!$J:$J,'Level of Efficiency Assumptions'!$D:$D,I1078,'Level of Efficiency Assumptions'!$F:$F,J1078,'Level of Efficiency Assumptions'!$I:$I,'Water Use Calcs'!L1078)</f>
        <v>5</v>
      </c>
      <c r="N1078" s="577"/>
      <c r="O1078" s="1048">
        <f>SUMIFS('Detailed Fixture Data'!O:O,'Detailed Fixture Data'!C:C,G1078,'Detailed Fixture Data'!E:E,I1078,'Detailed Fixture Data'!F:F,J1078,'Detailed Fixture Data'!L:L,L1078)</f>
        <v>0</v>
      </c>
      <c r="P1078" s="1049"/>
      <c r="Q1078" s="577"/>
      <c r="R1078" s="1039"/>
      <c r="S1078" s="618"/>
      <c r="T1078" s="225"/>
      <c r="U1078" s="618"/>
      <c r="V1078" s="1045"/>
      <c r="W1078" s="1046"/>
    </row>
    <row r="1079" spans="3:23" x14ac:dyDescent="0.3">
      <c r="C1079" s="576"/>
      <c r="D1079" s="493" t="s">
        <v>471</v>
      </c>
      <c r="E1079" s="494"/>
      <c r="F1079" s="182"/>
      <c r="G1079" s="494" t="s">
        <v>106</v>
      </c>
      <c r="H1079" s="577"/>
      <c r="I1079" s="450" t="s">
        <v>8</v>
      </c>
      <c r="J1079" s="577" t="s">
        <v>54</v>
      </c>
      <c r="K1079" s="379" t="s">
        <v>364</v>
      </c>
      <c r="L1079" s="1047" t="s">
        <v>64</v>
      </c>
      <c r="M1079" s="1036">
        <f>SUMIFS('Level of Efficiency Assumptions'!$J:$J,'Level of Efficiency Assumptions'!$D:$D,I1079,'Level of Efficiency Assumptions'!$F:$F,J1079,'Level of Efficiency Assumptions'!$I:$I,'Water Use Calcs'!L1079)</f>
        <v>10</v>
      </c>
      <c r="N1079" s="567" t="s">
        <v>660</v>
      </c>
      <c r="O1079" s="1048">
        <f>SUMIFS('Detailed Fixture Data'!O:O,'Detailed Fixture Data'!C:C,G1079,'Detailed Fixture Data'!E:E,I1079,'Detailed Fixture Data'!F:F,J1079,'Detailed Fixture Data'!L:L,L1079)</f>
        <v>0</v>
      </c>
      <c r="P1079" s="1030">
        <f>SUMIFS('Intensity of Use Assumptions'!$J:$J,'Intensity of Use Assumptions'!$D:$D,I1079,'Intensity of Use Assumptions'!$G:$G,J1079,'Intensity of Use Assumptions'!H:H,K1079)</f>
        <v>1</v>
      </c>
      <c r="Q1079" s="567" t="s">
        <v>67</v>
      </c>
      <c r="R1079" s="1032">
        <f>(SUMPRODUCT(M1079:M1081,O1079:O1081)*P1079)</f>
        <v>0</v>
      </c>
      <c r="S1079" s="1033">
        <f>IF(R1079=0,0,M1081*P1079)</f>
        <v>0</v>
      </c>
      <c r="T1079" s="225" t="str">
        <f>G1079&amp;"-"&amp;J1079</f>
        <v>Tenant A-Other 3</v>
      </c>
      <c r="U1079" s="1034">
        <f ca="1">IF(ISNA(VLOOKUP(T1079,list!$AV$3:$AW$130,2,FALSE)),1,(VLOOKUP(T1079,list!$AV$3:$AW$130,2,FALSE)))</f>
        <v>1</v>
      </c>
      <c r="V1079" s="1033">
        <f ca="1">R1079*U1079</f>
        <v>0</v>
      </c>
      <c r="W1079" s="1033">
        <f ca="1">S1079*U1079</f>
        <v>0</v>
      </c>
    </row>
    <row r="1080" spans="3:23" x14ac:dyDescent="0.3">
      <c r="C1080" s="576"/>
      <c r="D1080" s="493" t="s">
        <v>471</v>
      </c>
      <c r="E1080" s="494"/>
      <c r="F1080" s="182"/>
      <c r="G1080" s="494" t="s">
        <v>106</v>
      </c>
      <c r="H1080" s="577"/>
      <c r="I1080" s="450" t="s">
        <v>8</v>
      </c>
      <c r="J1080" s="577" t="s">
        <v>54</v>
      </c>
      <c r="K1080" s="577"/>
      <c r="L1080" s="1035" t="s">
        <v>65</v>
      </c>
      <c r="M1080" s="1036">
        <f>SUMIFS('Level of Efficiency Assumptions'!$J:$J,'Level of Efficiency Assumptions'!$D:$D,I1080,'Level of Efficiency Assumptions'!$F:$F,J1080,'Level of Efficiency Assumptions'!$I:$I,'Water Use Calcs'!L1080)</f>
        <v>7.5</v>
      </c>
      <c r="N1080" s="577"/>
      <c r="O1080" s="1048">
        <f>SUMIFS('Detailed Fixture Data'!O:O,'Detailed Fixture Data'!C:C,G1080,'Detailed Fixture Data'!E:E,I1080,'Detailed Fixture Data'!F:F,J1080,'Detailed Fixture Data'!L:L,L1080)</f>
        <v>0</v>
      </c>
      <c r="P1080" s="1049"/>
      <c r="Q1080" s="577"/>
      <c r="R1080" s="1039"/>
      <c r="S1080" s="521"/>
      <c r="T1080" s="225"/>
      <c r="U1080" s="521"/>
      <c r="V1080" s="1040"/>
      <c r="W1080" s="1041"/>
    </row>
    <row r="1081" spans="3:23" ht="15" thickBot="1" x14ac:dyDescent="0.35">
      <c r="C1081" s="576"/>
      <c r="D1081" s="500" t="s">
        <v>471</v>
      </c>
      <c r="E1081" s="501"/>
      <c r="F1081" s="184"/>
      <c r="G1081" s="501" t="s">
        <v>106</v>
      </c>
      <c r="H1081" s="116"/>
      <c r="I1081" s="451" t="s">
        <v>8</v>
      </c>
      <c r="J1081" s="116" t="s">
        <v>54</v>
      </c>
      <c r="K1081" s="116"/>
      <c r="L1081" s="1042" t="s">
        <v>66</v>
      </c>
      <c r="M1081" s="1043">
        <f>SUMIFS('Level of Efficiency Assumptions'!$J:$J,'Level of Efficiency Assumptions'!$D:$D,I1081,'Level of Efficiency Assumptions'!$F:$F,J1081,'Level of Efficiency Assumptions'!$I:$I,'Water Use Calcs'!L1081)</f>
        <v>5</v>
      </c>
      <c r="N1081" s="116"/>
      <c r="O1081" s="1048">
        <f>SUMIFS('Detailed Fixture Data'!O:O,'Detailed Fixture Data'!C:C,G1081,'Detailed Fixture Data'!E:E,I1081,'Detailed Fixture Data'!F:F,J1081,'Detailed Fixture Data'!L:L,L1081)</f>
        <v>0</v>
      </c>
      <c r="P1081" s="1049"/>
      <c r="Q1081" s="116"/>
      <c r="R1081" s="1045"/>
      <c r="S1081" s="618"/>
      <c r="T1081" s="225"/>
      <c r="U1081" s="618"/>
      <c r="V1081" s="1045"/>
      <c r="W1081" s="1046"/>
    </row>
    <row r="1082" spans="3:23" x14ac:dyDescent="0.3">
      <c r="C1082" s="576"/>
      <c r="D1082" s="493" t="s">
        <v>471</v>
      </c>
      <c r="E1082" s="619" t="str">
        <f>G1082</f>
        <v>Tenant B</v>
      </c>
      <c r="F1082" s="565" t="str">
        <f>VLOOKUP(E1082,'Airport Mapping'!$C$5:$D$39,2,FALSE)</f>
        <v xml:space="preserve"> </v>
      </c>
      <c r="G1082" s="494" t="s">
        <v>107</v>
      </c>
      <c r="H1082" s="651" t="str">
        <f>I1082</f>
        <v>Restrooms</v>
      </c>
      <c r="I1082" s="454" t="s">
        <v>37</v>
      </c>
      <c r="J1082" s="567" t="s">
        <v>2</v>
      </c>
      <c r="K1082" s="577" t="s">
        <v>6</v>
      </c>
      <c r="L1082" s="1028" t="s">
        <v>64</v>
      </c>
      <c r="M1082" s="1036">
        <f>SUMIFS('Level of Efficiency Assumptions'!$J:$J,'Level of Efficiency Assumptions'!$D:$D,I1082,'Level of Efficiency Assumptions'!$F:$F,J1082,'Level of Efficiency Assumptions'!$I:$I,'Water Use Calcs'!L1082)</f>
        <v>3.5</v>
      </c>
      <c r="N1082" s="567" t="s">
        <v>68</v>
      </c>
      <c r="O1082" s="1048">
        <f>SUMIFS('Detailed Fixture Data'!O:O,'Detailed Fixture Data'!C:C,G1082,'Detailed Fixture Data'!E:E,I1082,'Detailed Fixture Data'!F:F,J1082,'Detailed Fixture Data'!L:L,L1082)</f>
        <v>0</v>
      </c>
      <c r="P1082" s="1030">
        <f>SUMIFS('Intensity of Use Assumptions'!$J:$J,'Intensity of Use Assumptions'!$D:$D,I1082,'Intensity of Use Assumptions'!$G:$G,J1082,'Intensity of Use Assumptions'!H:H,K1082)</f>
        <v>2.5</v>
      </c>
      <c r="Q1082" s="567" t="s">
        <v>67</v>
      </c>
      <c r="R1082" s="1032">
        <f>(SUMPRODUCT(M1082:M1084,O1082:O1084)*P1082)</f>
        <v>0</v>
      </c>
      <c r="S1082" s="1033">
        <f>IF(R1082=0,0,M1084*P1082)</f>
        <v>0</v>
      </c>
      <c r="T1082" s="225" t="str">
        <f>G1082&amp;"-"&amp;J1082</f>
        <v>Tenant B-Toilets</v>
      </c>
      <c r="U1082" s="1034">
        <f ca="1">IF(ISNA(VLOOKUP(T1082,list!$AV$3:$AW$130,2,FALSE)),1,(VLOOKUP(T1082,list!$AV$3:$AW$130,2,FALSE)))</f>
        <v>1</v>
      </c>
      <c r="V1082" s="1033">
        <f ca="1">R1082*U1082</f>
        <v>0</v>
      </c>
      <c r="W1082" s="1033">
        <f ca="1">S1082*U1082</f>
        <v>0</v>
      </c>
    </row>
    <row r="1083" spans="3:23" x14ac:dyDescent="0.3">
      <c r="C1083" s="576"/>
      <c r="D1083" s="493" t="s">
        <v>471</v>
      </c>
      <c r="E1083" s="494"/>
      <c r="F1083" s="182"/>
      <c r="G1083" s="494" t="s">
        <v>107</v>
      </c>
      <c r="H1083" s="577"/>
      <c r="I1083" s="450" t="s">
        <v>37</v>
      </c>
      <c r="J1083" s="577" t="s">
        <v>2</v>
      </c>
      <c r="K1083" s="577"/>
      <c r="L1083" s="1035" t="s">
        <v>65</v>
      </c>
      <c r="M1083" s="1036">
        <f>SUMIFS('Level of Efficiency Assumptions'!$J:$J,'Level of Efficiency Assumptions'!$D:$D,I1083,'Level of Efficiency Assumptions'!$F:$F,J1083,'Level of Efficiency Assumptions'!$I:$I,'Water Use Calcs'!L1083)</f>
        <v>1.6</v>
      </c>
      <c r="N1083" s="577"/>
      <c r="O1083" s="1048">
        <f>SUMIFS('Detailed Fixture Data'!O:O,'Detailed Fixture Data'!C:C,G1083,'Detailed Fixture Data'!E:E,I1083,'Detailed Fixture Data'!F:F,J1083,'Detailed Fixture Data'!L:L,L1083)</f>
        <v>0</v>
      </c>
      <c r="P1083" s="1049"/>
      <c r="Q1083" s="577"/>
      <c r="R1083" s="1039"/>
      <c r="S1083" s="521"/>
      <c r="T1083" s="225"/>
      <c r="U1083" s="521"/>
      <c r="V1083" s="1040"/>
      <c r="W1083" s="1041"/>
    </row>
    <row r="1084" spans="3:23" ht="15" thickBot="1" x14ac:dyDescent="0.35">
      <c r="C1084" s="576"/>
      <c r="D1084" s="493" t="s">
        <v>471</v>
      </c>
      <c r="E1084" s="494"/>
      <c r="F1084" s="182"/>
      <c r="G1084" s="494" t="s">
        <v>107</v>
      </c>
      <c r="H1084" s="577"/>
      <c r="I1084" s="450" t="s">
        <v>37</v>
      </c>
      <c r="J1084" s="116" t="s">
        <v>2</v>
      </c>
      <c r="K1084" s="116"/>
      <c r="L1084" s="1042" t="s">
        <v>66</v>
      </c>
      <c r="M1084" s="1043">
        <f>SUMIFS('Level of Efficiency Assumptions'!$J:$J,'Level of Efficiency Assumptions'!$D:$D,I1084,'Level of Efficiency Assumptions'!$F:$F,J1084,'Level of Efficiency Assumptions'!$I:$I,'Water Use Calcs'!L1084)</f>
        <v>1.28</v>
      </c>
      <c r="N1084" s="577"/>
      <c r="O1084" s="1048">
        <f>SUMIFS('Detailed Fixture Data'!O:O,'Detailed Fixture Data'!C:C,G1084,'Detailed Fixture Data'!E:E,I1084,'Detailed Fixture Data'!F:F,J1084,'Detailed Fixture Data'!L:L,L1084)</f>
        <v>0</v>
      </c>
      <c r="P1084" s="1049"/>
      <c r="Q1084" s="577"/>
      <c r="R1084" s="1039"/>
      <c r="S1084" s="618"/>
      <c r="T1084" s="225"/>
      <c r="U1084" s="618"/>
      <c r="V1084" s="1045"/>
      <c r="W1084" s="1046"/>
    </row>
    <row r="1085" spans="3:23" x14ac:dyDescent="0.3">
      <c r="C1085" s="576"/>
      <c r="D1085" s="493" t="s">
        <v>471</v>
      </c>
      <c r="E1085" s="494"/>
      <c r="F1085" s="182"/>
      <c r="G1085" s="494" t="s">
        <v>107</v>
      </c>
      <c r="H1085" s="577"/>
      <c r="I1085" s="450" t="s">
        <v>37</v>
      </c>
      <c r="J1085" s="577" t="s">
        <v>4</v>
      </c>
      <c r="K1085" s="577" t="s">
        <v>6</v>
      </c>
      <c r="L1085" s="1047" t="s">
        <v>64</v>
      </c>
      <c r="M1085" s="1036">
        <f>SUMIFS('Level of Efficiency Assumptions'!$J:$J,'Level of Efficiency Assumptions'!$D:$D,I1085,'Level of Efficiency Assumptions'!$F:$F,J1085,'Level of Efficiency Assumptions'!$I:$I,'Water Use Calcs'!L1085)</f>
        <v>2</v>
      </c>
      <c r="N1085" s="567" t="s">
        <v>68</v>
      </c>
      <c r="O1085" s="1048">
        <f>SUMIFS('Detailed Fixture Data'!O:O,'Detailed Fixture Data'!C:C,G1085,'Detailed Fixture Data'!E:E,I1085,'Detailed Fixture Data'!F:F,J1085,'Detailed Fixture Data'!L:L,L1085)</f>
        <v>0</v>
      </c>
      <c r="P1085" s="1030">
        <f>SUMIFS('Intensity of Use Assumptions'!$J:$J,'Intensity of Use Assumptions'!$D:$D,I1085,'Intensity of Use Assumptions'!$G:$G,J1085,'Intensity of Use Assumptions'!H:H,K1085)</f>
        <v>1.5</v>
      </c>
      <c r="Q1085" s="567" t="s">
        <v>67</v>
      </c>
      <c r="R1085" s="1032">
        <f>(SUMPRODUCT(M1085:M1087,O1085:O1087)*P1085)</f>
        <v>0</v>
      </c>
      <c r="S1085" s="1033">
        <f>IF(R1085=0,0,M1087*P1085)</f>
        <v>0</v>
      </c>
      <c r="T1085" s="225" t="str">
        <f>G1085&amp;"-"&amp;J1085</f>
        <v>Tenant B-Urinals</v>
      </c>
      <c r="U1085" s="1034">
        <f ca="1">IF(ISNA(VLOOKUP(T1085,list!$AV$3:$AW$130,2,FALSE)),1,(VLOOKUP(T1085,list!$AV$3:$AW$130,2,FALSE)))</f>
        <v>1</v>
      </c>
      <c r="V1085" s="1033">
        <f ca="1">R1085*U1085</f>
        <v>0</v>
      </c>
      <c r="W1085" s="1033">
        <f ca="1">S1085*U1085</f>
        <v>0</v>
      </c>
    </row>
    <row r="1086" spans="3:23" x14ac:dyDescent="0.3">
      <c r="C1086" s="576"/>
      <c r="D1086" s="493" t="s">
        <v>471</v>
      </c>
      <c r="E1086" s="494"/>
      <c r="F1086" s="182"/>
      <c r="G1086" s="494" t="s">
        <v>107</v>
      </c>
      <c r="H1086" s="577"/>
      <c r="I1086" s="450" t="s">
        <v>37</v>
      </c>
      <c r="J1086" s="577" t="s">
        <v>4</v>
      </c>
      <c r="K1086" s="577"/>
      <c r="L1086" s="1035" t="s">
        <v>65</v>
      </c>
      <c r="M1086" s="1036">
        <f>SUMIFS('Level of Efficiency Assumptions'!$J:$J,'Level of Efficiency Assumptions'!$D:$D,I1086,'Level of Efficiency Assumptions'!$F:$F,J1086,'Level of Efficiency Assumptions'!$I:$I,'Water Use Calcs'!L1086)</f>
        <v>1</v>
      </c>
      <c r="N1086" s="577"/>
      <c r="O1086" s="1048">
        <f>SUMIFS('Detailed Fixture Data'!O:O,'Detailed Fixture Data'!C:C,G1086,'Detailed Fixture Data'!E:E,I1086,'Detailed Fixture Data'!F:F,J1086,'Detailed Fixture Data'!L:L,L1086)</f>
        <v>0</v>
      </c>
      <c r="P1086" s="1049"/>
      <c r="Q1086" s="577"/>
      <c r="R1086" s="1039"/>
      <c r="S1086" s="521"/>
      <c r="T1086" s="225"/>
      <c r="U1086" s="521"/>
      <c r="V1086" s="1040"/>
      <c r="W1086" s="1041"/>
    </row>
    <row r="1087" spans="3:23" ht="15" thickBot="1" x14ac:dyDescent="0.35">
      <c r="C1087" s="576"/>
      <c r="D1087" s="493" t="s">
        <v>471</v>
      </c>
      <c r="E1087" s="494"/>
      <c r="F1087" s="182"/>
      <c r="G1087" s="494" t="s">
        <v>107</v>
      </c>
      <c r="H1087" s="577"/>
      <c r="I1087" s="450" t="s">
        <v>37</v>
      </c>
      <c r="J1087" s="116" t="s">
        <v>4</v>
      </c>
      <c r="K1087" s="116"/>
      <c r="L1087" s="1042" t="s">
        <v>66</v>
      </c>
      <c r="M1087" s="1043">
        <f>SUMIFS('Level of Efficiency Assumptions'!$J:$J,'Level of Efficiency Assumptions'!$D:$D,I1087,'Level of Efficiency Assumptions'!$F:$F,J1087,'Level of Efficiency Assumptions'!$I:$I,'Water Use Calcs'!L1087)</f>
        <v>0.125</v>
      </c>
      <c r="N1087" s="577"/>
      <c r="O1087" s="1048">
        <f>SUMIFS('Detailed Fixture Data'!O:O,'Detailed Fixture Data'!C:C,G1087,'Detailed Fixture Data'!E:E,I1087,'Detailed Fixture Data'!F:F,J1087,'Detailed Fixture Data'!L:L,L1087)</f>
        <v>0</v>
      </c>
      <c r="P1087" s="1049"/>
      <c r="Q1087" s="577"/>
      <c r="R1087" s="1039"/>
      <c r="S1087" s="618"/>
      <c r="T1087" s="225"/>
      <c r="U1087" s="618"/>
      <c r="V1087" s="1045"/>
      <c r="W1087" s="1046"/>
    </row>
    <row r="1088" spans="3:23" x14ac:dyDescent="0.3">
      <c r="C1088" s="576"/>
      <c r="D1088" s="493" t="s">
        <v>471</v>
      </c>
      <c r="E1088" s="494"/>
      <c r="F1088" s="182"/>
      <c r="G1088" s="494" t="s">
        <v>107</v>
      </c>
      <c r="H1088" s="577"/>
      <c r="I1088" s="450" t="s">
        <v>37</v>
      </c>
      <c r="J1088" s="577" t="s">
        <v>33</v>
      </c>
      <c r="K1088" s="577" t="s">
        <v>6</v>
      </c>
      <c r="L1088" s="1047" t="s">
        <v>64</v>
      </c>
      <c r="M1088" s="1036">
        <f>SUMIFS('Level of Efficiency Assumptions'!$J:$J,'Level of Efficiency Assumptions'!$D:$D,I1088,'Level of Efficiency Assumptions'!$F:$F,J1088,'Level of Efficiency Assumptions'!$I:$I,'Water Use Calcs'!L1088)</f>
        <v>2</v>
      </c>
      <c r="N1088" s="567" t="s">
        <v>78</v>
      </c>
      <c r="O1088" s="1048">
        <f>SUMIFS('Detailed Fixture Data'!O:O,'Detailed Fixture Data'!C:C,G1088,'Detailed Fixture Data'!E:E,I1088,'Detailed Fixture Data'!F:F,J1088,'Detailed Fixture Data'!L:L,L1088)</f>
        <v>0</v>
      </c>
      <c r="P1088" s="1030">
        <f>SUMIFS('Intensity of Use Assumptions'!$J:$J,'Intensity of Use Assumptions'!$D:$D,I1088,'Intensity of Use Assumptions'!$G:$G,J1088,'Intensity of Use Assumptions'!H:H,K1088)</f>
        <v>0.66666666666666663</v>
      </c>
      <c r="Q1088" s="567" t="s">
        <v>133</v>
      </c>
      <c r="R1088" s="1032">
        <f>(SUMPRODUCT(M1088:M1090,O1088:O1090)*P1088)</f>
        <v>0</v>
      </c>
      <c r="S1088" s="1033">
        <f>IF(R1088=0,0,M1090*P1088)</f>
        <v>0</v>
      </c>
      <c r="T1088" s="225" t="str">
        <f>G1088&amp;"-"&amp;J1088</f>
        <v>Tenant B-Faucets</v>
      </c>
      <c r="U1088" s="1034">
        <f ca="1">IF(ISNA(VLOOKUP(T1088,list!$AV$3:$AW$130,2,FALSE)),1,(VLOOKUP(T1088,list!$AV$3:$AW$130,2,FALSE)))</f>
        <v>1</v>
      </c>
      <c r="V1088" s="1033">
        <f ca="1">R1088*U1088</f>
        <v>0</v>
      </c>
      <c r="W1088" s="1033">
        <f ca="1">S1088*U1088</f>
        <v>0</v>
      </c>
    </row>
    <row r="1089" spans="3:23" x14ac:dyDescent="0.3">
      <c r="C1089" s="576"/>
      <c r="D1089" s="493" t="s">
        <v>471</v>
      </c>
      <c r="E1089" s="494"/>
      <c r="F1089" s="182"/>
      <c r="G1089" s="494" t="s">
        <v>107</v>
      </c>
      <c r="H1089" s="577"/>
      <c r="I1089" s="450" t="s">
        <v>37</v>
      </c>
      <c r="J1089" s="577" t="s">
        <v>33</v>
      </c>
      <c r="K1089" s="577"/>
      <c r="L1089" s="1035" t="s">
        <v>65</v>
      </c>
      <c r="M1089" s="1036">
        <f>SUMIFS('Level of Efficiency Assumptions'!$J:$J,'Level of Efficiency Assumptions'!$D:$D,I1089,'Level of Efficiency Assumptions'!$F:$F,J1089,'Level of Efficiency Assumptions'!$I:$I,'Water Use Calcs'!L1089)</f>
        <v>1</v>
      </c>
      <c r="N1089" s="577"/>
      <c r="O1089" s="1048">
        <f>SUMIFS('Detailed Fixture Data'!O:O,'Detailed Fixture Data'!C:C,G1089,'Detailed Fixture Data'!E:E,I1089,'Detailed Fixture Data'!F:F,J1089,'Detailed Fixture Data'!L:L,L1089)</f>
        <v>0</v>
      </c>
      <c r="P1089" s="1049"/>
      <c r="Q1089" s="577"/>
      <c r="R1089" s="1039"/>
      <c r="S1089" s="521"/>
      <c r="T1089" s="225"/>
      <c r="U1089" s="521"/>
      <c r="V1089" s="1040"/>
      <c r="W1089" s="1041"/>
    </row>
    <row r="1090" spans="3:23" ht="15" thickBot="1" x14ac:dyDescent="0.35">
      <c r="C1090" s="576"/>
      <c r="D1090" s="493" t="s">
        <v>471</v>
      </c>
      <c r="E1090" s="494"/>
      <c r="F1090" s="182"/>
      <c r="G1090" s="494" t="s">
        <v>107</v>
      </c>
      <c r="H1090" s="577"/>
      <c r="I1090" s="451" t="s">
        <v>37</v>
      </c>
      <c r="J1090" s="116" t="s">
        <v>33</v>
      </c>
      <c r="K1090" s="116"/>
      <c r="L1090" s="1042" t="s">
        <v>66</v>
      </c>
      <c r="M1090" s="1043">
        <f>SUMIFS('Level of Efficiency Assumptions'!$J:$J,'Level of Efficiency Assumptions'!$D:$D,I1090,'Level of Efficiency Assumptions'!$F:$F,J1090,'Level of Efficiency Assumptions'!$I:$I,'Water Use Calcs'!L1090)</f>
        <v>0.5</v>
      </c>
      <c r="N1090" s="577"/>
      <c r="O1090" s="1048">
        <f>SUMIFS('Detailed Fixture Data'!O:O,'Detailed Fixture Data'!C:C,G1090,'Detailed Fixture Data'!E:E,I1090,'Detailed Fixture Data'!F:F,J1090,'Detailed Fixture Data'!L:L,L1090)</f>
        <v>0</v>
      </c>
      <c r="P1090" s="1049"/>
      <c r="Q1090" s="577"/>
      <c r="R1090" s="1039"/>
      <c r="S1090" s="618"/>
      <c r="T1090" s="225"/>
      <c r="U1090" s="618"/>
      <c r="V1090" s="1045"/>
      <c r="W1090" s="1046"/>
    </row>
    <row r="1091" spans="3:23" x14ac:dyDescent="0.3">
      <c r="C1091" s="576"/>
      <c r="D1091" s="493" t="s">
        <v>471</v>
      </c>
      <c r="E1091" s="494"/>
      <c r="F1091" s="182"/>
      <c r="G1091" s="494" t="s">
        <v>107</v>
      </c>
      <c r="H1091" s="651" t="str">
        <f>I1091</f>
        <v>Break rooms</v>
      </c>
      <c r="I1091" s="450" t="s">
        <v>5</v>
      </c>
      <c r="J1091" s="577" t="s">
        <v>33</v>
      </c>
      <c r="K1091" s="577" t="s">
        <v>6</v>
      </c>
      <c r="L1091" s="1047" t="s">
        <v>64</v>
      </c>
      <c r="M1091" s="1036">
        <f>SUMIFS('Level of Efficiency Assumptions'!$J:$J,'Level of Efficiency Assumptions'!$D:$D,I1091,'Level of Efficiency Assumptions'!$F:$F,J1091,'Level of Efficiency Assumptions'!$I:$I,'Water Use Calcs'!L1091)</f>
        <v>2</v>
      </c>
      <c r="N1091" s="567" t="s">
        <v>78</v>
      </c>
      <c r="O1091" s="1048">
        <f>SUMIFS('Detailed Fixture Data'!O:O,'Detailed Fixture Data'!C:C,G1091,'Detailed Fixture Data'!E:E,I1091,'Detailed Fixture Data'!F:F,J1091,'Detailed Fixture Data'!L:L,L1091)</f>
        <v>0</v>
      </c>
      <c r="P1091" s="1030">
        <f>SUMIFS('Intensity of Use Assumptions'!$J:$J,'Intensity of Use Assumptions'!$D:$D,I1091,'Intensity of Use Assumptions'!$G:$G,J1091,'Intensity of Use Assumptions'!H:H,K1091)</f>
        <v>0.16666666666666666</v>
      </c>
      <c r="Q1091" s="567" t="s">
        <v>133</v>
      </c>
      <c r="R1091" s="1032">
        <f>(SUMPRODUCT(M1091:M1093,O1091:O1093)*P1091)</f>
        <v>0</v>
      </c>
      <c r="S1091" s="1033">
        <f>IF(R1091=0,0,M1093*P1091)</f>
        <v>0</v>
      </c>
      <c r="T1091" s="225" t="str">
        <f>G1091&amp;"-"&amp;J1091</f>
        <v>Tenant B-Faucets</v>
      </c>
      <c r="U1091" s="1034">
        <f ca="1">IF(ISNA(VLOOKUP(T1091,list!$AV$3:$AW$130,2,FALSE)),1,(VLOOKUP(T1091,list!$AV$3:$AW$130,2,FALSE)))</f>
        <v>1</v>
      </c>
      <c r="V1091" s="1033">
        <f ca="1">R1091*U1091</f>
        <v>0</v>
      </c>
      <c r="W1091" s="1033">
        <f ca="1">S1091*U1091</f>
        <v>0</v>
      </c>
    </row>
    <row r="1092" spans="3:23" x14ac:dyDescent="0.3">
      <c r="C1092" s="576"/>
      <c r="D1092" s="493" t="s">
        <v>471</v>
      </c>
      <c r="E1092" s="494"/>
      <c r="F1092" s="182"/>
      <c r="G1092" s="494" t="s">
        <v>107</v>
      </c>
      <c r="H1092" s="577"/>
      <c r="I1092" s="450" t="s">
        <v>5</v>
      </c>
      <c r="J1092" s="577" t="s">
        <v>33</v>
      </c>
      <c r="K1092" s="577"/>
      <c r="L1092" s="1035" t="s">
        <v>65</v>
      </c>
      <c r="M1092" s="1036">
        <f>SUMIFS('Level of Efficiency Assumptions'!$J:$J,'Level of Efficiency Assumptions'!$D:$D,I1092,'Level of Efficiency Assumptions'!$F:$F,J1092,'Level of Efficiency Assumptions'!$I:$I,'Water Use Calcs'!L1092)</f>
        <v>1</v>
      </c>
      <c r="N1092" s="577"/>
      <c r="O1092" s="1048">
        <f>SUMIFS('Detailed Fixture Data'!O:O,'Detailed Fixture Data'!C:C,G1092,'Detailed Fixture Data'!E:E,I1092,'Detailed Fixture Data'!F:F,J1092,'Detailed Fixture Data'!L:L,L1092)</f>
        <v>0</v>
      </c>
      <c r="P1092" s="1049"/>
      <c r="Q1092" s="577"/>
      <c r="R1092" s="1039"/>
      <c r="S1092" s="521"/>
      <c r="T1092" s="225"/>
      <c r="U1092" s="521"/>
      <c r="V1092" s="1040"/>
      <c r="W1092" s="1041"/>
    </row>
    <row r="1093" spans="3:23" ht="15" thickBot="1" x14ac:dyDescent="0.35">
      <c r="C1093" s="576"/>
      <c r="D1093" s="493" t="s">
        <v>471</v>
      </c>
      <c r="E1093" s="494"/>
      <c r="F1093" s="182"/>
      <c r="G1093" s="494" t="s">
        <v>107</v>
      </c>
      <c r="H1093" s="577"/>
      <c r="I1093" s="451" t="s">
        <v>5</v>
      </c>
      <c r="J1093" s="116" t="s">
        <v>33</v>
      </c>
      <c r="K1093" s="116"/>
      <c r="L1093" s="1042" t="s">
        <v>66</v>
      </c>
      <c r="M1093" s="1043">
        <f>SUMIFS('Level of Efficiency Assumptions'!$J:$J,'Level of Efficiency Assumptions'!$D:$D,I1093,'Level of Efficiency Assumptions'!$F:$F,J1093,'Level of Efficiency Assumptions'!$I:$I,'Water Use Calcs'!L1093)</f>
        <v>0.5</v>
      </c>
      <c r="N1093" s="577"/>
      <c r="O1093" s="1048">
        <f>SUMIFS('Detailed Fixture Data'!O:O,'Detailed Fixture Data'!C:C,G1093,'Detailed Fixture Data'!E:E,I1093,'Detailed Fixture Data'!F:F,J1093,'Detailed Fixture Data'!L:L,L1093)</f>
        <v>0</v>
      </c>
      <c r="P1093" s="1049"/>
      <c r="Q1093" s="577"/>
      <c r="R1093" s="1039"/>
      <c r="S1093" s="618"/>
      <c r="T1093" s="225"/>
      <c r="U1093" s="618"/>
      <c r="V1093" s="1045"/>
      <c r="W1093" s="1046"/>
    </row>
    <row r="1094" spans="3:23" x14ac:dyDescent="0.3">
      <c r="C1094" s="576"/>
      <c r="D1094" s="493" t="s">
        <v>471</v>
      </c>
      <c r="E1094" s="494"/>
      <c r="F1094" s="182"/>
      <c r="G1094" s="494" t="s">
        <v>107</v>
      </c>
      <c r="H1094" s="651" t="str">
        <f>I1094</f>
        <v>Flight kitchens</v>
      </c>
      <c r="I1094" s="450" t="s">
        <v>391</v>
      </c>
      <c r="J1094" s="577" t="s">
        <v>114</v>
      </c>
      <c r="K1094" s="577" t="s">
        <v>118</v>
      </c>
      <c r="L1094" s="1047" t="s">
        <v>64</v>
      </c>
      <c r="M1094" s="1036">
        <f>SUMIFS('Level of Efficiency Assumptions'!$J:$J,'Level of Efficiency Assumptions'!$D:$D,I1094,'Level of Efficiency Assumptions'!$F:$F,J1094,'Level of Efficiency Assumptions'!$I:$I,'Water Use Calcs'!L1094)</f>
        <v>2</v>
      </c>
      <c r="N1094" s="567" t="s">
        <v>78</v>
      </c>
      <c r="O1094" s="1048">
        <f>SUMIFS('Detailed Fixture Data'!O:O,'Detailed Fixture Data'!C:C,G1094,'Detailed Fixture Data'!E:E,I1094,'Detailed Fixture Data'!F:F,J1094,'Detailed Fixture Data'!L:L,L1094)</f>
        <v>0</v>
      </c>
      <c r="P1094" s="1030">
        <f>SUMIFS('Intensity of Use Assumptions'!$J:$J,'Intensity of Use Assumptions'!$D:$D,I1094,'Intensity of Use Assumptions'!$G:$G,J1094,'Intensity of Use Assumptions'!H:H,K1094)</f>
        <v>1</v>
      </c>
      <c r="Q1094" s="567" t="s">
        <v>133</v>
      </c>
      <c r="R1094" s="1032">
        <f>(SUMPRODUCT(M1094:M1096,O1094:O1096)*P1094)</f>
        <v>0</v>
      </c>
      <c r="S1094" s="1033">
        <f>IF(R1094=0,0,M1096*P1094)</f>
        <v>0</v>
      </c>
      <c r="T1094" s="225" t="str">
        <f>G1094&amp;"-"&amp;J1094</f>
        <v>Tenant B-Kitchen faucets</v>
      </c>
      <c r="U1094" s="1034">
        <f ca="1">IF(ISNA(VLOOKUP(T1094,list!$AV$3:$AW$130,2,FALSE)),1,(VLOOKUP(T1094,list!$AV$3:$AW$130,2,FALSE)))</f>
        <v>1</v>
      </c>
      <c r="V1094" s="1033">
        <f ca="1">R1094*U1094</f>
        <v>0</v>
      </c>
      <c r="W1094" s="1033">
        <f ca="1">S1094*U1094</f>
        <v>0</v>
      </c>
    </row>
    <row r="1095" spans="3:23" x14ac:dyDescent="0.3">
      <c r="C1095" s="576"/>
      <c r="D1095" s="493" t="s">
        <v>471</v>
      </c>
      <c r="E1095" s="494"/>
      <c r="F1095" s="182"/>
      <c r="G1095" s="494" t="s">
        <v>107</v>
      </c>
      <c r="H1095" s="577"/>
      <c r="I1095" s="450" t="s">
        <v>391</v>
      </c>
      <c r="J1095" s="577" t="s">
        <v>114</v>
      </c>
      <c r="K1095" s="577"/>
      <c r="L1095" s="1035" t="s">
        <v>65</v>
      </c>
      <c r="M1095" s="1036">
        <f>SUMIFS('Level of Efficiency Assumptions'!$J:$J,'Level of Efficiency Assumptions'!$D:$D,I1095,'Level of Efficiency Assumptions'!$F:$F,J1095,'Level of Efficiency Assumptions'!$I:$I,'Water Use Calcs'!L1095)</f>
        <v>1</v>
      </c>
      <c r="N1095" s="577"/>
      <c r="O1095" s="1048">
        <f>SUMIFS('Detailed Fixture Data'!O:O,'Detailed Fixture Data'!C:C,G1095,'Detailed Fixture Data'!E:E,I1095,'Detailed Fixture Data'!F:F,J1095,'Detailed Fixture Data'!L:L,L1095)</f>
        <v>0</v>
      </c>
      <c r="P1095" s="1049"/>
      <c r="Q1095" s="577"/>
      <c r="R1095" s="1039"/>
      <c r="S1095" s="521"/>
      <c r="T1095" s="225"/>
      <c r="U1095" s="521"/>
      <c r="V1095" s="1040"/>
      <c r="W1095" s="1041"/>
    </row>
    <row r="1096" spans="3:23" ht="15" thickBot="1" x14ac:dyDescent="0.35">
      <c r="C1096" s="576"/>
      <c r="D1096" s="493" t="s">
        <v>471</v>
      </c>
      <c r="E1096" s="494"/>
      <c r="F1096" s="182"/>
      <c r="G1096" s="494" t="s">
        <v>107</v>
      </c>
      <c r="H1096" s="577"/>
      <c r="I1096" s="450" t="s">
        <v>391</v>
      </c>
      <c r="J1096" s="116" t="s">
        <v>114</v>
      </c>
      <c r="K1096" s="116"/>
      <c r="L1096" s="1042" t="s">
        <v>66</v>
      </c>
      <c r="M1096" s="1043">
        <f>SUMIFS('Level of Efficiency Assumptions'!$J:$J,'Level of Efficiency Assumptions'!$D:$D,I1096,'Level of Efficiency Assumptions'!$F:$F,J1096,'Level of Efficiency Assumptions'!$I:$I,'Water Use Calcs'!L1096)</f>
        <v>0.5</v>
      </c>
      <c r="N1096" s="577"/>
      <c r="O1096" s="1048">
        <f>SUMIFS('Detailed Fixture Data'!O:O,'Detailed Fixture Data'!C:C,G1096,'Detailed Fixture Data'!E:E,I1096,'Detailed Fixture Data'!F:F,J1096,'Detailed Fixture Data'!L:L,L1096)</f>
        <v>0</v>
      </c>
      <c r="P1096" s="1049"/>
      <c r="Q1096" s="577"/>
      <c r="R1096" s="1039"/>
      <c r="S1096" s="618"/>
      <c r="T1096" s="225"/>
      <c r="U1096" s="618"/>
      <c r="V1096" s="1045"/>
      <c r="W1096" s="1046"/>
    </row>
    <row r="1097" spans="3:23" x14ac:dyDescent="0.3">
      <c r="C1097" s="576"/>
      <c r="D1097" s="493" t="s">
        <v>471</v>
      </c>
      <c r="E1097" s="494"/>
      <c r="F1097" s="182"/>
      <c r="G1097" s="494" t="s">
        <v>107</v>
      </c>
      <c r="H1097" s="577"/>
      <c r="I1097" s="450" t="s">
        <v>391</v>
      </c>
      <c r="J1097" s="577" t="s">
        <v>41</v>
      </c>
      <c r="K1097" s="577" t="s">
        <v>118</v>
      </c>
      <c r="L1097" s="1047" t="s">
        <v>64</v>
      </c>
      <c r="M1097" s="1036">
        <f>SUMIFS('Level of Efficiency Assumptions'!$J:$J,'Level of Efficiency Assumptions'!$D:$D,I1097,'Level of Efficiency Assumptions'!$F:$F,J1097,'Level of Efficiency Assumptions'!$I:$I,'Water Use Calcs'!L1097)</f>
        <v>4.5</v>
      </c>
      <c r="N1097" s="567" t="s">
        <v>223</v>
      </c>
      <c r="O1097" s="1048">
        <f>SUMIFS('Detailed Fixture Data'!O:O,'Detailed Fixture Data'!C:C,G1097,'Detailed Fixture Data'!E:E,I1097,'Detailed Fixture Data'!F:F,J1097,'Detailed Fixture Data'!L:L,L1097)</f>
        <v>0</v>
      </c>
      <c r="P1097" s="1030">
        <f>SUMIFS('Intensity of Use Assumptions'!$J:$J,'Intensity of Use Assumptions'!$D:$D,I1097,'Intensity of Use Assumptions'!$G:$G,J1097,'Intensity of Use Assumptions'!H:H,K1097)</f>
        <v>0.05</v>
      </c>
      <c r="Q1097" s="567" t="s">
        <v>224</v>
      </c>
      <c r="R1097" s="1032">
        <f>(SUMPRODUCT(M1097:M1099,O1097:O1099)*P1097)</f>
        <v>0</v>
      </c>
      <c r="S1097" s="1033">
        <f>IF(R1097=0,0,M1099*P1097)</f>
        <v>0</v>
      </c>
      <c r="T1097" s="225" t="str">
        <f>G1097&amp;"-"&amp;J1097</f>
        <v>Tenant B-Dishwashers</v>
      </c>
      <c r="U1097" s="1034">
        <f ca="1">IF(ISNA(VLOOKUP(T1097,list!$AV$3:$AW$130,2,FALSE)),1,(VLOOKUP(T1097,list!$AV$3:$AW$130,2,FALSE)))</f>
        <v>1</v>
      </c>
      <c r="V1097" s="1033">
        <f ca="1">R1097*U1097</f>
        <v>0</v>
      </c>
      <c r="W1097" s="1033">
        <f ca="1">S1097*U1097</f>
        <v>0</v>
      </c>
    </row>
    <row r="1098" spans="3:23" x14ac:dyDescent="0.3">
      <c r="C1098" s="576"/>
      <c r="D1098" s="493" t="s">
        <v>471</v>
      </c>
      <c r="E1098" s="494"/>
      <c r="F1098" s="182"/>
      <c r="G1098" s="494" t="s">
        <v>107</v>
      </c>
      <c r="H1098" s="577"/>
      <c r="I1098" s="450" t="s">
        <v>391</v>
      </c>
      <c r="J1098" s="577" t="s">
        <v>41</v>
      </c>
      <c r="K1098" s="577"/>
      <c r="L1098" s="1035" t="s">
        <v>65</v>
      </c>
      <c r="M1098" s="1036">
        <f>SUMIFS('Level of Efficiency Assumptions'!$J:$J,'Level of Efficiency Assumptions'!$D:$D,I1098,'Level of Efficiency Assumptions'!$F:$F,J1098,'Level of Efficiency Assumptions'!$I:$I,'Water Use Calcs'!L1098)</f>
        <v>2.5</v>
      </c>
      <c r="N1098" s="577"/>
      <c r="O1098" s="1048">
        <f>SUMIFS('Detailed Fixture Data'!O:O,'Detailed Fixture Data'!C:C,G1098,'Detailed Fixture Data'!E:E,I1098,'Detailed Fixture Data'!F:F,J1098,'Detailed Fixture Data'!L:L,L1098)</f>
        <v>0</v>
      </c>
      <c r="P1098" s="1049"/>
      <c r="Q1098" s="576" t="s">
        <v>80</v>
      </c>
      <c r="R1098" s="1039"/>
      <c r="S1098" s="521"/>
      <c r="T1098" s="225"/>
      <c r="U1098" s="521"/>
      <c r="V1098" s="1040"/>
      <c r="W1098" s="1041"/>
    </row>
    <row r="1099" spans="3:23" ht="15" thickBot="1" x14ac:dyDescent="0.35">
      <c r="C1099" s="576"/>
      <c r="D1099" s="493" t="s">
        <v>471</v>
      </c>
      <c r="E1099" s="494"/>
      <c r="F1099" s="182"/>
      <c r="G1099" s="494" t="s">
        <v>107</v>
      </c>
      <c r="H1099" s="577"/>
      <c r="I1099" s="450" t="s">
        <v>391</v>
      </c>
      <c r="J1099" s="116" t="s">
        <v>41</v>
      </c>
      <c r="K1099" s="116"/>
      <c r="L1099" s="1042" t="s">
        <v>66</v>
      </c>
      <c r="M1099" s="1043">
        <f>SUMIFS('Level of Efficiency Assumptions'!$J:$J,'Level of Efficiency Assumptions'!$D:$D,I1099,'Level of Efficiency Assumptions'!$F:$F,J1099,'Level of Efficiency Assumptions'!$I:$I,'Water Use Calcs'!L1099)</f>
        <v>1</v>
      </c>
      <c r="N1099" s="577"/>
      <c r="O1099" s="1048">
        <f>SUMIFS('Detailed Fixture Data'!O:O,'Detailed Fixture Data'!C:C,G1099,'Detailed Fixture Data'!E:E,I1099,'Detailed Fixture Data'!F:F,J1099,'Detailed Fixture Data'!L:L,L1099)</f>
        <v>0</v>
      </c>
      <c r="P1099" s="1049"/>
      <c r="Q1099" s="577"/>
      <c r="R1099" s="1039"/>
      <c r="S1099" s="618"/>
      <c r="T1099" s="225"/>
      <c r="U1099" s="618"/>
      <c r="V1099" s="1045"/>
      <c r="W1099" s="1046"/>
    </row>
    <row r="1100" spans="3:23" x14ac:dyDescent="0.3">
      <c r="C1100" s="576"/>
      <c r="D1100" s="493" t="s">
        <v>471</v>
      </c>
      <c r="E1100" s="494"/>
      <c r="F1100" s="182"/>
      <c r="G1100" s="494" t="s">
        <v>107</v>
      </c>
      <c r="H1100" s="577"/>
      <c r="I1100" s="450" t="s">
        <v>391</v>
      </c>
      <c r="J1100" s="577" t="s">
        <v>20</v>
      </c>
      <c r="K1100" s="577" t="s">
        <v>118</v>
      </c>
      <c r="L1100" s="1047" t="s">
        <v>64</v>
      </c>
      <c r="M1100" s="1036">
        <f>SUMIFS('Level of Efficiency Assumptions'!$J:$J,'Level of Efficiency Assumptions'!$D:$D,I1100,'Level of Efficiency Assumptions'!$F:$F,J1100,'Level of Efficiency Assumptions'!$I:$I,'Water Use Calcs'!L1100)</f>
        <v>1.5</v>
      </c>
      <c r="N1100" s="567" t="s">
        <v>222</v>
      </c>
      <c r="O1100" s="1048">
        <f>SUMIFS('Detailed Fixture Data'!O:O,'Detailed Fixture Data'!C:C,G1100,'Detailed Fixture Data'!E:E,I1100,'Detailed Fixture Data'!F:F,J1100,'Detailed Fixture Data'!L:L,L1100)</f>
        <v>0</v>
      </c>
      <c r="P1100" s="1030">
        <f>SUMIFS('Intensity of Use Assumptions'!$J:$J,'Intensity of Use Assumptions'!$D:$D,I1100,'Intensity of Use Assumptions'!$G:$G,J1100,'Intensity of Use Assumptions'!H:H,K1100)</f>
        <v>1</v>
      </c>
      <c r="Q1100" s="567" t="s">
        <v>221</v>
      </c>
      <c r="R1100" s="1032">
        <f>(SUMPRODUCT(M1100:M1102,O1100:O1102)*P1100)</f>
        <v>0</v>
      </c>
      <c r="S1100" s="1033">
        <f>IF(R1100=0,0,M1102*P1100)</f>
        <v>0</v>
      </c>
      <c r="T1100" s="225" t="str">
        <f>G1100&amp;"-"&amp;J1100</f>
        <v>Tenant B-Ice machines</v>
      </c>
      <c r="U1100" s="1034">
        <f ca="1">IF(ISNA(VLOOKUP(T1100,list!$AV$3:$AW$130,2,FALSE)),1,(VLOOKUP(T1100,list!$AV$3:$AW$130,2,FALSE)))</f>
        <v>1</v>
      </c>
      <c r="V1100" s="1033">
        <f ca="1">R1100*U1100</f>
        <v>0</v>
      </c>
      <c r="W1100" s="1033">
        <f ca="1">S1100*U1100</f>
        <v>0</v>
      </c>
    </row>
    <row r="1101" spans="3:23" x14ac:dyDescent="0.3">
      <c r="C1101" s="576"/>
      <c r="D1101" s="493" t="s">
        <v>471</v>
      </c>
      <c r="E1101" s="494"/>
      <c r="F1101" s="182"/>
      <c r="G1101" s="494" t="s">
        <v>107</v>
      </c>
      <c r="H1101" s="577"/>
      <c r="I1101" s="450" t="s">
        <v>391</v>
      </c>
      <c r="J1101" s="577" t="s">
        <v>20</v>
      </c>
      <c r="K1101" s="577"/>
      <c r="L1101" s="1035" t="s">
        <v>65</v>
      </c>
      <c r="M1101" s="1036">
        <f>SUMIFS('Level of Efficiency Assumptions'!$J:$J,'Level of Efficiency Assumptions'!$D:$D,I1101,'Level of Efficiency Assumptions'!$F:$F,J1101,'Level of Efficiency Assumptions'!$I:$I,'Water Use Calcs'!L1101)</f>
        <v>0.25</v>
      </c>
      <c r="N1101" s="577"/>
      <c r="O1101" s="1048">
        <f>SUMIFS('Detailed Fixture Data'!O:O,'Detailed Fixture Data'!C:C,G1101,'Detailed Fixture Data'!E:E,I1101,'Detailed Fixture Data'!F:F,J1101,'Detailed Fixture Data'!L:L,L1101)</f>
        <v>0</v>
      </c>
      <c r="P1101" s="1049"/>
      <c r="Q1101" s="577"/>
      <c r="R1101" s="1039"/>
      <c r="S1101" s="521"/>
      <c r="T1101" s="225"/>
      <c r="U1101" s="521"/>
      <c r="V1101" s="1040"/>
      <c r="W1101" s="1041"/>
    </row>
    <row r="1102" spans="3:23" ht="15" thickBot="1" x14ac:dyDescent="0.35">
      <c r="C1102" s="576"/>
      <c r="D1102" s="493" t="s">
        <v>471</v>
      </c>
      <c r="E1102" s="494"/>
      <c r="F1102" s="182"/>
      <c r="G1102" s="494" t="s">
        <v>107</v>
      </c>
      <c r="H1102" s="577"/>
      <c r="I1102" s="451" t="s">
        <v>391</v>
      </c>
      <c r="J1102" s="116" t="s">
        <v>20</v>
      </c>
      <c r="K1102" s="116"/>
      <c r="L1102" s="1042" t="s">
        <v>66</v>
      </c>
      <c r="M1102" s="1043">
        <f>SUMIFS('Level of Efficiency Assumptions'!$J:$J,'Level of Efficiency Assumptions'!$D:$D,I1102,'Level of Efficiency Assumptions'!$F:$F,J1102,'Level of Efficiency Assumptions'!$I:$I,'Water Use Calcs'!L1102)</f>
        <v>0.12</v>
      </c>
      <c r="N1102" s="577"/>
      <c r="O1102" s="1048">
        <f>SUMIFS('Detailed Fixture Data'!O:O,'Detailed Fixture Data'!C:C,G1102,'Detailed Fixture Data'!E:E,I1102,'Detailed Fixture Data'!F:F,J1102,'Detailed Fixture Data'!L:L,L1102)</f>
        <v>0</v>
      </c>
      <c r="P1102" s="1049"/>
      <c r="Q1102" s="577"/>
      <c r="R1102" s="1039"/>
      <c r="S1102" s="618"/>
      <c r="T1102" s="225"/>
      <c r="U1102" s="618"/>
      <c r="V1102" s="1045"/>
      <c r="W1102" s="1046"/>
    </row>
    <row r="1103" spans="3:23" x14ac:dyDescent="0.3">
      <c r="C1103" s="576"/>
      <c r="D1103" s="493" t="s">
        <v>471</v>
      </c>
      <c r="E1103" s="494"/>
      <c r="F1103" s="182"/>
      <c r="G1103" s="494" t="s">
        <v>107</v>
      </c>
      <c r="H1103" s="651" t="str">
        <f>I1103</f>
        <v>Aircraft</v>
      </c>
      <c r="I1103" s="450" t="s">
        <v>44</v>
      </c>
      <c r="J1103" s="577" t="s">
        <v>27</v>
      </c>
      <c r="K1103" s="577" t="s">
        <v>10</v>
      </c>
      <c r="L1103" s="1047" t="s">
        <v>64</v>
      </c>
      <c r="M1103" s="1036">
        <f>SUMIFS('Level of Efficiency Assumptions'!$J:$J,'Level of Efficiency Assumptions'!$D:$D,I1103,'Level of Efficiency Assumptions'!$F:$F,J1103,'Level of Efficiency Assumptions'!$I:$I,'Water Use Calcs'!L1103)</f>
        <v>10</v>
      </c>
      <c r="N1103" s="567" t="s">
        <v>588</v>
      </c>
      <c r="O1103" s="1048">
        <f>SUMIFS('Detailed Fixture Data'!O:O,'Detailed Fixture Data'!C:C,G1103,'Detailed Fixture Data'!E:E,I1103,'Detailed Fixture Data'!F:F,J1103,'Detailed Fixture Data'!L:L,L1103)</f>
        <v>0</v>
      </c>
      <c r="P1103" s="1030">
        <f>SUMIFS('Intensity of Use Assumptions'!$J:$J,'Intensity of Use Assumptions'!$D:$D,I1103,'Intensity of Use Assumptions'!$G:$G,J1103,'Intensity of Use Assumptions'!H:H,K1103)</f>
        <v>1</v>
      </c>
      <c r="Q1103" s="567" t="s">
        <v>67</v>
      </c>
      <c r="R1103" s="1032">
        <f>(SUMPRODUCT(M1103:M1105,O1103:O1105)*P1103)</f>
        <v>0</v>
      </c>
      <c r="S1103" s="1033">
        <f>IF(R1103=0,0,M1105*P1103)</f>
        <v>0</v>
      </c>
      <c r="T1103" s="225" t="str">
        <f>G1103&amp;"-"&amp;J1103</f>
        <v xml:space="preserve">Tenant B-Aircraft cleaning </v>
      </c>
      <c r="U1103" s="1034">
        <f ca="1">IF(ISNA(VLOOKUP(T1103,list!$AV$3:$AW$130,2,FALSE)),1,(VLOOKUP(T1103,list!$AV$3:$AW$130,2,FALSE)))</f>
        <v>1</v>
      </c>
      <c r="V1103" s="1033">
        <f ca="1">R1103*U1103</f>
        <v>0</v>
      </c>
      <c r="W1103" s="1033">
        <f ca="1">S1103*U1103</f>
        <v>0</v>
      </c>
    </row>
    <row r="1104" spans="3:23" x14ac:dyDescent="0.3">
      <c r="C1104" s="576"/>
      <c r="D1104" s="493" t="s">
        <v>471</v>
      </c>
      <c r="E1104" s="494"/>
      <c r="F1104" s="182"/>
      <c r="G1104" s="494" t="s">
        <v>107</v>
      </c>
      <c r="H1104" s="577"/>
      <c r="I1104" s="450" t="s">
        <v>44</v>
      </c>
      <c r="J1104" s="577" t="s">
        <v>27</v>
      </c>
      <c r="K1104" s="577"/>
      <c r="L1104" s="1035" t="s">
        <v>65</v>
      </c>
      <c r="M1104" s="1036">
        <f>SUMIFS('Level of Efficiency Assumptions'!$J:$J,'Level of Efficiency Assumptions'!$D:$D,I1104,'Level of Efficiency Assumptions'!$F:$F,J1104,'Level of Efficiency Assumptions'!$I:$I,'Water Use Calcs'!L1104)</f>
        <v>7.5</v>
      </c>
      <c r="N1104" s="577"/>
      <c r="O1104" s="1048">
        <f>SUMIFS('Detailed Fixture Data'!O:O,'Detailed Fixture Data'!C:C,G1104,'Detailed Fixture Data'!E:E,I1104,'Detailed Fixture Data'!F:F,J1104,'Detailed Fixture Data'!L:L,L1104)</f>
        <v>0</v>
      </c>
      <c r="P1104" s="1049"/>
      <c r="Q1104" s="577"/>
      <c r="R1104" s="1039"/>
      <c r="S1104" s="521"/>
      <c r="T1104" s="225"/>
      <c r="U1104" s="521"/>
      <c r="V1104" s="1040"/>
      <c r="W1104" s="1041"/>
    </row>
    <row r="1105" spans="3:23" ht="15" thickBot="1" x14ac:dyDescent="0.35">
      <c r="C1105" s="576"/>
      <c r="D1105" s="493" t="s">
        <v>471</v>
      </c>
      <c r="E1105" s="494"/>
      <c r="F1105" s="182"/>
      <c r="G1105" s="494" t="s">
        <v>107</v>
      </c>
      <c r="H1105" s="577"/>
      <c r="I1105" s="450" t="s">
        <v>44</v>
      </c>
      <c r="J1105" s="116" t="s">
        <v>27</v>
      </c>
      <c r="K1105" s="116"/>
      <c r="L1105" s="1042" t="s">
        <v>66</v>
      </c>
      <c r="M1105" s="1043">
        <f>SUMIFS('Level of Efficiency Assumptions'!$J:$J,'Level of Efficiency Assumptions'!$D:$D,I1105,'Level of Efficiency Assumptions'!$F:$F,J1105,'Level of Efficiency Assumptions'!$I:$I,'Water Use Calcs'!L1105)</f>
        <v>5</v>
      </c>
      <c r="N1105" s="577"/>
      <c r="O1105" s="1048">
        <f>SUMIFS('Detailed Fixture Data'!O:O,'Detailed Fixture Data'!C:C,G1105,'Detailed Fixture Data'!E:E,I1105,'Detailed Fixture Data'!F:F,J1105,'Detailed Fixture Data'!L:L,L1105)</f>
        <v>0</v>
      </c>
      <c r="P1105" s="1049"/>
      <c r="Q1105" s="577"/>
      <c r="R1105" s="1039"/>
      <c r="S1105" s="618"/>
      <c r="T1105" s="225"/>
      <c r="U1105" s="618"/>
      <c r="V1105" s="1045"/>
      <c r="W1105" s="1046"/>
    </row>
    <row r="1106" spans="3:23" x14ac:dyDescent="0.3">
      <c r="C1106" s="576"/>
      <c r="D1106" s="493" t="s">
        <v>471</v>
      </c>
      <c r="E1106" s="494"/>
      <c r="F1106" s="182"/>
      <c r="G1106" s="494" t="s">
        <v>107</v>
      </c>
      <c r="H1106" s="577"/>
      <c r="I1106" s="450" t="s">
        <v>44</v>
      </c>
      <c r="J1106" s="577" t="s">
        <v>28</v>
      </c>
      <c r="K1106" s="577" t="s">
        <v>10</v>
      </c>
      <c r="L1106" s="1047" t="s">
        <v>64</v>
      </c>
      <c r="M1106" s="1036">
        <f>SUMIFS('Level of Efficiency Assumptions'!$J:$J,'Level of Efficiency Assumptions'!$D:$D,I1106,'Level of Efficiency Assumptions'!$F:$F,J1106,'Level of Efficiency Assumptions'!$I:$I,'Water Use Calcs'!L1106)</f>
        <v>10</v>
      </c>
      <c r="N1106" s="567" t="s">
        <v>588</v>
      </c>
      <c r="O1106" s="1048">
        <f>SUMIFS('Detailed Fixture Data'!O:O,'Detailed Fixture Data'!C:C,G1106,'Detailed Fixture Data'!E:E,I1106,'Detailed Fixture Data'!F:F,J1106,'Detailed Fixture Data'!L:L,L1106)</f>
        <v>0</v>
      </c>
      <c r="P1106" s="1030">
        <f>SUMIFS('Intensity of Use Assumptions'!$J:$J,'Intensity of Use Assumptions'!$D:$D,I1106,'Intensity of Use Assumptions'!$G:$G,J1106,'Intensity of Use Assumptions'!H:H,K1106)</f>
        <v>1</v>
      </c>
      <c r="Q1106" s="567" t="s">
        <v>67</v>
      </c>
      <c r="R1106" s="1032">
        <f>(SUMPRODUCT(M1106:M1108,O1106:O1108)*P1106)</f>
        <v>0</v>
      </c>
      <c r="S1106" s="1033">
        <f>IF(R1106=0,0,M1108*P1106)</f>
        <v>0</v>
      </c>
      <c r="T1106" s="225" t="str">
        <f>G1106&amp;"-"&amp;J1106</f>
        <v>Tenant B-Onboard aircraft water</v>
      </c>
      <c r="U1106" s="1034">
        <f ca="1">IF(ISNA(VLOOKUP(T1106,list!$AV$3:$AW$130,2,FALSE)),1,(VLOOKUP(T1106,list!$AV$3:$AW$130,2,FALSE)))</f>
        <v>1</v>
      </c>
      <c r="V1106" s="1033">
        <f ca="1">R1106*U1106</f>
        <v>0</v>
      </c>
      <c r="W1106" s="1033">
        <f ca="1">S1106*U1106</f>
        <v>0</v>
      </c>
    </row>
    <row r="1107" spans="3:23" x14ac:dyDescent="0.3">
      <c r="C1107" s="576"/>
      <c r="D1107" s="493" t="s">
        <v>471</v>
      </c>
      <c r="E1107" s="494"/>
      <c r="F1107" s="182"/>
      <c r="G1107" s="494" t="s">
        <v>107</v>
      </c>
      <c r="H1107" s="577"/>
      <c r="I1107" s="450" t="s">
        <v>44</v>
      </c>
      <c r="J1107" s="577" t="s">
        <v>28</v>
      </c>
      <c r="K1107" s="577"/>
      <c r="L1107" s="1035" t="s">
        <v>65</v>
      </c>
      <c r="M1107" s="1036">
        <f>SUMIFS('Level of Efficiency Assumptions'!$J:$J,'Level of Efficiency Assumptions'!$D:$D,I1107,'Level of Efficiency Assumptions'!$F:$F,J1107,'Level of Efficiency Assumptions'!$I:$I,'Water Use Calcs'!L1107)</f>
        <v>7.5</v>
      </c>
      <c r="N1107" s="577"/>
      <c r="O1107" s="1048">
        <f>SUMIFS('Detailed Fixture Data'!O:O,'Detailed Fixture Data'!C:C,G1107,'Detailed Fixture Data'!E:E,I1107,'Detailed Fixture Data'!F:F,J1107,'Detailed Fixture Data'!L:L,L1107)</f>
        <v>0</v>
      </c>
      <c r="P1107" s="1049"/>
      <c r="Q1107" s="577"/>
      <c r="R1107" s="1039"/>
      <c r="S1107" s="521"/>
      <c r="T1107" s="225"/>
      <c r="U1107" s="521"/>
      <c r="V1107" s="1040"/>
      <c r="W1107" s="1041"/>
    </row>
    <row r="1108" spans="3:23" ht="15" thickBot="1" x14ac:dyDescent="0.35">
      <c r="C1108" s="576"/>
      <c r="D1108" s="493" t="s">
        <v>471</v>
      </c>
      <c r="E1108" s="494"/>
      <c r="F1108" s="182"/>
      <c r="G1108" s="494" t="s">
        <v>107</v>
      </c>
      <c r="H1108" s="577"/>
      <c r="I1108" s="450" t="s">
        <v>44</v>
      </c>
      <c r="J1108" s="116" t="s">
        <v>28</v>
      </c>
      <c r="K1108" s="116"/>
      <c r="L1108" s="1042" t="s">
        <v>66</v>
      </c>
      <c r="M1108" s="1043">
        <f>SUMIFS('Level of Efficiency Assumptions'!$J:$J,'Level of Efficiency Assumptions'!$D:$D,I1108,'Level of Efficiency Assumptions'!$F:$F,J1108,'Level of Efficiency Assumptions'!$I:$I,'Water Use Calcs'!L1108)</f>
        <v>5</v>
      </c>
      <c r="N1108" s="577"/>
      <c r="O1108" s="1048">
        <f>SUMIFS('Detailed Fixture Data'!O:O,'Detailed Fixture Data'!C:C,G1108,'Detailed Fixture Data'!E:E,I1108,'Detailed Fixture Data'!F:F,J1108,'Detailed Fixture Data'!L:L,L1108)</f>
        <v>0</v>
      </c>
      <c r="P1108" s="1049"/>
      <c r="Q1108" s="577"/>
      <c r="R1108" s="1039"/>
      <c r="S1108" s="618"/>
      <c r="T1108" s="225"/>
      <c r="U1108" s="618"/>
      <c r="V1108" s="1045"/>
      <c r="W1108" s="1046"/>
    </row>
    <row r="1109" spans="3:23" x14ac:dyDescent="0.3">
      <c r="C1109" s="576"/>
      <c r="D1109" s="493" t="s">
        <v>471</v>
      </c>
      <c r="E1109" s="494"/>
      <c r="F1109" s="182"/>
      <c r="G1109" s="494" t="s">
        <v>107</v>
      </c>
      <c r="H1109" s="577"/>
      <c r="I1109" s="450" t="s">
        <v>44</v>
      </c>
      <c r="J1109" s="577" t="s">
        <v>29</v>
      </c>
      <c r="K1109" s="382" t="s">
        <v>10</v>
      </c>
      <c r="L1109" s="1047" t="s">
        <v>64</v>
      </c>
      <c r="M1109" s="1036">
        <f>SUMIFS('Level of Efficiency Assumptions'!$J:$J,'Level of Efficiency Assumptions'!$D:$D,I1109,'Level of Efficiency Assumptions'!$F:$F,J1109,'Level of Efficiency Assumptions'!$I:$I,'Water Use Calcs'!L1109)</f>
        <v>20</v>
      </c>
      <c r="N1109" s="567" t="s">
        <v>588</v>
      </c>
      <c r="O1109" s="1048">
        <f>SUMIFS('Detailed Fixture Data'!O:O,'Detailed Fixture Data'!C:C,G1109,'Detailed Fixture Data'!E:E,I1109,'Detailed Fixture Data'!F:F,J1109,'Detailed Fixture Data'!L:L,L1109)</f>
        <v>0</v>
      </c>
      <c r="P1109" s="1030">
        <f>SUMIFS('Intensity of Use Assumptions'!$J:$J,'Intensity of Use Assumptions'!$D:$D,I1109,'Intensity of Use Assumptions'!$G:$G,J1109,'Intensity of Use Assumptions'!H:H,K1109)</f>
        <v>1</v>
      </c>
      <c r="Q1109" s="567" t="s">
        <v>67</v>
      </c>
      <c r="R1109" s="1032">
        <f>(SUMPRODUCT(M1109:M1111,O1109:O1111)*P1109)</f>
        <v>0</v>
      </c>
      <c r="S1109" s="1033">
        <f>IF(R1109=0,0,M1111*P1109)</f>
        <v>0</v>
      </c>
      <c r="T1109" s="225" t="str">
        <f>G1109&amp;"-"&amp;J1109</f>
        <v>Tenant B-Deicing</v>
      </c>
      <c r="U1109" s="1034">
        <f ca="1">IF(ISNA(VLOOKUP(T1109,list!$AV$3:$AW$130,2,FALSE)),1,(VLOOKUP(T1109,list!$AV$3:$AW$130,2,FALSE)))</f>
        <v>1</v>
      </c>
      <c r="V1109" s="1033">
        <f ca="1">R1109*U1109</f>
        <v>0</v>
      </c>
      <c r="W1109" s="1033">
        <f ca="1">S1109*U1109</f>
        <v>0</v>
      </c>
    </row>
    <row r="1110" spans="3:23" x14ac:dyDescent="0.3">
      <c r="C1110" s="576"/>
      <c r="D1110" s="493" t="s">
        <v>471</v>
      </c>
      <c r="E1110" s="494"/>
      <c r="F1110" s="182"/>
      <c r="G1110" s="494" t="s">
        <v>107</v>
      </c>
      <c r="H1110" s="577"/>
      <c r="I1110" s="450" t="s">
        <v>44</v>
      </c>
      <c r="J1110" s="577" t="s">
        <v>29</v>
      </c>
      <c r="K1110" s="577"/>
      <c r="L1110" s="1035" t="s">
        <v>65</v>
      </c>
      <c r="M1110" s="1036">
        <f>SUMIFS('Level of Efficiency Assumptions'!$J:$J,'Level of Efficiency Assumptions'!$D:$D,I1110,'Level of Efficiency Assumptions'!$F:$F,J1110,'Level of Efficiency Assumptions'!$I:$I,'Water Use Calcs'!L1110)</f>
        <v>10</v>
      </c>
      <c r="N1110" s="577"/>
      <c r="O1110" s="1048">
        <f>SUMIFS('Detailed Fixture Data'!O:O,'Detailed Fixture Data'!C:C,G1110,'Detailed Fixture Data'!E:E,I1110,'Detailed Fixture Data'!F:F,J1110,'Detailed Fixture Data'!L:L,L1110)</f>
        <v>0</v>
      </c>
      <c r="P1110" s="1049"/>
      <c r="Q1110" s="577"/>
      <c r="R1110" s="1039"/>
      <c r="S1110" s="521"/>
      <c r="T1110" s="225"/>
      <c r="U1110" s="521"/>
      <c r="V1110" s="1040"/>
      <c r="W1110" s="1041"/>
    </row>
    <row r="1111" spans="3:23" ht="15" thickBot="1" x14ac:dyDescent="0.35">
      <c r="C1111" s="576"/>
      <c r="D1111" s="493" t="s">
        <v>471</v>
      </c>
      <c r="E1111" s="494"/>
      <c r="F1111" s="182"/>
      <c r="G1111" s="494" t="s">
        <v>107</v>
      </c>
      <c r="H1111" s="577"/>
      <c r="I1111" s="451" t="s">
        <v>44</v>
      </c>
      <c r="J1111" s="116" t="s">
        <v>29</v>
      </c>
      <c r="K1111" s="116"/>
      <c r="L1111" s="1042" t="s">
        <v>66</v>
      </c>
      <c r="M1111" s="1043">
        <f>SUMIFS('Level of Efficiency Assumptions'!$J:$J,'Level of Efficiency Assumptions'!$D:$D,I1111,'Level of Efficiency Assumptions'!$F:$F,J1111,'Level of Efficiency Assumptions'!$I:$I,'Water Use Calcs'!L1111)</f>
        <v>5</v>
      </c>
      <c r="N1111" s="577"/>
      <c r="O1111" s="1048">
        <f>SUMIFS('Detailed Fixture Data'!O:O,'Detailed Fixture Data'!C:C,G1111,'Detailed Fixture Data'!E:E,I1111,'Detailed Fixture Data'!F:F,J1111,'Detailed Fixture Data'!L:L,L1111)</f>
        <v>0</v>
      </c>
      <c r="P1111" s="1049"/>
      <c r="Q1111" s="577"/>
      <c r="R1111" s="1039"/>
      <c r="S1111" s="618"/>
      <c r="T1111" s="225"/>
      <c r="U1111" s="618"/>
      <c r="V1111" s="1045"/>
      <c r="W1111" s="1046"/>
    </row>
    <row r="1112" spans="3:23" x14ac:dyDescent="0.3">
      <c r="C1112" s="576"/>
      <c r="D1112" s="493" t="s">
        <v>471</v>
      </c>
      <c r="E1112" s="494"/>
      <c r="F1112" s="182"/>
      <c r="G1112" s="494" t="s">
        <v>107</v>
      </c>
      <c r="H1112" s="651" t="str">
        <f>I1112</f>
        <v>Landscaping</v>
      </c>
      <c r="I1112" s="450" t="s">
        <v>39</v>
      </c>
      <c r="J1112" s="577" t="s">
        <v>42</v>
      </c>
      <c r="K1112" s="577" t="s">
        <v>32</v>
      </c>
      <c r="L1112" s="1047" t="s">
        <v>64</v>
      </c>
      <c r="M1112" s="1036">
        <f>SUMIFS('Level of Efficiency Assumptions'!$J:$J,'Level of Efficiency Assumptions'!$D:$D,I1112,'Level of Efficiency Assumptions'!$F:$F,J1112,'Level of Efficiency Assumptions'!$I:$I,'Water Use Calcs'!L1112)</f>
        <v>28.6</v>
      </c>
      <c r="N1112" s="567" t="s">
        <v>816</v>
      </c>
      <c r="O1112" s="1048">
        <f>SUMIFS('Detailed Fixture Data'!O:O,'Detailed Fixture Data'!C:C,G1112,'Detailed Fixture Data'!E:E,I1112,'Detailed Fixture Data'!F:F,J1112,'Detailed Fixture Data'!L:L,L1112)</f>
        <v>0</v>
      </c>
      <c r="P1112" s="1030">
        <f>SUMIFS('Intensity of Use Assumptions'!$J:$J,'Intensity of Use Assumptions'!$D:$D,I1112,'Intensity of Use Assumptions'!$G:$G,J1112,'Intensity of Use Assumptions'!H:H,K1112,'Intensity of Use Assumptions'!F:F,D1112)</f>
        <v>2.7397260273972603E-3</v>
      </c>
      <c r="Q1112" s="567" t="s">
        <v>815</v>
      </c>
      <c r="R1112" s="1032">
        <f>(SUMPRODUCT(M1112:M1114,O1112:O1114)*P1112)</f>
        <v>0</v>
      </c>
      <c r="S1112" s="1033">
        <f>IF(R1112=0,0,M1114*P1112)</f>
        <v>0</v>
      </c>
      <c r="T1112" s="225" t="str">
        <f>G1112&amp;"-"&amp;J1112</f>
        <v>Tenant B-Outdoor irrigation</v>
      </c>
      <c r="U1112" s="1034">
        <f ca="1">IF(ISNA(VLOOKUP(T1112,list!$AV$3:$AW$130,2,FALSE)),1,(VLOOKUP(T1112,list!$AV$3:$AW$130,2,FALSE)))</f>
        <v>1</v>
      </c>
      <c r="V1112" s="1033">
        <f ca="1">R1112*U1112</f>
        <v>0</v>
      </c>
      <c r="W1112" s="1033">
        <f ca="1">S1112*U1112</f>
        <v>0</v>
      </c>
    </row>
    <row r="1113" spans="3:23" x14ac:dyDescent="0.3">
      <c r="C1113" s="576"/>
      <c r="D1113" s="493" t="s">
        <v>471</v>
      </c>
      <c r="E1113" s="494"/>
      <c r="F1113" s="182"/>
      <c r="G1113" s="494" t="s">
        <v>107</v>
      </c>
      <c r="H1113" s="577"/>
      <c r="I1113" s="450" t="s">
        <v>39</v>
      </c>
      <c r="J1113" s="577" t="s">
        <v>42</v>
      </c>
      <c r="K1113" s="577"/>
      <c r="L1113" s="1035" t="s">
        <v>65</v>
      </c>
      <c r="M1113" s="1036">
        <f>SUMIFS('Level of Efficiency Assumptions'!$J:$J,'Level of Efficiency Assumptions'!$D:$D,I1113,'Level of Efficiency Assumptions'!$F:$F,J1113,'Level of Efficiency Assumptions'!$I:$I,'Water Use Calcs'!L1113)</f>
        <v>13.980821518350929</v>
      </c>
      <c r="N1113" s="577"/>
      <c r="O1113" s="1048">
        <f>SUMIFS('Detailed Fixture Data'!O:O,'Detailed Fixture Data'!C:C,G1113,'Detailed Fixture Data'!E:E,I1113,'Detailed Fixture Data'!F:F,J1113,'Detailed Fixture Data'!L:L,L1113)</f>
        <v>0</v>
      </c>
      <c r="P1113" s="1049"/>
      <c r="Q1113" s="577"/>
      <c r="R1113" s="1039"/>
      <c r="S1113" s="521"/>
      <c r="T1113" s="225"/>
      <c r="U1113" s="521"/>
      <c r="V1113" s="1040"/>
      <c r="W1113" s="1041"/>
    </row>
    <row r="1114" spans="3:23" ht="15" thickBot="1" x14ac:dyDescent="0.35">
      <c r="C1114" s="576"/>
      <c r="D1114" s="493" t="s">
        <v>471</v>
      </c>
      <c r="E1114" s="494"/>
      <c r="F1114" s="182"/>
      <c r="G1114" s="494" t="s">
        <v>107</v>
      </c>
      <c r="H1114" s="577"/>
      <c r="I1114" s="451" t="s">
        <v>39</v>
      </c>
      <c r="J1114" s="116" t="s">
        <v>42</v>
      </c>
      <c r="K1114" s="116"/>
      <c r="L1114" s="1042" t="s">
        <v>66</v>
      </c>
      <c r="M1114" s="1043">
        <f>SUMIFS('Level of Efficiency Assumptions'!$J:$J,'Level of Efficiency Assumptions'!$D:$D,I1114,'Level of Efficiency Assumptions'!$F:$F,J1114,'Level of Efficiency Assumptions'!$I:$I,'Water Use Calcs'!L1114)</f>
        <v>0.59137254901960778</v>
      </c>
      <c r="N1114" s="577"/>
      <c r="O1114" s="1048">
        <f>SUMIFS('Detailed Fixture Data'!O:O,'Detailed Fixture Data'!C:C,G1114,'Detailed Fixture Data'!E:E,I1114,'Detailed Fixture Data'!F:F,J1114,'Detailed Fixture Data'!L:L,L1114)</f>
        <v>0</v>
      </c>
      <c r="P1114" s="1049"/>
      <c r="Q1114" s="577"/>
      <c r="R1114" s="1039"/>
      <c r="S1114" s="618"/>
      <c r="T1114" s="225"/>
      <c r="U1114" s="618"/>
      <c r="V1114" s="1045"/>
      <c r="W1114" s="1046"/>
    </row>
    <row r="1115" spans="3:23" x14ac:dyDescent="0.3">
      <c r="C1115" s="576"/>
      <c r="D1115" s="493" t="s">
        <v>471</v>
      </c>
      <c r="E1115" s="494"/>
      <c r="F1115" s="182"/>
      <c r="G1115" s="494" t="s">
        <v>107</v>
      </c>
      <c r="H1115" s="651" t="str">
        <f>I1115</f>
        <v>Maintenance</v>
      </c>
      <c r="I1115" s="450" t="s">
        <v>43</v>
      </c>
      <c r="J1115" s="577" t="s">
        <v>111</v>
      </c>
      <c r="K1115" s="217" t="s">
        <v>424</v>
      </c>
      <c r="L1115" s="1047" t="s">
        <v>64</v>
      </c>
      <c r="M1115" s="1036">
        <f>SUMIFS('Level of Efficiency Assumptions'!$J:$J,'Level of Efficiency Assumptions'!$D:$D,I1115,'Level of Efficiency Assumptions'!$F:$F,J1115,'Level of Efficiency Assumptions'!$I:$I,'Water Use Calcs'!L1115)</f>
        <v>100</v>
      </c>
      <c r="N1115" s="567" t="s">
        <v>659</v>
      </c>
      <c r="O1115" s="1048">
        <f>SUMIFS('Detailed Fixture Data'!O:O,'Detailed Fixture Data'!C:C,G1115,'Detailed Fixture Data'!E:E,I1115,'Detailed Fixture Data'!F:F,J1115,'Detailed Fixture Data'!L:L,L1115)</f>
        <v>0</v>
      </c>
      <c r="P1115" s="1030">
        <f>SUMIFS('Intensity of Use Assumptions'!$J:$J,'Intensity of Use Assumptions'!$D:$D,I1115,'Intensity of Use Assumptions'!$G:$G,J1115,'Intensity of Use Assumptions'!H:H,K1115)</f>
        <v>1</v>
      </c>
      <c r="Q1115" s="567" t="s">
        <v>67</v>
      </c>
      <c r="R1115" s="1032">
        <f>(SUMPRODUCT(M1115:M1117,O1115:O1117)*P1115)</f>
        <v>0</v>
      </c>
      <c r="S1115" s="1033">
        <f>IF(R1115=0,0,M1117*P1115)</f>
        <v>0</v>
      </c>
      <c r="T1115" s="225" t="str">
        <f>G1115&amp;"-"&amp;J1115</f>
        <v>Tenant B-Boiler</v>
      </c>
      <c r="U1115" s="1034">
        <f ca="1">IF(ISNA(VLOOKUP(T1115,list!$AV$3:$AW$130,2,FALSE)),1,(VLOOKUP(T1115,list!$AV$3:$AW$130,2,FALSE)))</f>
        <v>1</v>
      </c>
      <c r="V1115" s="1033">
        <f ca="1">R1115*U1115</f>
        <v>0</v>
      </c>
      <c r="W1115" s="1033">
        <f ca="1">S1115*U1115</f>
        <v>0</v>
      </c>
    </row>
    <row r="1116" spans="3:23" x14ac:dyDescent="0.3">
      <c r="C1116" s="576"/>
      <c r="D1116" s="493" t="s">
        <v>471</v>
      </c>
      <c r="E1116" s="494"/>
      <c r="F1116" s="182"/>
      <c r="G1116" s="494" t="s">
        <v>107</v>
      </c>
      <c r="H1116" s="577"/>
      <c r="I1116" s="450" t="s">
        <v>43</v>
      </c>
      <c r="J1116" s="577" t="s">
        <v>111</v>
      </c>
      <c r="K1116" s="382"/>
      <c r="L1116" s="1035" t="s">
        <v>65</v>
      </c>
      <c r="M1116" s="1036">
        <f>SUMIFS('Level of Efficiency Assumptions'!$J:$J,'Level of Efficiency Assumptions'!$D:$D,I1116,'Level of Efficiency Assumptions'!$F:$F,J1116,'Level of Efficiency Assumptions'!$I:$I,'Water Use Calcs'!L1116)</f>
        <v>75</v>
      </c>
      <c r="N1116" s="577"/>
      <c r="O1116" s="1048">
        <f>SUMIFS('Detailed Fixture Data'!O:O,'Detailed Fixture Data'!C:C,G1116,'Detailed Fixture Data'!E:E,I1116,'Detailed Fixture Data'!F:F,J1116,'Detailed Fixture Data'!L:L,L1116)</f>
        <v>0</v>
      </c>
      <c r="P1116" s="1049"/>
      <c r="Q1116" s="577"/>
      <c r="R1116" s="1039"/>
      <c r="S1116" s="521"/>
      <c r="T1116" s="225"/>
      <c r="U1116" s="521"/>
      <c r="V1116" s="1040"/>
      <c r="W1116" s="1041"/>
    </row>
    <row r="1117" spans="3:23" ht="15" thickBot="1" x14ac:dyDescent="0.35">
      <c r="C1117" s="576"/>
      <c r="D1117" s="493" t="s">
        <v>471</v>
      </c>
      <c r="E1117" s="494"/>
      <c r="F1117" s="182"/>
      <c r="G1117" s="494" t="s">
        <v>107</v>
      </c>
      <c r="H1117" s="577"/>
      <c r="I1117" s="450" t="s">
        <v>43</v>
      </c>
      <c r="J1117" s="116" t="s">
        <v>111</v>
      </c>
      <c r="K1117" s="116"/>
      <c r="L1117" s="1042" t="s">
        <v>66</v>
      </c>
      <c r="M1117" s="1043">
        <f>SUMIFS('Level of Efficiency Assumptions'!$J:$J,'Level of Efficiency Assumptions'!$D:$D,I1117,'Level of Efficiency Assumptions'!$F:$F,J1117,'Level of Efficiency Assumptions'!$I:$I,'Water Use Calcs'!L1117)</f>
        <v>50</v>
      </c>
      <c r="N1117" s="577"/>
      <c r="O1117" s="1048">
        <f>SUMIFS('Detailed Fixture Data'!O:O,'Detailed Fixture Data'!C:C,G1117,'Detailed Fixture Data'!E:E,I1117,'Detailed Fixture Data'!F:F,J1117,'Detailed Fixture Data'!L:L,L1117)</f>
        <v>0</v>
      </c>
      <c r="P1117" s="1049"/>
      <c r="Q1117" s="577"/>
      <c r="R1117" s="1039"/>
      <c r="S1117" s="618"/>
      <c r="T1117" s="225"/>
      <c r="U1117" s="618"/>
      <c r="V1117" s="1045"/>
      <c r="W1117" s="1046"/>
    </row>
    <row r="1118" spans="3:23" x14ac:dyDescent="0.3">
      <c r="C1118" s="576"/>
      <c r="D1118" s="493" t="s">
        <v>471</v>
      </c>
      <c r="E1118" s="494"/>
      <c r="F1118" s="182"/>
      <c r="G1118" s="494" t="s">
        <v>107</v>
      </c>
      <c r="H1118" s="577"/>
      <c r="I1118" s="450" t="s">
        <v>43</v>
      </c>
      <c r="J1118" s="577" t="s">
        <v>7</v>
      </c>
      <c r="K1118" s="215" t="s">
        <v>365</v>
      </c>
      <c r="L1118" s="1012" t="s">
        <v>257</v>
      </c>
      <c r="M1118" s="1050"/>
      <c r="N1118" s="1050"/>
      <c r="O1118" s="1050"/>
      <c r="P1118" s="1051"/>
      <c r="Q1118" s="981"/>
      <c r="R1118" s="1052">
        <f>SUMIFS('Cooling Data'!H:H,'Cooling Data'!$C:$C,$G1118,'Cooling Data'!$E:$E,$I1118,'Cooling Data'!$F:$F,$J1118)</f>
        <v>0</v>
      </c>
      <c r="S1118" s="1052">
        <f>SUMIFS('Cooling Data'!J:J,'Cooling Data'!$C:$C,$G1118,'Cooling Data'!$E:$E,$I1118,'Cooling Data'!$F:$F,$J1118)</f>
        <v>0</v>
      </c>
      <c r="T1118" s="225" t="str">
        <f>G1118&amp;"-"&amp;J1118</f>
        <v>Tenant B-Cooling</v>
      </c>
      <c r="U1118" s="1034">
        <f ca="1">IF(ISNA(VLOOKUP(T1118,list!$AV$3:$AW$130,2,FALSE)),1,(VLOOKUP(T1118,list!$AV$3:$AW$130,2,FALSE)))</f>
        <v>1</v>
      </c>
      <c r="V1118" s="1033">
        <f ca="1">R1118*U1118</f>
        <v>0</v>
      </c>
      <c r="W1118" s="1033">
        <f ca="1">S1118*U1118</f>
        <v>0</v>
      </c>
    </row>
    <row r="1119" spans="3:23" x14ac:dyDescent="0.3">
      <c r="C1119" s="576"/>
      <c r="D1119" s="493" t="s">
        <v>471</v>
      </c>
      <c r="E1119" s="494"/>
      <c r="F1119" s="182"/>
      <c r="G1119" s="494" t="s">
        <v>107</v>
      </c>
      <c r="H1119" s="577"/>
      <c r="I1119" s="450" t="s">
        <v>43</v>
      </c>
      <c r="J1119" s="577" t="s">
        <v>7</v>
      </c>
      <c r="K1119" s="577"/>
      <c r="L1119" s="206"/>
      <c r="M1119" s="181"/>
      <c r="N1119" s="181"/>
      <c r="O1119" s="181"/>
      <c r="P1119" s="1053"/>
      <c r="Q1119" s="439"/>
      <c r="R1119" s="1039"/>
      <c r="S1119" s="521"/>
      <c r="T1119" s="225"/>
      <c r="U1119" s="521"/>
      <c r="V1119" s="1040"/>
      <c r="W1119" s="1041"/>
    </row>
    <row r="1120" spans="3:23" ht="15" thickBot="1" x14ac:dyDescent="0.35">
      <c r="C1120" s="576"/>
      <c r="D1120" s="493" t="s">
        <v>471</v>
      </c>
      <c r="E1120" s="494"/>
      <c r="F1120" s="182"/>
      <c r="G1120" s="494" t="s">
        <v>107</v>
      </c>
      <c r="H1120" s="577"/>
      <c r="I1120" s="450" t="s">
        <v>43</v>
      </c>
      <c r="J1120" s="116" t="s">
        <v>7</v>
      </c>
      <c r="K1120" s="116"/>
      <c r="L1120" s="207"/>
      <c r="M1120" s="924"/>
      <c r="N1120" s="924"/>
      <c r="O1120" s="924"/>
      <c r="P1120" s="1054"/>
      <c r="Q1120" s="606"/>
      <c r="R1120" s="1039"/>
      <c r="S1120" s="618"/>
      <c r="T1120" s="225"/>
      <c r="U1120" s="618"/>
      <c r="V1120" s="1045"/>
      <c r="W1120" s="1046"/>
    </row>
    <row r="1121" spans="3:23" x14ac:dyDescent="0.3">
      <c r="C1121" s="576"/>
      <c r="D1121" s="493" t="s">
        <v>471</v>
      </c>
      <c r="E1121" s="494"/>
      <c r="F1121" s="182"/>
      <c r="G1121" s="494" t="s">
        <v>107</v>
      </c>
      <c r="H1121" s="577"/>
      <c r="I1121" s="450" t="s">
        <v>43</v>
      </c>
      <c r="J1121" s="567" t="s">
        <v>25</v>
      </c>
      <c r="K1121" s="577" t="s">
        <v>10</v>
      </c>
      <c r="L1121" s="1047" t="s">
        <v>64</v>
      </c>
      <c r="M1121" s="1036">
        <f>SUMIFS('Level of Efficiency Assumptions'!$J:$J,'Level of Efficiency Assumptions'!$D:$D,I1121,'Level of Efficiency Assumptions'!$F:$F,J1121,'Level of Efficiency Assumptions'!$I:$I,'Water Use Calcs'!L1121)</f>
        <v>10</v>
      </c>
      <c r="N1121" s="567" t="s">
        <v>588</v>
      </c>
      <c r="O1121" s="1048">
        <f>SUMIFS('Detailed Fixture Data'!O:O,'Detailed Fixture Data'!C:C,G1121,'Detailed Fixture Data'!E:E,I1121,'Detailed Fixture Data'!F:F,J1121,'Detailed Fixture Data'!L:L,L1121)</f>
        <v>0</v>
      </c>
      <c r="P1121" s="1030">
        <f>SUMIFS('Intensity of Use Assumptions'!$J:$J,'Intensity of Use Assumptions'!$D:$D,I1121,'Intensity of Use Assumptions'!$G:$G,J1121,'Intensity of Use Assumptions'!H:H,K1121)</f>
        <v>1</v>
      </c>
      <c r="Q1121" s="567" t="s">
        <v>67</v>
      </c>
      <c r="R1121" s="1032">
        <f>(SUMPRODUCT(M1121:M1123,O1121:O1123)*P1121)</f>
        <v>0</v>
      </c>
      <c r="S1121" s="1033">
        <f>IF(R1121=0,0,M1123*P1121)</f>
        <v>0</v>
      </c>
      <c r="T1121" s="225" t="str">
        <f>G1121&amp;"-"&amp;J1121</f>
        <v>Tenant B-Fleet vehicle washing</v>
      </c>
      <c r="U1121" s="1034">
        <f ca="1">IF(ISNA(VLOOKUP(T1121,list!$AV$3:$AW$130,2,FALSE)),1,(VLOOKUP(T1121,list!$AV$3:$AW$130,2,FALSE)))</f>
        <v>1</v>
      </c>
      <c r="V1121" s="1033">
        <f ca="1">R1121*U1121</f>
        <v>0</v>
      </c>
      <c r="W1121" s="1033">
        <f ca="1">S1121*U1121</f>
        <v>0</v>
      </c>
    </row>
    <row r="1122" spans="3:23" x14ac:dyDescent="0.3">
      <c r="C1122" s="576"/>
      <c r="D1122" s="493" t="s">
        <v>471</v>
      </c>
      <c r="E1122" s="494"/>
      <c r="F1122" s="182"/>
      <c r="G1122" s="494" t="s">
        <v>107</v>
      </c>
      <c r="H1122" s="577"/>
      <c r="I1122" s="450" t="s">
        <v>43</v>
      </c>
      <c r="J1122" s="577" t="s">
        <v>25</v>
      </c>
      <c r="K1122" s="577"/>
      <c r="L1122" s="1035" t="s">
        <v>65</v>
      </c>
      <c r="M1122" s="1036">
        <f>SUMIFS('Level of Efficiency Assumptions'!$J:$J,'Level of Efficiency Assumptions'!$D:$D,I1122,'Level of Efficiency Assumptions'!$F:$F,J1122,'Level of Efficiency Assumptions'!$I:$I,'Water Use Calcs'!L1122)</f>
        <v>7.5</v>
      </c>
      <c r="N1122" s="577"/>
      <c r="O1122" s="1048">
        <f>SUMIFS('Detailed Fixture Data'!O:O,'Detailed Fixture Data'!C:C,G1122,'Detailed Fixture Data'!E:E,I1122,'Detailed Fixture Data'!F:F,J1122,'Detailed Fixture Data'!L:L,L1122)</f>
        <v>0</v>
      </c>
      <c r="P1122" s="1049"/>
      <c r="Q1122" s="577"/>
      <c r="R1122" s="1039"/>
      <c r="S1122" s="521"/>
      <c r="T1122" s="225"/>
      <c r="U1122" s="521"/>
      <c r="V1122" s="1040"/>
      <c r="W1122" s="1041"/>
    </row>
    <row r="1123" spans="3:23" ht="15" thickBot="1" x14ac:dyDescent="0.35">
      <c r="C1123" s="576"/>
      <c r="D1123" s="493" t="s">
        <v>471</v>
      </c>
      <c r="E1123" s="494"/>
      <c r="F1123" s="182"/>
      <c r="G1123" s="494" t="s">
        <v>107</v>
      </c>
      <c r="H1123" s="577"/>
      <c r="I1123" s="450" t="s">
        <v>43</v>
      </c>
      <c r="J1123" s="116" t="s">
        <v>25</v>
      </c>
      <c r="K1123" s="116"/>
      <c r="L1123" s="1042" t="s">
        <v>66</v>
      </c>
      <c r="M1123" s="1043">
        <f>SUMIFS('Level of Efficiency Assumptions'!$J:$J,'Level of Efficiency Assumptions'!$D:$D,I1123,'Level of Efficiency Assumptions'!$F:$F,J1123,'Level of Efficiency Assumptions'!$I:$I,'Water Use Calcs'!L1123)</f>
        <v>5</v>
      </c>
      <c r="N1123" s="577"/>
      <c r="O1123" s="1048">
        <f>SUMIFS('Detailed Fixture Data'!O:O,'Detailed Fixture Data'!C:C,G1123,'Detailed Fixture Data'!E:E,I1123,'Detailed Fixture Data'!F:F,J1123,'Detailed Fixture Data'!L:L,L1123)</f>
        <v>0</v>
      </c>
      <c r="P1123" s="1049"/>
      <c r="Q1123" s="577"/>
      <c r="R1123" s="1039"/>
      <c r="S1123" s="618"/>
      <c r="T1123" s="225"/>
      <c r="U1123" s="618"/>
      <c r="V1123" s="1045"/>
      <c r="W1123" s="1046"/>
    </row>
    <row r="1124" spans="3:23" x14ac:dyDescent="0.3">
      <c r="C1124" s="576"/>
      <c r="D1124" s="493" t="s">
        <v>471</v>
      </c>
      <c r="E1124" s="494"/>
      <c r="F1124" s="182"/>
      <c r="G1124" s="494" t="s">
        <v>107</v>
      </c>
      <c r="H1124" s="577"/>
      <c r="I1124" s="450" t="s">
        <v>43</v>
      </c>
      <c r="J1124" s="577" t="s">
        <v>426</v>
      </c>
      <c r="K1124" s="577" t="s">
        <v>10</v>
      </c>
      <c r="L1124" s="1047" t="s">
        <v>64</v>
      </c>
      <c r="M1124" s="1036">
        <f>SUMIFS('Level of Efficiency Assumptions'!$J:$J,'Level of Efficiency Assumptions'!$D:$D,I1124,'Level of Efficiency Assumptions'!$F:$F,J1124,'Level of Efficiency Assumptions'!$I:$I,'Water Use Calcs'!L1124)</f>
        <v>10</v>
      </c>
      <c r="N1124" s="567" t="s">
        <v>588</v>
      </c>
      <c r="O1124" s="1048">
        <f>SUMIFS('Detailed Fixture Data'!O:O,'Detailed Fixture Data'!C:C,G1124,'Detailed Fixture Data'!E:E,I1124,'Detailed Fixture Data'!F:F,J1124,'Detailed Fixture Data'!L:L,L1124)</f>
        <v>0</v>
      </c>
      <c r="P1124" s="1030">
        <f>SUMIFS('Intensity of Use Assumptions'!$J:$J,'Intensity of Use Assumptions'!$D:$D,I1124,'Intensity of Use Assumptions'!$G:$G,J1124,'Intensity of Use Assumptions'!H:H,K1124)</f>
        <v>2E-3</v>
      </c>
      <c r="Q1124" s="567" t="s">
        <v>67</v>
      </c>
      <c r="R1124" s="1032">
        <f>(SUMPRODUCT(M1124:M1126,O1124:O1126)*P1124)</f>
        <v>0</v>
      </c>
      <c r="S1124" s="1033">
        <f>IF(R1124=0,0,M1126*P1124)</f>
        <v>0</v>
      </c>
      <c r="T1124" s="225" t="str">
        <f>G1124&amp;"-"&amp;J1124</f>
        <v>Tenant B-Pavement cleaning</v>
      </c>
      <c r="U1124" s="1034">
        <f ca="1">IF(ISNA(VLOOKUP(T1124,list!$AV$3:$AW$130,2,FALSE)),1,(VLOOKUP(T1124,list!$AV$3:$AW$130,2,FALSE)))</f>
        <v>1</v>
      </c>
      <c r="V1124" s="1033">
        <f ca="1">R1124*U1124</f>
        <v>0</v>
      </c>
      <c r="W1124" s="1033">
        <f ca="1">S1124*U1124</f>
        <v>0</v>
      </c>
    </row>
    <row r="1125" spans="3:23" x14ac:dyDescent="0.3">
      <c r="C1125" s="576"/>
      <c r="D1125" s="493" t="s">
        <v>471</v>
      </c>
      <c r="E1125" s="494"/>
      <c r="F1125" s="182"/>
      <c r="G1125" s="494" t="s">
        <v>107</v>
      </c>
      <c r="H1125" s="577"/>
      <c r="I1125" s="450" t="s">
        <v>43</v>
      </c>
      <c r="J1125" s="577" t="s">
        <v>426</v>
      </c>
      <c r="K1125" s="577"/>
      <c r="L1125" s="1035" t="s">
        <v>65</v>
      </c>
      <c r="M1125" s="1036">
        <f>SUMIFS('Level of Efficiency Assumptions'!$J:$J,'Level of Efficiency Assumptions'!$D:$D,I1125,'Level of Efficiency Assumptions'!$F:$F,J1125,'Level of Efficiency Assumptions'!$I:$I,'Water Use Calcs'!L1125)</f>
        <v>7.5</v>
      </c>
      <c r="N1125" s="577"/>
      <c r="O1125" s="1048">
        <f>SUMIFS('Detailed Fixture Data'!O:O,'Detailed Fixture Data'!C:C,G1125,'Detailed Fixture Data'!E:E,I1125,'Detailed Fixture Data'!F:F,J1125,'Detailed Fixture Data'!L:L,L1125)</f>
        <v>0</v>
      </c>
      <c r="P1125" s="1049"/>
      <c r="Q1125" s="577"/>
      <c r="R1125" s="1039"/>
      <c r="S1125" s="521"/>
      <c r="T1125" s="225"/>
      <c r="U1125" s="521"/>
      <c r="V1125" s="1040"/>
      <c r="W1125" s="1041"/>
    </row>
    <row r="1126" spans="3:23" ht="15" thickBot="1" x14ac:dyDescent="0.35">
      <c r="C1126" s="576"/>
      <c r="D1126" s="493" t="s">
        <v>471</v>
      </c>
      <c r="E1126" s="494"/>
      <c r="F1126" s="182"/>
      <c r="G1126" s="494" t="s">
        <v>107</v>
      </c>
      <c r="H1126" s="577"/>
      <c r="I1126" s="451" t="s">
        <v>43</v>
      </c>
      <c r="J1126" s="116" t="s">
        <v>426</v>
      </c>
      <c r="K1126" s="116"/>
      <c r="L1126" s="1042" t="s">
        <v>66</v>
      </c>
      <c r="M1126" s="1043">
        <f>SUMIFS('Level of Efficiency Assumptions'!$J:$J,'Level of Efficiency Assumptions'!$D:$D,I1126,'Level of Efficiency Assumptions'!$F:$F,J1126,'Level of Efficiency Assumptions'!$I:$I,'Water Use Calcs'!L1126)</f>
        <v>5</v>
      </c>
      <c r="N1126" s="577"/>
      <c r="O1126" s="1048">
        <f>SUMIFS('Detailed Fixture Data'!O:O,'Detailed Fixture Data'!C:C,G1126,'Detailed Fixture Data'!E:E,I1126,'Detailed Fixture Data'!F:F,J1126,'Detailed Fixture Data'!L:L,L1126)</f>
        <v>0</v>
      </c>
      <c r="P1126" s="1049"/>
      <c r="Q1126" s="577"/>
      <c r="R1126" s="1039"/>
      <c r="S1126" s="618"/>
      <c r="T1126" s="225"/>
      <c r="U1126" s="618"/>
      <c r="V1126" s="1045"/>
      <c r="W1126" s="1046"/>
    </row>
    <row r="1127" spans="3:23" x14ac:dyDescent="0.3">
      <c r="C1127" s="576"/>
      <c r="D1127" s="493" t="s">
        <v>471</v>
      </c>
      <c r="E1127" s="494"/>
      <c r="F1127" s="182"/>
      <c r="G1127" s="494" t="s">
        <v>107</v>
      </c>
      <c r="H1127" s="651" t="str">
        <f>I1127</f>
        <v>Other</v>
      </c>
      <c r="I1127" s="450" t="s">
        <v>8</v>
      </c>
      <c r="J1127" s="577" t="s">
        <v>52</v>
      </c>
      <c r="K1127" s="387" t="s">
        <v>362</v>
      </c>
      <c r="L1127" s="1047" t="s">
        <v>64</v>
      </c>
      <c r="M1127" s="1036">
        <f>SUMIFS('Level of Efficiency Assumptions'!$J:$J,'Level of Efficiency Assumptions'!$D:$D,I1127,'Level of Efficiency Assumptions'!$F:$F,J1127,'Level of Efficiency Assumptions'!$I:$I,'Water Use Calcs'!L1127)</f>
        <v>10</v>
      </c>
      <c r="N1127" s="567" t="s">
        <v>660</v>
      </c>
      <c r="O1127" s="1048">
        <f>SUMIFS('Detailed Fixture Data'!O:O,'Detailed Fixture Data'!C:C,G1127,'Detailed Fixture Data'!E:E,I1127,'Detailed Fixture Data'!F:F,J1127,'Detailed Fixture Data'!L:L,L1127)</f>
        <v>0</v>
      </c>
      <c r="P1127" s="1030">
        <f>SUMIFS('Intensity of Use Assumptions'!$J:$J,'Intensity of Use Assumptions'!$D:$D,I1127,'Intensity of Use Assumptions'!$G:$G,J1127,'Intensity of Use Assumptions'!H:H,K1127)</f>
        <v>1</v>
      </c>
      <c r="Q1127" s="567" t="s">
        <v>67</v>
      </c>
      <c r="R1127" s="1032">
        <f>(SUMPRODUCT(M1127:M1129,O1127:O1129)*P1127)</f>
        <v>0</v>
      </c>
      <c r="S1127" s="1033">
        <f>IF(R1127=0,0,M1129*P1127)</f>
        <v>0</v>
      </c>
      <c r="T1127" s="225" t="str">
        <f>G1127&amp;"-"&amp;J1127</f>
        <v>Tenant B-Other 1</v>
      </c>
      <c r="U1127" s="1034">
        <f ca="1">IF(ISNA(VLOOKUP(T1127,list!$AV$3:$AW$130,2,FALSE)),1,(VLOOKUP(T1127,list!$AV$3:$AW$130,2,FALSE)))</f>
        <v>1</v>
      </c>
      <c r="V1127" s="1033">
        <f ca="1">R1127*U1127</f>
        <v>0</v>
      </c>
      <c r="W1127" s="1033">
        <f ca="1">S1127*U1127</f>
        <v>0</v>
      </c>
    </row>
    <row r="1128" spans="3:23" x14ac:dyDescent="0.3">
      <c r="C1128" s="576"/>
      <c r="D1128" s="493" t="s">
        <v>471</v>
      </c>
      <c r="E1128" s="494"/>
      <c r="F1128" s="182"/>
      <c r="G1128" s="494" t="s">
        <v>107</v>
      </c>
      <c r="H1128" s="577"/>
      <c r="I1128" s="450" t="s">
        <v>8</v>
      </c>
      <c r="J1128" s="577" t="s">
        <v>52</v>
      </c>
      <c r="K1128" s="382"/>
      <c r="L1128" s="1035" t="s">
        <v>65</v>
      </c>
      <c r="M1128" s="1036">
        <f>SUMIFS('Level of Efficiency Assumptions'!$J:$J,'Level of Efficiency Assumptions'!$D:$D,I1128,'Level of Efficiency Assumptions'!$F:$F,J1128,'Level of Efficiency Assumptions'!$I:$I,'Water Use Calcs'!L1128)</f>
        <v>7.5</v>
      </c>
      <c r="N1128" s="577"/>
      <c r="O1128" s="1048">
        <f>SUMIFS('Detailed Fixture Data'!O:O,'Detailed Fixture Data'!C:C,G1128,'Detailed Fixture Data'!E:E,I1128,'Detailed Fixture Data'!F:F,J1128,'Detailed Fixture Data'!L:L,L1128)</f>
        <v>0</v>
      </c>
      <c r="P1128" s="1049"/>
      <c r="Q1128" s="577"/>
      <c r="R1128" s="1039"/>
      <c r="S1128" s="521"/>
      <c r="T1128" s="225"/>
      <c r="U1128" s="521"/>
      <c r="V1128" s="1040"/>
      <c r="W1128" s="1041"/>
    </row>
    <row r="1129" spans="3:23" ht="15" thickBot="1" x14ac:dyDescent="0.35">
      <c r="C1129" s="576"/>
      <c r="D1129" s="493" t="s">
        <v>471</v>
      </c>
      <c r="E1129" s="494"/>
      <c r="F1129" s="182"/>
      <c r="G1129" s="494" t="s">
        <v>107</v>
      </c>
      <c r="H1129" s="577"/>
      <c r="I1129" s="450" t="s">
        <v>8</v>
      </c>
      <c r="J1129" s="116" t="s">
        <v>52</v>
      </c>
      <c r="K1129" s="382"/>
      <c r="L1129" s="1042" t="s">
        <v>66</v>
      </c>
      <c r="M1129" s="1043">
        <f>SUMIFS('Level of Efficiency Assumptions'!$J:$J,'Level of Efficiency Assumptions'!$D:$D,I1129,'Level of Efficiency Assumptions'!$F:$F,J1129,'Level of Efficiency Assumptions'!$I:$I,'Water Use Calcs'!L1129)</f>
        <v>5</v>
      </c>
      <c r="N1129" s="577"/>
      <c r="O1129" s="1048">
        <f>SUMIFS('Detailed Fixture Data'!O:O,'Detailed Fixture Data'!C:C,G1129,'Detailed Fixture Data'!E:E,I1129,'Detailed Fixture Data'!F:F,J1129,'Detailed Fixture Data'!L:L,L1129)</f>
        <v>0</v>
      </c>
      <c r="P1129" s="1049"/>
      <c r="Q1129" s="577"/>
      <c r="R1129" s="1039"/>
      <c r="S1129" s="618"/>
      <c r="T1129" s="225"/>
      <c r="U1129" s="618"/>
      <c r="V1129" s="1045"/>
      <c r="W1129" s="1046"/>
    </row>
    <row r="1130" spans="3:23" x14ac:dyDescent="0.3">
      <c r="C1130" s="576"/>
      <c r="D1130" s="493" t="s">
        <v>471</v>
      </c>
      <c r="E1130" s="494"/>
      <c r="F1130" s="182"/>
      <c r="G1130" s="494" t="s">
        <v>107</v>
      </c>
      <c r="H1130" s="577"/>
      <c r="I1130" s="450" t="s">
        <v>8</v>
      </c>
      <c r="J1130" s="577" t="s">
        <v>53</v>
      </c>
      <c r="K1130" s="1055" t="s">
        <v>363</v>
      </c>
      <c r="L1130" s="1047" t="s">
        <v>64</v>
      </c>
      <c r="M1130" s="1036">
        <f>SUMIFS('Level of Efficiency Assumptions'!$J:$J,'Level of Efficiency Assumptions'!$D:$D,I1130,'Level of Efficiency Assumptions'!$F:$F,J1130,'Level of Efficiency Assumptions'!$I:$I,'Water Use Calcs'!L1130)</f>
        <v>10</v>
      </c>
      <c r="N1130" s="567" t="s">
        <v>660</v>
      </c>
      <c r="O1130" s="1048">
        <f>SUMIFS('Detailed Fixture Data'!O:O,'Detailed Fixture Data'!C:C,G1130,'Detailed Fixture Data'!E:E,I1130,'Detailed Fixture Data'!F:F,J1130,'Detailed Fixture Data'!L:L,L1130)</f>
        <v>0</v>
      </c>
      <c r="P1130" s="1030">
        <f>SUMIFS('Intensity of Use Assumptions'!$J:$J,'Intensity of Use Assumptions'!$D:$D,I1130,'Intensity of Use Assumptions'!$G:$G,J1130,'Intensity of Use Assumptions'!H:H,K1130)</f>
        <v>1</v>
      </c>
      <c r="Q1130" s="567" t="s">
        <v>67</v>
      </c>
      <c r="R1130" s="1032">
        <f>(SUMPRODUCT(M1130:M1132,O1130:O1132)*P1130)</f>
        <v>0</v>
      </c>
      <c r="S1130" s="1033">
        <f>IF(R1130=0,0,M1132*P1130)</f>
        <v>0</v>
      </c>
      <c r="T1130" s="225" t="str">
        <f>G1130&amp;"-"&amp;J1130</f>
        <v>Tenant B-Other 2</v>
      </c>
      <c r="U1130" s="1034">
        <f ca="1">IF(ISNA(VLOOKUP(T1130,list!$AV$3:$AW$130,2,FALSE)),1,(VLOOKUP(T1130,list!$AV$3:$AW$130,2,FALSE)))</f>
        <v>1</v>
      </c>
      <c r="V1130" s="1033">
        <f ca="1">R1130*U1130</f>
        <v>0</v>
      </c>
      <c r="W1130" s="1033">
        <f ca="1">S1130*U1130</f>
        <v>0</v>
      </c>
    </row>
    <row r="1131" spans="3:23" x14ac:dyDescent="0.3">
      <c r="C1131" s="576"/>
      <c r="D1131" s="493" t="s">
        <v>471</v>
      </c>
      <c r="E1131" s="494"/>
      <c r="F1131" s="182"/>
      <c r="G1131" s="494" t="s">
        <v>107</v>
      </c>
      <c r="H1131" s="577"/>
      <c r="I1131" s="450" t="s">
        <v>8</v>
      </c>
      <c r="J1131" s="577" t="s">
        <v>53</v>
      </c>
      <c r="K1131" s="577"/>
      <c r="L1131" s="1035" t="s">
        <v>65</v>
      </c>
      <c r="M1131" s="1036">
        <f>SUMIFS('Level of Efficiency Assumptions'!$J:$J,'Level of Efficiency Assumptions'!$D:$D,I1131,'Level of Efficiency Assumptions'!$F:$F,J1131,'Level of Efficiency Assumptions'!$I:$I,'Water Use Calcs'!L1131)</f>
        <v>7.5</v>
      </c>
      <c r="N1131" s="577"/>
      <c r="O1131" s="1048">
        <f>SUMIFS('Detailed Fixture Data'!O:O,'Detailed Fixture Data'!C:C,G1131,'Detailed Fixture Data'!E:E,I1131,'Detailed Fixture Data'!F:F,J1131,'Detailed Fixture Data'!L:L,L1131)</f>
        <v>0</v>
      </c>
      <c r="P1131" s="1049"/>
      <c r="Q1131" s="577"/>
      <c r="R1131" s="1039"/>
      <c r="S1131" s="521"/>
      <c r="T1131" s="225"/>
      <c r="U1131" s="521"/>
      <c r="V1131" s="1040"/>
      <c r="W1131" s="1041"/>
    </row>
    <row r="1132" spans="3:23" ht="15" thickBot="1" x14ac:dyDescent="0.35">
      <c r="C1132" s="576"/>
      <c r="D1132" s="493" t="s">
        <v>471</v>
      </c>
      <c r="E1132" s="494"/>
      <c r="F1132" s="182"/>
      <c r="G1132" s="494" t="s">
        <v>107</v>
      </c>
      <c r="H1132" s="577"/>
      <c r="I1132" s="450" t="s">
        <v>8</v>
      </c>
      <c r="J1132" s="116" t="s">
        <v>53</v>
      </c>
      <c r="K1132" s="116"/>
      <c r="L1132" s="1042" t="s">
        <v>66</v>
      </c>
      <c r="M1132" s="1043">
        <f>SUMIFS('Level of Efficiency Assumptions'!$J:$J,'Level of Efficiency Assumptions'!$D:$D,I1132,'Level of Efficiency Assumptions'!$F:$F,J1132,'Level of Efficiency Assumptions'!$I:$I,'Water Use Calcs'!L1132)</f>
        <v>5</v>
      </c>
      <c r="N1132" s="577"/>
      <c r="O1132" s="1048">
        <f>SUMIFS('Detailed Fixture Data'!O:O,'Detailed Fixture Data'!C:C,G1132,'Detailed Fixture Data'!E:E,I1132,'Detailed Fixture Data'!F:F,J1132,'Detailed Fixture Data'!L:L,L1132)</f>
        <v>0</v>
      </c>
      <c r="P1132" s="1049"/>
      <c r="Q1132" s="577"/>
      <c r="R1132" s="1039"/>
      <c r="S1132" s="618"/>
      <c r="T1132" s="225"/>
      <c r="U1132" s="618"/>
      <c r="V1132" s="1045"/>
      <c r="W1132" s="1046"/>
    </row>
    <row r="1133" spans="3:23" x14ac:dyDescent="0.3">
      <c r="C1133" s="576"/>
      <c r="D1133" s="493" t="s">
        <v>471</v>
      </c>
      <c r="E1133" s="494"/>
      <c r="F1133" s="182"/>
      <c r="G1133" s="494" t="s">
        <v>107</v>
      </c>
      <c r="H1133" s="577"/>
      <c r="I1133" s="450" t="s">
        <v>8</v>
      </c>
      <c r="J1133" s="577" t="s">
        <v>54</v>
      </c>
      <c r="K1133" s="379" t="s">
        <v>364</v>
      </c>
      <c r="L1133" s="1047" t="s">
        <v>64</v>
      </c>
      <c r="M1133" s="1036">
        <f>SUMIFS('Level of Efficiency Assumptions'!$J:$J,'Level of Efficiency Assumptions'!$D:$D,I1133,'Level of Efficiency Assumptions'!$F:$F,J1133,'Level of Efficiency Assumptions'!$I:$I,'Water Use Calcs'!L1133)</f>
        <v>10</v>
      </c>
      <c r="N1133" s="567" t="s">
        <v>660</v>
      </c>
      <c r="O1133" s="1048">
        <f>SUMIFS('Detailed Fixture Data'!O:O,'Detailed Fixture Data'!C:C,G1133,'Detailed Fixture Data'!E:E,I1133,'Detailed Fixture Data'!F:F,J1133,'Detailed Fixture Data'!L:L,L1133)</f>
        <v>0</v>
      </c>
      <c r="P1133" s="1030">
        <f>SUMIFS('Intensity of Use Assumptions'!$J:$J,'Intensity of Use Assumptions'!$D:$D,I1133,'Intensity of Use Assumptions'!$G:$G,J1133,'Intensity of Use Assumptions'!H:H,K1133)</f>
        <v>1</v>
      </c>
      <c r="Q1133" s="567" t="s">
        <v>67</v>
      </c>
      <c r="R1133" s="1032">
        <f>(SUMPRODUCT(M1133:M1135,O1133:O1135)*P1133)</f>
        <v>0</v>
      </c>
      <c r="S1133" s="1033">
        <f>IF(R1133=0,0,M1135*P1133)</f>
        <v>0</v>
      </c>
      <c r="T1133" s="225" t="str">
        <f>G1133&amp;"-"&amp;J1133</f>
        <v>Tenant B-Other 3</v>
      </c>
      <c r="U1133" s="1034">
        <f ca="1">IF(ISNA(VLOOKUP(T1133,list!$AV$3:$AW$130,2,FALSE)),1,(VLOOKUP(T1133,list!$AV$3:$AW$130,2,FALSE)))</f>
        <v>1</v>
      </c>
      <c r="V1133" s="1033">
        <f ca="1">R1133*U1133</f>
        <v>0</v>
      </c>
      <c r="W1133" s="1033">
        <f ca="1">S1133*U1133</f>
        <v>0</v>
      </c>
    </row>
    <row r="1134" spans="3:23" x14ac:dyDescent="0.3">
      <c r="C1134" s="576"/>
      <c r="D1134" s="493" t="s">
        <v>471</v>
      </c>
      <c r="E1134" s="494"/>
      <c r="F1134" s="182"/>
      <c r="G1134" s="494" t="s">
        <v>107</v>
      </c>
      <c r="H1134" s="577"/>
      <c r="I1134" s="450" t="s">
        <v>8</v>
      </c>
      <c r="J1134" s="577" t="s">
        <v>54</v>
      </c>
      <c r="K1134" s="577"/>
      <c r="L1134" s="1035" t="s">
        <v>65</v>
      </c>
      <c r="M1134" s="1036">
        <f>SUMIFS('Level of Efficiency Assumptions'!$J:$J,'Level of Efficiency Assumptions'!$D:$D,I1134,'Level of Efficiency Assumptions'!$F:$F,J1134,'Level of Efficiency Assumptions'!$I:$I,'Water Use Calcs'!L1134)</f>
        <v>7.5</v>
      </c>
      <c r="N1134" s="577"/>
      <c r="O1134" s="1048">
        <f>SUMIFS('Detailed Fixture Data'!O:O,'Detailed Fixture Data'!C:C,G1134,'Detailed Fixture Data'!E:E,I1134,'Detailed Fixture Data'!F:F,J1134,'Detailed Fixture Data'!L:L,L1134)</f>
        <v>0</v>
      </c>
      <c r="P1134" s="1049"/>
      <c r="Q1134" s="577"/>
      <c r="R1134" s="1039"/>
      <c r="S1134" s="521"/>
      <c r="T1134" s="225"/>
      <c r="U1134" s="521"/>
      <c r="V1134" s="1040"/>
      <c r="W1134" s="1041"/>
    </row>
    <row r="1135" spans="3:23" ht="15" thickBot="1" x14ac:dyDescent="0.35">
      <c r="C1135" s="576"/>
      <c r="D1135" s="500" t="s">
        <v>471</v>
      </c>
      <c r="E1135" s="501"/>
      <c r="F1135" s="184"/>
      <c r="G1135" s="501" t="s">
        <v>107</v>
      </c>
      <c r="H1135" s="116"/>
      <c r="I1135" s="451" t="s">
        <v>8</v>
      </c>
      <c r="J1135" s="116" t="s">
        <v>54</v>
      </c>
      <c r="K1135" s="116"/>
      <c r="L1135" s="1042" t="s">
        <v>66</v>
      </c>
      <c r="M1135" s="1043">
        <f>SUMIFS('Level of Efficiency Assumptions'!$J:$J,'Level of Efficiency Assumptions'!$D:$D,I1135,'Level of Efficiency Assumptions'!$F:$F,J1135,'Level of Efficiency Assumptions'!$I:$I,'Water Use Calcs'!L1135)</f>
        <v>5</v>
      </c>
      <c r="N1135" s="116"/>
      <c r="O1135" s="1048">
        <f>SUMIFS('Detailed Fixture Data'!O:O,'Detailed Fixture Data'!C:C,G1135,'Detailed Fixture Data'!E:E,I1135,'Detailed Fixture Data'!F:F,J1135,'Detailed Fixture Data'!L:L,L1135)</f>
        <v>0</v>
      </c>
      <c r="P1135" s="1049"/>
      <c r="Q1135" s="116"/>
      <c r="R1135" s="1045"/>
      <c r="S1135" s="618"/>
      <c r="T1135" s="225"/>
      <c r="U1135" s="618"/>
      <c r="V1135" s="1045"/>
      <c r="W1135" s="1046"/>
    </row>
    <row r="1136" spans="3:23" x14ac:dyDescent="0.3">
      <c r="C1136" s="576"/>
      <c r="D1136" s="493" t="s">
        <v>471</v>
      </c>
      <c r="E1136" s="619" t="str">
        <f>G1136</f>
        <v>Tenant C</v>
      </c>
      <c r="F1136" s="565" t="str">
        <f>VLOOKUP(E1136,'Airport Mapping'!$C$5:$D$39,2,FALSE)</f>
        <v xml:space="preserve"> </v>
      </c>
      <c r="G1136" s="494" t="s">
        <v>108</v>
      </c>
      <c r="H1136" s="651" t="str">
        <f>I1136</f>
        <v>Restrooms</v>
      </c>
      <c r="I1136" s="454" t="s">
        <v>37</v>
      </c>
      <c r="J1136" s="567" t="s">
        <v>2</v>
      </c>
      <c r="K1136" s="577" t="s">
        <v>6</v>
      </c>
      <c r="L1136" s="1028" t="s">
        <v>64</v>
      </c>
      <c r="M1136" s="1036">
        <f>SUMIFS('Level of Efficiency Assumptions'!$J:$J,'Level of Efficiency Assumptions'!$D:$D,I1136,'Level of Efficiency Assumptions'!$F:$F,J1136,'Level of Efficiency Assumptions'!$I:$I,'Water Use Calcs'!L1136)</f>
        <v>3.5</v>
      </c>
      <c r="N1136" s="567" t="s">
        <v>68</v>
      </c>
      <c r="O1136" s="1048">
        <f>SUMIFS('Detailed Fixture Data'!O:O,'Detailed Fixture Data'!C:C,G1136,'Detailed Fixture Data'!E:E,I1136,'Detailed Fixture Data'!F:F,J1136,'Detailed Fixture Data'!L:L,L1136)</f>
        <v>0</v>
      </c>
      <c r="P1136" s="1030">
        <f>SUMIFS('Intensity of Use Assumptions'!$J:$J,'Intensity of Use Assumptions'!$D:$D,I1136,'Intensity of Use Assumptions'!$G:$G,J1136,'Intensity of Use Assumptions'!H:H,K1136)</f>
        <v>2.5</v>
      </c>
      <c r="Q1136" s="567" t="s">
        <v>67</v>
      </c>
      <c r="R1136" s="1032">
        <f>(SUMPRODUCT(M1136:M1138,O1136:O1138)*P1136)</f>
        <v>0</v>
      </c>
      <c r="S1136" s="1033">
        <f>IF(R1136=0,0,M1138*P1136)</f>
        <v>0</v>
      </c>
      <c r="T1136" s="225" t="str">
        <f>G1136&amp;"-"&amp;J1136</f>
        <v>Tenant C-Toilets</v>
      </c>
      <c r="U1136" s="1034">
        <f ca="1">IF(ISNA(VLOOKUP(T1136,list!$AV$3:$AW$130,2,FALSE)),1,(VLOOKUP(T1136,list!$AV$3:$AW$130,2,FALSE)))</f>
        <v>1</v>
      </c>
      <c r="V1136" s="1033">
        <f ca="1">R1136*U1136</f>
        <v>0</v>
      </c>
      <c r="W1136" s="1033">
        <f ca="1">S1136*U1136</f>
        <v>0</v>
      </c>
    </row>
    <row r="1137" spans="3:23" x14ac:dyDescent="0.3">
      <c r="C1137" s="576"/>
      <c r="D1137" s="493" t="s">
        <v>471</v>
      </c>
      <c r="E1137" s="494"/>
      <c r="F1137" s="182"/>
      <c r="G1137" s="494" t="s">
        <v>108</v>
      </c>
      <c r="H1137" s="577"/>
      <c r="I1137" s="450" t="s">
        <v>37</v>
      </c>
      <c r="J1137" s="577" t="s">
        <v>2</v>
      </c>
      <c r="K1137" s="577"/>
      <c r="L1137" s="1035" t="s">
        <v>65</v>
      </c>
      <c r="M1137" s="1036">
        <f>SUMIFS('Level of Efficiency Assumptions'!$J:$J,'Level of Efficiency Assumptions'!$D:$D,I1137,'Level of Efficiency Assumptions'!$F:$F,J1137,'Level of Efficiency Assumptions'!$I:$I,'Water Use Calcs'!L1137)</f>
        <v>1.6</v>
      </c>
      <c r="N1137" s="577"/>
      <c r="O1137" s="1048">
        <f>SUMIFS('Detailed Fixture Data'!O:O,'Detailed Fixture Data'!C:C,G1137,'Detailed Fixture Data'!E:E,I1137,'Detailed Fixture Data'!F:F,J1137,'Detailed Fixture Data'!L:L,L1137)</f>
        <v>0</v>
      </c>
      <c r="P1137" s="1049"/>
      <c r="Q1137" s="577"/>
      <c r="R1137" s="1039"/>
      <c r="S1137" s="521"/>
      <c r="T1137" s="225"/>
      <c r="U1137" s="521"/>
      <c r="V1137" s="1040"/>
      <c r="W1137" s="1041"/>
    </row>
    <row r="1138" spans="3:23" ht="15" thickBot="1" x14ac:dyDescent="0.35">
      <c r="C1138" s="576"/>
      <c r="D1138" s="493" t="s">
        <v>471</v>
      </c>
      <c r="E1138" s="494"/>
      <c r="F1138" s="182"/>
      <c r="G1138" s="494" t="s">
        <v>108</v>
      </c>
      <c r="H1138" s="577"/>
      <c r="I1138" s="450" t="s">
        <v>37</v>
      </c>
      <c r="J1138" s="116" t="s">
        <v>2</v>
      </c>
      <c r="K1138" s="116"/>
      <c r="L1138" s="1042" t="s">
        <v>66</v>
      </c>
      <c r="M1138" s="1043">
        <f>SUMIFS('Level of Efficiency Assumptions'!$J:$J,'Level of Efficiency Assumptions'!$D:$D,I1138,'Level of Efficiency Assumptions'!$F:$F,J1138,'Level of Efficiency Assumptions'!$I:$I,'Water Use Calcs'!L1138)</f>
        <v>1.28</v>
      </c>
      <c r="N1138" s="577"/>
      <c r="O1138" s="1048">
        <f>SUMIFS('Detailed Fixture Data'!O:O,'Detailed Fixture Data'!C:C,G1138,'Detailed Fixture Data'!E:E,I1138,'Detailed Fixture Data'!F:F,J1138,'Detailed Fixture Data'!L:L,L1138)</f>
        <v>0</v>
      </c>
      <c r="P1138" s="1049"/>
      <c r="Q1138" s="577"/>
      <c r="R1138" s="1039"/>
      <c r="S1138" s="618"/>
      <c r="T1138" s="225"/>
      <c r="U1138" s="618"/>
      <c r="V1138" s="1045"/>
      <c r="W1138" s="1046"/>
    </row>
    <row r="1139" spans="3:23" x14ac:dyDescent="0.3">
      <c r="C1139" s="576"/>
      <c r="D1139" s="493" t="s">
        <v>471</v>
      </c>
      <c r="E1139" s="494"/>
      <c r="F1139" s="182"/>
      <c r="G1139" s="494" t="s">
        <v>108</v>
      </c>
      <c r="H1139" s="577"/>
      <c r="I1139" s="450" t="s">
        <v>37</v>
      </c>
      <c r="J1139" s="577" t="s">
        <v>4</v>
      </c>
      <c r="K1139" s="577" t="s">
        <v>6</v>
      </c>
      <c r="L1139" s="1047" t="s">
        <v>64</v>
      </c>
      <c r="M1139" s="1036">
        <f>SUMIFS('Level of Efficiency Assumptions'!$J:$J,'Level of Efficiency Assumptions'!$D:$D,I1139,'Level of Efficiency Assumptions'!$F:$F,J1139,'Level of Efficiency Assumptions'!$I:$I,'Water Use Calcs'!L1139)</f>
        <v>2</v>
      </c>
      <c r="N1139" s="567" t="s">
        <v>68</v>
      </c>
      <c r="O1139" s="1048">
        <f>SUMIFS('Detailed Fixture Data'!O:O,'Detailed Fixture Data'!C:C,G1139,'Detailed Fixture Data'!E:E,I1139,'Detailed Fixture Data'!F:F,J1139,'Detailed Fixture Data'!L:L,L1139)</f>
        <v>0</v>
      </c>
      <c r="P1139" s="1030">
        <f>SUMIFS('Intensity of Use Assumptions'!$J:$J,'Intensity of Use Assumptions'!$D:$D,I1139,'Intensity of Use Assumptions'!$G:$G,J1139,'Intensity of Use Assumptions'!H:H,K1139)</f>
        <v>1.5</v>
      </c>
      <c r="Q1139" s="567" t="s">
        <v>67</v>
      </c>
      <c r="R1139" s="1032">
        <f>(SUMPRODUCT(M1139:M1141,O1139:O1141)*P1139)</f>
        <v>0</v>
      </c>
      <c r="S1139" s="1033">
        <f>IF(R1139=0,0,M1141*P1139)</f>
        <v>0</v>
      </c>
      <c r="T1139" s="225" t="str">
        <f>G1139&amp;"-"&amp;J1139</f>
        <v>Tenant C-Urinals</v>
      </c>
      <c r="U1139" s="1034">
        <f ca="1">IF(ISNA(VLOOKUP(T1139,list!$AV$3:$AW$130,2,FALSE)),1,(VLOOKUP(T1139,list!$AV$3:$AW$130,2,FALSE)))</f>
        <v>1</v>
      </c>
      <c r="V1139" s="1033">
        <f ca="1">R1139*U1139</f>
        <v>0</v>
      </c>
      <c r="W1139" s="1033">
        <f ca="1">S1139*U1139</f>
        <v>0</v>
      </c>
    </row>
    <row r="1140" spans="3:23" x14ac:dyDescent="0.3">
      <c r="C1140" s="576"/>
      <c r="D1140" s="493" t="s">
        <v>471</v>
      </c>
      <c r="E1140" s="494"/>
      <c r="F1140" s="182"/>
      <c r="G1140" s="494" t="s">
        <v>108</v>
      </c>
      <c r="H1140" s="577"/>
      <c r="I1140" s="450" t="s">
        <v>37</v>
      </c>
      <c r="J1140" s="577" t="s">
        <v>4</v>
      </c>
      <c r="K1140" s="577"/>
      <c r="L1140" s="1035" t="s">
        <v>65</v>
      </c>
      <c r="M1140" s="1036">
        <f>SUMIFS('Level of Efficiency Assumptions'!$J:$J,'Level of Efficiency Assumptions'!$D:$D,I1140,'Level of Efficiency Assumptions'!$F:$F,J1140,'Level of Efficiency Assumptions'!$I:$I,'Water Use Calcs'!L1140)</f>
        <v>1</v>
      </c>
      <c r="N1140" s="577"/>
      <c r="O1140" s="1048">
        <f>SUMIFS('Detailed Fixture Data'!O:O,'Detailed Fixture Data'!C:C,G1140,'Detailed Fixture Data'!E:E,I1140,'Detailed Fixture Data'!F:F,J1140,'Detailed Fixture Data'!L:L,L1140)</f>
        <v>0</v>
      </c>
      <c r="P1140" s="1049"/>
      <c r="Q1140" s="577"/>
      <c r="R1140" s="1039"/>
      <c r="S1140" s="521"/>
      <c r="T1140" s="225"/>
      <c r="U1140" s="521"/>
      <c r="V1140" s="1040"/>
      <c r="W1140" s="1041"/>
    </row>
    <row r="1141" spans="3:23" ht="15" thickBot="1" x14ac:dyDescent="0.35">
      <c r="C1141" s="576"/>
      <c r="D1141" s="493" t="s">
        <v>471</v>
      </c>
      <c r="E1141" s="494"/>
      <c r="F1141" s="182"/>
      <c r="G1141" s="494" t="s">
        <v>108</v>
      </c>
      <c r="H1141" s="577"/>
      <c r="I1141" s="450" t="s">
        <v>37</v>
      </c>
      <c r="J1141" s="116" t="s">
        <v>4</v>
      </c>
      <c r="K1141" s="116"/>
      <c r="L1141" s="1042" t="s">
        <v>66</v>
      </c>
      <c r="M1141" s="1043">
        <f>SUMIFS('Level of Efficiency Assumptions'!$J:$J,'Level of Efficiency Assumptions'!$D:$D,I1141,'Level of Efficiency Assumptions'!$F:$F,J1141,'Level of Efficiency Assumptions'!$I:$I,'Water Use Calcs'!L1141)</f>
        <v>0.125</v>
      </c>
      <c r="N1141" s="577"/>
      <c r="O1141" s="1048">
        <f>SUMIFS('Detailed Fixture Data'!O:O,'Detailed Fixture Data'!C:C,G1141,'Detailed Fixture Data'!E:E,I1141,'Detailed Fixture Data'!F:F,J1141,'Detailed Fixture Data'!L:L,L1141)</f>
        <v>0</v>
      </c>
      <c r="P1141" s="1049"/>
      <c r="Q1141" s="577"/>
      <c r="R1141" s="1039"/>
      <c r="S1141" s="618"/>
      <c r="T1141" s="225"/>
      <c r="U1141" s="618"/>
      <c r="V1141" s="1045"/>
      <c r="W1141" s="1046"/>
    </row>
    <row r="1142" spans="3:23" x14ac:dyDescent="0.3">
      <c r="C1142" s="576"/>
      <c r="D1142" s="493" t="s">
        <v>471</v>
      </c>
      <c r="E1142" s="494"/>
      <c r="F1142" s="182"/>
      <c r="G1142" s="494" t="s">
        <v>108</v>
      </c>
      <c r="H1142" s="577"/>
      <c r="I1142" s="450" t="s">
        <v>37</v>
      </c>
      <c r="J1142" s="577" t="s">
        <v>33</v>
      </c>
      <c r="K1142" s="577" t="s">
        <v>6</v>
      </c>
      <c r="L1142" s="1047" t="s">
        <v>64</v>
      </c>
      <c r="M1142" s="1036">
        <f>SUMIFS('Level of Efficiency Assumptions'!$J:$J,'Level of Efficiency Assumptions'!$D:$D,I1142,'Level of Efficiency Assumptions'!$F:$F,J1142,'Level of Efficiency Assumptions'!$I:$I,'Water Use Calcs'!L1142)</f>
        <v>2</v>
      </c>
      <c r="N1142" s="567" t="s">
        <v>78</v>
      </c>
      <c r="O1142" s="1048">
        <f>SUMIFS('Detailed Fixture Data'!O:O,'Detailed Fixture Data'!C:C,G1142,'Detailed Fixture Data'!E:E,I1142,'Detailed Fixture Data'!F:F,J1142,'Detailed Fixture Data'!L:L,L1142)</f>
        <v>0</v>
      </c>
      <c r="P1142" s="1030">
        <f>SUMIFS('Intensity of Use Assumptions'!$J:$J,'Intensity of Use Assumptions'!$D:$D,I1142,'Intensity of Use Assumptions'!$G:$G,J1142,'Intensity of Use Assumptions'!H:H,K1142)</f>
        <v>0.66666666666666663</v>
      </c>
      <c r="Q1142" s="567" t="s">
        <v>133</v>
      </c>
      <c r="R1142" s="1032">
        <f>(SUMPRODUCT(M1142:M1144,O1142:O1144)*P1142)</f>
        <v>0</v>
      </c>
      <c r="S1142" s="1033">
        <f>IF(R1142=0,0,M1144*P1142)</f>
        <v>0</v>
      </c>
      <c r="T1142" s="225" t="str">
        <f>G1142&amp;"-"&amp;J1142</f>
        <v>Tenant C-Faucets</v>
      </c>
      <c r="U1142" s="1034">
        <f ca="1">IF(ISNA(VLOOKUP(T1142,list!$AV$3:$AW$130,2,FALSE)),1,(VLOOKUP(T1142,list!$AV$3:$AW$130,2,FALSE)))</f>
        <v>1</v>
      </c>
      <c r="V1142" s="1033">
        <f ca="1">R1142*U1142</f>
        <v>0</v>
      </c>
      <c r="W1142" s="1033">
        <f ca="1">S1142*U1142</f>
        <v>0</v>
      </c>
    </row>
    <row r="1143" spans="3:23" x14ac:dyDescent="0.3">
      <c r="C1143" s="576"/>
      <c r="D1143" s="493" t="s">
        <v>471</v>
      </c>
      <c r="E1143" s="494"/>
      <c r="F1143" s="182"/>
      <c r="G1143" s="494" t="s">
        <v>108</v>
      </c>
      <c r="H1143" s="577"/>
      <c r="I1143" s="450" t="s">
        <v>37</v>
      </c>
      <c r="J1143" s="577" t="s">
        <v>33</v>
      </c>
      <c r="K1143" s="577"/>
      <c r="L1143" s="1035" t="s">
        <v>65</v>
      </c>
      <c r="M1143" s="1036">
        <f>SUMIFS('Level of Efficiency Assumptions'!$J:$J,'Level of Efficiency Assumptions'!$D:$D,I1143,'Level of Efficiency Assumptions'!$F:$F,J1143,'Level of Efficiency Assumptions'!$I:$I,'Water Use Calcs'!L1143)</f>
        <v>1</v>
      </c>
      <c r="N1143" s="577"/>
      <c r="O1143" s="1048">
        <f>SUMIFS('Detailed Fixture Data'!O:O,'Detailed Fixture Data'!C:C,G1143,'Detailed Fixture Data'!E:E,I1143,'Detailed Fixture Data'!F:F,J1143,'Detailed Fixture Data'!L:L,L1143)</f>
        <v>0</v>
      </c>
      <c r="P1143" s="1049"/>
      <c r="Q1143" s="577"/>
      <c r="R1143" s="1039"/>
      <c r="S1143" s="521"/>
      <c r="T1143" s="225"/>
      <c r="U1143" s="521"/>
      <c r="V1143" s="1040"/>
      <c r="W1143" s="1041"/>
    </row>
    <row r="1144" spans="3:23" ht="15" thickBot="1" x14ac:dyDescent="0.35">
      <c r="C1144" s="576"/>
      <c r="D1144" s="493" t="s">
        <v>471</v>
      </c>
      <c r="E1144" s="494"/>
      <c r="F1144" s="182"/>
      <c r="G1144" s="494" t="s">
        <v>108</v>
      </c>
      <c r="H1144" s="577"/>
      <c r="I1144" s="451" t="s">
        <v>37</v>
      </c>
      <c r="J1144" s="116" t="s">
        <v>33</v>
      </c>
      <c r="K1144" s="116"/>
      <c r="L1144" s="1042" t="s">
        <v>66</v>
      </c>
      <c r="M1144" s="1043">
        <f>SUMIFS('Level of Efficiency Assumptions'!$J:$J,'Level of Efficiency Assumptions'!$D:$D,I1144,'Level of Efficiency Assumptions'!$F:$F,J1144,'Level of Efficiency Assumptions'!$I:$I,'Water Use Calcs'!L1144)</f>
        <v>0.5</v>
      </c>
      <c r="N1144" s="577"/>
      <c r="O1144" s="1048">
        <f>SUMIFS('Detailed Fixture Data'!O:O,'Detailed Fixture Data'!C:C,G1144,'Detailed Fixture Data'!E:E,I1144,'Detailed Fixture Data'!F:F,J1144,'Detailed Fixture Data'!L:L,L1144)</f>
        <v>0</v>
      </c>
      <c r="P1144" s="1049"/>
      <c r="Q1144" s="577"/>
      <c r="R1144" s="1039"/>
      <c r="S1144" s="618"/>
      <c r="T1144" s="225"/>
      <c r="U1144" s="618"/>
      <c r="V1144" s="1045"/>
      <c r="W1144" s="1046"/>
    </row>
    <row r="1145" spans="3:23" x14ac:dyDescent="0.3">
      <c r="C1145" s="576"/>
      <c r="D1145" s="493" t="s">
        <v>471</v>
      </c>
      <c r="E1145" s="494"/>
      <c r="F1145" s="182"/>
      <c r="G1145" s="494" t="s">
        <v>108</v>
      </c>
      <c r="H1145" s="651" t="str">
        <f>I1145</f>
        <v>Break rooms</v>
      </c>
      <c r="I1145" s="450" t="s">
        <v>5</v>
      </c>
      <c r="J1145" s="577" t="s">
        <v>33</v>
      </c>
      <c r="K1145" s="577" t="s">
        <v>6</v>
      </c>
      <c r="L1145" s="1047" t="s">
        <v>64</v>
      </c>
      <c r="M1145" s="1036">
        <f>SUMIFS('Level of Efficiency Assumptions'!$J:$J,'Level of Efficiency Assumptions'!$D:$D,I1145,'Level of Efficiency Assumptions'!$F:$F,J1145,'Level of Efficiency Assumptions'!$I:$I,'Water Use Calcs'!L1145)</f>
        <v>2</v>
      </c>
      <c r="N1145" s="567" t="s">
        <v>78</v>
      </c>
      <c r="O1145" s="1048">
        <f>SUMIFS('Detailed Fixture Data'!O:O,'Detailed Fixture Data'!C:C,G1145,'Detailed Fixture Data'!E:E,I1145,'Detailed Fixture Data'!F:F,J1145,'Detailed Fixture Data'!L:L,L1145)</f>
        <v>0</v>
      </c>
      <c r="P1145" s="1030">
        <f>SUMIFS('Intensity of Use Assumptions'!$J:$J,'Intensity of Use Assumptions'!$D:$D,I1145,'Intensity of Use Assumptions'!$G:$G,J1145,'Intensity of Use Assumptions'!H:H,K1145)</f>
        <v>0.16666666666666666</v>
      </c>
      <c r="Q1145" s="567" t="s">
        <v>133</v>
      </c>
      <c r="R1145" s="1032">
        <f>(SUMPRODUCT(M1145:M1147,O1145:O1147)*P1145)</f>
        <v>0</v>
      </c>
      <c r="S1145" s="1033">
        <f>IF(R1145=0,0,M1147*P1145)</f>
        <v>0</v>
      </c>
      <c r="T1145" s="225" t="str">
        <f>G1145&amp;"-"&amp;J1145</f>
        <v>Tenant C-Faucets</v>
      </c>
      <c r="U1145" s="1034">
        <f ca="1">IF(ISNA(VLOOKUP(T1145,list!$AV$3:$AW$130,2,FALSE)),1,(VLOOKUP(T1145,list!$AV$3:$AW$130,2,FALSE)))</f>
        <v>1</v>
      </c>
      <c r="V1145" s="1033">
        <f ca="1">R1145*U1145</f>
        <v>0</v>
      </c>
      <c r="W1145" s="1033">
        <f ca="1">S1145*U1145</f>
        <v>0</v>
      </c>
    </row>
    <row r="1146" spans="3:23" x14ac:dyDescent="0.3">
      <c r="C1146" s="576"/>
      <c r="D1146" s="493" t="s">
        <v>471</v>
      </c>
      <c r="E1146" s="494"/>
      <c r="F1146" s="182"/>
      <c r="G1146" s="494" t="s">
        <v>108</v>
      </c>
      <c r="H1146" s="577"/>
      <c r="I1146" s="450" t="s">
        <v>5</v>
      </c>
      <c r="J1146" s="577" t="s">
        <v>33</v>
      </c>
      <c r="K1146" s="577"/>
      <c r="L1146" s="1035" t="s">
        <v>65</v>
      </c>
      <c r="M1146" s="1036">
        <f>SUMIFS('Level of Efficiency Assumptions'!$J:$J,'Level of Efficiency Assumptions'!$D:$D,I1146,'Level of Efficiency Assumptions'!$F:$F,J1146,'Level of Efficiency Assumptions'!$I:$I,'Water Use Calcs'!L1146)</f>
        <v>1</v>
      </c>
      <c r="N1146" s="577"/>
      <c r="O1146" s="1048">
        <f>SUMIFS('Detailed Fixture Data'!O:O,'Detailed Fixture Data'!C:C,G1146,'Detailed Fixture Data'!E:E,I1146,'Detailed Fixture Data'!F:F,J1146,'Detailed Fixture Data'!L:L,L1146)</f>
        <v>0</v>
      </c>
      <c r="P1146" s="1049"/>
      <c r="Q1146" s="577"/>
      <c r="R1146" s="1039"/>
      <c r="S1146" s="521"/>
      <c r="T1146" s="225"/>
      <c r="U1146" s="521"/>
      <c r="V1146" s="1040"/>
      <c r="W1146" s="1041"/>
    </row>
    <row r="1147" spans="3:23" ht="15" thickBot="1" x14ac:dyDescent="0.35">
      <c r="C1147" s="576"/>
      <c r="D1147" s="493" t="s">
        <v>471</v>
      </c>
      <c r="E1147" s="494"/>
      <c r="F1147" s="182"/>
      <c r="G1147" s="494" t="s">
        <v>108</v>
      </c>
      <c r="H1147" s="577"/>
      <c r="I1147" s="451" t="s">
        <v>5</v>
      </c>
      <c r="J1147" s="116" t="s">
        <v>33</v>
      </c>
      <c r="K1147" s="116"/>
      <c r="L1147" s="1042" t="s">
        <v>66</v>
      </c>
      <c r="M1147" s="1043">
        <f>SUMIFS('Level of Efficiency Assumptions'!$J:$J,'Level of Efficiency Assumptions'!$D:$D,I1147,'Level of Efficiency Assumptions'!$F:$F,J1147,'Level of Efficiency Assumptions'!$I:$I,'Water Use Calcs'!L1147)</f>
        <v>0.5</v>
      </c>
      <c r="N1147" s="577"/>
      <c r="O1147" s="1048">
        <f>SUMIFS('Detailed Fixture Data'!O:O,'Detailed Fixture Data'!C:C,G1147,'Detailed Fixture Data'!E:E,I1147,'Detailed Fixture Data'!F:F,J1147,'Detailed Fixture Data'!L:L,L1147)</f>
        <v>0</v>
      </c>
      <c r="P1147" s="1049"/>
      <c r="Q1147" s="577"/>
      <c r="R1147" s="1039"/>
      <c r="S1147" s="618"/>
      <c r="T1147" s="225"/>
      <c r="U1147" s="618"/>
      <c r="V1147" s="1045"/>
      <c r="W1147" s="1046"/>
    </row>
    <row r="1148" spans="3:23" x14ac:dyDescent="0.3">
      <c r="C1148" s="576"/>
      <c r="D1148" s="493" t="s">
        <v>471</v>
      </c>
      <c r="E1148" s="494"/>
      <c r="F1148" s="182"/>
      <c r="G1148" s="494" t="s">
        <v>108</v>
      </c>
      <c r="H1148" s="651" t="str">
        <f>I1148</f>
        <v>Flight kitchens</v>
      </c>
      <c r="I1148" s="450" t="s">
        <v>391</v>
      </c>
      <c r="J1148" s="577" t="s">
        <v>114</v>
      </c>
      <c r="K1148" s="577" t="s">
        <v>118</v>
      </c>
      <c r="L1148" s="1047" t="s">
        <v>64</v>
      </c>
      <c r="M1148" s="1036">
        <f>SUMIFS('Level of Efficiency Assumptions'!$J:$J,'Level of Efficiency Assumptions'!$D:$D,I1148,'Level of Efficiency Assumptions'!$F:$F,J1148,'Level of Efficiency Assumptions'!$I:$I,'Water Use Calcs'!L1148)</f>
        <v>2</v>
      </c>
      <c r="N1148" s="567" t="s">
        <v>78</v>
      </c>
      <c r="O1148" s="1048">
        <f>SUMIFS('Detailed Fixture Data'!O:O,'Detailed Fixture Data'!C:C,G1148,'Detailed Fixture Data'!E:E,I1148,'Detailed Fixture Data'!F:F,J1148,'Detailed Fixture Data'!L:L,L1148)</f>
        <v>0</v>
      </c>
      <c r="P1148" s="1030">
        <f>SUMIFS('Intensity of Use Assumptions'!$J:$J,'Intensity of Use Assumptions'!$D:$D,I1148,'Intensity of Use Assumptions'!$G:$G,J1148,'Intensity of Use Assumptions'!H:H,K1148)</f>
        <v>1</v>
      </c>
      <c r="Q1148" s="567" t="s">
        <v>133</v>
      </c>
      <c r="R1148" s="1032">
        <f>(SUMPRODUCT(M1148:M1150,O1148:O1150)*P1148)</f>
        <v>0</v>
      </c>
      <c r="S1148" s="1033">
        <f>IF(R1148=0,0,M1150*P1148)</f>
        <v>0</v>
      </c>
      <c r="T1148" s="225" t="str">
        <f>G1148&amp;"-"&amp;J1148</f>
        <v>Tenant C-Kitchen faucets</v>
      </c>
      <c r="U1148" s="1034">
        <f ca="1">IF(ISNA(VLOOKUP(T1148,list!$AV$3:$AW$130,2,FALSE)),1,(VLOOKUP(T1148,list!$AV$3:$AW$130,2,FALSE)))</f>
        <v>1</v>
      </c>
      <c r="V1148" s="1033">
        <f ca="1">R1148*U1148</f>
        <v>0</v>
      </c>
      <c r="W1148" s="1033">
        <f ca="1">S1148*U1148</f>
        <v>0</v>
      </c>
    </row>
    <row r="1149" spans="3:23" x14ac:dyDescent="0.3">
      <c r="C1149" s="576"/>
      <c r="D1149" s="493" t="s">
        <v>471</v>
      </c>
      <c r="E1149" s="494"/>
      <c r="F1149" s="182"/>
      <c r="G1149" s="494" t="s">
        <v>108</v>
      </c>
      <c r="H1149" s="577"/>
      <c r="I1149" s="450" t="s">
        <v>391</v>
      </c>
      <c r="J1149" s="577" t="s">
        <v>114</v>
      </c>
      <c r="K1149" s="577"/>
      <c r="L1149" s="1035" t="s">
        <v>65</v>
      </c>
      <c r="M1149" s="1036">
        <f>SUMIFS('Level of Efficiency Assumptions'!$J:$J,'Level of Efficiency Assumptions'!$D:$D,I1149,'Level of Efficiency Assumptions'!$F:$F,J1149,'Level of Efficiency Assumptions'!$I:$I,'Water Use Calcs'!L1149)</f>
        <v>1</v>
      </c>
      <c r="N1149" s="577"/>
      <c r="O1149" s="1048">
        <f>SUMIFS('Detailed Fixture Data'!O:O,'Detailed Fixture Data'!C:C,G1149,'Detailed Fixture Data'!E:E,I1149,'Detailed Fixture Data'!F:F,J1149,'Detailed Fixture Data'!L:L,L1149)</f>
        <v>0</v>
      </c>
      <c r="P1149" s="1049"/>
      <c r="Q1149" s="577"/>
      <c r="R1149" s="1039"/>
      <c r="S1149" s="521"/>
      <c r="T1149" s="225"/>
      <c r="U1149" s="521"/>
      <c r="V1149" s="1040"/>
      <c r="W1149" s="1041"/>
    </row>
    <row r="1150" spans="3:23" ht="15" thickBot="1" x14ac:dyDescent="0.35">
      <c r="C1150" s="576"/>
      <c r="D1150" s="493" t="s">
        <v>471</v>
      </c>
      <c r="E1150" s="494"/>
      <c r="F1150" s="182"/>
      <c r="G1150" s="494" t="s">
        <v>108</v>
      </c>
      <c r="H1150" s="577"/>
      <c r="I1150" s="450" t="s">
        <v>391</v>
      </c>
      <c r="J1150" s="116" t="s">
        <v>114</v>
      </c>
      <c r="K1150" s="116"/>
      <c r="L1150" s="1042" t="s">
        <v>66</v>
      </c>
      <c r="M1150" s="1043">
        <f>SUMIFS('Level of Efficiency Assumptions'!$J:$J,'Level of Efficiency Assumptions'!$D:$D,I1150,'Level of Efficiency Assumptions'!$F:$F,J1150,'Level of Efficiency Assumptions'!$I:$I,'Water Use Calcs'!L1150)</f>
        <v>0.5</v>
      </c>
      <c r="N1150" s="577"/>
      <c r="O1150" s="1048">
        <f>SUMIFS('Detailed Fixture Data'!O:O,'Detailed Fixture Data'!C:C,G1150,'Detailed Fixture Data'!E:E,I1150,'Detailed Fixture Data'!F:F,J1150,'Detailed Fixture Data'!L:L,L1150)</f>
        <v>0</v>
      </c>
      <c r="P1150" s="1049"/>
      <c r="Q1150" s="577"/>
      <c r="R1150" s="1039"/>
      <c r="S1150" s="618"/>
      <c r="T1150" s="225"/>
      <c r="U1150" s="618"/>
      <c r="V1150" s="1045"/>
      <c r="W1150" s="1046"/>
    </row>
    <row r="1151" spans="3:23" x14ac:dyDescent="0.3">
      <c r="C1151" s="576"/>
      <c r="D1151" s="493" t="s">
        <v>471</v>
      </c>
      <c r="E1151" s="494"/>
      <c r="F1151" s="182"/>
      <c r="G1151" s="494" t="s">
        <v>108</v>
      </c>
      <c r="H1151" s="577"/>
      <c r="I1151" s="450" t="s">
        <v>391</v>
      </c>
      <c r="J1151" s="577" t="s">
        <v>41</v>
      </c>
      <c r="K1151" s="577" t="s">
        <v>118</v>
      </c>
      <c r="L1151" s="1047" t="s">
        <v>64</v>
      </c>
      <c r="M1151" s="1036">
        <f>SUMIFS('Level of Efficiency Assumptions'!$J:$J,'Level of Efficiency Assumptions'!$D:$D,I1151,'Level of Efficiency Assumptions'!$F:$F,J1151,'Level of Efficiency Assumptions'!$I:$I,'Water Use Calcs'!L1151)</f>
        <v>4.5</v>
      </c>
      <c r="N1151" s="567" t="s">
        <v>223</v>
      </c>
      <c r="O1151" s="1048">
        <f>SUMIFS('Detailed Fixture Data'!O:O,'Detailed Fixture Data'!C:C,G1151,'Detailed Fixture Data'!E:E,I1151,'Detailed Fixture Data'!F:F,J1151,'Detailed Fixture Data'!L:L,L1151)</f>
        <v>0</v>
      </c>
      <c r="P1151" s="1030">
        <f>SUMIFS('Intensity of Use Assumptions'!$J:$J,'Intensity of Use Assumptions'!$D:$D,I1151,'Intensity of Use Assumptions'!$G:$G,J1151,'Intensity of Use Assumptions'!H:H,K1151)</f>
        <v>0.05</v>
      </c>
      <c r="Q1151" s="567" t="s">
        <v>224</v>
      </c>
      <c r="R1151" s="1032">
        <f>(SUMPRODUCT(M1151:M1153,O1151:O1153)*P1151)</f>
        <v>0</v>
      </c>
      <c r="S1151" s="1033">
        <f>IF(R1151=0,0,M1153*P1151)</f>
        <v>0</v>
      </c>
      <c r="T1151" s="225" t="str">
        <f>G1151&amp;"-"&amp;J1151</f>
        <v>Tenant C-Dishwashers</v>
      </c>
      <c r="U1151" s="1034">
        <f ca="1">IF(ISNA(VLOOKUP(T1151,list!$AV$3:$AW$130,2,FALSE)),1,(VLOOKUP(T1151,list!$AV$3:$AW$130,2,FALSE)))</f>
        <v>1</v>
      </c>
      <c r="V1151" s="1033">
        <f ca="1">R1151*U1151</f>
        <v>0</v>
      </c>
      <c r="W1151" s="1033">
        <f ca="1">S1151*U1151</f>
        <v>0</v>
      </c>
    </row>
    <row r="1152" spans="3:23" x14ac:dyDescent="0.3">
      <c r="C1152" s="576"/>
      <c r="D1152" s="493" t="s">
        <v>471</v>
      </c>
      <c r="E1152" s="494"/>
      <c r="F1152" s="182"/>
      <c r="G1152" s="494" t="s">
        <v>108</v>
      </c>
      <c r="H1152" s="577"/>
      <c r="I1152" s="450" t="s">
        <v>391</v>
      </c>
      <c r="J1152" s="577" t="s">
        <v>41</v>
      </c>
      <c r="K1152" s="577"/>
      <c r="L1152" s="1035" t="s">
        <v>65</v>
      </c>
      <c r="M1152" s="1036">
        <f>SUMIFS('Level of Efficiency Assumptions'!$J:$J,'Level of Efficiency Assumptions'!$D:$D,I1152,'Level of Efficiency Assumptions'!$F:$F,J1152,'Level of Efficiency Assumptions'!$I:$I,'Water Use Calcs'!L1152)</f>
        <v>2.5</v>
      </c>
      <c r="N1152" s="577"/>
      <c r="O1152" s="1048">
        <f>SUMIFS('Detailed Fixture Data'!O:O,'Detailed Fixture Data'!C:C,G1152,'Detailed Fixture Data'!E:E,I1152,'Detailed Fixture Data'!F:F,J1152,'Detailed Fixture Data'!L:L,L1152)</f>
        <v>0</v>
      </c>
      <c r="P1152" s="1049"/>
      <c r="Q1152" s="576" t="s">
        <v>80</v>
      </c>
      <c r="R1152" s="1039"/>
      <c r="S1152" s="521"/>
      <c r="T1152" s="225"/>
      <c r="U1152" s="521"/>
      <c r="V1152" s="1040"/>
      <c r="W1152" s="1041"/>
    </row>
    <row r="1153" spans="3:23" ht="15" thickBot="1" x14ac:dyDescent="0.35">
      <c r="C1153" s="576"/>
      <c r="D1153" s="493" t="s">
        <v>471</v>
      </c>
      <c r="E1153" s="494"/>
      <c r="F1153" s="182"/>
      <c r="G1153" s="494" t="s">
        <v>108</v>
      </c>
      <c r="H1153" s="577"/>
      <c r="I1153" s="450" t="s">
        <v>391</v>
      </c>
      <c r="J1153" s="116" t="s">
        <v>41</v>
      </c>
      <c r="K1153" s="116"/>
      <c r="L1153" s="1042" t="s">
        <v>66</v>
      </c>
      <c r="M1153" s="1043">
        <f>SUMIFS('Level of Efficiency Assumptions'!$J:$J,'Level of Efficiency Assumptions'!$D:$D,I1153,'Level of Efficiency Assumptions'!$F:$F,J1153,'Level of Efficiency Assumptions'!$I:$I,'Water Use Calcs'!L1153)</f>
        <v>1</v>
      </c>
      <c r="N1153" s="577"/>
      <c r="O1153" s="1048">
        <f>SUMIFS('Detailed Fixture Data'!O:O,'Detailed Fixture Data'!C:C,G1153,'Detailed Fixture Data'!E:E,I1153,'Detailed Fixture Data'!F:F,J1153,'Detailed Fixture Data'!L:L,L1153)</f>
        <v>0</v>
      </c>
      <c r="P1153" s="1049"/>
      <c r="Q1153" s="577"/>
      <c r="R1153" s="1039"/>
      <c r="S1153" s="618"/>
      <c r="T1153" s="225"/>
      <c r="U1153" s="618"/>
      <c r="V1153" s="1045"/>
      <c r="W1153" s="1046"/>
    </row>
    <row r="1154" spans="3:23" x14ac:dyDescent="0.3">
      <c r="C1154" s="576"/>
      <c r="D1154" s="493" t="s">
        <v>471</v>
      </c>
      <c r="E1154" s="494"/>
      <c r="F1154" s="182"/>
      <c r="G1154" s="494" t="s">
        <v>108</v>
      </c>
      <c r="H1154" s="577"/>
      <c r="I1154" s="450" t="s">
        <v>391</v>
      </c>
      <c r="J1154" s="577" t="s">
        <v>20</v>
      </c>
      <c r="K1154" s="577" t="s">
        <v>118</v>
      </c>
      <c r="L1154" s="1047" t="s">
        <v>64</v>
      </c>
      <c r="M1154" s="1036">
        <f>SUMIFS('Level of Efficiency Assumptions'!$J:$J,'Level of Efficiency Assumptions'!$D:$D,I1154,'Level of Efficiency Assumptions'!$F:$F,J1154,'Level of Efficiency Assumptions'!$I:$I,'Water Use Calcs'!L1154)</f>
        <v>1.5</v>
      </c>
      <c r="N1154" s="567" t="s">
        <v>222</v>
      </c>
      <c r="O1154" s="1048">
        <f>SUMIFS('Detailed Fixture Data'!O:O,'Detailed Fixture Data'!C:C,G1154,'Detailed Fixture Data'!E:E,I1154,'Detailed Fixture Data'!F:F,J1154,'Detailed Fixture Data'!L:L,L1154)</f>
        <v>0</v>
      </c>
      <c r="P1154" s="1030">
        <f>SUMIFS('Intensity of Use Assumptions'!$J:$J,'Intensity of Use Assumptions'!$D:$D,I1154,'Intensity of Use Assumptions'!$G:$G,J1154,'Intensity of Use Assumptions'!H:H,K1154)</f>
        <v>1</v>
      </c>
      <c r="Q1154" s="567" t="s">
        <v>221</v>
      </c>
      <c r="R1154" s="1032">
        <f>(SUMPRODUCT(M1154:M1156,O1154:O1156)*P1154)</f>
        <v>0</v>
      </c>
      <c r="S1154" s="1033">
        <f>IF(R1154=0,0,M1156*P1154)</f>
        <v>0</v>
      </c>
      <c r="T1154" s="225" t="str">
        <f>G1154&amp;"-"&amp;J1154</f>
        <v>Tenant C-Ice machines</v>
      </c>
      <c r="U1154" s="1034">
        <f ca="1">IF(ISNA(VLOOKUP(T1154,list!$AV$3:$AW$130,2,FALSE)),1,(VLOOKUP(T1154,list!$AV$3:$AW$130,2,FALSE)))</f>
        <v>1</v>
      </c>
      <c r="V1154" s="1033">
        <f ca="1">R1154*U1154</f>
        <v>0</v>
      </c>
      <c r="W1154" s="1033">
        <f ca="1">S1154*U1154</f>
        <v>0</v>
      </c>
    </row>
    <row r="1155" spans="3:23" x14ac:dyDescent="0.3">
      <c r="C1155" s="576"/>
      <c r="D1155" s="493" t="s">
        <v>471</v>
      </c>
      <c r="E1155" s="494"/>
      <c r="F1155" s="182"/>
      <c r="G1155" s="494" t="s">
        <v>108</v>
      </c>
      <c r="H1155" s="577"/>
      <c r="I1155" s="450" t="s">
        <v>391</v>
      </c>
      <c r="J1155" s="577" t="s">
        <v>20</v>
      </c>
      <c r="K1155" s="577"/>
      <c r="L1155" s="1035" t="s">
        <v>65</v>
      </c>
      <c r="M1155" s="1036">
        <f>SUMIFS('Level of Efficiency Assumptions'!$J:$J,'Level of Efficiency Assumptions'!$D:$D,I1155,'Level of Efficiency Assumptions'!$F:$F,J1155,'Level of Efficiency Assumptions'!$I:$I,'Water Use Calcs'!L1155)</f>
        <v>0.25</v>
      </c>
      <c r="N1155" s="577"/>
      <c r="O1155" s="1048">
        <f>SUMIFS('Detailed Fixture Data'!O:O,'Detailed Fixture Data'!C:C,G1155,'Detailed Fixture Data'!E:E,I1155,'Detailed Fixture Data'!F:F,J1155,'Detailed Fixture Data'!L:L,L1155)</f>
        <v>0</v>
      </c>
      <c r="P1155" s="1049"/>
      <c r="Q1155" s="577"/>
      <c r="R1155" s="1039"/>
      <c r="S1155" s="521"/>
      <c r="T1155" s="225"/>
      <c r="U1155" s="521"/>
      <c r="V1155" s="1040"/>
      <c r="W1155" s="1041"/>
    </row>
    <row r="1156" spans="3:23" ht="15" thickBot="1" x14ac:dyDescent="0.35">
      <c r="C1156" s="576"/>
      <c r="D1156" s="493" t="s">
        <v>471</v>
      </c>
      <c r="E1156" s="494"/>
      <c r="F1156" s="182"/>
      <c r="G1156" s="494" t="s">
        <v>108</v>
      </c>
      <c r="H1156" s="577"/>
      <c r="I1156" s="451" t="s">
        <v>391</v>
      </c>
      <c r="J1156" s="116" t="s">
        <v>20</v>
      </c>
      <c r="K1156" s="116"/>
      <c r="L1156" s="1042" t="s">
        <v>66</v>
      </c>
      <c r="M1156" s="1043">
        <f>SUMIFS('Level of Efficiency Assumptions'!$J:$J,'Level of Efficiency Assumptions'!$D:$D,I1156,'Level of Efficiency Assumptions'!$F:$F,J1156,'Level of Efficiency Assumptions'!$I:$I,'Water Use Calcs'!L1156)</f>
        <v>0.12</v>
      </c>
      <c r="N1156" s="577"/>
      <c r="O1156" s="1048">
        <f>SUMIFS('Detailed Fixture Data'!O:O,'Detailed Fixture Data'!C:C,G1156,'Detailed Fixture Data'!E:E,I1156,'Detailed Fixture Data'!F:F,J1156,'Detailed Fixture Data'!L:L,L1156)</f>
        <v>0</v>
      </c>
      <c r="P1156" s="1049"/>
      <c r="Q1156" s="577"/>
      <c r="R1156" s="1039"/>
      <c r="S1156" s="618"/>
      <c r="T1156" s="225"/>
      <c r="U1156" s="618"/>
      <c r="V1156" s="1045"/>
      <c r="W1156" s="1046"/>
    </row>
    <row r="1157" spans="3:23" x14ac:dyDescent="0.3">
      <c r="C1157" s="576"/>
      <c r="D1157" s="493" t="s">
        <v>471</v>
      </c>
      <c r="E1157" s="494"/>
      <c r="F1157" s="182"/>
      <c r="G1157" s="494" t="s">
        <v>108</v>
      </c>
      <c r="H1157" s="651" t="str">
        <f>I1157</f>
        <v>Aircraft</v>
      </c>
      <c r="I1157" s="450" t="s">
        <v>44</v>
      </c>
      <c r="J1157" s="577" t="s">
        <v>27</v>
      </c>
      <c r="K1157" s="577" t="s">
        <v>10</v>
      </c>
      <c r="L1157" s="1047" t="s">
        <v>64</v>
      </c>
      <c r="M1157" s="1036">
        <f>SUMIFS('Level of Efficiency Assumptions'!$J:$J,'Level of Efficiency Assumptions'!$D:$D,I1157,'Level of Efficiency Assumptions'!$F:$F,J1157,'Level of Efficiency Assumptions'!$I:$I,'Water Use Calcs'!L1157)</f>
        <v>10</v>
      </c>
      <c r="N1157" s="567" t="s">
        <v>588</v>
      </c>
      <c r="O1157" s="1048">
        <f>SUMIFS('Detailed Fixture Data'!O:O,'Detailed Fixture Data'!C:C,G1157,'Detailed Fixture Data'!E:E,I1157,'Detailed Fixture Data'!F:F,J1157,'Detailed Fixture Data'!L:L,L1157)</f>
        <v>0</v>
      </c>
      <c r="P1157" s="1030">
        <f>SUMIFS('Intensity of Use Assumptions'!$J:$J,'Intensity of Use Assumptions'!$D:$D,I1157,'Intensity of Use Assumptions'!$G:$G,J1157,'Intensity of Use Assumptions'!H:H,K1157)</f>
        <v>1</v>
      </c>
      <c r="Q1157" s="567" t="s">
        <v>67</v>
      </c>
      <c r="R1157" s="1032">
        <f>(SUMPRODUCT(M1157:M1159,O1157:O1159)*P1157)</f>
        <v>0</v>
      </c>
      <c r="S1157" s="1033">
        <f>IF(R1157=0,0,M1159*P1157)</f>
        <v>0</v>
      </c>
      <c r="T1157" s="225" t="str">
        <f>G1157&amp;"-"&amp;J1157</f>
        <v xml:space="preserve">Tenant C-Aircraft cleaning </v>
      </c>
      <c r="U1157" s="1034">
        <f ca="1">IF(ISNA(VLOOKUP(T1157,list!$AV$3:$AW$130,2,FALSE)),1,(VLOOKUP(T1157,list!$AV$3:$AW$130,2,FALSE)))</f>
        <v>1</v>
      </c>
      <c r="V1157" s="1033">
        <f ca="1">R1157*U1157</f>
        <v>0</v>
      </c>
      <c r="W1157" s="1033">
        <f ca="1">S1157*U1157</f>
        <v>0</v>
      </c>
    </row>
    <row r="1158" spans="3:23" x14ac:dyDescent="0.3">
      <c r="C1158" s="576"/>
      <c r="D1158" s="493" t="s">
        <v>471</v>
      </c>
      <c r="E1158" s="494"/>
      <c r="F1158" s="182"/>
      <c r="G1158" s="494" t="s">
        <v>108</v>
      </c>
      <c r="H1158" s="577"/>
      <c r="I1158" s="450" t="s">
        <v>44</v>
      </c>
      <c r="J1158" s="577" t="s">
        <v>27</v>
      </c>
      <c r="K1158" s="577"/>
      <c r="L1158" s="1035" t="s">
        <v>65</v>
      </c>
      <c r="M1158" s="1036">
        <f>SUMIFS('Level of Efficiency Assumptions'!$J:$J,'Level of Efficiency Assumptions'!$D:$D,I1158,'Level of Efficiency Assumptions'!$F:$F,J1158,'Level of Efficiency Assumptions'!$I:$I,'Water Use Calcs'!L1158)</f>
        <v>7.5</v>
      </c>
      <c r="N1158" s="577"/>
      <c r="O1158" s="1048">
        <f>SUMIFS('Detailed Fixture Data'!O:O,'Detailed Fixture Data'!C:C,G1158,'Detailed Fixture Data'!E:E,I1158,'Detailed Fixture Data'!F:F,J1158,'Detailed Fixture Data'!L:L,L1158)</f>
        <v>0</v>
      </c>
      <c r="P1158" s="1049"/>
      <c r="Q1158" s="577"/>
      <c r="R1158" s="1039"/>
      <c r="S1158" s="521"/>
      <c r="T1158" s="225"/>
      <c r="U1158" s="521"/>
      <c r="V1158" s="1040"/>
      <c r="W1158" s="1041"/>
    </row>
    <row r="1159" spans="3:23" ht="15" thickBot="1" x14ac:dyDescent="0.35">
      <c r="C1159" s="576"/>
      <c r="D1159" s="493" t="s">
        <v>471</v>
      </c>
      <c r="E1159" s="494"/>
      <c r="F1159" s="182"/>
      <c r="G1159" s="494" t="s">
        <v>108</v>
      </c>
      <c r="H1159" s="577"/>
      <c r="I1159" s="450" t="s">
        <v>44</v>
      </c>
      <c r="J1159" s="116" t="s">
        <v>27</v>
      </c>
      <c r="K1159" s="116"/>
      <c r="L1159" s="1042" t="s">
        <v>66</v>
      </c>
      <c r="M1159" s="1043">
        <f>SUMIFS('Level of Efficiency Assumptions'!$J:$J,'Level of Efficiency Assumptions'!$D:$D,I1159,'Level of Efficiency Assumptions'!$F:$F,J1159,'Level of Efficiency Assumptions'!$I:$I,'Water Use Calcs'!L1159)</f>
        <v>5</v>
      </c>
      <c r="N1159" s="577"/>
      <c r="O1159" s="1048">
        <f>SUMIFS('Detailed Fixture Data'!O:O,'Detailed Fixture Data'!C:C,G1159,'Detailed Fixture Data'!E:E,I1159,'Detailed Fixture Data'!F:F,J1159,'Detailed Fixture Data'!L:L,L1159)</f>
        <v>0</v>
      </c>
      <c r="P1159" s="1049"/>
      <c r="Q1159" s="577"/>
      <c r="R1159" s="1039"/>
      <c r="S1159" s="618"/>
      <c r="T1159" s="225"/>
      <c r="U1159" s="618"/>
      <c r="V1159" s="1045"/>
      <c r="W1159" s="1046"/>
    </row>
    <row r="1160" spans="3:23" x14ac:dyDescent="0.3">
      <c r="C1160" s="576"/>
      <c r="D1160" s="493" t="s">
        <v>471</v>
      </c>
      <c r="E1160" s="494"/>
      <c r="F1160" s="182"/>
      <c r="G1160" s="494" t="s">
        <v>108</v>
      </c>
      <c r="H1160" s="577"/>
      <c r="I1160" s="450" t="s">
        <v>44</v>
      </c>
      <c r="J1160" s="577" t="s">
        <v>28</v>
      </c>
      <c r="K1160" s="577" t="s">
        <v>10</v>
      </c>
      <c r="L1160" s="1047" t="s">
        <v>64</v>
      </c>
      <c r="M1160" s="1036">
        <f>SUMIFS('Level of Efficiency Assumptions'!$J:$J,'Level of Efficiency Assumptions'!$D:$D,I1160,'Level of Efficiency Assumptions'!$F:$F,J1160,'Level of Efficiency Assumptions'!$I:$I,'Water Use Calcs'!L1160)</f>
        <v>10</v>
      </c>
      <c r="N1160" s="567" t="s">
        <v>588</v>
      </c>
      <c r="O1160" s="1048">
        <f>SUMIFS('Detailed Fixture Data'!O:O,'Detailed Fixture Data'!C:C,G1160,'Detailed Fixture Data'!E:E,I1160,'Detailed Fixture Data'!F:F,J1160,'Detailed Fixture Data'!L:L,L1160)</f>
        <v>0</v>
      </c>
      <c r="P1160" s="1030">
        <f>SUMIFS('Intensity of Use Assumptions'!$J:$J,'Intensity of Use Assumptions'!$D:$D,I1160,'Intensity of Use Assumptions'!$G:$G,J1160,'Intensity of Use Assumptions'!H:H,K1160)</f>
        <v>1</v>
      </c>
      <c r="Q1160" s="567" t="s">
        <v>67</v>
      </c>
      <c r="R1160" s="1032">
        <f>(SUMPRODUCT(M1160:M1162,O1160:O1162)*P1160)</f>
        <v>0</v>
      </c>
      <c r="S1160" s="1033">
        <f>IF(R1160=0,0,M1162*P1160)</f>
        <v>0</v>
      </c>
      <c r="T1160" s="225" t="str">
        <f>G1160&amp;"-"&amp;J1160</f>
        <v>Tenant C-Onboard aircraft water</v>
      </c>
      <c r="U1160" s="1034">
        <f ca="1">IF(ISNA(VLOOKUP(T1160,list!$AV$3:$AW$130,2,FALSE)),1,(VLOOKUP(T1160,list!$AV$3:$AW$130,2,FALSE)))</f>
        <v>1</v>
      </c>
      <c r="V1160" s="1033">
        <f ca="1">R1160*U1160</f>
        <v>0</v>
      </c>
      <c r="W1160" s="1033">
        <f ca="1">S1160*U1160</f>
        <v>0</v>
      </c>
    </row>
    <row r="1161" spans="3:23" x14ac:dyDescent="0.3">
      <c r="C1161" s="576"/>
      <c r="D1161" s="493" t="s">
        <v>471</v>
      </c>
      <c r="E1161" s="494"/>
      <c r="F1161" s="182"/>
      <c r="G1161" s="494" t="s">
        <v>108</v>
      </c>
      <c r="H1161" s="577"/>
      <c r="I1161" s="450" t="s">
        <v>44</v>
      </c>
      <c r="J1161" s="577" t="s">
        <v>28</v>
      </c>
      <c r="K1161" s="577"/>
      <c r="L1161" s="1035" t="s">
        <v>65</v>
      </c>
      <c r="M1161" s="1036">
        <f>SUMIFS('Level of Efficiency Assumptions'!$J:$J,'Level of Efficiency Assumptions'!$D:$D,I1161,'Level of Efficiency Assumptions'!$F:$F,J1161,'Level of Efficiency Assumptions'!$I:$I,'Water Use Calcs'!L1161)</f>
        <v>7.5</v>
      </c>
      <c r="N1161" s="577"/>
      <c r="O1161" s="1048">
        <f>SUMIFS('Detailed Fixture Data'!O:O,'Detailed Fixture Data'!C:C,G1161,'Detailed Fixture Data'!E:E,I1161,'Detailed Fixture Data'!F:F,J1161,'Detailed Fixture Data'!L:L,L1161)</f>
        <v>0</v>
      </c>
      <c r="P1161" s="1049"/>
      <c r="Q1161" s="577"/>
      <c r="R1161" s="1039"/>
      <c r="S1161" s="521"/>
      <c r="T1161" s="225"/>
      <c r="U1161" s="521"/>
      <c r="V1161" s="1040"/>
      <c r="W1161" s="1041"/>
    </row>
    <row r="1162" spans="3:23" ht="15" thickBot="1" x14ac:dyDescent="0.35">
      <c r="C1162" s="576"/>
      <c r="D1162" s="493" t="s">
        <v>471</v>
      </c>
      <c r="E1162" s="494"/>
      <c r="F1162" s="182"/>
      <c r="G1162" s="494" t="s">
        <v>108</v>
      </c>
      <c r="H1162" s="577"/>
      <c r="I1162" s="450" t="s">
        <v>44</v>
      </c>
      <c r="J1162" s="116" t="s">
        <v>28</v>
      </c>
      <c r="K1162" s="116"/>
      <c r="L1162" s="1042" t="s">
        <v>66</v>
      </c>
      <c r="M1162" s="1043">
        <f>SUMIFS('Level of Efficiency Assumptions'!$J:$J,'Level of Efficiency Assumptions'!$D:$D,I1162,'Level of Efficiency Assumptions'!$F:$F,J1162,'Level of Efficiency Assumptions'!$I:$I,'Water Use Calcs'!L1162)</f>
        <v>5</v>
      </c>
      <c r="N1162" s="577"/>
      <c r="O1162" s="1048">
        <f>SUMIFS('Detailed Fixture Data'!O:O,'Detailed Fixture Data'!C:C,G1162,'Detailed Fixture Data'!E:E,I1162,'Detailed Fixture Data'!F:F,J1162,'Detailed Fixture Data'!L:L,L1162)</f>
        <v>0</v>
      </c>
      <c r="P1162" s="1049"/>
      <c r="Q1162" s="577"/>
      <c r="R1162" s="1039"/>
      <c r="S1162" s="618"/>
      <c r="T1162" s="225"/>
      <c r="U1162" s="618"/>
      <c r="V1162" s="1045"/>
      <c r="W1162" s="1046"/>
    </row>
    <row r="1163" spans="3:23" x14ac:dyDescent="0.3">
      <c r="C1163" s="576"/>
      <c r="D1163" s="493" t="s">
        <v>471</v>
      </c>
      <c r="E1163" s="494"/>
      <c r="F1163" s="182"/>
      <c r="G1163" s="494" t="s">
        <v>108</v>
      </c>
      <c r="H1163" s="577"/>
      <c r="I1163" s="450" t="s">
        <v>44</v>
      </c>
      <c r="J1163" s="577" t="s">
        <v>29</v>
      </c>
      <c r="K1163" s="382" t="s">
        <v>10</v>
      </c>
      <c r="L1163" s="1047" t="s">
        <v>64</v>
      </c>
      <c r="M1163" s="1036">
        <f>SUMIFS('Level of Efficiency Assumptions'!$J:$J,'Level of Efficiency Assumptions'!$D:$D,I1163,'Level of Efficiency Assumptions'!$F:$F,J1163,'Level of Efficiency Assumptions'!$I:$I,'Water Use Calcs'!L1163)</f>
        <v>20</v>
      </c>
      <c r="N1163" s="567" t="s">
        <v>588</v>
      </c>
      <c r="O1163" s="1048">
        <f>SUMIFS('Detailed Fixture Data'!O:O,'Detailed Fixture Data'!C:C,G1163,'Detailed Fixture Data'!E:E,I1163,'Detailed Fixture Data'!F:F,J1163,'Detailed Fixture Data'!L:L,L1163)</f>
        <v>0</v>
      </c>
      <c r="P1163" s="1030">
        <f>SUMIFS('Intensity of Use Assumptions'!$J:$J,'Intensity of Use Assumptions'!$D:$D,I1163,'Intensity of Use Assumptions'!$G:$G,J1163,'Intensity of Use Assumptions'!H:H,K1163)</f>
        <v>1</v>
      </c>
      <c r="Q1163" s="567" t="s">
        <v>67</v>
      </c>
      <c r="R1163" s="1032">
        <f>(SUMPRODUCT(M1163:M1165,O1163:O1165)*P1163)</f>
        <v>0</v>
      </c>
      <c r="S1163" s="1033">
        <f>IF(R1163=0,0,M1165*P1163)</f>
        <v>0</v>
      </c>
      <c r="T1163" s="225" t="str">
        <f>G1163&amp;"-"&amp;J1163</f>
        <v>Tenant C-Deicing</v>
      </c>
      <c r="U1163" s="1034">
        <f ca="1">IF(ISNA(VLOOKUP(T1163,list!$AV$3:$AW$130,2,FALSE)),1,(VLOOKUP(T1163,list!$AV$3:$AW$130,2,FALSE)))</f>
        <v>1</v>
      </c>
      <c r="V1163" s="1033">
        <f ca="1">R1163*U1163</f>
        <v>0</v>
      </c>
      <c r="W1163" s="1033">
        <f ca="1">S1163*U1163</f>
        <v>0</v>
      </c>
    </row>
    <row r="1164" spans="3:23" x14ac:dyDescent="0.3">
      <c r="C1164" s="576"/>
      <c r="D1164" s="493" t="s">
        <v>471</v>
      </c>
      <c r="E1164" s="494"/>
      <c r="F1164" s="182"/>
      <c r="G1164" s="494" t="s">
        <v>108</v>
      </c>
      <c r="H1164" s="577"/>
      <c r="I1164" s="450" t="s">
        <v>44</v>
      </c>
      <c r="J1164" s="577" t="s">
        <v>29</v>
      </c>
      <c r="K1164" s="577"/>
      <c r="L1164" s="1035" t="s">
        <v>65</v>
      </c>
      <c r="M1164" s="1036">
        <f>SUMIFS('Level of Efficiency Assumptions'!$J:$J,'Level of Efficiency Assumptions'!$D:$D,I1164,'Level of Efficiency Assumptions'!$F:$F,J1164,'Level of Efficiency Assumptions'!$I:$I,'Water Use Calcs'!L1164)</f>
        <v>10</v>
      </c>
      <c r="N1164" s="577"/>
      <c r="O1164" s="1048">
        <f>SUMIFS('Detailed Fixture Data'!O:O,'Detailed Fixture Data'!C:C,G1164,'Detailed Fixture Data'!E:E,I1164,'Detailed Fixture Data'!F:F,J1164,'Detailed Fixture Data'!L:L,L1164)</f>
        <v>0</v>
      </c>
      <c r="P1164" s="1049"/>
      <c r="Q1164" s="577"/>
      <c r="R1164" s="1039"/>
      <c r="S1164" s="521"/>
      <c r="T1164" s="225"/>
      <c r="U1164" s="521"/>
      <c r="V1164" s="1040"/>
      <c r="W1164" s="1041"/>
    </row>
    <row r="1165" spans="3:23" ht="15" thickBot="1" x14ac:dyDescent="0.35">
      <c r="C1165" s="576"/>
      <c r="D1165" s="493" t="s">
        <v>471</v>
      </c>
      <c r="E1165" s="494"/>
      <c r="F1165" s="182"/>
      <c r="G1165" s="494" t="s">
        <v>108</v>
      </c>
      <c r="H1165" s="577"/>
      <c r="I1165" s="451" t="s">
        <v>44</v>
      </c>
      <c r="J1165" s="116" t="s">
        <v>29</v>
      </c>
      <c r="K1165" s="116"/>
      <c r="L1165" s="1042" t="s">
        <v>66</v>
      </c>
      <c r="M1165" s="1043">
        <f>SUMIFS('Level of Efficiency Assumptions'!$J:$J,'Level of Efficiency Assumptions'!$D:$D,I1165,'Level of Efficiency Assumptions'!$F:$F,J1165,'Level of Efficiency Assumptions'!$I:$I,'Water Use Calcs'!L1165)</f>
        <v>5</v>
      </c>
      <c r="N1165" s="577"/>
      <c r="O1165" s="1048">
        <f>SUMIFS('Detailed Fixture Data'!O:O,'Detailed Fixture Data'!C:C,G1165,'Detailed Fixture Data'!E:E,I1165,'Detailed Fixture Data'!F:F,J1165,'Detailed Fixture Data'!L:L,L1165)</f>
        <v>0</v>
      </c>
      <c r="P1165" s="1049"/>
      <c r="Q1165" s="577"/>
      <c r="R1165" s="1039"/>
      <c r="S1165" s="618"/>
      <c r="T1165" s="225"/>
      <c r="U1165" s="618"/>
      <c r="V1165" s="1045"/>
      <c r="W1165" s="1046"/>
    </row>
    <row r="1166" spans="3:23" x14ac:dyDescent="0.3">
      <c r="C1166" s="576"/>
      <c r="D1166" s="493" t="s">
        <v>471</v>
      </c>
      <c r="E1166" s="494"/>
      <c r="F1166" s="182"/>
      <c r="G1166" s="494" t="s">
        <v>108</v>
      </c>
      <c r="H1166" s="651" t="str">
        <f>I1166</f>
        <v>Landscaping</v>
      </c>
      <c r="I1166" s="450" t="s">
        <v>39</v>
      </c>
      <c r="J1166" s="577" t="s">
        <v>42</v>
      </c>
      <c r="K1166" s="577" t="s">
        <v>32</v>
      </c>
      <c r="L1166" s="1047" t="s">
        <v>64</v>
      </c>
      <c r="M1166" s="1036">
        <f>SUMIFS('Level of Efficiency Assumptions'!$J:$J,'Level of Efficiency Assumptions'!$D:$D,I1166,'Level of Efficiency Assumptions'!$F:$F,J1166,'Level of Efficiency Assumptions'!$I:$I,'Water Use Calcs'!L1166)</f>
        <v>28.6</v>
      </c>
      <c r="N1166" s="567" t="s">
        <v>816</v>
      </c>
      <c r="O1166" s="1048">
        <f>SUMIFS('Detailed Fixture Data'!O:O,'Detailed Fixture Data'!C:C,G1166,'Detailed Fixture Data'!E:E,I1166,'Detailed Fixture Data'!F:F,J1166,'Detailed Fixture Data'!L:L,L1166)</f>
        <v>0</v>
      </c>
      <c r="P1166" s="1030">
        <f>SUMIFS('Intensity of Use Assumptions'!$J:$J,'Intensity of Use Assumptions'!$D:$D,I1166,'Intensity of Use Assumptions'!$G:$G,J1166,'Intensity of Use Assumptions'!H:H,K1166,'Intensity of Use Assumptions'!F:F,D1166)</f>
        <v>2.7397260273972603E-3</v>
      </c>
      <c r="Q1166" s="567" t="s">
        <v>815</v>
      </c>
      <c r="R1166" s="1032">
        <f>(SUMPRODUCT(M1166:M1168,O1166:O1168)*P1166)</f>
        <v>0</v>
      </c>
      <c r="S1166" s="1033">
        <f>IF(R1166=0,0,M1168*P1166)</f>
        <v>0</v>
      </c>
      <c r="T1166" s="225" t="str">
        <f>G1166&amp;"-"&amp;J1166</f>
        <v>Tenant C-Outdoor irrigation</v>
      </c>
      <c r="U1166" s="1034">
        <f ca="1">IF(ISNA(VLOOKUP(T1166,list!$AV$3:$AW$130,2,FALSE)),1,(VLOOKUP(T1166,list!$AV$3:$AW$130,2,FALSE)))</f>
        <v>1</v>
      </c>
      <c r="V1166" s="1033">
        <f ca="1">R1166*U1166</f>
        <v>0</v>
      </c>
      <c r="W1166" s="1033">
        <f ca="1">S1166*U1166</f>
        <v>0</v>
      </c>
    </row>
    <row r="1167" spans="3:23" x14ac:dyDescent="0.3">
      <c r="C1167" s="576"/>
      <c r="D1167" s="493" t="s">
        <v>471</v>
      </c>
      <c r="E1167" s="494"/>
      <c r="F1167" s="182"/>
      <c r="G1167" s="494" t="s">
        <v>108</v>
      </c>
      <c r="H1167" s="577"/>
      <c r="I1167" s="450" t="s">
        <v>39</v>
      </c>
      <c r="J1167" s="577" t="s">
        <v>42</v>
      </c>
      <c r="K1167" s="577"/>
      <c r="L1167" s="1035" t="s">
        <v>65</v>
      </c>
      <c r="M1167" s="1036">
        <f>SUMIFS('Level of Efficiency Assumptions'!$J:$J,'Level of Efficiency Assumptions'!$D:$D,I1167,'Level of Efficiency Assumptions'!$F:$F,J1167,'Level of Efficiency Assumptions'!$I:$I,'Water Use Calcs'!L1167)</f>
        <v>13.980821518350929</v>
      </c>
      <c r="N1167" s="577"/>
      <c r="O1167" s="1048">
        <f>SUMIFS('Detailed Fixture Data'!O:O,'Detailed Fixture Data'!C:C,G1167,'Detailed Fixture Data'!E:E,I1167,'Detailed Fixture Data'!F:F,J1167,'Detailed Fixture Data'!L:L,L1167)</f>
        <v>0</v>
      </c>
      <c r="P1167" s="1049"/>
      <c r="Q1167" s="577"/>
      <c r="R1167" s="1039"/>
      <c r="S1167" s="521"/>
      <c r="T1167" s="225"/>
      <c r="U1167" s="521"/>
      <c r="V1167" s="1040"/>
      <c r="W1167" s="1041"/>
    </row>
    <row r="1168" spans="3:23" ht="15" thickBot="1" x14ac:dyDescent="0.35">
      <c r="C1168" s="576"/>
      <c r="D1168" s="493" t="s">
        <v>471</v>
      </c>
      <c r="E1168" s="494"/>
      <c r="F1168" s="182"/>
      <c r="G1168" s="494" t="s">
        <v>108</v>
      </c>
      <c r="H1168" s="577"/>
      <c r="I1168" s="451" t="s">
        <v>39</v>
      </c>
      <c r="J1168" s="116" t="s">
        <v>42</v>
      </c>
      <c r="K1168" s="116"/>
      <c r="L1168" s="1042" t="s">
        <v>66</v>
      </c>
      <c r="M1168" s="1043">
        <f>SUMIFS('Level of Efficiency Assumptions'!$J:$J,'Level of Efficiency Assumptions'!$D:$D,I1168,'Level of Efficiency Assumptions'!$F:$F,J1168,'Level of Efficiency Assumptions'!$I:$I,'Water Use Calcs'!L1168)</f>
        <v>0.59137254901960778</v>
      </c>
      <c r="N1168" s="577"/>
      <c r="O1168" s="1048">
        <f>SUMIFS('Detailed Fixture Data'!O:O,'Detailed Fixture Data'!C:C,G1168,'Detailed Fixture Data'!E:E,I1168,'Detailed Fixture Data'!F:F,J1168,'Detailed Fixture Data'!L:L,L1168)</f>
        <v>0</v>
      </c>
      <c r="P1168" s="1049"/>
      <c r="Q1168" s="577"/>
      <c r="R1168" s="1039"/>
      <c r="S1168" s="618"/>
      <c r="T1168" s="225"/>
      <c r="U1168" s="618"/>
      <c r="V1168" s="1045"/>
      <c r="W1168" s="1046"/>
    </row>
    <row r="1169" spans="3:23" x14ac:dyDescent="0.3">
      <c r="C1169" s="576"/>
      <c r="D1169" s="493" t="s">
        <v>471</v>
      </c>
      <c r="E1169" s="494"/>
      <c r="F1169" s="182"/>
      <c r="G1169" s="494" t="s">
        <v>108</v>
      </c>
      <c r="H1169" s="651" t="str">
        <f>I1169</f>
        <v>Maintenance</v>
      </c>
      <c r="I1169" s="450" t="s">
        <v>43</v>
      </c>
      <c r="J1169" s="577" t="s">
        <v>111</v>
      </c>
      <c r="K1169" s="217" t="s">
        <v>424</v>
      </c>
      <c r="L1169" s="1047" t="s">
        <v>64</v>
      </c>
      <c r="M1169" s="1036">
        <f>SUMIFS('Level of Efficiency Assumptions'!$J:$J,'Level of Efficiency Assumptions'!$D:$D,I1169,'Level of Efficiency Assumptions'!$F:$F,J1169,'Level of Efficiency Assumptions'!$I:$I,'Water Use Calcs'!L1169)</f>
        <v>100</v>
      </c>
      <c r="N1169" s="567" t="s">
        <v>659</v>
      </c>
      <c r="O1169" s="1048">
        <f>SUMIFS('Detailed Fixture Data'!O:O,'Detailed Fixture Data'!C:C,G1169,'Detailed Fixture Data'!E:E,I1169,'Detailed Fixture Data'!F:F,J1169,'Detailed Fixture Data'!L:L,L1169)</f>
        <v>0</v>
      </c>
      <c r="P1169" s="1030">
        <f>SUMIFS('Intensity of Use Assumptions'!$J:$J,'Intensity of Use Assumptions'!$D:$D,I1169,'Intensity of Use Assumptions'!$G:$G,J1169,'Intensity of Use Assumptions'!H:H,K1169)</f>
        <v>1</v>
      </c>
      <c r="Q1169" s="567" t="s">
        <v>67</v>
      </c>
      <c r="R1169" s="1032">
        <f>(SUMPRODUCT(M1169:M1171,O1169:O1171)*P1169)</f>
        <v>0</v>
      </c>
      <c r="S1169" s="1033">
        <f>IF(R1169=0,0,M1171*P1169)</f>
        <v>0</v>
      </c>
      <c r="T1169" s="225" t="str">
        <f>G1169&amp;"-"&amp;J1169</f>
        <v>Tenant C-Boiler</v>
      </c>
      <c r="U1169" s="1034">
        <f ca="1">IF(ISNA(VLOOKUP(T1169,list!$AV$3:$AW$130,2,FALSE)),1,(VLOOKUP(T1169,list!$AV$3:$AW$130,2,FALSE)))</f>
        <v>1</v>
      </c>
      <c r="V1169" s="1033">
        <f ca="1">R1169*U1169</f>
        <v>0</v>
      </c>
      <c r="W1169" s="1033">
        <f ca="1">S1169*U1169</f>
        <v>0</v>
      </c>
    </row>
    <row r="1170" spans="3:23" x14ac:dyDescent="0.3">
      <c r="C1170" s="576"/>
      <c r="D1170" s="493" t="s">
        <v>471</v>
      </c>
      <c r="E1170" s="494"/>
      <c r="F1170" s="182"/>
      <c r="G1170" s="494" t="s">
        <v>108</v>
      </c>
      <c r="H1170" s="577"/>
      <c r="I1170" s="450" t="s">
        <v>43</v>
      </c>
      <c r="J1170" s="577" t="s">
        <v>111</v>
      </c>
      <c r="K1170" s="382"/>
      <c r="L1170" s="1035" t="s">
        <v>65</v>
      </c>
      <c r="M1170" s="1036">
        <f>SUMIFS('Level of Efficiency Assumptions'!$J:$J,'Level of Efficiency Assumptions'!$D:$D,I1170,'Level of Efficiency Assumptions'!$F:$F,J1170,'Level of Efficiency Assumptions'!$I:$I,'Water Use Calcs'!L1170)</f>
        <v>75</v>
      </c>
      <c r="N1170" s="577"/>
      <c r="O1170" s="1048">
        <f>SUMIFS('Detailed Fixture Data'!O:O,'Detailed Fixture Data'!C:C,G1170,'Detailed Fixture Data'!E:E,I1170,'Detailed Fixture Data'!F:F,J1170,'Detailed Fixture Data'!L:L,L1170)</f>
        <v>0</v>
      </c>
      <c r="P1170" s="1049"/>
      <c r="Q1170" s="577"/>
      <c r="R1170" s="1039"/>
      <c r="S1170" s="521"/>
      <c r="T1170" s="225"/>
      <c r="U1170" s="521"/>
      <c r="V1170" s="1040"/>
      <c r="W1170" s="1041"/>
    </row>
    <row r="1171" spans="3:23" ht="15" thickBot="1" x14ac:dyDescent="0.35">
      <c r="C1171" s="576"/>
      <c r="D1171" s="493" t="s">
        <v>471</v>
      </c>
      <c r="E1171" s="494"/>
      <c r="F1171" s="182"/>
      <c r="G1171" s="494" t="s">
        <v>108</v>
      </c>
      <c r="H1171" s="577"/>
      <c r="I1171" s="450" t="s">
        <v>43</v>
      </c>
      <c r="J1171" s="116" t="s">
        <v>111</v>
      </c>
      <c r="K1171" s="116"/>
      <c r="L1171" s="1042" t="s">
        <v>66</v>
      </c>
      <c r="M1171" s="1043">
        <f>SUMIFS('Level of Efficiency Assumptions'!$J:$J,'Level of Efficiency Assumptions'!$D:$D,I1171,'Level of Efficiency Assumptions'!$F:$F,J1171,'Level of Efficiency Assumptions'!$I:$I,'Water Use Calcs'!L1171)</f>
        <v>50</v>
      </c>
      <c r="N1171" s="577"/>
      <c r="O1171" s="1048">
        <f>SUMIFS('Detailed Fixture Data'!O:O,'Detailed Fixture Data'!C:C,G1171,'Detailed Fixture Data'!E:E,I1171,'Detailed Fixture Data'!F:F,J1171,'Detailed Fixture Data'!L:L,L1171)</f>
        <v>0</v>
      </c>
      <c r="P1171" s="1049"/>
      <c r="Q1171" s="577"/>
      <c r="R1171" s="1039"/>
      <c r="S1171" s="618"/>
      <c r="T1171" s="225"/>
      <c r="U1171" s="618"/>
      <c r="V1171" s="1045"/>
      <c r="W1171" s="1046"/>
    </row>
    <row r="1172" spans="3:23" x14ac:dyDescent="0.3">
      <c r="C1172" s="576"/>
      <c r="D1172" s="493" t="s">
        <v>471</v>
      </c>
      <c r="E1172" s="494"/>
      <c r="F1172" s="182"/>
      <c r="G1172" s="494" t="s">
        <v>108</v>
      </c>
      <c r="H1172" s="577"/>
      <c r="I1172" s="450" t="s">
        <v>43</v>
      </c>
      <c r="J1172" s="577" t="s">
        <v>7</v>
      </c>
      <c r="K1172" s="215" t="s">
        <v>365</v>
      </c>
      <c r="L1172" s="1012" t="s">
        <v>257</v>
      </c>
      <c r="M1172" s="1050"/>
      <c r="N1172" s="1050"/>
      <c r="O1172" s="1050"/>
      <c r="P1172" s="1051"/>
      <c r="Q1172" s="981"/>
      <c r="R1172" s="1052">
        <f>SUMIFS('Cooling Data'!H:H,'Cooling Data'!$C:$C,$G1172,'Cooling Data'!$E:$E,$I1172,'Cooling Data'!$F:$F,$J1172)</f>
        <v>0</v>
      </c>
      <c r="S1172" s="1052">
        <f>SUMIFS('Cooling Data'!J:J,'Cooling Data'!$C:$C,$G1172,'Cooling Data'!$E:$E,$I1172,'Cooling Data'!$F:$F,$J1172)</f>
        <v>0</v>
      </c>
      <c r="T1172" s="225" t="str">
        <f>G1172&amp;"-"&amp;J1172</f>
        <v>Tenant C-Cooling</v>
      </c>
      <c r="U1172" s="1034">
        <f ca="1">IF(ISNA(VLOOKUP(T1172,list!$AV$3:$AW$130,2,FALSE)),1,(VLOOKUP(T1172,list!$AV$3:$AW$130,2,FALSE)))</f>
        <v>1</v>
      </c>
      <c r="V1172" s="1033">
        <f ca="1">R1172*U1172</f>
        <v>0</v>
      </c>
      <c r="W1172" s="1033">
        <f ca="1">S1172*U1172</f>
        <v>0</v>
      </c>
    </row>
    <row r="1173" spans="3:23" x14ac:dyDescent="0.3">
      <c r="C1173" s="576"/>
      <c r="D1173" s="493" t="s">
        <v>471</v>
      </c>
      <c r="E1173" s="494"/>
      <c r="F1173" s="182"/>
      <c r="G1173" s="494" t="s">
        <v>108</v>
      </c>
      <c r="H1173" s="577"/>
      <c r="I1173" s="450" t="s">
        <v>43</v>
      </c>
      <c r="J1173" s="577" t="s">
        <v>7</v>
      </c>
      <c r="K1173" s="577"/>
      <c r="L1173" s="206"/>
      <c r="M1173" s="181"/>
      <c r="N1173" s="181"/>
      <c r="O1173" s="181"/>
      <c r="P1173" s="1053"/>
      <c r="Q1173" s="439"/>
      <c r="R1173" s="1039"/>
      <c r="S1173" s="521"/>
      <c r="T1173" s="225"/>
      <c r="U1173" s="521"/>
      <c r="V1173" s="1040"/>
      <c r="W1173" s="1041"/>
    </row>
    <row r="1174" spans="3:23" ht="15" thickBot="1" x14ac:dyDescent="0.35">
      <c r="C1174" s="576"/>
      <c r="D1174" s="493" t="s">
        <v>471</v>
      </c>
      <c r="E1174" s="494"/>
      <c r="F1174" s="182"/>
      <c r="G1174" s="494" t="s">
        <v>108</v>
      </c>
      <c r="H1174" s="577"/>
      <c r="I1174" s="450" t="s">
        <v>43</v>
      </c>
      <c r="J1174" s="116" t="s">
        <v>7</v>
      </c>
      <c r="K1174" s="116"/>
      <c r="L1174" s="207"/>
      <c r="M1174" s="924"/>
      <c r="N1174" s="924"/>
      <c r="O1174" s="924"/>
      <c r="P1174" s="1054"/>
      <c r="Q1174" s="606"/>
      <c r="R1174" s="1039"/>
      <c r="S1174" s="618"/>
      <c r="T1174" s="225"/>
      <c r="U1174" s="618"/>
      <c r="V1174" s="1045"/>
      <c r="W1174" s="1046"/>
    </row>
    <row r="1175" spans="3:23" x14ac:dyDescent="0.3">
      <c r="C1175" s="576"/>
      <c r="D1175" s="493" t="s">
        <v>471</v>
      </c>
      <c r="E1175" s="494"/>
      <c r="F1175" s="182"/>
      <c r="G1175" s="494" t="s">
        <v>108</v>
      </c>
      <c r="H1175" s="577"/>
      <c r="I1175" s="450" t="s">
        <v>43</v>
      </c>
      <c r="J1175" s="567" t="s">
        <v>25</v>
      </c>
      <c r="K1175" s="577" t="s">
        <v>10</v>
      </c>
      <c r="L1175" s="1047" t="s">
        <v>64</v>
      </c>
      <c r="M1175" s="1036">
        <f>SUMIFS('Level of Efficiency Assumptions'!$J:$J,'Level of Efficiency Assumptions'!$D:$D,I1175,'Level of Efficiency Assumptions'!$F:$F,J1175,'Level of Efficiency Assumptions'!$I:$I,'Water Use Calcs'!L1175)</f>
        <v>10</v>
      </c>
      <c r="N1175" s="567" t="s">
        <v>588</v>
      </c>
      <c r="O1175" s="1048">
        <f>SUMIFS('Detailed Fixture Data'!O:O,'Detailed Fixture Data'!C:C,G1175,'Detailed Fixture Data'!E:E,I1175,'Detailed Fixture Data'!F:F,J1175,'Detailed Fixture Data'!L:L,L1175)</f>
        <v>0</v>
      </c>
      <c r="P1175" s="1030">
        <f>SUMIFS('Intensity of Use Assumptions'!$J:$J,'Intensity of Use Assumptions'!$D:$D,I1175,'Intensity of Use Assumptions'!$G:$G,J1175,'Intensity of Use Assumptions'!H:H,K1175)</f>
        <v>1</v>
      </c>
      <c r="Q1175" s="567" t="s">
        <v>67</v>
      </c>
      <c r="R1175" s="1032">
        <f>(SUMPRODUCT(M1175:M1177,O1175:O1177)*P1175)</f>
        <v>0</v>
      </c>
      <c r="S1175" s="1033">
        <f>IF(R1175=0,0,M1177*P1175)</f>
        <v>0</v>
      </c>
      <c r="T1175" s="225" t="str">
        <f>G1175&amp;"-"&amp;J1175</f>
        <v>Tenant C-Fleet vehicle washing</v>
      </c>
      <c r="U1175" s="1034">
        <f ca="1">IF(ISNA(VLOOKUP(T1175,list!$AV$3:$AW$130,2,FALSE)),1,(VLOOKUP(T1175,list!$AV$3:$AW$130,2,FALSE)))</f>
        <v>1</v>
      </c>
      <c r="V1175" s="1033">
        <f ca="1">R1175*U1175</f>
        <v>0</v>
      </c>
      <c r="W1175" s="1033">
        <f ca="1">S1175*U1175</f>
        <v>0</v>
      </c>
    </row>
    <row r="1176" spans="3:23" x14ac:dyDescent="0.3">
      <c r="C1176" s="576"/>
      <c r="D1176" s="493" t="s">
        <v>471</v>
      </c>
      <c r="E1176" s="494"/>
      <c r="F1176" s="182"/>
      <c r="G1176" s="494" t="s">
        <v>108</v>
      </c>
      <c r="H1176" s="577"/>
      <c r="I1176" s="450" t="s">
        <v>43</v>
      </c>
      <c r="J1176" s="577" t="s">
        <v>25</v>
      </c>
      <c r="K1176" s="577"/>
      <c r="L1176" s="1035" t="s">
        <v>65</v>
      </c>
      <c r="M1176" s="1036">
        <f>SUMIFS('Level of Efficiency Assumptions'!$J:$J,'Level of Efficiency Assumptions'!$D:$D,I1176,'Level of Efficiency Assumptions'!$F:$F,J1176,'Level of Efficiency Assumptions'!$I:$I,'Water Use Calcs'!L1176)</f>
        <v>7.5</v>
      </c>
      <c r="N1176" s="577"/>
      <c r="O1176" s="1048">
        <f>SUMIFS('Detailed Fixture Data'!O:O,'Detailed Fixture Data'!C:C,G1176,'Detailed Fixture Data'!E:E,I1176,'Detailed Fixture Data'!F:F,J1176,'Detailed Fixture Data'!L:L,L1176)</f>
        <v>0</v>
      </c>
      <c r="P1176" s="1049"/>
      <c r="Q1176" s="577"/>
      <c r="R1176" s="1039"/>
      <c r="S1176" s="521"/>
      <c r="T1176" s="225"/>
      <c r="U1176" s="521"/>
      <c r="V1176" s="1040"/>
      <c r="W1176" s="1041"/>
    </row>
    <row r="1177" spans="3:23" ht="15" thickBot="1" x14ac:dyDescent="0.35">
      <c r="C1177" s="576"/>
      <c r="D1177" s="493" t="s">
        <v>471</v>
      </c>
      <c r="E1177" s="494"/>
      <c r="F1177" s="182"/>
      <c r="G1177" s="494" t="s">
        <v>108</v>
      </c>
      <c r="H1177" s="577"/>
      <c r="I1177" s="450" t="s">
        <v>43</v>
      </c>
      <c r="J1177" s="116" t="s">
        <v>25</v>
      </c>
      <c r="K1177" s="116"/>
      <c r="L1177" s="1042" t="s">
        <v>66</v>
      </c>
      <c r="M1177" s="1043">
        <f>SUMIFS('Level of Efficiency Assumptions'!$J:$J,'Level of Efficiency Assumptions'!$D:$D,I1177,'Level of Efficiency Assumptions'!$F:$F,J1177,'Level of Efficiency Assumptions'!$I:$I,'Water Use Calcs'!L1177)</f>
        <v>5</v>
      </c>
      <c r="N1177" s="577"/>
      <c r="O1177" s="1048">
        <f>SUMIFS('Detailed Fixture Data'!O:O,'Detailed Fixture Data'!C:C,G1177,'Detailed Fixture Data'!E:E,I1177,'Detailed Fixture Data'!F:F,J1177,'Detailed Fixture Data'!L:L,L1177)</f>
        <v>0</v>
      </c>
      <c r="P1177" s="1049"/>
      <c r="Q1177" s="577"/>
      <c r="R1177" s="1039"/>
      <c r="S1177" s="618"/>
      <c r="T1177" s="225"/>
      <c r="U1177" s="618"/>
      <c r="V1177" s="1045"/>
      <c r="W1177" s="1046"/>
    </row>
    <row r="1178" spans="3:23" x14ac:dyDescent="0.3">
      <c r="C1178" s="576"/>
      <c r="D1178" s="493" t="s">
        <v>471</v>
      </c>
      <c r="E1178" s="494"/>
      <c r="F1178" s="182"/>
      <c r="G1178" s="494" t="s">
        <v>108</v>
      </c>
      <c r="H1178" s="577"/>
      <c r="I1178" s="450" t="s">
        <v>43</v>
      </c>
      <c r="J1178" s="577" t="s">
        <v>426</v>
      </c>
      <c r="K1178" s="577" t="s">
        <v>10</v>
      </c>
      <c r="L1178" s="1047" t="s">
        <v>64</v>
      </c>
      <c r="M1178" s="1036">
        <f>SUMIFS('Level of Efficiency Assumptions'!$J:$J,'Level of Efficiency Assumptions'!$D:$D,I1178,'Level of Efficiency Assumptions'!$F:$F,J1178,'Level of Efficiency Assumptions'!$I:$I,'Water Use Calcs'!L1178)</f>
        <v>10</v>
      </c>
      <c r="N1178" s="567" t="s">
        <v>588</v>
      </c>
      <c r="O1178" s="1048">
        <f>SUMIFS('Detailed Fixture Data'!O:O,'Detailed Fixture Data'!C:C,G1178,'Detailed Fixture Data'!E:E,I1178,'Detailed Fixture Data'!F:F,J1178,'Detailed Fixture Data'!L:L,L1178)</f>
        <v>0</v>
      </c>
      <c r="P1178" s="1030">
        <f>SUMIFS('Intensity of Use Assumptions'!$J:$J,'Intensity of Use Assumptions'!$D:$D,I1178,'Intensity of Use Assumptions'!$G:$G,J1178,'Intensity of Use Assumptions'!H:H,K1178)</f>
        <v>2E-3</v>
      </c>
      <c r="Q1178" s="567" t="s">
        <v>67</v>
      </c>
      <c r="R1178" s="1032">
        <f>(SUMPRODUCT(M1178:M1180,O1178:O1180)*P1178)</f>
        <v>0</v>
      </c>
      <c r="S1178" s="1033">
        <f>IF(R1178=0,0,M1180*P1178)</f>
        <v>0</v>
      </c>
      <c r="T1178" s="225" t="str">
        <f>G1178&amp;"-"&amp;J1178</f>
        <v>Tenant C-Pavement cleaning</v>
      </c>
      <c r="U1178" s="1034">
        <f ca="1">IF(ISNA(VLOOKUP(T1178,list!$AV$3:$AW$130,2,FALSE)),1,(VLOOKUP(T1178,list!$AV$3:$AW$130,2,FALSE)))</f>
        <v>1</v>
      </c>
      <c r="V1178" s="1033">
        <f ca="1">R1178*U1178</f>
        <v>0</v>
      </c>
      <c r="W1178" s="1033">
        <f ca="1">S1178*U1178</f>
        <v>0</v>
      </c>
    </row>
    <row r="1179" spans="3:23" x14ac:dyDescent="0.3">
      <c r="C1179" s="576"/>
      <c r="D1179" s="493" t="s">
        <v>471</v>
      </c>
      <c r="E1179" s="494"/>
      <c r="F1179" s="182"/>
      <c r="G1179" s="494" t="s">
        <v>108</v>
      </c>
      <c r="H1179" s="577"/>
      <c r="I1179" s="450" t="s">
        <v>43</v>
      </c>
      <c r="J1179" s="577" t="s">
        <v>426</v>
      </c>
      <c r="K1179" s="577"/>
      <c r="L1179" s="1035" t="s">
        <v>65</v>
      </c>
      <c r="M1179" s="1036">
        <f>SUMIFS('Level of Efficiency Assumptions'!$J:$J,'Level of Efficiency Assumptions'!$D:$D,I1179,'Level of Efficiency Assumptions'!$F:$F,J1179,'Level of Efficiency Assumptions'!$I:$I,'Water Use Calcs'!L1179)</f>
        <v>7.5</v>
      </c>
      <c r="N1179" s="577"/>
      <c r="O1179" s="1048">
        <f>SUMIFS('Detailed Fixture Data'!O:O,'Detailed Fixture Data'!C:C,G1179,'Detailed Fixture Data'!E:E,I1179,'Detailed Fixture Data'!F:F,J1179,'Detailed Fixture Data'!L:L,L1179)</f>
        <v>0</v>
      </c>
      <c r="P1179" s="1049"/>
      <c r="Q1179" s="577"/>
      <c r="R1179" s="1039"/>
      <c r="S1179" s="521"/>
      <c r="T1179" s="225"/>
      <c r="U1179" s="521"/>
      <c r="V1179" s="1040"/>
      <c r="W1179" s="1041"/>
    </row>
    <row r="1180" spans="3:23" ht="15" thickBot="1" x14ac:dyDescent="0.35">
      <c r="C1180" s="576"/>
      <c r="D1180" s="493" t="s">
        <v>471</v>
      </c>
      <c r="E1180" s="494"/>
      <c r="F1180" s="182"/>
      <c r="G1180" s="494" t="s">
        <v>108</v>
      </c>
      <c r="H1180" s="577"/>
      <c r="I1180" s="451" t="s">
        <v>43</v>
      </c>
      <c r="J1180" s="116" t="s">
        <v>426</v>
      </c>
      <c r="K1180" s="116"/>
      <c r="L1180" s="1042" t="s">
        <v>66</v>
      </c>
      <c r="M1180" s="1043">
        <f>SUMIFS('Level of Efficiency Assumptions'!$J:$J,'Level of Efficiency Assumptions'!$D:$D,I1180,'Level of Efficiency Assumptions'!$F:$F,J1180,'Level of Efficiency Assumptions'!$I:$I,'Water Use Calcs'!L1180)</f>
        <v>5</v>
      </c>
      <c r="N1180" s="577"/>
      <c r="O1180" s="1048">
        <f>SUMIFS('Detailed Fixture Data'!O:O,'Detailed Fixture Data'!C:C,G1180,'Detailed Fixture Data'!E:E,I1180,'Detailed Fixture Data'!F:F,J1180,'Detailed Fixture Data'!L:L,L1180)</f>
        <v>0</v>
      </c>
      <c r="P1180" s="1049"/>
      <c r="Q1180" s="577"/>
      <c r="R1180" s="1039"/>
      <c r="S1180" s="618"/>
      <c r="T1180" s="225"/>
      <c r="U1180" s="618"/>
      <c r="V1180" s="1045"/>
      <c r="W1180" s="1046"/>
    </row>
    <row r="1181" spans="3:23" x14ac:dyDescent="0.3">
      <c r="C1181" s="576"/>
      <c r="D1181" s="493" t="s">
        <v>471</v>
      </c>
      <c r="E1181" s="494"/>
      <c r="F1181" s="182"/>
      <c r="G1181" s="494" t="s">
        <v>108</v>
      </c>
      <c r="H1181" s="651" t="str">
        <f>I1181</f>
        <v>Other</v>
      </c>
      <c r="I1181" s="450" t="s">
        <v>8</v>
      </c>
      <c r="J1181" s="577" t="s">
        <v>52</v>
      </c>
      <c r="K1181" s="387" t="s">
        <v>362</v>
      </c>
      <c r="L1181" s="1047" t="s">
        <v>64</v>
      </c>
      <c r="M1181" s="1036">
        <f>SUMIFS('Level of Efficiency Assumptions'!$J:$J,'Level of Efficiency Assumptions'!$D:$D,I1181,'Level of Efficiency Assumptions'!$F:$F,J1181,'Level of Efficiency Assumptions'!$I:$I,'Water Use Calcs'!L1181)</f>
        <v>10</v>
      </c>
      <c r="N1181" s="567" t="s">
        <v>660</v>
      </c>
      <c r="O1181" s="1048">
        <f>SUMIFS('Detailed Fixture Data'!O:O,'Detailed Fixture Data'!C:C,G1181,'Detailed Fixture Data'!E:E,I1181,'Detailed Fixture Data'!F:F,J1181,'Detailed Fixture Data'!L:L,L1181)</f>
        <v>0</v>
      </c>
      <c r="P1181" s="1030">
        <f>SUMIFS('Intensity of Use Assumptions'!$J:$J,'Intensity of Use Assumptions'!$D:$D,I1181,'Intensity of Use Assumptions'!$G:$G,J1181,'Intensity of Use Assumptions'!H:H,K1181)</f>
        <v>1</v>
      </c>
      <c r="Q1181" s="567" t="s">
        <v>67</v>
      </c>
      <c r="R1181" s="1032">
        <f>(SUMPRODUCT(M1181:M1183,O1181:O1183)*P1181)</f>
        <v>0</v>
      </c>
      <c r="S1181" s="1033">
        <f>IF(R1181=0,0,M1183*P1181)</f>
        <v>0</v>
      </c>
      <c r="T1181" s="225" t="str">
        <f>G1181&amp;"-"&amp;J1181</f>
        <v>Tenant C-Other 1</v>
      </c>
      <c r="U1181" s="1034">
        <f ca="1">IF(ISNA(VLOOKUP(T1181,list!$AV$3:$AW$130,2,FALSE)),1,(VLOOKUP(T1181,list!$AV$3:$AW$130,2,FALSE)))</f>
        <v>1</v>
      </c>
      <c r="V1181" s="1033">
        <f ca="1">R1181*U1181</f>
        <v>0</v>
      </c>
      <c r="W1181" s="1033">
        <f ca="1">S1181*U1181</f>
        <v>0</v>
      </c>
    </row>
    <row r="1182" spans="3:23" x14ac:dyDescent="0.3">
      <c r="C1182" s="576"/>
      <c r="D1182" s="493" t="s">
        <v>471</v>
      </c>
      <c r="E1182" s="494"/>
      <c r="F1182" s="182"/>
      <c r="G1182" s="494" t="s">
        <v>108</v>
      </c>
      <c r="H1182" s="577"/>
      <c r="I1182" s="450" t="s">
        <v>8</v>
      </c>
      <c r="J1182" s="577" t="s">
        <v>52</v>
      </c>
      <c r="K1182" s="382"/>
      <c r="L1182" s="1035" t="s">
        <v>65</v>
      </c>
      <c r="M1182" s="1036">
        <f>SUMIFS('Level of Efficiency Assumptions'!$J:$J,'Level of Efficiency Assumptions'!$D:$D,I1182,'Level of Efficiency Assumptions'!$F:$F,J1182,'Level of Efficiency Assumptions'!$I:$I,'Water Use Calcs'!L1182)</f>
        <v>7.5</v>
      </c>
      <c r="N1182" s="577"/>
      <c r="O1182" s="1048">
        <f>SUMIFS('Detailed Fixture Data'!O:O,'Detailed Fixture Data'!C:C,G1182,'Detailed Fixture Data'!E:E,I1182,'Detailed Fixture Data'!F:F,J1182,'Detailed Fixture Data'!L:L,L1182)</f>
        <v>0</v>
      </c>
      <c r="P1182" s="1049"/>
      <c r="Q1182" s="577"/>
      <c r="R1182" s="1039"/>
      <c r="S1182" s="521"/>
      <c r="T1182" s="225"/>
      <c r="U1182" s="521"/>
      <c r="V1182" s="1040"/>
      <c r="W1182" s="1041"/>
    </row>
    <row r="1183" spans="3:23" ht="15" thickBot="1" x14ac:dyDescent="0.35">
      <c r="C1183" s="576"/>
      <c r="D1183" s="493" t="s">
        <v>471</v>
      </c>
      <c r="E1183" s="494"/>
      <c r="F1183" s="182"/>
      <c r="G1183" s="494" t="s">
        <v>108</v>
      </c>
      <c r="H1183" s="577"/>
      <c r="I1183" s="450" t="s">
        <v>8</v>
      </c>
      <c r="J1183" s="116" t="s">
        <v>52</v>
      </c>
      <c r="K1183" s="382"/>
      <c r="L1183" s="1042" t="s">
        <v>66</v>
      </c>
      <c r="M1183" s="1043">
        <f>SUMIFS('Level of Efficiency Assumptions'!$J:$J,'Level of Efficiency Assumptions'!$D:$D,I1183,'Level of Efficiency Assumptions'!$F:$F,J1183,'Level of Efficiency Assumptions'!$I:$I,'Water Use Calcs'!L1183)</f>
        <v>5</v>
      </c>
      <c r="N1183" s="577"/>
      <c r="O1183" s="1048">
        <f>SUMIFS('Detailed Fixture Data'!O:O,'Detailed Fixture Data'!C:C,G1183,'Detailed Fixture Data'!E:E,I1183,'Detailed Fixture Data'!F:F,J1183,'Detailed Fixture Data'!L:L,L1183)</f>
        <v>0</v>
      </c>
      <c r="P1183" s="1049"/>
      <c r="Q1183" s="577"/>
      <c r="R1183" s="1039"/>
      <c r="S1183" s="618"/>
      <c r="T1183" s="225"/>
      <c r="U1183" s="618"/>
      <c r="V1183" s="1045"/>
      <c r="W1183" s="1046"/>
    </row>
    <row r="1184" spans="3:23" x14ac:dyDescent="0.3">
      <c r="C1184" s="576"/>
      <c r="D1184" s="493" t="s">
        <v>471</v>
      </c>
      <c r="E1184" s="494"/>
      <c r="F1184" s="182"/>
      <c r="G1184" s="494" t="s">
        <v>108</v>
      </c>
      <c r="H1184" s="577"/>
      <c r="I1184" s="450" t="s">
        <v>8</v>
      </c>
      <c r="J1184" s="577" t="s">
        <v>53</v>
      </c>
      <c r="K1184" s="1055" t="s">
        <v>363</v>
      </c>
      <c r="L1184" s="1047" t="s">
        <v>64</v>
      </c>
      <c r="M1184" s="1036">
        <f>SUMIFS('Level of Efficiency Assumptions'!$J:$J,'Level of Efficiency Assumptions'!$D:$D,I1184,'Level of Efficiency Assumptions'!$F:$F,J1184,'Level of Efficiency Assumptions'!$I:$I,'Water Use Calcs'!L1184)</f>
        <v>10</v>
      </c>
      <c r="N1184" s="567" t="s">
        <v>660</v>
      </c>
      <c r="O1184" s="1048">
        <f>SUMIFS('Detailed Fixture Data'!O:O,'Detailed Fixture Data'!C:C,G1184,'Detailed Fixture Data'!E:E,I1184,'Detailed Fixture Data'!F:F,J1184,'Detailed Fixture Data'!L:L,L1184)</f>
        <v>0</v>
      </c>
      <c r="P1184" s="1030">
        <f>SUMIFS('Intensity of Use Assumptions'!$J:$J,'Intensity of Use Assumptions'!$D:$D,I1184,'Intensity of Use Assumptions'!$G:$G,J1184,'Intensity of Use Assumptions'!H:H,K1184)</f>
        <v>1</v>
      </c>
      <c r="Q1184" s="567" t="s">
        <v>67</v>
      </c>
      <c r="R1184" s="1032">
        <f>(SUMPRODUCT(M1184:M1186,O1184:O1186)*P1184)</f>
        <v>0</v>
      </c>
      <c r="S1184" s="1033">
        <f>IF(R1184=0,0,M1186*P1184)</f>
        <v>0</v>
      </c>
      <c r="T1184" s="225" t="str">
        <f>G1184&amp;"-"&amp;J1184</f>
        <v>Tenant C-Other 2</v>
      </c>
      <c r="U1184" s="1034">
        <f ca="1">IF(ISNA(VLOOKUP(T1184,list!$AV$3:$AW$130,2,FALSE)),1,(VLOOKUP(T1184,list!$AV$3:$AW$130,2,FALSE)))</f>
        <v>1</v>
      </c>
      <c r="V1184" s="1033">
        <f ca="1">R1184*U1184</f>
        <v>0</v>
      </c>
      <c r="W1184" s="1033">
        <f ca="1">S1184*U1184</f>
        <v>0</v>
      </c>
    </row>
    <row r="1185" spans="3:23" x14ac:dyDescent="0.3">
      <c r="C1185" s="576"/>
      <c r="D1185" s="493" t="s">
        <v>471</v>
      </c>
      <c r="E1185" s="494"/>
      <c r="F1185" s="182"/>
      <c r="G1185" s="494" t="s">
        <v>108</v>
      </c>
      <c r="H1185" s="577"/>
      <c r="I1185" s="450" t="s">
        <v>8</v>
      </c>
      <c r="J1185" s="577" t="s">
        <v>53</v>
      </c>
      <c r="K1185" s="577"/>
      <c r="L1185" s="1035" t="s">
        <v>65</v>
      </c>
      <c r="M1185" s="1036">
        <f>SUMIFS('Level of Efficiency Assumptions'!$J:$J,'Level of Efficiency Assumptions'!$D:$D,I1185,'Level of Efficiency Assumptions'!$F:$F,J1185,'Level of Efficiency Assumptions'!$I:$I,'Water Use Calcs'!L1185)</f>
        <v>7.5</v>
      </c>
      <c r="N1185" s="577"/>
      <c r="O1185" s="1048">
        <f>SUMIFS('Detailed Fixture Data'!O:O,'Detailed Fixture Data'!C:C,G1185,'Detailed Fixture Data'!E:E,I1185,'Detailed Fixture Data'!F:F,J1185,'Detailed Fixture Data'!L:L,L1185)</f>
        <v>0</v>
      </c>
      <c r="P1185" s="1049"/>
      <c r="Q1185" s="577"/>
      <c r="R1185" s="1039"/>
      <c r="S1185" s="521"/>
      <c r="T1185" s="225"/>
      <c r="U1185" s="521"/>
      <c r="V1185" s="1040"/>
      <c r="W1185" s="1041"/>
    </row>
    <row r="1186" spans="3:23" ht="15" thickBot="1" x14ac:dyDescent="0.35">
      <c r="C1186" s="576"/>
      <c r="D1186" s="493" t="s">
        <v>471</v>
      </c>
      <c r="E1186" s="494"/>
      <c r="F1186" s="182"/>
      <c r="G1186" s="494" t="s">
        <v>108</v>
      </c>
      <c r="H1186" s="577"/>
      <c r="I1186" s="450" t="s">
        <v>8</v>
      </c>
      <c r="J1186" s="116" t="s">
        <v>53</v>
      </c>
      <c r="K1186" s="116"/>
      <c r="L1186" s="1042" t="s">
        <v>66</v>
      </c>
      <c r="M1186" s="1043">
        <f>SUMIFS('Level of Efficiency Assumptions'!$J:$J,'Level of Efficiency Assumptions'!$D:$D,I1186,'Level of Efficiency Assumptions'!$F:$F,J1186,'Level of Efficiency Assumptions'!$I:$I,'Water Use Calcs'!L1186)</f>
        <v>5</v>
      </c>
      <c r="N1186" s="577"/>
      <c r="O1186" s="1048">
        <f>SUMIFS('Detailed Fixture Data'!O:O,'Detailed Fixture Data'!C:C,G1186,'Detailed Fixture Data'!E:E,I1186,'Detailed Fixture Data'!F:F,J1186,'Detailed Fixture Data'!L:L,L1186)</f>
        <v>0</v>
      </c>
      <c r="P1186" s="1049"/>
      <c r="Q1186" s="577"/>
      <c r="R1186" s="1039"/>
      <c r="S1186" s="618"/>
      <c r="T1186" s="225"/>
      <c r="U1186" s="618"/>
      <c r="V1186" s="1045"/>
      <c r="W1186" s="1046"/>
    </row>
    <row r="1187" spans="3:23" x14ac:dyDescent="0.3">
      <c r="C1187" s="576"/>
      <c r="D1187" s="493" t="s">
        <v>471</v>
      </c>
      <c r="E1187" s="494"/>
      <c r="F1187" s="182"/>
      <c r="G1187" s="494" t="s">
        <v>108</v>
      </c>
      <c r="H1187" s="577"/>
      <c r="I1187" s="450" t="s">
        <v>8</v>
      </c>
      <c r="J1187" s="577" t="s">
        <v>54</v>
      </c>
      <c r="K1187" s="379" t="s">
        <v>364</v>
      </c>
      <c r="L1187" s="1047" t="s">
        <v>64</v>
      </c>
      <c r="M1187" s="1036">
        <f>SUMIFS('Level of Efficiency Assumptions'!$J:$J,'Level of Efficiency Assumptions'!$D:$D,I1187,'Level of Efficiency Assumptions'!$F:$F,J1187,'Level of Efficiency Assumptions'!$I:$I,'Water Use Calcs'!L1187)</f>
        <v>10</v>
      </c>
      <c r="N1187" s="567" t="s">
        <v>660</v>
      </c>
      <c r="O1187" s="1048">
        <f>SUMIFS('Detailed Fixture Data'!O:O,'Detailed Fixture Data'!C:C,G1187,'Detailed Fixture Data'!E:E,I1187,'Detailed Fixture Data'!F:F,J1187,'Detailed Fixture Data'!L:L,L1187)</f>
        <v>0</v>
      </c>
      <c r="P1187" s="1030">
        <f>SUMIFS('Intensity of Use Assumptions'!$J:$J,'Intensity of Use Assumptions'!$D:$D,I1187,'Intensity of Use Assumptions'!$G:$G,J1187,'Intensity of Use Assumptions'!H:H,K1187)</f>
        <v>1</v>
      </c>
      <c r="Q1187" s="567" t="s">
        <v>67</v>
      </c>
      <c r="R1187" s="1032">
        <f>(SUMPRODUCT(M1187:M1189,O1187:O1189)*P1187)</f>
        <v>0</v>
      </c>
      <c r="S1187" s="1033">
        <f>IF(R1187=0,0,M1189*P1187)</f>
        <v>0</v>
      </c>
      <c r="T1187" s="225" t="str">
        <f>G1187&amp;"-"&amp;J1187</f>
        <v>Tenant C-Other 3</v>
      </c>
      <c r="U1187" s="1034">
        <f ca="1">IF(ISNA(VLOOKUP(T1187,list!$AV$3:$AW$130,2,FALSE)),1,(VLOOKUP(T1187,list!$AV$3:$AW$130,2,FALSE)))</f>
        <v>1</v>
      </c>
      <c r="V1187" s="1033">
        <f ca="1">R1187*U1187</f>
        <v>0</v>
      </c>
      <c r="W1187" s="1033">
        <f ca="1">S1187*U1187</f>
        <v>0</v>
      </c>
    </row>
    <row r="1188" spans="3:23" x14ac:dyDescent="0.3">
      <c r="C1188" s="576"/>
      <c r="D1188" s="493" t="s">
        <v>471</v>
      </c>
      <c r="E1188" s="494"/>
      <c r="F1188" s="182"/>
      <c r="G1188" s="494" t="s">
        <v>108</v>
      </c>
      <c r="H1188" s="577"/>
      <c r="I1188" s="450" t="s">
        <v>8</v>
      </c>
      <c r="J1188" s="577" t="s">
        <v>54</v>
      </c>
      <c r="K1188" s="577"/>
      <c r="L1188" s="1035" t="s">
        <v>65</v>
      </c>
      <c r="M1188" s="1036">
        <f>SUMIFS('Level of Efficiency Assumptions'!$J:$J,'Level of Efficiency Assumptions'!$D:$D,I1188,'Level of Efficiency Assumptions'!$F:$F,J1188,'Level of Efficiency Assumptions'!$I:$I,'Water Use Calcs'!L1188)</f>
        <v>7.5</v>
      </c>
      <c r="N1188" s="577"/>
      <c r="O1188" s="1048">
        <f>SUMIFS('Detailed Fixture Data'!O:O,'Detailed Fixture Data'!C:C,G1188,'Detailed Fixture Data'!E:E,I1188,'Detailed Fixture Data'!F:F,J1188,'Detailed Fixture Data'!L:L,L1188)</f>
        <v>0</v>
      </c>
      <c r="P1188" s="1049"/>
      <c r="Q1188" s="577"/>
      <c r="R1188" s="1039"/>
      <c r="S1188" s="521"/>
      <c r="T1188" s="225"/>
      <c r="U1188" s="521"/>
      <c r="V1188" s="1040"/>
      <c r="W1188" s="1041"/>
    </row>
    <row r="1189" spans="3:23" ht="15" thickBot="1" x14ac:dyDescent="0.35">
      <c r="C1189" s="576"/>
      <c r="D1189" s="500" t="s">
        <v>471</v>
      </c>
      <c r="E1189" s="501"/>
      <c r="F1189" s="184"/>
      <c r="G1189" s="501" t="s">
        <v>108</v>
      </c>
      <c r="H1189" s="116"/>
      <c r="I1189" s="451" t="s">
        <v>8</v>
      </c>
      <c r="J1189" s="116" t="s">
        <v>54</v>
      </c>
      <c r="K1189" s="116"/>
      <c r="L1189" s="1042" t="s">
        <v>66</v>
      </c>
      <c r="M1189" s="1043">
        <f>SUMIFS('Level of Efficiency Assumptions'!$J:$J,'Level of Efficiency Assumptions'!$D:$D,I1189,'Level of Efficiency Assumptions'!$F:$F,J1189,'Level of Efficiency Assumptions'!$I:$I,'Water Use Calcs'!L1189)</f>
        <v>5</v>
      </c>
      <c r="N1189" s="116"/>
      <c r="O1189" s="1048">
        <f>SUMIFS('Detailed Fixture Data'!O:O,'Detailed Fixture Data'!C:C,G1189,'Detailed Fixture Data'!E:E,I1189,'Detailed Fixture Data'!F:F,J1189,'Detailed Fixture Data'!L:L,L1189)</f>
        <v>0</v>
      </c>
      <c r="P1189" s="1049"/>
      <c r="Q1189" s="116"/>
      <c r="R1189" s="1045"/>
      <c r="S1189" s="618"/>
      <c r="T1189" s="225"/>
      <c r="U1189" s="618"/>
      <c r="V1189" s="1045"/>
      <c r="W1189" s="1046"/>
    </row>
    <row r="1190" spans="3:23" x14ac:dyDescent="0.3">
      <c r="C1190" s="576"/>
      <c r="D1190" s="493" t="s">
        <v>471</v>
      </c>
      <c r="E1190" s="619" t="str">
        <f>G1190</f>
        <v>Tenant D</v>
      </c>
      <c r="F1190" s="565" t="str">
        <f>VLOOKUP(E1190,'Airport Mapping'!$C$5:$D$39,2,FALSE)</f>
        <v xml:space="preserve"> </v>
      </c>
      <c r="G1190" s="494" t="s">
        <v>109</v>
      </c>
      <c r="H1190" s="651" t="str">
        <f>I1190</f>
        <v>Restrooms</v>
      </c>
      <c r="I1190" s="454" t="s">
        <v>37</v>
      </c>
      <c r="J1190" s="567" t="s">
        <v>2</v>
      </c>
      <c r="K1190" s="577" t="s">
        <v>6</v>
      </c>
      <c r="L1190" s="1028" t="s">
        <v>64</v>
      </c>
      <c r="M1190" s="1036">
        <f>SUMIFS('Level of Efficiency Assumptions'!$J:$J,'Level of Efficiency Assumptions'!$D:$D,I1190,'Level of Efficiency Assumptions'!$F:$F,J1190,'Level of Efficiency Assumptions'!$I:$I,'Water Use Calcs'!L1190)</f>
        <v>3.5</v>
      </c>
      <c r="N1190" s="567" t="s">
        <v>68</v>
      </c>
      <c r="O1190" s="1048">
        <f>SUMIFS('Detailed Fixture Data'!O:O,'Detailed Fixture Data'!C:C,G1190,'Detailed Fixture Data'!E:E,I1190,'Detailed Fixture Data'!F:F,J1190,'Detailed Fixture Data'!L:L,L1190)</f>
        <v>0</v>
      </c>
      <c r="P1190" s="1030">
        <f>SUMIFS('Intensity of Use Assumptions'!$J:$J,'Intensity of Use Assumptions'!$D:$D,I1190,'Intensity of Use Assumptions'!$G:$G,J1190,'Intensity of Use Assumptions'!H:H,K1190)</f>
        <v>2.5</v>
      </c>
      <c r="Q1190" s="567" t="s">
        <v>67</v>
      </c>
      <c r="R1190" s="1032">
        <f>(SUMPRODUCT(M1190:M1192,O1190:O1192)*P1190)</f>
        <v>0</v>
      </c>
      <c r="S1190" s="1033">
        <f>IF(R1190=0,0,M1192*P1190)</f>
        <v>0</v>
      </c>
      <c r="T1190" s="225" t="str">
        <f>G1190&amp;"-"&amp;J1190</f>
        <v>Tenant D-Toilets</v>
      </c>
      <c r="U1190" s="1034">
        <f ca="1">IF(ISNA(VLOOKUP(T1190,list!$AV$3:$AW$130,2,FALSE)),1,(VLOOKUP(T1190,list!$AV$3:$AW$130,2,FALSE)))</f>
        <v>1</v>
      </c>
      <c r="V1190" s="1033">
        <f ca="1">R1190*U1190</f>
        <v>0</v>
      </c>
      <c r="W1190" s="1033">
        <f ca="1">S1190*U1190</f>
        <v>0</v>
      </c>
    </row>
    <row r="1191" spans="3:23" x14ac:dyDescent="0.3">
      <c r="C1191" s="576"/>
      <c r="D1191" s="493" t="s">
        <v>471</v>
      </c>
      <c r="E1191" s="494"/>
      <c r="F1191" s="182"/>
      <c r="G1191" s="494" t="s">
        <v>109</v>
      </c>
      <c r="H1191" s="577"/>
      <c r="I1191" s="450" t="s">
        <v>37</v>
      </c>
      <c r="J1191" s="577" t="s">
        <v>2</v>
      </c>
      <c r="K1191" s="577"/>
      <c r="L1191" s="1035" t="s">
        <v>65</v>
      </c>
      <c r="M1191" s="1036">
        <f>SUMIFS('Level of Efficiency Assumptions'!$J:$J,'Level of Efficiency Assumptions'!$D:$D,I1191,'Level of Efficiency Assumptions'!$F:$F,J1191,'Level of Efficiency Assumptions'!$I:$I,'Water Use Calcs'!L1191)</f>
        <v>1.6</v>
      </c>
      <c r="N1191" s="577"/>
      <c r="O1191" s="1048">
        <f>SUMIFS('Detailed Fixture Data'!O:O,'Detailed Fixture Data'!C:C,G1191,'Detailed Fixture Data'!E:E,I1191,'Detailed Fixture Data'!F:F,J1191,'Detailed Fixture Data'!L:L,L1191)</f>
        <v>0</v>
      </c>
      <c r="P1191" s="1049"/>
      <c r="Q1191" s="577"/>
      <c r="R1191" s="1039"/>
      <c r="S1191" s="521"/>
      <c r="T1191" s="225"/>
      <c r="U1191" s="521"/>
      <c r="V1191" s="1040"/>
      <c r="W1191" s="1041"/>
    </row>
    <row r="1192" spans="3:23" ht="15" thickBot="1" x14ac:dyDescent="0.35">
      <c r="C1192" s="576"/>
      <c r="D1192" s="493" t="s">
        <v>471</v>
      </c>
      <c r="E1192" s="494"/>
      <c r="F1192" s="182"/>
      <c r="G1192" s="494" t="s">
        <v>109</v>
      </c>
      <c r="H1192" s="577"/>
      <c r="I1192" s="450" t="s">
        <v>37</v>
      </c>
      <c r="J1192" s="116" t="s">
        <v>2</v>
      </c>
      <c r="K1192" s="116"/>
      <c r="L1192" s="1042" t="s">
        <v>66</v>
      </c>
      <c r="M1192" s="1043">
        <f>SUMIFS('Level of Efficiency Assumptions'!$J:$J,'Level of Efficiency Assumptions'!$D:$D,I1192,'Level of Efficiency Assumptions'!$F:$F,J1192,'Level of Efficiency Assumptions'!$I:$I,'Water Use Calcs'!L1192)</f>
        <v>1.28</v>
      </c>
      <c r="N1192" s="577"/>
      <c r="O1192" s="1048">
        <f>SUMIFS('Detailed Fixture Data'!O:O,'Detailed Fixture Data'!C:C,G1192,'Detailed Fixture Data'!E:E,I1192,'Detailed Fixture Data'!F:F,J1192,'Detailed Fixture Data'!L:L,L1192)</f>
        <v>0</v>
      </c>
      <c r="P1192" s="1049"/>
      <c r="Q1192" s="577"/>
      <c r="R1192" s="1039"/>
      <c r="S1192" s="618"/>
      <c r="T1192" s="225"/>
      <c r="U1192" s="618"/>
      <c r="V1192" s="1045"/>
      <c r="W1192" s="1046"/>
    </row>
    <row r="1193" spans="3:23" x14ac:dyDescent="0.3">
      <c r="C1193" s="576"/>
      <c r="D1193" s="493" t="s">
        <v>471</v>
      </c>
      <c r="E1193" s="494"/>
      <c r="F1193" s="182"/>
      <c r="G1193" s="494" t="s">
        <v>109</v>
      </c>
      <c r="H1193" s="577"/>
      <c r="I1193" s="450" t="s">
        <v>37</v>
      </c>
      <c r="J1193" s="577" t="s">
        <v>4</v>
      </c>
      <c r="K1193" s="577" t="s">
        <v>6</v>
      </c>
      <c r="L1193" s="1047" t="s">
        <v>64</v>
      </c>
      <c r="M1193" s="1036">
        <f>SUMIFS('Level of Efficiency Assumptions'!$J:$J,'Level of Efficiency Assumptions'!$D:$D,I1193,'Level of Efficiency Assumptions'!$F:$F,J1193,'Level of Efficiency Assumptions'!$I:$I,'Water Use Calcs'!L1193)</f>
        <v>2</v>
      </c>
      <c r="N1193" s="567" t="s">
        <v>68</v>
      </c>
      <c r="O1193" s="1048">
        <f>SUMIFS('Detailed Fixture Data'!O:O,'Detailed Fixture Data'!C:C,G1193,'Detailed Fixture Data'!E:E,I1193,'Detailed Fixture Data'!F:F,J1193,'Detailed Fixture Data'!L:L,L1193)</f>
        <v>0</v>
      </c>
      <c r="P1193" s="1030">
        <f>SUMIFS('Intensity of Use Assumptions'!$J:$J,'Intensity of Use Assumptions'!$D:$D,I1193,'Intensity of Use Assumptions'!$G:$G,J1193,'Intensity of Use Assumptions'!H:H,K1193)</f>
        <v>1.5</v>
      </c>
      <c r="Q1193" s="567" t="s">
        <v>67</v>
      </c>
      <c r="R1193" s="1032">
        <f>(SUMPRODUCT(M1193:M1195,O1193:O1195)*P1193)</f>
        <v>0</v>
      </c>
      <c r="S1193" s="1033">
        <f>IF(R1193=0,0,M1195*P1193)</f>
        <v>0</v>
      </c>
      <c r="T1193" s="225" t="str">
        <f>G1193&amp;"-"&amp;J1193</f>
        <v>Tenant D-Urinals</v>
      </c>
      <c r="U1193" s="1034">
        <f ca="1">IF(ISNA(VLOOKUP(T1193,list!$AV$3:$AW$130,2,FALSE)),1,(VLOOKUP(T1193,list!$AV$3:$AW$130,2,FALSE)))</f>
        <v>1</v>
      </c>
      <c r="V1193" s="1033">
        <f ca="1">R1193*U1193</f>
        <v>0</v>
      </c>
      <c r="W1193" s="1033">
        <f ca="1">S1193*U1193</f>
        <v>0</v>
      </c>
    </row>
    <row r="1194" spans="3:23" x14ac:dyDescent="0.3">
      <c r="C1194" s="576"/>
      <c r="D1194" s="493" t="s">
        <v>471</v>
      </c>
      <c r="E1194" s="494"/>
      <c r="F1194" s="182"/>
      <c r="G1194" s="494" t="s">
        <v>109</v>
      </c>
      <c r="H1194" s="577"/>
      <c r="I1194" s="450" t="s">
        <v>37</v>
      </c>
      <c r="J1194" s="577" t="s">
        <v>4</v>
      </c>
      <c r="K1194" s="577"/>
      <c r="L1194" s="1035" t="s">
        <v>65</v>
      </c>
      <c r="M1194" s="1036">
        <f>SUMIFS('Level of Efficiency Assumptions'!$J:$J,'Level of Efficiency Assumptions'!$D:$D,I1194,'Level of Efficiency Assumptions'!$F:$F,J1194,'Level of Efficiency Assumptions'!$I:$I,'Water Use Calcs'!L1194)</f>
        <v>1</v>
      </c>
      <c r="N1194" s="577"/>
      <c r="O1194" s="1048">
        <f>SUMIFS('Detailed Fixture Data'!O:O,'Detailed Fixture Data'!C:C,G1194,'Detailed Fixture Data'!E:E,I1194,'Detailed Fixture Data'!F:F,J1194,'Detailed Fixture Data'!L:L,L1194)</f>
        <v>0</v>
      </c>
      <c r="P1194" s="1049"/>
      <c r="Q1194" s="577"/>
      <c r="R1194" s="1039"/>
      <c r="S1194" s="521"/>
      <c r="T1194" s="225"/>
      <c r="U1194" s="521"/>
      <c r="V1194" s="1040"/>
      <c r="W1194" s="1041"/>
    </row>
    <row r="1195" spans="3:23" ht="15" thickBot="1" x14ac:dyDescent="0.35">
      <c r="C1195" s="576"/>
      <c r="D1195" s="493" t="s">
        <v>471</v>
      </c>
      <c r="E1195" s="494"/>
      <c r="F1195" s="182"/>
      <c r="G1195" s="494" t="s">
        <v>109</v>
      </c>
      <c r="H1195" s="577"/>
      <c r="I1195" s="450" t="s">
        <v>37</v>
      </c>
      <c r="J1195" s="116" t="s">
        <v>4</v>
      </c>
      <c r="K1195" s="116"/>
      <c r="L1195" s="1042" t="s">
        <v>66</v>
      </c>
      <c r="M1195" s="1043">
        <f>SUMIFS('Level of Efficiency Assumptions'!$J:$J,'Level of Efficiency Assumptions'!$D:$D,I1195,'Level of Efficiency Assumptions'!$F:$F,J1195,'Level of Efficiency Assumptions'!$I:$I,'Water Use Calcs'!L1195)</f>
        <v>0.125</v>
      </c>
      <c r="N1195" s="577"/>
      <c r="O1195" s="1048">
        <f>SUMIFS('Detailed Fixture Data'!O:O,'Detailed Fixture Data'!C:C,G1195,'Detailed Fixture Data'!E:E,I1195,'Detailed Fixture Data'!F:F,J1195,'Detailed Fixture Data'!L:L,L1195)</f>
        <v>0</v>
      </c>
      <c r="P1195" s="1049"/>
      <c r="Q1195" s="577"/>
      <c r="R1195" s="1039"/>
      <c r="S1195" s="618"/>
      <c r="T1195" s="225"/>
      <c r="U1195" s="618"/>
      <c r="V1195" s="1045"/>
      <c r="W1195" s="1046"/>
    </row>
    <row r="1196" spans="3:23" x14ac:dyDescent="0.3">
      <c r="C1196" s="576"/>
      <c r="D1196" s="493" t="s">
        <v>471</v>
      </c>
      <c r="E1196" s="494"/>
      <c r="F1196" s="182"/>
      <c r="G1196" s="494" t="s">
        <v>109</v>
      </c>
      <c r="H1196" s="577"/>
      <c r="I1196" s="450" t="s">
        <v>37</v>
      </c>
      <c r="J1196" s="577" t="s">
        <v>33</v>
      </c>
      <c r="K1196" s="577" t="s">
        <v>6</v>
      </c>
      <c r="L1196" s="1047" t="s">
        <v>64</v>
      </c>
      <c r="M1196" s="1036">
        <f>SUMIFS('Level of Efficiency Assumptions'!$J:$J,'Level of Efficiency Assumptions'!$D:$D,I1196,'Level of Efficiency Assumptions'!$F:$F,J1196,'Level of Efficiency Assumptions'!$I:$I,'Water Use Calcs'!L1196)</f>
        <v>2</v>
      </c>
      <c r="N1196" s="567" t="s">
        <v>78</v>
      </c>
      <c r="O1196" s="1048">
        <f>SUMIFS('Detailed Fixture Data'!O:O,'Detailed Fixture Data'!C:C,G1196,'Detailed Fixture Data'!E:E,I1196,'Detailed Fixture Data'!F:F,J1196,'Detailed Fixture Data'!L:L,L1196)</f>
        <v>0</v>
      </c>
      <c r="P1196" s="1030">
        <f>SUMIFS('Intensity of Use Assumptions'!$J:$J,'Intensity of Use Assumptions'!$D:$D,I1196,'Intensity of Use Assumptions'!$G:$G,J1196,'Intensity of Use Assumptions'!H:H,K1196)</f>
        <v>0.66666666666666663</v>
      </c>
      <c r="Q1196" s="567" t="s">
        <v>133</v>
      </c>
      <c r="R1196" s="1032">
        <f>(SUMPRODUCT(M1196:M1198,O1196:O1198)*P1196)</f>
        <v>0</v>
      </c>
      <c r="S1196" s="1033">
        <f>IF(R1196=0,0,M1198*P1196)</f>
        <v>0</v>
      </c>
      <c r="T1196" s="225" t="str">
        <f>G1196&amp;"-"&amp;J1196</f>
        <v>Tenant D-Faucets</v>
      </c>
      <c r="U1196" s="1034">
        <f ca="1">IF(ISNA(VLOOKUP(T1196,list!$AV$3:$AW$130,2,FALSE)),1,(VLOOKUP(T1196,list!$AV$3:$AW$130,2,FALSE)))</f>
        <v>1</v>
      </c>
      <c r="V1196" s="1033">
        <f ca="1">R1196*U1196</f>
        <v>0</v>
      </c>
      <c r="W1196" s="1033">
        <f ca="1">S1196*U1196</f>
        <v>0</v>
      </c>
    </row>
    <row r="1197" spans="3:23" x14ac:dyDescent="0.3">
      <c r="C1197" s="576"/>
      <c r="D1197" s="493" t="s">
        <v>471</v>
      </c>
      <c r="E1197" s="494"/>
      <c r="F1197" s="182"/>
      <c r="G1197" s="494" t="s">
        <v>109</v>
      </c>
      <c r="H1197" s="577"/>
      <c r="I1197" s="450" t="s">
        <v>37</v>
      </c>
      <c r="J1197" s="577" t="s">
        <v>33</v>
      </c>
      <c r="K1197" s="577"/>
      <c r="L1197" s="1035" t="s">
        <v>65</v>
      </c>
      <c r="M1197" s="1036">
        <f>SUMIFS('Level of Efficiency Assumptions'!$J:$J,'Level of Efficiency Assumptions'!$D:$D,I1197,'Level of Efficiency Assumptions'!$F:$F,J1197,'Level of Efficiency Assumptions'!$I:$I,'Water Use Calcs'!L1197)</f>
        <v>1</v>
      </c>
      <c r="N1197" s="577"/>
      <c r="O1197" s="1048">
        <f>SUMIFS('Detailed Fixture Data'!O:O,'Detailed Fixture Data'!C:C,G1197,'Detailed Fixture Data'!E:E,I1197,'Detailed Fixture Data'!F:F,J1197,'Detailed Fixture Data'!L:L,L1197)</f>
        <v>0</v>
      </c>
      <c r="P1197" s="1049"/>
      <c r="Q1197" s="577"/>
      <c r="R1197" s="1039"/>
      <c r="S1197" s="521"/>
      <c r="T1197" s="225"/>
      <c r="U1197" s="521"/>
      <c r="V1197" s="1040"/>
      <c r="W1197" s="1041"/>
    </row>
    <row r="1198" spans="3:23" ht="15" thickBot="1" x14ac:dyDescent="0.35">
      <c r="C1198" s="576"/>
      <c r="D1198" s="493" t="s">
        <v>471</v>
      </c>
      <c r="E1198" s="494"/>
      <c r="F1198" s="182"/>
      <c r="G1198" s="494" t="s">
        <v>109</v>
      </c>
      <c r="H1198" s="577"/>
      <c r="I1198" s="451" t="s">
        <v>37</v>
      </c>
      <c r="J1198" s="116" t="s">
        <v>33</v>
      </c>
      <c r="K1198" s="116"/>
      <c r="L1198" s="1042" t="s">
        <v>66</v>
      </c>
      <c r="M1198" s="1043">
        <f>SUMIFS('Level of Efficiency Assumptions'!$J:$J,'Level of Efficiency Assumptions'!$D:$D,I1198,'Level of Efficiency Assumptions'!$F:$F,J1198,'Level of Efficiency Assumptions'!$I:$I,'Water Use Calcs'!L1198)</f>
        <v>0.5</v>
      </c>
      <c r="N1198" s="577"/>
      <c r="O1198" s="1048">
        <f>SUMIFS('Detailed Fixture Data'!O:O,'Detailed Fixture Data'!C:C,G1198,'Detailed Fixture Data'!E:E,I1198,'Detailed Fixture Data'!F:F,J1198,'Detailed Fixture Data'!L:L,L1198)</f>
        <v>0</v>
      </c>
      <c r="P1198" s="1049"/>
      <c r="Q1198" s="577"/>
      <c r="R1198" s="1039"/>
      <c r="S1198" s="618"/>
      <c r="T1198" s="225"/>
      <c r="U1198" s="618"/>
      <c r="V1198" s="1045"/>
      <c r="W1198" s="1046"/>
    </row>
    <row r="1199" spans="3:23" x14ac:dyDescent="0.3">
      <c r="C1199" s="576"/>
      <c r="D1199" s="493" t="s">
        <v>471</v>
      </c>
      <c r="E1199" s="494"/>
      <c r="F1199" s="182"/>
      <c r="G1199" s="494" t="s">
        <v>109</v>
      </c>
      <c r="H1199" s="651" t="str">
        <f>I1199</f>
        <v>Break rooms</v>
      </c>
      <c r="I1199" s="450" t="s">
        <v>5</v>
      </c>
      <c r="J1199" s="577" t="s">
        <v>33</v>
      </c>
      <c r="K1199" s="577" t="s">
        <v>6</v>
      </c>
      <c r="L1199" s="1047" t="s">
        <v>64</v>
      </c>
      <c r="M1199" s="1036">
        <f>SUMIFS('Level of Efficiency Assumptions'!$J:$J,'Level of Efficiency Assumptions'!$D:$D,I1199,'Level of Efficiency Assumptions'!$F:$F,J1199,'Level of Efficiency Assumptions'!$I:$I,'Water Use Calcs'!L1199)</f>
        <v>2</v>
      </c>
      <c r="N1199" s="567" t="s">
        <v>78</v>
      </c>
      <c r="O1199" s="1048">
        <f>SUMIFS('Detailed Fixture Data'!O:O,'Detailed Fixture Data'!C:C,G1199,'Detailed Fixture Data'!E:E,I1199,'Detailed Fixture Data'!F:F,J1199,'Detailed Fixture Data'!L:L,L1199)</f>
        <v>0</v>
      </c>
      <c r="P1199" s="1030">
        <f>SUMIFS('Intensity of Use Assumptions'!$J:$J,'Intensity of Use Assumptions'!$D:$D,I1199,'Intensity of Use Assumptions'!$G:$G,J1199,'Intensity of Use Assumptions'!H:H,K1199)</f>
        <v>0.16666666666666666</v>
      </c>
      <c r="Q1199" s="567" t="s">
        <v>133</v>
      </c>
      <c r="R1199" s="1032">
        <f>(SUMPRODUCT(M1199:M1201,O1199:O1201)*P1199)</f>
        <v>0</v>
      </c>
      <c r="S1199" s="1033">
        <f>IF(R1199=0,0,M1201*P1199)</f>
        <v>0</v>
      </c>
      <c r="T1199" s="225" t="str">
        <f>G1199&amp;"-"&amp;J1199</f>
        <v>Tenant D-Faucets</v>
      </c>
      <c r="U1199" s="1034">
        <f ca="1">IF(ISNA(VLOOKUP(T1199,list!$AV$3:$AW$130,2,FALSE)),1,(VLOOKUP(T1199,list!$AV$3:$AW$130,2,FALSE)))</f>
        <v>1</v>
      </c>
      <c r="V1199" s="1033">
        <f ca="1">R1199*U1199</f>
        <v>0</v>
      </c>
      <c r="W1199" s="1033">
        <f ca="1">S1199*U1199</f>
        <v>0</v>
      </c>
    </row>
    <row r="1200" spans="3:23" x14ac:dyDescent="0.3">
      <c r="C1200" s="576"/>
      <c r="D1200" s="493" t="s">
        <v>471</v>
      </c>
      <c r="E1200" s="494"/>
      <c r="F1200" s="182"/>
      <c r="G1200" s="494" t="s">
        <v>109</v>
      </c>
      <c r="H1200" s="577"/>
      <c r="I1200" s="450" t="s">
        <v>5</v>
      </c>
      <c r="J1200" s="577" t="s">
        <v>33</v>
      </c>
      <c r="K1200" s="577"/>
      <c r="L1200" s="1035" t="s">
        <v>65</v>
      </c>
      <c r="M1200" s="1036">
        <f>SUMIFS('Level of Efficiency Assumptions'!$J:$J,'Level of Efficiency Assumptions'!$D:$D,I1200,'Level of Efficiency Assumptions'!$F:$F,J1200,'Level of Efficiency Assumptions'!$I:$I,'Water Use Calcs'!L1200)</f>
        <v>1</v>
      </c>
      <c r="N1200" s="577"/>
      <c r="O1200" s="1048">
        <f>SUMIFS('Detailed Fixture Data'!O:O,'Detailed Fixture Data'!C:C,G1200,'Detailed Fixture Data'!E:E,I1200,'Detailed Fixture Data'!F:F,J1200,'Detailed Fixture Data'!L:L,L1200)</f>
        <v>0</v>
      </c>
      <c r="P1200" s="1049"/>
      <c r="Q1200" s="577"/>
      <c r="R1200" s="1039"/>
      <c r="S1200" s="521"/>
      <c r="T1200" s="225"/>
      <c r="U1200" s="521"/>
      <c r="V1200" s="1040"/>
      <c r="W1200" s="1041"/>
    </row>
    <row r="1201" spans="3:23" ht="15" thickBot="1" x14ac:dyDescent="0.35">
      <c r="C1201" s="576"/>
      <c r="D1201" s="493" t="s">
        <v>471</v>
      </c>
      <c r="E1201" s="494"/>
      <c r="F1201" s="182"/>
      <c r="G1201" s="494" t="s">
        <v>109</v>
      </c>
      <c r="H1201" s="577"/>
      <c r="I1201" s="451" t="s">
        <v>5</v>
      </c>
      <c r="J1201" s="116" t="s">
        <v>33</v>
      </c>
      <c r="K1201" s="116"/>
      <c r="L1201" s="1042" t="s">
        <v>66</v>
      </c>
      <c r="M1201" s="1043">
        <f>SUMIFS('Level of Efficiency Assumptions'!$J:$J,'Level of Efficiency Assumptions'!$D:$D,I1201,'Level of Efficiency Assumptions'!$F:$F,J1201,'Level of Efficiency Assumptions'!$I:$I,'Water Use Calcs'!L1201)</f>
        <v>0.5</v>
      </c>
      <c r="N1201" s="577"/>
      <c r="O1201" s="1048">
        <f>SUMIFS('Detailed Fixture Data'!O:O,'Detailed Fixture Data'!C:C,G1201,'Detailed Fixture Data'!E:E,I1201,'Detailed Fixture Data'!F:F,J1201,'Detailed Fixture Data'!L:L,L1201)</f>
        <v>0</v>
      </c>
      <c r="P1201" s="1049"/>
      <c r="Q1201" s="577"/>
      <c r="R1201" s="1039"/>
      <c r="S1201" s="618"/>
      <c r="T1201" s="225"/>
      <c r="U1201" s="618"/>
      <c r="V1201" s="1045"/>
      <c r="W1201" s="1046"/>
    </row>
    <row r="1202" spans="3:23" x14ac:dyDescent="0.3">
      <c r="C1202" s="576"/>
      <c r="D1202" s="493" t="s">
        <v>471</v>
      </c>
      <c r="E1202" s="494"/>
      <c r="F1202" s="182"/>
      <c r="G1202" s="494" t="s">
        <v>109</v>
      </c>
      <c r="H1202" s="651" t="str">
        <f>I1202</f>
        <v>Flight kitchens</v>
      </c>
      <c r="I1202" s="450" t="s">
        <v>391</v>
      </c>
      <c r="J1202" s="577" t="s">
        <v>114</v>
      </c>
      <c r="K1202" s="577" t="s">
        <v>118</v>
      </c>
      <c r="L1202" s="1047" t="s">
        <v>64</v>
      </c>
      <c r="M1202" s="1036">
        <f>SUMIFS('Level of Efficiency Assumptions'!$J:$J,'Level of Efficiency Assumptions'!$D:$D,I1202,'Level of Efficiency Assumptions'!$F:$F,J1202,'Level of Efficiency Assumptions'!$I:$I,'Water Use Calcs'!L1202)</f>
        <v>2</v>
      </c>
      <c r="N1202" s="567" t="s">
        <v>78</v>
      </c>
      <c r="O1202" s="1048">
        <f>SUMIFS('Detailed Fixture Data'!O:O,'Detailed Fixture Data'!C:C,G1202,'Detailed Fixture Data'!E:E,I1202,'Detailed Fixture Data'!F:F,J1202,'Detailed Fixture Data'!L:L,L1202)</f>
        <v>0</v>
      </c>
      <c r="P1202" s="1030">
        <f>SUMIFS('Intensity of Use Assumptions'!$J:$J,'Intensity of Use Assumptions'!$D:$D,I1202,'Intensity of Use Assumptions'!$G:$G,J1202,'Intensity of Use Assumptions'!H:H,K1202)</f>
        <v>1</v>
      </c>
      <c r="Q1202" s="567" t="s">
        <v>133</v>
      </c>
      <c r="R1202" s="1032">
        <f>(SUMPRODUCT(M1202:M1204,O1202:O1204)*P1202)</f>
        <v>0</v>
      </c>
      <c r="S1202" s="1033">
        <f>IF(R1202=0,0,M1204*P1202)</f>
        <v>0</v>
      </c>
      <c r="T1202" s="225" t="str">
        <f>G1202&amp;"-"&amp;J1202</f>
        <v>Tenant D-Kitchen faucets</v>
      </c>
      <c r="U1202" s="1034">
        <f ca="1">IF(ISNA(VLOOKUP(T1202,list!$AV$3:$AW$130,2,FALSE)),1,(VLOOKUP(T1202,list!$AV$3:$AW$130,2,FALSE)))</f>
        <v>1</v>
      </c>
      <c r="V1202" s="1033">
        <f ca="1">R1202*U1202</f>
        <v>0</v>
      </c>
      <c r="W1202" s="1033">
        <f ca="1">S1202*U1202</f>
        <v>0</v>
      </c>
    </row>
    <row r="1203" spans="3:23" x14ac:dyDescent="0.3">
      <c r="C1203" s="576"/>
      <c r="D1203" s="493" t="s">
        <v>471</v>
      </c>
      <c r="E1203" s="494"/>
      <c r="F1203" s="182"/>
      <c r="G1203" s="494" t="s">
        <v>109</v>
      </c>
      <c r="H1203" s="577"/>
      <c r="I1203" s="450" t="s">
        <v>391</v>
      </c>
      <c r="J1203" s="577" t="s">
        <v>114</v>
      </c>
      <c r="K1203" s="577"/>
      <c r="L1203" s="1035" t="s">
        <v>65</v>
      </c>
      <c r="M1203" s="1036">
        <f>SUMIFS('Level of Efficiency Assumptions'!$J:$J,'Level of Efficiency Assumptions'!$D:$D,I1203,'Level of Efficiency Assumptions'!$F:$F,J1203,'Level of Efficiency Assumptions'!$I:$I,'Water Use Calcs'!L1203)</f>
        <v>1</v>
      </c>
      <c r="N1203" s="577"/>
      <c r="O1203" s="1048">
        <f>SUMIFS('Detailed Fixture Data'!O:O,'Detailed Fixture Data'!C:C,G1203,'Detailed Fixture Data'!E:E,I1203,'Detailed Fixture Data'!F:F,J1203,'Detailed Fixture Data'!L:L,L1203)</f>
        <v>0</v>
      </c>
      <c r="P1203" s="1049"/>
      <c r="Q1203" s="577"/>
      <c r="R1203" s="1039"/>
      <c r="S1203" s="521"/>
      <c r="T1203" s="225"/>
      <c r="U1203" s="521"/>
      <c r="V1203" s="1040"/>
      <c r="W1203" s="1041"/>
    </row>
    <row r="1204" spans="3:23" ht="15" thickBot="1" x14ac:dyDescent="0.35">
      <c r="C1204" s="576"/>
      <c r="D1204" s="493" t="s">
        <v>471</v>
      </c>
      <c r="E1204" s="494"/>
      <c r="F1204" s="182"/>
      <c r="G1204" s="494" t="s">
        <v>109</v>
      </c>
      <c r="H1204" s="577"/>
      <c r="I1204" s="450" t="s">
        <v>391</v>
      </c>
      <c r="J1204" s="116" t="s">
        <v>114</v>
      </c>
      <c r="K1204" s="116"/>
      <c r="L1204" s="1042" t="s">
        <v>66</v>
      </c>
      <c r="M1204" s="1043">
        <f>SUMIFS('Level of Efficiency Assumptions'!$J:$J,'Level of Efficiency Assumptions'!$D:$D,I1204,'Level of Efficiency Assumptions'!$F:$F,J1204,'Level of Efficiency Assumptions'!$I:$I,'Water Use Calcs'!L1204)</f>
        <v>0.5</v>
      </c>
      <c r="N1204" s="577"/>
      <c r="O1204" s="1048">
        <f>SUMIFS('Detailed Fixture Data'!O:O,'Detailed Fixture Data'!C:C,G1204,'Detailed Fixture Data'!E:E,I1204,'Detailed Fixture Data'!F:F,J1204,'Detailed Fixture Data'!L:L,L1204)</f>
        <v>0</v>
      </c>
      <c r="P1204" s="1049"/>
      <c r="Q1204" s="577"/>
      <c r="R1204" s="1039"/>
      <c r="S1204" s="618"/>
      <c r="T1204" s="225"/>
      <c r="U1204" s="618"/>
      <c r="V1204" s="1045"/>
      <c r="W1204" s="1046"/>
    </row>
    <row r="1205" spans="3:23" x14ac:dyDescent="0.3">
      <c r="C1205" s="576"/>
      <c r="D1205" s="493" t="s">
        <v>471</v>
      </c>
      <c r="E1205" s="494"/>
      <c r="F1205" s="182"/>
      <c r="G1205" s="494" t="s">
        <v>109</v>
      </c>
      <c r="H1205" s="577"/>
      <c r="I1205" s="450" t="s">
        <v>391</v>
      </c>
      <c r="J1205" s="577" t="s">
        <v>41</v>
      </c>
      <c r="K1205" s="577" t="s">
        <v>118</v>
      </c>
      <c r="L1205" s="1047" t="s">
        <v>64</v>
      </c>
      <c r="M1205" s="1036">
        <f>SUMIFS('Level of Efficiency Assumptions'!$J:$J,'Level of Efficiency Assumptions'!$D:$D,I1205,'Level of Efficiency Assumptions'!$F:$F,J1205,'Level of Efficiency Assumptions'!$I:$I,'Water Use Calcs'!L1205)</f>
        <v>4.5</v>
      </c>
      <c r="N1205" s="567" t="s">
        <v>223</v>
      </c>
      <c r="O1205" s="1048">
        <f>SUMIFS('Detailed Fixture Data'!O:O,'Detailed Fixture Data'!C:C,G1205,'Detailed Fixture Data'!E:E,I1205,'Detailed Fixture Data'!F:F,J1205,'Detailed Fixture Data'!L:L,L1205)</f>
        <v>0</v>
      </c>
      <c r="P1205" s="1030">
        <f>SUMIFS('Intensity of Use Assumptions'!$J:$J,'Intensity of Use Assumptions'!$D:$D,I1205,'Intensity of Use Assumptions'!$G:$G,J1205,'Intensity of Use Assumptions'!H:H,K1205)</f>
        <v>0.05</v>
      </c>
      <c r="Q1205" s="567" t="s">
        <v>224</v>
      </c>
      <c r="R1205" s="1032">
        <f>(SUMPRODUCT(M1205:M1207,O1205:O1207)*P1205)</f>
        <v>0</v>
      </c>
      <c r="S1205" s="1033">
        <f>IF(R1205=0,0,M1207*P1205)</f>
        <v>0</v>
      </c>
      <c r="T1205" s="225" t="str">
        <f>G1205&amp;"-"&amp;J1205</f>
        <v>Tenant D-Dishwashers</v>
      </c>
      <c r="U1205" s="1034">
        <f ca="1">IF(ISNA(VLOOKUP(T1205,list!$AV$3:$AW$130,2,FALSE)),1,(VLOOKUP(T1205,list!$AV$3:$AW$130,2,FALSE)))</f>
        <v>1</v>
      </c>
      <c r="V1205" s="1033">
        <f ca="1">R1205*U1205</f>
        <v>0</v>
      </c>
      <c r="W1205" s="1033">
        <f ca="1">S1205*U1205</f>
        <v>0</v>
      </c>
    </row>
    <row r="1206" spans="3:23" x14ac:dyDescent="0.3">
      <c r="C1206" s="576"/>
      <c r="D1206" s="493" t="s">
        <v>471</v>
      </c>
      <c r="E1206" s="494"/>
      <c r="F1206" s="182"/>
      <c r="G1206" s="494" t="s">
        <v>109</v>
      </c>
      <c r="H1206" s="577"/>
      <c r="I1206" s="450" t="s">
        <v>391</v>
      </c>
      <c r="J1206" s="577" t="s">
        <v>41</v>
      </c>
      <c r="K1206" s="577"/>
      <c r="L1206" s="1035" t="s">
        <v>65</v>
      </c>
      <c r="M1206" s="1036">
        <f>SUMIFS('Level of Efficiency Assumptions'!$J:$J,'Level of Efficiency Assumptions'!$D:$D,I1206,'Level of Efficiency Assumptions'!$F:$F,J1206,'Level of Efficiency Assumptions'!$I:$I,'Water Use Calcs'!L1206)</f>
        <v>2.5</v>
      </c>
      <c r="N1206" s="577"/>
      <c r="O1206" s="1048">
        <f>SUMIFS('Detailed Fixture Data'!O:O,'Detailed Fixture Data'!C:C,G1206,'Detailed Fixture Data'!E:E,I1206,'Detailed Fixture Data'!F:F,J1206,'Detailed Fixture Data'!L:L,L1206)</f>
        <v>0</v>
      </c>
      <c r="P1206" s="1049"/>
      <c r="Q1206" s="576" t="s">
        <v>80</v>
      </c>
      <c r="R1206" s="1039"/>
      <c r="S1206" s="521"/>
      <c r="T1206" s="225"/>
      <c r="U1206" s="521"/>
      <c r="V1206" s="1040"/>
      <c r="W1206" s="1041"/>
    </row>
    <row r="1207" spans="3:23" ht="15" thickBot="1" x14ac:dyDescent="0.35">
      <c r="C1207" s="576"/>
      <c r="D1207" s="493" t="s">
        <v>471</v>
      </c>
      <c r="E1207" s="494"/>
      <c r="F1207" s="182"/>
      <c r="G1207" s="494" t="s">
        <v>109</v>
      </c>
      <c r="H1207" s="577"/>
      <c r="I1207" s="450" t="s">
        <v>391</v>
      </c>
      <c r="J1207" s="116" t="s">
        <v>41</v>
      </c>
      <c r="K1207" s="116"/>
      <c r="L1207" s="1042" t="s">
        <v>66</v>
      </c>
      <c r="M1207" s="1043">
        <f>SUMIFS('Level of Efficiency Assumptions'!$J:$J,'Level of Efficiency Assumptions'!$D:$D,I1207,'Level of Efficiency Assumptions'!$F:$F,J1207,'Level of Efficiency Assumptions'!$I:$I,'Water Use Calcs'!L1207)</f>
        <v>1</v>
      </c>
      <c r="N1207" s="577"/>
      <c r="O1207" s="1048">
        <f>SUMIFS('Detailed Fixture Data'!O:O,'Detailed Fixture Data'!C:C,G1207,'Detailed Fixture Data'!E:E,I1207,'Detailed Fixture Data'!F:F,J1207,'Detailed Fixture Data'!L:L,L1207)</f>
        <v>0</v>
      </c>
      <c r="P1207" s="1049"/>
      <c r="Q1207" s="577"/>
      <c r="R1207" s="1039"/>
      <c r="S1207" s="618"/>
      <c r="T1207" s="225"/>
      <c r="U1207" s="618"/>
      <c r="V1207" s="1045"/>
      <c r="W1207" s="1046"/>
    </row>
    <row r="1208" spans="3:23" x14ac:dyDescent="0.3">
      <c r="C1208" s="576"/>
      <c r="D1208" s="493" t="s">
        <v>471</v>
      </c>
      <c r="E1208" s="494"/>
      <c r="F1208" s="182"/>
      <c r="G1208" s="494" t="s">
        <v>109</v>
      </c>
      <c r="H1208" s="577"/>
      <c r="I1208" s="450" t="s">
        <v>391</v>
      </c>
      <c r="J1208" s="577" t="s">
        <v>20</v>
      </c>
      <c r="K1208" s="577" t="s">
        <v>118</v>
      </c>
      <c r="L1208" s="1047" t="s">
        <v>64</v>
      </c>
      <c r="M1208" s="1036">
        <f>SUMIFS('Level of Efficiency Assumptions'!$J:$J,'Level of Efficiency Assumptions'!$D:$D,I1208,'Level of Efficiency Assumptions'!$F:$F,J1208,'Level of Efficiency Assumptions'!$I:$I,'Water Use Calcs'!L1208)</f>
        <v>1.5</v>
      </c>
      <c r="N1208" s="567" t="s">
        <v>222</v>
      </c>
      <c r="O1208" s="1048">
        <f>SUMIFS('Detailed Fixture Data'!O:O,'Detailed Fixture Data'!C:C,G1208,'Detailed Fixture Data'!E:E,I1208,'Detailed Fixture Data'!F:F,J1208,'Detailed Fixture Data'!L:L,L1208)</f>
        <v>0</v>
      </c>
      <c r="P1208" s="1030">
        <f>SUMIFS('Intensity of Use Assumptions'!$J:$J,'Intensity of Use Assumptions'!$D:$D,I1208,'Intensity of Use Assumptions'!$G:$G,J1208,'Intensity of Use Assumptions'!H:H,K1208)</f>
        <v>1</v>
      </c>
      <c r="Q1208" s="567" t="s">
        <v>221</v>
      </c>
      <c r="R1208" s="1032">
        <f>(SUMPRODUCT(M1208:M1210,O1208:O1210)*P1208)</f>
        <v>0</v>
      </c>
      <c r="S1208" s="1033">
        <f>IF(R1208=0,0,M1210*P1208)</f>
        <v>0</v>
      </c>
      <c r="T1208" s="225" t="str">
        <f>G1208&amp;"-"&amp;J1208</f>
        <v>Tenant D-Ice machines</v>
      </c>
      <c r="U1208" s="1034">
        <f ca="1">IF(ISNA(VLOOKUP(T1208,list!$AV$3:$AW$130,2,FALSE)),1,(VLOOKUP(T1208,list!$AV$3:$AW$130,2,FALSE)))</f>
        <v>1</v>
      </c>
      <c r="V1208" s="1033">
        <f ca="1">R1208*U1208</f>
        <v>0</v>
      </c>
      <c r="W1208" s="1033">
        <f ca="1">S1208*U1208</f>
        <v>0</v>
      </c>
    </row>
    <row r="1209" spans="3:23" x14ac:dyDescent="0.3">
      <c r="C1209" s="576"/>
      <c r="D1209" s="493" t="s">
        <v>471</v>
      </c>
      <c r="E1209" s="494"/>
      <c r="F1209" s="182"/>
      <c r="G1209" s="494" t="s">
        <v>109</v>
      </c>
      <c r="H1209" s="577"/>
      <c r="I1209" s="450" t="s">
        <v>391</v>
      </c>
      <c r="J1209" s="577" t="s">
        <v>20</v>
      </c>
      <c r="K1209" s="577"/>
      <c r="L1209" s="1035" t="s">
        <v>65</v>
      </c>
      <c r="M1209" s="1036">
        <f>SUMIFS('Level of Efficiency Assumptions'!$J:$J,'Level of Efficiency Assumptions'!$D:$D,I1209,'Level of Efficiency Assumptions'!$F:$F,J1209,'Level of Efficiency Assumptions'!$I:$I,'Water Use Calcs'!L1209)</f>
        <v>0.25</v>
      </c>
      <c r="N1209" s="577"/>
      <c r="O1209" s="1048">
        <f>SUMIFS('Detailed Fixture Data'!O:O,'Detailed Fixture Data'!C:C,G1209,'Detailed Fixture Data'!E:E,I1209,'Detailed Fixture Data'!F:F,J1209,'Detailed Fixture Data'!L:L,L1209)</f>
        <v>0</v>
      </c>
      <c r="P1209" s="1049"/>
      <c r="Q1209" s="577"/>
      <c r="R1209" s="1039"/>
      <c r="S1209" s="521"/>
      <c r="T1209" s="225"/>
      <c r="U1209" s="521"/>
      <c r="V1209" s="1040"/>
      <c r="W1209" s="1041"/>
    </row>
    <row r="1210" spans="3:23" ht="15" thickBot="1" x14ac:dyDescent="0.35">
      <c r="C1210" s="576"/>
      <c r="D1210" s="493" t="s">
        <v>471</v>
      </c>
      <c r="E1210" s="494"/>
      <c r="F1210" s="182"/>
      <c r="G1210" s="494" t="s">
        <v>109</v>
      </c>
      <c r="H1210" s="577"/>
      <c r="I1210" s="451" t="s">
        <v>391</v>
      </c>
      <c r="J1210" s="116" t="s">
        <v>20</v>
      </c>
      <c r="K1210" s="116"/>
      <c r="L1210" s="1042" t="s">
        <v>66</v>
      </c>
      <c r="M1210" s="1043">
        <f>SUMIFS('Level of Efficiency Assumptions'!$J:$J,'Level of Efficiency Assumptions'!$D:$D,I1210,'Level of Efficiency Assumptions'!$F:$F,J1210,'Level of Efficiency Assumptions'!$I:$I,'Water Use Calcs'!L1210)</f>
        <v>0.12</v>
      </c>
      <c r="N1210" s="577"/>
      <c r="O1210" s="1048">
        <f>SUMIFS('Detailed Fixture Data'!O:O,'Detailed Fixture Data'!C:C,G1210,'Detailed Fixture Data'!E:E,I1210,'Detailed Fixture Data'!F:F,J1210,'Detailed Fixture Data'!L:L,L1210)</f>
        <v>0</v>
      </c>
      <c r="P1210" s="1049"/>
      <c r="Q1210" s="577"/>
      <c r="R1210" s="1039"/>
      <c r="S1210" s="618"/>
      <c r="T1210" s="225"/>
      <c r="U1210" s="618"/>
      <c r="V1210" s="1045"/>
      <c r="W1210" s="1046"/>
    </row>
    <row r="1211" spans="3:23" x14ac:dyDescent="0.3">
      <c r="C1211" s="576"/>
      <c r="D1211" s="493" t="s">
        <v>471</v>
      </c>
      <c r="E1211" s="494"/>
      <c r="F1211" s="182"/>
      <c r="G1211" s="494" t="s">
        <v>109</v>
      </c>
      <c r="H1211" s="651" t="str">
        <f>I1211</f>
        <v>Aircraft</v>
      </c>
      <c r="I1211" s="450" t="s">
        <v>44</v>
      </c>
      <c r="J1211" s="577" t="s">
        <v>27</v>
      </c>
      <c r="K1211" s="577" t="s">
        <v>10</v>
      </c>
      <c r="L1211" s="1047" t="s">
        <v>64</v>
      </c>
      <c r="M1211" s="1036">
        <f>SUMIFS('Level of Efficiency Assumptions'!$J:$J,'Level of Efficiency Assumptions'!$D:$D,I1211,'Level of Efficiency Assumptions'!$F:$F,J1211,'Level of Efficiency Assumptions'!$I:$I,'Water Use Calcs'!L1211)</f>
        <v>10</v>
      </c>
      <c r="N1211" s="567" t="s">
        <v>588</v>
      </c>
      <c r="O1211" s="1048">
        <f>SUMIFS('Detailed Fixture Data'!O:O,'Detailed Fixture Data'!C:C,G1211,'Detailed Fixture Data'!E:E,I1211,'Detailed Fixture Data'!F:F,J1211,'Detailed Fixture Data'!L:L,L1211)</f>
        <v>0</v>
      </c>
      <c r="P1211" s="1030">
        <f>SUMIFS('Intensity of Use Assumptions'!$J:$J,'Intensity of Use Assumptions'!$D:$D,I1211,'Intensity of Use Assumptions'!$G:$G,J1211,'Intensity of Use Assumptions'!H:H,K1211)</f>
        <v>1</v>
      </c>
      <c r="Q1211" s="567" t="s">
        <v>67</v>
      </c>
      <c r="R1211" s="1032">
        <f>(SUMPRODUCT(M1211:M1213,O1211:O1213)*P1211)</f>
        <v>0</v>
      </c>
      <c r="S1211" s="1033">
        <f>IF(R1211=0,0,M1213*P1211)</f>
        <v>0</v>
      </c>
      <c r="T1211" s="225" t="str">
        <f>G1211&amp;"-"&amp;J1211</f>
        <v xml:space="preserve">Tenant D-Aircraft cleaning </v>
      </c>
      <c r="U1211" s="1034">
        <f ca="1">IF(ISNA(VLOOKUP(T1211,list!$AV$3:$AW$130,2,FALSE)),1,(VLOOKUP(T1211,list!$AV$3:$AW$130,2,FALSE)))</f>
        <v>1</v>
      </c>
      <c r="V1211" s="1033">
        <f ca="1">R1211*U1211</f>
        <v>0</v>
      </c>
      <c r="W1211" s="1033">
        <f ca="1">S1211*U1211</f>
        <v>0</v>
      </c>
    </row>
    <row r="1212" spans="3:23" x14ac:dyDescent="0.3">
      <c r="C1212" s="576"/>
      <c r="D1212" s="493" t="s">
        <v>471</v>
      </c>
      <c r="E1212" s="494"/>
      <c r="F1212" s="182"/>
      <c r="G1212" s="494" t="s">
        <v>109</v>
      </c>
      <c r="H1212" s="577"/>
      <c r="I1212" s="450" t="s">
        <v>44</v>
      </c>
      <c r="J1212" s="577" t="s">
        <v>27</v>
      </c>
      <c r="K1212" s="577"/>
      <c r="L1212" s="1035" t="s">
        <v>65</v>
      </c>
      <c r="M1212" s="1036">
        <f>SUMIFS('Level of Efficiency Assumptions'!$J:$J,'Level of Efficiency Assumptions'!$D:$D,I1212,'Level of Efficiency Assumptions'!$F:$F,J1212,'Level of Efficiency Assumptions'!$I:$I,'Water Use Calcs'!L1212)</f>
        <v>7.5</v>
      </c>
      <c r="N1212" s="577"/>
      <c r="O1212" s="1048">
        <f>SUMIFS('Detailed Fixture Data'!O:O,'Detailed Fixture Data'!C:C,G1212,'Detailed Fixture Data'!E:E,I1212,'Detailed Fixture Data'!F:F,J1212,'Detailed Fixture Data'!L:L,L1212)</f>
        <v>0</v>
      </c>
      <c r="P1212" s="1049"/>
      <c r="Q1212" s="577"/>
      <c r="R1212" s="1039"/>
      <c r="S1212" s="521"/>
      <c r="T1212" s="225"/>
      <c r="U1212" s="521"/>
      <c r="V1212" s="1040"/>
      <c r="W1212" s="1041"/>
    </row>
    <row r="1213" spans="3:23" ht="15" thickBot="1" x14ac:dyDescent="0.35">
      <c r="C1213" s="576"/>
      <c r="D1213" s="493" t="s">
        <v>471</v>
      </c>
      <c r="E1213" s="494"/>
      <c r="F1213" s="182"/>
      <c r="G1213" s="494" t="s">
        <v>109</v>
      </c>
      <c r="H1213" s="577"/>
      <c r="I1213" s="450" t="s">
        <v>44</v>
      </c>
      <c r="J1213" s="116" t="s">
        <v>27</v>
      </c>
      <c r="K1213" s="116"/>
      <c r="L1213" s="1042" t="s">
        <v>66</v>
      </c>
      <c r="M1213" s="1043">
        <f>SUMIFS('Level of Efficiency Assumptions'!$J:$J,'Level of Efficiency Assumptions'!$D:$D,I1213,'Level of Efficiency Assumptions'!$F:$F,J1213,'Level of Efficiency Assumptions'!$I:$I,'Water Use Calcs'!L1213)</f>
        <v>5</v>
      </c>
      <c r="N1213" s="577"/>
      <c r="O1213" s="1048">
        <f>SUMIFS('Detailed Fixture Data'!O:O,'Detailed Fixture Data'!C:C,G1213,'Detailed Fixture Data'!E:E,I1213,'Detailed Fixture Data'!F:F,J1213,'Detailed Fixture Data'!L:L,L1213)</f>
        <v>0</v>
      </c>
      <c r="P1213" s="1049"/>
      <c r="Q1213" s="577"/>
      <c r="R1213" s="1039"/>
      <c r="S1213" s="618"/>
      <c r="T1213" s="225"/>
      <c r="U1213" s="618"/>
      <c r="V1213" s="1045"/>
      <c r="W1213" s="1046"/>
    </row>
    <row r="1214" spans="3:23" x14ac:dyDescent="0.3">
      <c r="C1214" s="576"/>
      <c r="D1214" s="493" t="s">
        <v>471</v>
      </c>
      <c r="E1214" s="494"/>
      <c r="F1214" s="182"/>
      <c r="G1214" s="494" t="s">
        <v>109</v>
      </c>
      <c r="H1214" s="577"/>
      <c r="I1214" s="450" t="s">
        <v>44</v>
      </c>
      <c r="J1214" s="577" t="s">
        <v>28</v>
      </c>
      <c r="K1214" s="577" t="s">
        <v>10</v>
      </c>
      <c r="L1214" s="1047" t="s">
        <v>64</v>
      </c>
      <c r="M1214" s="1036">
        <f>SUMIFS('Level of Efficiency Assumptions'!$J:$J,'Level of Efficiency Assumptions'!$D:$D,I1214,'Level of Efficiency Assumptions'!$F:$F,J1214,'Level of Efficiency Assumptions'!$I:$I,'Water Use Calcs'!L1214)</f>
        <v>10</v>
      </c>
      <c r="N1214" s="567" t="s">
        <v>588</v>
      </c>
      <c r="O1214" s="1048">
        <f>SUMIFS('Detailed Fixture Data'!O:O,'Detailed Fixture Data'!C:C,G1214,'Detailed Fixture Data'!E:E,I1214,'Detailed Fixture Data'!F:F,J1214,'Detailed Fixture Data'!L:L,L1214)</f>
        <v>0</v>
      </c>
      <c r="P1214" s="1030">
        <f>SUMIFS('Intensity of Use Assumptions'!$J:$J,'Intensity of Use Assumptions'!$D:$D,I1214,'Intensity of Use Assumptions'!$G:$G,J1214,'Intensity of Use Assumptions'!H:H,K1214)</f>
        <v>1</v>
      </c>
      <c r="Q1214" s="567" t="s">
        <v>67</v>
      </c>
      <c r="R1214" s="1032">
        <f>(SUMPRODUCT(M1214:M1216,O1214:O1216)*P1214)</f>
        <v>0</v>
      </c>
      <c r="S1214" s="1033">
        <f>IF(R1214=0,0,M1216*P1214)</f>
        <v>0</v>
      </c>
      <c r="T1214" s="225" t="str">
        <f>G1214&amp;"-"&amp;J1214</f>
        <v>Tenant D-Onboard aircraft water</v>
      </c>
      <c r="U1214" s="1034">
        <f ca="1">IF(ISNA(VLOOKUP(T1214,list!$AV$3:$AW$130,2,FALSE)),1,(VLOOKUP(T1214,list!$AV$3:$AW$130,2,FALSE)))</f>
        <v>1</v>
      </c>
      <c r="V1214" s="1033">
        <f ca="1">R1214*U1214</f>
        <v>0</v>
      </c>
      <c r="W1214" s="1033">
        <f ca="1">S1214*U1214</f>
        <v>0</v>
      </c>
    </row>
    <row r="1215" spans="3:23" x14ac:dyDescent="0.3">
      <c r="C1215" s="576"/>
      <c r="D1215" s="493" t="s">
        <v>471</v>
      </c>
      <c r="E1215" s="494"/>
      <c r="F1215" s="182"/>
      <c r="G1215" s="494" t="s">
        <v>109</v>
      </c>
      <c r="H1215" s="577"/>
      <c r="I1215" s="450" t="s">
        <v>44</v>
      </c>
      <c r="J1215" s="577" t="s">
        <v>28</v>
      </c>
      <c r="K1215" s="577"/>
      <c r="L1215" s="1035" t="s">
        <v>65</v>
      </c>
      <c r="M1215" s="1036">
        <f>SUMIFS('Level of Efficiency Assumptions'!$J:$J,'Level of Efficiency Assumptions'!$D:$D,I1215,'Level of Efficiency Assumptions'!$F:$F,J1215,'Level of Efficiency Assumptions'!$I:$I,'Water Use Calcs'!L1215)</f>
        <v>7.5</v>
      </c>
      <c r="N1215" s="577"/>
      <c r="O1215" s="1048">
        <f>SUMIFS('Detailed Fixture Data'!O:O,'Detailed Fixture Data'!C:C,G1215,'Detailed Fixture Data'!E:E,I1215,'Detailed Fixture Data'!F:F,J1215,'Detailed Fixture Data'!L:L,L1215)</f>
        <v>0</v>
      </c>
      <c r="P1215" s="1049"/>
      <c r="Q1215" s="577"/>
      <c r="R1215" s="1039"/>
      <c r="S1215" s="521"/>
      <c r="T1215" s="225"/>
      <c r="U1215" s="521"/>
      <c r="V1215" s="1040"/>
      <c r="W1215" s="1041"/>
    </row>
    <row r="1216" spans="3:23" ht="15" thickBot="1" x14ac:dyDescent="0.35">
      <c r="C1216" s="576"/>
      <c r="D1216" s="493" t="s">
        <v>471</v>
      </c>
      <c r="E1216" s="494"/>
      <c r="F1216" s="182"/>
      <c r="G1216" s="494" t="s">
        <v>109</v>
      </c>
      <c r="H1216" s="577"/>
      <c r="I1216" s="450" t="s">
        <v>44</v>
      </c>
      <c r="J1216" s="116" t="s">
        <v>28</v>
      </c>
      <c r="K1216" s="116"/>
      <c r="L1216" s="1042" t="s">
        <v>66</v>
      </c>
      <c r="M1216" s="1043">
        <f>SUMIFS('Level of Efficiency Assumptions'!$J:$J,'Level of Efficiency Assumptions'!$D:$D,I1216,'Level of Efficiency Assumptions'!$F:$F,J1216,'Level of Efficiency Assumptions'!$I:$I,'Water Use Calcs'!L1216)</f>
        <v>5</v>
      </c>
      <c r="N1216" s="577"/>
      <c r="O1216" s="1048">
        <f>SUMIFS('Detailed Fixture Data'!O:O,'Detailed Fixture Data'!C:C,G1216,'Detailed Fixture Data'!E:E,I1216,'Detailed Fixture Data'!F:F,J1216,'Detailed Fixture Data'!L:L,L1216)</f>
        <v>0</v>
      </c>
      <c r="P1216" s="1049"/>
      <c r="Q1216" s="577"/>
      <c r="R1216" s="1039"/>
      <c r="S1216" s="618"/>
      <c r="T1216" s="225"/>
      <c r="U1216" s="618"/>
      <c r="V1216" s="1045"/>
      <c r="W1216" s="1046"/>
    </row>
    <row r="1217" spans="3:23" x14ac:dyDescent="0.3">
      <c r="C1217" s="576"/>
      <c r="D1217" s="493" t="s">
        <v>471</v>
      </c>
      <c r="E1217" s="494"/>
      <c r="F1217" s="182"/>
      <c r="G1217" s="494" t="s">
        <v>109</v>
      </c>
      <c r="H1217" s="577"/>
      <c r="I1217" s="450" t="s">
        <v>44</v>
      </c>
      <c r="J1217" s="577" t="s">
        <v>29</v>
      </c>
      <c r="K1217" s="382" t="s">
        <v>10</v>
      </c>
      <c r="L1217" s="1047" t="s">
        <v>64</v>
      </c>
      <c r="M1217" s="1036">
        <f>SUMIFS('Level of Efficiency Assumptions'!$J:$J,'Level of Efficiency Assumptions'!$D:$D,I1217,'Level of Efficiency Assumptions'!$F:$F,J1217,'Level of Efficiency Assumptions'!$I:$I,'Water Use Calcs'!L1217)</f>
        <v>20</v>
      </c>
      <c r="N1217" s="567" t="s">
        <v>588</v>
      </c>
      <c r="O1217" s="1048">
        <f>SUMIFS('Detailed Fixture Data'!O:O,'Detailed Fixture Data'!C:C,G1217,'Detailed Fixture Data'!E:E,I1217,'Detailed Fixture Data'!F:F,J1217,'Detailed Fixture Data'!L:L,L1217)</f>
        <v>0</v>
      </c>
      <c r="P1217" s="1030">
        <f>SUMIFS('Intensity of Use Assumptions'!$J:$J,'Intensity of Use Assumptions'!$D:$D,I1217,'Intensity of Use Assumptions'!$G:$G,J1217,'Intensity of Use Assumptions'!H:H,K1217)</f>
        <v>1</v>
      </c>
      <c r="Q1217" s="567" t="s">
        <v>67</v>
      </c>
      <c r="R1217" s="1032">
        <f>(SUMPRODUCT(M1217:M1219,O1217:O1219)*P1217)</f>
        <v>0</v>
      </c>
      <c r="S1217" s="1033">
        <f>IF(R1217=0,0,M1219*P1217)</f>
        <v>0</v>
      </c>
      <c r="T1217" s="225" t="str">
        <f>G1217&amp;"-"&amp;J1217</f>
        <v>Tenant D-Deicing</v>
      </c>
      <c r="U1217" s="1034">
        <f ca="1">IF(ISNA(VLOOKUP(T1217,list!$AV$3:$AW$130,2,FALSE)),1,(VLOOKUP(T1217,list!$AV$3:$AW$130,2,FALSE)))</f>
        <v>1</v>
      </c>
      <c r="V1217" s="1033">
        <f ca="1">R1217*U1217</f>
        <v>0</v>
      </c>
      <c r="W1217" s="1033">
        <f ca="1">S1217*U1217</f>
        <v>0</v>
      </c>
    </row>
    <row r="1218" spans="3:23" x14ac:dyDescent="0.3">
      <c r="C1218" s="576"/>
      <c r="D1218" s="493" t="s">
        <v>471</v>
      </c>
      <c r="E1218" s="494"/>
      <c r="F1218" s="182"/>
      <c r="G1218" s="494" t="s">
        <v>109</v>
      </c>
      <c r="H1218" s="577"/>
      <c r="I1218" s="450" t="s">
        <v>44</v>
      </c>
      <c r="J1218" s="577" t="s">
        <v>29</v>
      </c>
      <c r="K1218" s="577"/>
      <c r="L1218" s="1035" t="s">
        <v>65</v>
      </c>
      <c r="M1218" s="1036">
        <f>SUMIFS('Level of Efficiency Assumptions'!$J:$J,'Level of Efficiency Assumptions'!$D:$D,I1218,'Level of Efficiency Assumptions'!$F:$F,J1218,'Level of Efficiency Assumptions'!$I:$I,'Water Use Calcs'!L1218)</f>
        <v>10</v>
      </c>
      <c r="N1218" s="577"/>
      <c r="O1218" s="1048">
        <f>SUMIFS('Detailed Fixture Data'!O:O,'Detailed Fixture Data'!C:C,G1218,'Detailed Fixture Data'!E:E,I1218,'Detailed Fixture Data'!F:F,J1218,'Detailed Fixture Data'!L:L,L1218)</f>
        <v>0</v>
      </c>
      <c r="P1218" s="1049"/>
      <c r="Q1218" s="577"/>
      <c r="R1218" s="1039"/>
      <c r="S1218" s="521"/>
      <c r="T1218" s="225"/>
      <c r="U1218" s="521"/>
      <c r="V1218" s="1040"/>
      <c r="W1218" s="1041"/>
    </row>
    <row r="1219" spans="3:23" ht="15" thickBot="1" x14ac:dyDescent="0.35">
      <c r="C1219" s="576"/>
      <c r="D1219" s="493" t="s">
        <v>471</v>
      </c>
      <c r="E1219" s="494"/>
      <c r="F1219" s="182"/>
      <c r="G1219" s="494" t="s">
        <v>109</v>
      </c>
      <c r="H1219" s="577"/>
      <c r="I1219" s="451" t="s">
        <v>44</v>
      </c>
      <c r="J1219" s="116" t="s">
        <v>29</v>
      </c>
      <c r="K1219" s="116"/>
      <c r="L1219" s="1042" t="s">
        <v>66</v>
      </c>
      <c r="M1219" s="1043">
        <f>SUMIFS('Level of Efficiency Assumptions'!$J:$J,'Level of Efficiency Assumptions'!$D:$D,I1219,'Level of Efficiency Assumptions'!$F:$F,J1219,'Level of Efficiency Assumptions'!$I:$I,'Water Use Calcs'!L1219)</f>
        <v>5</v>
      </c>
      <c r="N1219" s="577"/>
      <c r="O1219" s="1048">
        <f>SUMIFS('Detailed Fixture Data'!O:O,'Detailed Fixture Data'!C:C,G1219,'Detailed Fixture Data'!E:E,I1219,'Detailed Fixture Data'!F:F,J1219,'Detailed Fixture Data'!L:L,L1219)</f>
        <v>0</v>
      </c>
      <c r="P1219" s="1049"/>
      <c r="Q1219" s="577"/>
      <c r="R1219" s="1039"/>
      <c r="S1219" s="618"/>
      <c r="T1219" s="225"/>
      <c r="U1219" s="618"/>
      <c r="V1219" s="1045"/>
      <c r="W1219" s="1046"/>
    </row>
    <row r="1220" spans="3:23" x14ac:dyDescent="0.3">
      <c r="C1220" s="576"/>
      <c r="D1220" s="493" t="s">
        <v>471</v>
      </c>
      <c r="E1220" s="494"/>
      <c r="F1220" s="182"/>
      <c r="G1220" s="494" t="s">
        <v>109</v>
      </c>
      <c r="H1220" s="651" t="str">
        <f>I1220</f>
        <v>Landscaping</v>
      </c>
      <c r="I1220" s="450" t="s">
        <v>39</v>
      </c>
      <c r="J1220" s="577" t="s">
        <v>42</v>
      </c>
      <c r="K1220" s="577" t="s">
        <v>32</v>
      </c>
      <c r="L1220" s="1047" t="s">
        <v>64</v>
      </c>
      <c r="M1220" s="1036">
        <f>SUMIFS('Level of Efficiency Assumptions'!$J:$J,'Level of Efficiency Assumptions'!$D:$D,I1220,'Level of Efficiency Assumptions'!$F:$F,J1220,'Level of Efficiency Assumptions'!$I:$I,'Water Use Calcs'!L1220)</f>
        <v>28.6</v>
      </c>
      <c r="N1220" s="567" t="s">
        <v>816</v>
      </c>
      <c r="O1220" s="1048">
        <f>SUMIFS('Detailed Fixture Data'!O:O,'Detailed Fixture Data'!C:C,G1220,'Detailed Fixture Data'!E:E,I1220,'Detailed Fixture Data'!F:F,J1220,'Detailed Fixture Data'!L:L,L1220)</f>
        <v>0</v>
      </c>
      <c r="P1220" s="1030">
        <f>SUMIFS('Intensity of Use Assumptions'!$J:$J,'Intensity of Use Assumptions'!$D:$D,I1220,'Intensity of Use Assumptions'!$G:$G,J1220,'Intensity of Use Assumptions'!H:H,K1220,'Intensity of Use Assumptions'!F:F,D1220)</f>
        <v>2.7397260273972603E-3</v>
      </c>
      <c r="Q1220" s="567" t="s">
        <v>815</v>
      </c>
      <c r="R1220" s="1032">
        <f>(SUMPRODUCT(M1220:M1222,O1220:O1222)*P1220)</f>
        <v>0</v>
      </c>
      <c r="S1220" s="1033">
        <f>IF(R1220=0,0,M1222*P1220)</f>
        <v>0</v>
      </c>
      <c r="T1220" s="225" t="str">
        <f>G1220&amp;"-"&amp;J1220</f>
        <v>Tenant D-Outdoor irrigation</v>
      </c>
      <c r="U1220" s="1034">
        <f ca="1">IF(ISNA(VLOOKUP(T1220,list!$AV$3:$AW$130,2,FALSE)),1,(VLOOKUP(T1220,list!$AV$3:$AW$130,2,FALSE)))</f>
        <v>1</v>
      </c>
      <c r="V1220" s="1033">
        <f ca="1">R1220*U1220</f>
        <v>0</v>
      </c>
      <c r="W1220" s="1033">
        <f ca="1">S1220*U1220</f>
        <v>0</v>
      </c>
    </row>
    <row r="1221" spans="3:23" x14ac:dyDescent="0.3">
      <c r="C1221" s="576"/>
      <c r="D1221" s="493" t="s">
        <v>471</v>
      </c>
      <c r="E1221" s="494"/>
      <c r="F1221" s="182"/>
      <c r="G1221" s="494" t="s">
        <v>109</v>
      </c>
      <c r="H1221" s="577"/>
      <c r="I1221" s="450" t="s">
        <v>39</v>
      </c>
      <c r="J1221" s="577" t="s">
        <v>42</v>
      </c>
      <c r="K1221" s="577"/>
      <c r="L1221" s="1035" t="s">
        <v>65</v>
      </c>
      <c r="M1221" s="1036">
        <f>SUMIFS('Level of Efficiency Assumptions'!$J:$J,'Level of Efficiency Assumptions'!$D:$D,I1221,'Level of Efficiency Assumptions'!$F:$F,J1221,'Level of Efficiency Assumptions'!$I:$I,'Water Use Calcs'!L1221)</f>
        <v>13.980821518350929</v>
      </c>
      <c r="N1221" s="577"/>
      <c r="O1221" s="1048">
        <f>SUMIFS('Detailed Fixture Data'!O:O,'Detailed Fixture Data'!C:C,G1221,'Detailed Fixture Data'!E:E,I1221,'Detailed Fixture Data'!F:F,J1221,'Detailed Fixture Data'!L:L,L1221)</f>
        <v>0</v>
      </c>
      <c r="P1221" s="1049"/>
      <c r="Q1221" s="577"/>
      <c r="R1221" s="1039"/>
      <c r="S1221" s="521"/>
      <c r="T1221" s="225"/>
      <c r="U1221" s="521"/>
      <c r="V1221" s="1040"/>
      <c r="W1221" s="1041"/>
    </row>
    <row r="1222" spans="3:23" ht="15" thickBot="1" x14ac:dyDescent="0.35">
      <c r="C1222" s="576"/>
      <c r="D1222" s="493" t="s">
        <v>471</v>
      </c>
      <c r="E1222" s="494"/>
      <c r="F1222" s="182"/>
      <c r="G1222" s="494" t="s">
        <v>109</v>
      </c>
      <c r="H1222" s="577"/>
      <c r="I1222" s="451" t="s">
        <v>39</v>
      </c>
      <c r="J1222" s="116" t="s">
        <v>42</v>
      </c>
      <c r="K1222" s="116"/>
      <c r="L1222" s="1042" t="s">
        <v>66</v>
      </c>
      <c r="M1222" s="1043">
        <f>SUMIFS('Level of Efficiency Assumptions'!$J:$J,'Level of Efficiency Assumptions'!$D:$D,I1222,'Level of Efficiency Assumptions'!$F:$F,J1222,'Level of Efficiency Assumptions'!$I:$I,'Water Use Calcs'!L1222)</f>
        <v>0.59137254901960778</v>
      </c>
      <c r="N1222" s="577"/>
      <c r="O1222" s="1048">
        <f>SUMIFS('Detailed Fixture Data'!O:O,'Detailed Fixture Data'!C:C,G1222,'Detailed Fixture Data'!E:E,I1222,'Detailed Fixture Data'!F:F,J1222,'Detailed Fixture Data'!L:L,L1222)</f>
        <v>0</v>
      </c>
      <c r="P1222" s="1049"/>
      <c r="Q1222" s="577"/>
      <c r="R1222" s="1039"/>
      <c r="S1222" s="618"/>
      <c r="T1222" s="225"/>
      <c r="U1222" s="618"/>
      <c r="V1222" s="1045"/>
      <c r="W1222" s="1046"/>
    </row>
    <row r="1223" spans="3:23" x14ac:dyDescent="0.3">
      <c r="C1223" s="576"/>
      <c r="D1223" s="493" t="s">
        <v>471</v>
      </c>
      <c r="E1223" s="494"/>
      <c r="F1223" s="182"/>
      <c r="G1223" s="494" t="s">
        <v>109</v>
      </c>
      <c r="H1223" s="651" t="str">
        <f>I1223</f>
        <v>Maintenance</v>
      </c>
      <c r="I1223" s="450" t="s">
        <v>43</v>
      </c>
      <c r="J1223" s="577" t="s">
        <v>111</v>
      </c>
      <c r="K1223" s="217" t="s">
        <v>424</v>
      </c>
      <c r="L1223" s="1047" t="s">
        <v>64</v>
      </c>
      <c r="M1223" s="1036">
        <f>SUMIFS('Level of Efficiency Assumptions'!$J:$J,'Level of Efficiency Assumptions'!$D:$D,I1223,'Level of Efficiency Assumptions'!$F:$F,J1223,'Level of Efficiency Assumptions'!$I:$I,'Water Use Calcs'!L1223)</f>
        <v>100</v>
      </c>
      <c r="N1223" s="567" t="s">
        <v>659</v>
      </c>
      <c r="O1223" s="1048">
        <f>SUMIFS('Detailed Fixture Data'!O:O,'Detailed Fixture Data'!C:C,G1223,'Detailed Fixture Data'!E:E,I1223,'Detailed Fixture Data'!F:F,J1223,'Detailed Fixture Data'!L:L,L1223)</f>
        <v>0</v>
      </c>
      <c r="P1223" s="1030">
        <f>SUMIFS('Intensity of Use Assumptions'!$J:$J,'Intensity of Use Assumptions'!$D:$D,I1223,'Intensity of Use Assumptions'!$G:$G,J1223,'Intensity of Use Assumptions'!H:H,K1223)</f>
        <v>1</v>
      </c>
      <c r="Q1223" s="567" t="s">
        <v>67</v>
      </c>
      <c r="R1223" s="1032">
        <f>(SUMPRODUCT(M1223:M1225,O1223:O1225)*P1223)</f>
        <v>0</v>
      </c>
      <c r="S1223" s="1033">
        <f>IF(R1223=0,0,M1225*P1223)</f>
        <v>0</v>
      </c>
      <c r="T1223" s="225" t="str">
        <f>G1223&amp;"-"&amp;J1223</f>
        <v>Tenant D-Boiler</v>
      </c>
      <c r="U1223" s="1034">
        <f ca="1">IF(ISNA(VLOOKUP(T1223,list!$AV$3:$AW$130,2,FALSE)),1,(VLOOKUP(T1223,list!$AV$3:$AW$130,2,FALSE)))</f>
        <v>1</v>
      </c>
      <c r="V1223" s="1033">
        <f ca="1">R1223*U1223</f>
        <v>0</v>
      </c>
      <c r="W1223" s="1033">
        <f ca="1">S1223*U1223</f>
        <v>0</v>
      </c>
    </row>
    <row r="1224" spans="3:23" x14ac:dyDescent="0.3">
      <c r="C1224" s="576"/>
      <c r="D1224" s="493" t="s">
        <v>471</v>
      </c>
      <c r="E1224" s="494"/>
      <c r="F1224" s="182"/>
      <c r="G1224" s="494" t="s">
        <v>109</v>
      </c>
      <c r="H1224" s="577"/>
      <c r="I1224" s="450" t="s">
        <v>43</v>
      </c>
      <c r="J1224" s="577" t="s">
        <v>111</v>
      </c>
      <c r="K1224" s="382"/>
      <c r="L1224" s="1035" t="s">
        <v>65</v>
      </c>
      <c r="M1224" s="1036">
        <f>SUMIFS('Level of Efficiency Assumptions'!$J:$J,'Level of Efficiency Assumptions'!$D:$D,I1224,'Level of Efficiency Assumptions'!$F:$F,J1224,'Level of Efficiency Assumptions'!$I:$I,'Water Use Calcs'!L1224)</f>
        <v>75</v>
      </c>
      <c r="N1224" s="577"/>
      <c r="O1224" s="1048">
        <f>SUMIFS('Detailed Fixture Data'!O:O,'Detailed Fixture Data'!C:C,G1224,'Detailed Fixture Data'!E:E,I1224,'Detailed Fixture Data'!F:F,J1224,'Detailed Fixture Data'!L:L,L1224)</f>
        <v>0</v>
      </c>
      <c r="P1224" s="1049"/>
      <c r="Q1224" s="577"/>
      <c r="R1224" s="1039"/>
      <c r="S1224" s="521"/>
      <c r="T1224" s="225"/>
      <c r="U1224" s="521"/>
      <c r="V1224" s="1040"/>
      <c r="W1224" s="1041"/>
    </row>
    <row r="1225" spans="3:23" ht="15" thickBot="1" x14ac:dyDescent="0.35">
      <c r="C1225" s="576"/>
      <c r="D1225" s="493" t="s">
        <v>471</v>
      </c>
      <c r="E1225" s="494"/>
      <c r="F1225" s="182"/>
      <c r="G1225" s="494" t="s">
        <v>109</v>
      </c>
      <c r="H1225" s="577"/>
      <c r="I1225" s="450" t="s">
        <v>43</v>
      </c>
      <c r="J1225" s="116" t="s">
        <v>111</v>
      </c>
      <c r="K1225" s="116"/>
      <c r="L1225" s="1042" t="s">
        <v>66</v>
      </c>
      <c r="M1225" s="1043">
        <f>SUMIFS('Level of Efficiency Assumptions'!$J:$J,'Level of Efficiency Assumptions'!$D:$D,I1225,'Level of Efficiency Assumptions'!$F:$F,J1225,'Level of Efficiency Assumptions'!$I:$I,'Water Use Calcs'!L1225)</f>
        <v>50</v>
      </c>
      <c r="N1225" s="577"/>
      <c r="O1225" s="1048">
        <f>SUMIFS('Detailed Fixture Data'!O:O,'Detailed Fixture Data'!C:C,G1225,'Detailed Fixture Data'!E:E,I1225,'Detailed Fixture Data'!F:F,J1225,'Detailed Fixture Data'!L:L,L1225)</f>
        <v>0</v>
      </c>
      <c r="P1225" s="1049"/>
      <c r="Q1225" s="577"/>
      <c r="R1225" s="1039"/>
      <c r="S1225" s="618"/>
      <c r="T1225" s="225"/>
      <c r="U1225" s="618"/>
      <c r="V1225" s="1045"/>
      <c r="W1225" s="1046"/>
    </row>
    <row r="1226" spans="3:23" x14ac:dyDescent="0.3">
      <c r="C1226" s="576"/>
      <c r="D1226" s="493" t="s">
        <v>471</v>
      </c>
      <c r="E1226" s="494"/>
      <c r="F1226" s="182"/>
      <c r="G1226" s="494" t="s">
        <v>109</v>
      </c>
      <c r="H1226" s="577"/>
      <c r="I1226" s="450" t="s">
        <v>43</v>
      </c>
      <c r="J1226" s="577" t="s">
        <v>7</v>
      </c>
      <c r="K1226" s="215" t="s">
        <v>365</v>
      </c>
      <c r="L1226" s="1012" t="s">
        <v>257</v>
      </c>
      <c r="M1226" s="1050"/>
      <c r="N1226" s="1050"/>
      <c r="O1226" s="1050"/>
      <c r="P1226" s="1051"/>
      <c r="Q1226" s="981"/>
      <c r="R1226" s="1052">
        <f>SUMIFS('Cooling Data'!H:H,'Cooling Data'!$C:$C,$G1226,'Cooling Data'!$E:$E,$I1226,'Cooling Data'!$F:$F,$J1226)</f>
        <v>0</v>
      </c>
      <c r="S1226" s="1052">
        <f>SUMIFS('Cooling Data'!J:J,'Cooling Data'!$C:$C,$G1226,'Cooling Data'!$E:$E,$I1226,'Cooling Data'!$F:$F,$J1226)</f>
        <v>0</v>
      </c>
      <c r="T1226" s="225" t="str">
        <f>G1226&amp;"-"&amp;J1226</f>
        <v>Tenant D-Cooling</v>
      </c>
      <c r="U1226" s="1034">
        <f ca="1">IF(ISNA(VLOOKUP(T1226,list!$AV$3:$AW$130,2,FALSE)),1,(VLOOKUP(T1226,list!$AV$3:$AW$130,2,FALSE)))</f>
        <v>1</v>
      </c>
      <c r="V1226" s="1033">
        <f ca="1">R1226*U1226</f>
        <v>0</v>
      </c>
      <c r="W1226" s="1033">
        <f ca="1">S1226*U1226</f>
        <v>0</v>
      </c>
    </row>
    <row r="1227" spans="3:23" x14ac:dyDescent="0.3">
      <c r="C1227" s="576"/>
      <c r="D1227" s="493" t="s">
        <v>471</v>
      </c>
      <c r="E1227" s="494"/>
      <c r="F1227" s="182"/>
      <c r="G1227" s="494" t="s">
        <v>109</v>
      </c>
      <c r="H1227" s="577"/>
      <c r="I1227" s="450" t="s">
        <v>43</v>
      </c>
      <c r="J1227" s="577" t="s">
        <v>7</v>
      </c>
      <c r="K1227" s="577"/>
      <c r="L1227" s="206"/>
      <c r="M1227" s="181"/>
      <c r="N1227" s="181"/>
      <c r="O1227" s="181"/>
      <c r="P1227" s="1053"/>
      <c r="Q1227" s="439"/>
      <c r="R1227" s="1039"/>
      <c r="S1227" s="521"/>
      <c r="T1227" s="225"/>
      <c r="U1227" s="521"/>
      <c r="V1227" s="1040"/>
      <c r="W1227" s="1041"/>
    </row>
    <row r="1228" spans="3:23" ht="15" thickBot="1" x14ac:dyDescent="0.35">
      <c r="C1228" s="576"/>
      <c r="D1228" s="493" t="s">
        <v>471</v>
      </c>
      <c r="E1228" s="494"/>
      <c r="F1228" s="182"/>
      <c r="G1228" s="494" t="s">
        <v>109</v>
      </c>
      <c r="H1228" s="577"/>
      <c r="I1228" s="450" t="s">
        <v>43</v>
      </c>
      <c r="J1228" s="116" t="s">
        <v>7</v>
      </c>
      <c r="K1228" s="116"/>
      <c r="L1228" s="207"/>
      <c r="M1228" s="924"/>
      <c r="N1228" s="924"/>
      <c r="O1228" s="924"/>
      <c r="P1228" s="1054"/>
      <c r="Q1228" s="606"/>
      <c r="R1228" s="1039"/>
      <c r="S1228" s="618"/>
      <c r="T1228" s="225"/>
      <c r="U1228" s="618"/>
      <c r="V1228" s="1045"/>
      <c r="W1228" s="1046"/>
    </row>
    <row r="1229" spans="3:23" x14ac:dyDescent="0.3">
      <c r="C1229" s="576"/>
      <c r="D1229" s="493" t="s">
        <v>471</v>
      </c>
      <c r="E1229" s="494"/>
      <c r="F1229" s="182"/>
      <c r="G1229" s="494" t="s">
        <v>109</v>
      </c>
      <c r="H1229" s="577"/>
      <c r="I1229" s="450" t="s">
        <v>43</v>
      </c>
      <c r="J1229" s="567" t="s">
        <v>25</v>
      </c>
      <c r="K1229" s="577" t="s">
        <v>10</v>
      </c>
      <c r="L1229" s="1047" t="s">
        <v>64</v>
      </c>
      <c r="M1229" s="1036">
        <f>SUMIFS('Level of Efficiency Assumptions'!$J:$J,'Level of Efficiency Assumptions'!$D:$D,I1229,'Level of Efficiency Assumptions'!$F:$F,J1229,'Level of Efficiency Assumptions'!$I:$I,'Water Use Calcs'!L1229)</f>
        <v>10</v>
      </c>
      <c r="N1229" s="567" t="s">
        <v>588</v>
      </c>
      <c r="O1229" s="1048">
        <f>SUMIFS('Detailed Fixture Data'!O:O,'Detailed Fixture Data'!C:C,G1229,'Detailed Fixture Data'!E:E,I1229,'Detailed Fixture Data'!F:F,J1229,'Detailed Fixture Data'!L:L,L1229)</f>
        <v>0</v>
      </c>
      <c r="P1229" s="1030">
        <f>SUMIFS('Intensity of Use Assumptions'!$J:$J,'Intensity of Use Assumptions'!$D:$D,I1229,'Intensity of Use Assumptions'!$G:$G,J1229,'Intensity of Use Assumptions'!H:H,K1229)</f>
        <v>1</v>
      </c>
      <c r="Q1229" s="567" t="s">
        <v>67</v>
      </c>
      <c r="R1229" s="1032">
        <f>(SUMPRODUCT(M1229:M1231,O1229:O1231)*P1229)</f>
        <v>0</v>
      </c>
      <c r="S1229" s="1033">
        <f>IF(R1229=0,0,M1231*P1229)</f>
        <v>0</v>
      </c>
      <c r="T1229" s="225" t="str">
        <f>G1229&amp;"-"&amp;J1229</f>
        <v>Tenant D-Fleet vehicle washing</v>
      </c>
      <c r="U1229" s="1034">
        <f ca="1">IF(ISNA(VLOOKUP(T1229,list!$AV$3:$AW$130,2,FALSE)),1,(VLOOKUP(T1229,list!$AV$3:$AW$130,2,FALSE)))</f>
        <v>1</v>
      </c>
      <c r="V1229" s="1033">
        <f ca="1">R1229*U1229</f>
        <v>0</v>
      </c>
      <c r="W1229" s="1033">
        <f ca="1">S1229*U1229</f>
        <v>0</v>
      </c>
    </row>
    <row r="1230" spans="3:23" x14ac:dyDescent="0.3">
      <c r="C1230" s="576"/>
      <c r="D1230" s="493" t="s">
        <v>471</v>
      </c>
      <c r="E1230" s="494"/>
      <c r="F1230" s="182"/>
      <c r="G1230" s="494" t="s">
        <v>109</v>
      </c>
      <c r="H1230" s="577"/>
      <c r="I1230" s="450" t="s">
        <v>43</v>
      </c>
      <c r="J1230" s="577" t="s">
        <v>25</v>
      </c>
      <c r="K1230" s="577"/>
      <c r="L1230" s="1035" t="s">
        <v>65</v>
      </c>
      <c r="M1230" s="1036">
        <f>SUMIFS('Level of Efficiency Assumptions'!$J:$J,'Level of Efficiency Assumptions'!$D:$D,I1230,'Level of Efficiency Assumptions'!$F:$F,J1230,'Level of Efficiency Assumptions'!$I:$I,'Water Use Calcs'!L1230)</f>
        <v>7.5</v>
      </c>
      <c r="N1230" s="577"/>
      <c r="O1230" s="1048">
        <f>SUMIFS('Detailed Fixture Data'!O:O,'Detailed Fixture Data'!C:C,G1230,'Detailed Fixture Data'!E:E,I1230,'Detailed Fixture Data'!F:F,J1230,'Detailed Fixture Data'!L:L,L1230)</f>
        <v>0</v>
      </c>
      <c r="P1230" s="1049"/>
      <c r="Q1230" s="577"/>
      <c r="R1230" s="1039"/>
      <c r="S1230" s="521"/>
      <c r="T1230" s="225"/>
      <c r="U1230" s="521"/>
      <c r="V1230" s="1040"/>
      <c r="W1230" s="1041"/>
    </row>
    <row r="1231" spans="3:23" ht="15" thickBot="1" x14ac:dyDescent="0.35">
      <c r="C1231" s="576"/>
      <c r="D1231" s="493" t="s">
        <v>471</v>
      </c>
      <c r="E1231" s="494"/>
      <c r="F1231" s="182"/>
      <c r="G1231" s="494" t="s">
        <v>109</v>
      </c>
      <c r="H1231" s="577"/>
      <c r="I1231" s="450" t="s">
        <v>43</v>
      </c>
      <c r="J1231" s="116" t="s">
        <v>25</v>
      </c>
      <c r="K1231" s="116"/>
      <c r="L1231" s="1042" t="s">
        <v>66</v>
      </c>
      <c r="M1231" s="1043">
        <f>SUMIFS('Level of Efficiency Assumptions'!$J:$J,'Level of Efficiency Assumptions'!$D:$D,I1231,'Level of Efficiency Assumptions'!$F:$F,J1231,'Level of Efficiency Assumptions'!$I:$I,'Water Use Calcs'!L1231)</f>
        <v>5</v>
      </c>
      <c r="N1231" s="577"/>
      <c r="O1231" s="1048">
        <f>SUMIFS('Detailed Fixture Data'!O:O,'Detailed Fixture Data'!C:C,G1231,'Detailed Fixture Data'!E:E,I1231,'Detailed Fixture Data'!F:F,J1231,'Detailed Fixture Data'!L:L,L1231)</f>
        <v>0</v>
      </c>
      <c r="P1231" s="1049"/>
      <c r="Q1231" s="577"/>
      <c r="R1231" s="1039"/>
      <c r="S1231" s="618"/>
      <c r="T1231" s="225"/>
      <c r="U1231" s="618"/>
      <c r="V1231" s="1045"/>
      <c r="W1231" s="1046"/>
    </row>
    <row r="1232" spans="3:23" x14ac:dyDescent="0.3">
      <c r="C1232" s="576"/>
      <c r="D1232" s="493" t="s">
        <v>471</v>
      </c>
      <c r="E1232" s="494"/>
      <c r="F1232" s="182"/>
      <c r="G1232" s="494" t="s">
        <v>109</v>
      </c>
      <c r="H1232" s="577"/>
      <c r="I1232" s="450" t="s">
        <v>43</v>
      </c>
      <c r="J1232" s="577" t="s">
        <v>426</v>
      </c>
      <c r="K1232" s="577" t="s">
        <v>10</v>
      </c>
      <c r="L1232" s="1047" t="s">
        <v>64</v>
      </c>
      <c r="M1232" s="1036">
        <f>SUMIFS('Level of Efficiency Assumptions'!$J:$J,'Level of Efficiency Assumptions'!$D:$D,I1232,'Level of Efficiency Assumptions'!$F:$F,J1232,'Level of Efficiency Assumptions'!$I:$I,'Water Use Calcs'!L1232)</f>
        <v>10</v>
      </c>
      <c r="N1232" s="567" t="s">
        <v>588</v>
      </c>
      <c r="O1232" s="1048">
        <f>SUMIFS('Detailed Fixture Data'!O:O,'Detailed Fixture Data'!C:C,G1232,'Detailed Fixture Data'!E:E,I1232,'Detailed Fixture Data'!F:F,J1232,'Detailed Fixture Data'!L:L,L1232)</f>
        <v>0</v>
      </c>
      <c r="P1232" s="1030">
        <f>SUMIFS('Intensity of Use Assumptions'!$J:$J,'Intensity of Use Assumptions'!$D:$D,I1232,'Intensity of Use Assumptions'!$G:$G,J1232,'Intensity of Use Assumptions'!H:H,K1232)</f>
        <v>2E-3</v>
      </c>
      <c r="Q1232" s="567" t="s">
        <v>67</v>
      </c>
      <c r="R1232" s="1032">
        <f>(SUMPRODUCT(M1232:M1234,O1232:O1234)*P1232)</f>
        <v>0</v>
      </c>
      <c r="S1232" s="1033">
        <f>IF(R1232=0,0,M1234*P1232)</f>
        <v>0</v>
      </c>
      <c r="T1232" s="225" t="str">
        <f>G1232&amp;"-"&amp;J1232</f>
        <v>Tenant D-Pavement cleaning</v>
      </c>
      <c r="U1232" s="1034">
        <f ca="1">IF(ISNA(VLOOKUP(T1232,list!$AV$3:$AW$130,2,FALSE)),1,(VLOOKUP(T1232,list!$AV$3:$AW$130,2,FALSE)))</f>
        <v>1</v>
      </c>
      <c r="V1232" s="1033">
        <f ca="1">R1232*U1232</f>
        <v>0</v>
      </c>
      <c r="W1232" s="1033">
        <f ca="1">S1232*U1232</f>
        <v>0</v>
      </c>
    </row>
    <row r="1233" spans="3:23" x14ac:dyDescent="0.3">
      <c r="C1233" s="576"/>
      <c r="D1233" s="493" t="s">
        <v>471</v>
      </c>
      <c r="E1233" s="494"/>
      <c r="F1233" s="182"/>
      <c r="G1233" s="494" t="s">
        <v>109</v>
      </c>
      <c r="H1233" s="577"/>
      <c r="I1233" s="450" t="s">
        <v>43</v>
      </c>
      <c r="J1233" s="577" t="s">
        <v>426</v>
      </c>
      <c r="K1233" s="577"/>
      <c r="L1233" s="1035" t="s">
        <v>65</v>
      </c>
      <c r="M1233" s="1036">
        <f>SUMIFS('Level of Efficiency Assumptions'!$J:$J,'Level of Efficiency Assumptions'!$D:$D,I1233,'Level of Efficiency Assumptions'!$F:$F,J1233,'Level of Efficiency Assumptions'!$I:$I,'Water Use Calcs'!L1233)</f>
        <v>7.5</v>
      </c>
      <c r="N1233" s="577"/>
      <c r="O1233" s="1048">
        <f>SUMIFS('Detailed Fixture Data'!O:O,'Detailed Fixture Data'!C:C,G1233,'Detailed Fixture Data'!E:E,I1233,'Detailed Fixture Data'!F:F,J1233,'Detailed Fixture Data'!L:L,L1233)</f>
        <v>0</v>
      </c>
      <c r="P1233" s="1049"/>
      <c r="Q1233" s="577"/>
      <c r="R1233" s="1039"/>
      <c r="S1233" s="521"/>
      <c r="T1233" s="225"/>
      <c r="U1233" s="521"/>
      <c r="V1233" s="1040"/>
      <c r="W1233" s="1041"/>
    </row>
    <row r="1234" spans="3:23" ht="15" thickBot="1" x14ac:dyDescent="0.35">
      <c r="C1234" s="576"/>
      <c r="D1234" s="493" t="s">
        <v>471</v>
      </c>
      <c r="E1234" s="494"/>
      <c r="F1234" s="182"/>
      <c r="G1234" s="494" t="s">
        <v>109</v>
      </c>
      <c r="H1234" s="577"/>
      <c r="I1234" s="451" t="s">
        <v>43</v>
      </c>
      <c r="J1234" s="116" t="s">
        <v>426</v>
      </c>
      <c r="K1234" s="116"/>
      <c r="L1234" s="1042" t="s">
        <v>66</v>
      </c>
      <c r="M1234" s="1043">
        <f>SUMIFS('Level of Efficiency Assumptions'!$J:$J,'Level of Efficiency Assumptions'!$D:$D,I1234,'Level of Efficiency Assumptions'!$F:$F,J1234,'Level of Efficiency Assumptions'!$I:$I,'Water Use Calcs'!L1234)</f>
        <v>5</v>
      </c>
      <c r="N1234" s="577"/>
      <c r="O1234" s="1048">
        <f>SUMIFS('Detailed Fixture Data'!O:O,'Detailed Fixture Data'!C:C,G1234,'Detailed Fixture Data'!E:E,I1234,'Detailed Fixture Data'!F:F,J1234,'Detailed Fixture Data'!L:L,L1234)</f>
        <v>0</v>
      </c>
      <c r="P1234" s="1049"/>
      <c r="Q1234" s="577"/>
      <c r="R1234" s="1039"/>
      <c r="S1234" s="618"/>
      <c r="T1234" s="225"/>
      <c r="U1234" s="618"/>
      <c r="V1234" s="1045"/>
      <c r="W1234" s="1046"/>
    </row>
    <row r="1235" spans="3:23" x14ac:dyDescent="0.3">
      <c r="C1235" s="576"/>
      <c r="D1235" s="493" t="s">
        <v>471</v>
      </c>
      <c r="E1235" s="494"/>
      <c r="F1235" s="182"/>
      <c r="G1235" s="494" t="s">
        <v>109</v>
      </c>
      <c r="H1235" s="651" t="str">
        <f>I1235</f>
        <v>Other</v>
      </c>
      <c r="I1235" s="450" t="s">
        <v>8</v>
      </c>
      <c r="J1235" s="577" t="s">
        <v>52</v>
      </c>
      <c r="K1235" s="387" t="s">
        <v>362</v>
      </c>
      <c r="L1235" s="1047" t="s">
        <v>64</v>
      </c>
      <c r="M1235" s="1036">
        <f>SUMIFS('Level of Efficiency Assumptions'!$J:$J,'Level of Efficiency Assumptions'!$D:$D,I1235,'Level of Efficiency Assumptions'!$F:$F,J1235,'Level of Efficiency Assumptions'!$I:$I,'Water Use Calcs'!L1235)</f>
        <v>10</v>
      </c>
      <c r="N1235" s="567" t="s">
        <v>660</v>
      </c>
      <c r="O1235" s="1048">
        <f>SUMIFS('Detailed Fixture Data'!O:O,'Detailed Fixture Data'!C:C,G1235,'Detailed Fixture Data'!E:E,I1235,'Detailed Fixture Data'!F:F,J1235,'Detailed Fixture Data'!L:L,L1235)</f>
        <v>0</v>
      </c>
      <c r="P1235" s="1030">
        <f>SUMIFS('Intensity of Use Assumptions'!$J:$J,'Intensity of Use Assumptions'!$D:$D,I1235,'Intensity of Use Assumptions'!$G:$G,J1235,'Intensity of Use Assumptions'!H:H,K1235)</f>
        <v>1</v>
      </c>
      <c r="Q1235" s="567" t="s">
        <v>67</v>
      </c>
      <c r="R1235" s="1032">
        <f>(SUMPRODUCT(M1235:M1237,O1235:O1237)*P1235)</f>
        <v>0</v>
      </c>
      <c r="S1235" s="1033">
        <f>IF(R1235=0,0,M1237*P1235)</f>
        <v>0</v>
      </c>
      <c r="T1235" s="225" t="str">
        <f>G1235&amp;"-"&amp;J1235</f>
        <v>Tenant D-Other 1</v>
      </c>
      <c r="U1235" s="1034">
        <f ca="1">IF(ISNA(VLOOKUP(T1235,list!$AV$3:$AW$130,2,FALSE)),1,(VLOOKUP(T1235,list!$AV$3:$AW$130,2,FALSE)))</f>
        <v>1</v>
      </c>
      <c r="V1235" s="1033">
        <f ca="1">R1235*U1235</f>
        <v>0</v>
      </c>
      <c r="W1235" s="1033">
        <f ca="1">S1235*U1235</f>
        <v>0</v>
      </c>
    </row>
    <row r="1236" spans="3:23" x14ac:dyDescent="0.3">
      <c r="C1236" s="576"/>
      <c r="D1236" s="493" t="s">
        <v>471</v>
      </c>
      <c r="E1236" s="494"/>
      <c r="F1236" s="182"/>
      <c r="G1236" s="494" t="s">
        <v>109</v>
      </c>
      <c r="H1236" s="577"/>
      <c r="I1236" s="450" t="s">
        <v>8</v>
      </c>
      <c r="J1236" s="577" t="s">
        <v>52</v>
      </c>
      <c r="K1236" s="382"/>
      <c r="L1236" s="1035" t="s">
        <v>65</v>
      </c>
      <c r="M1236" s="1036">
        <f>SUMIFS('Level of Efficiency Assumptions'!$J:$J,'Level of Efficiency Assumptions'!$D:$D,I1236,'Level of Efficiency Assumptions'!$F:$F,J1236,'Level of Efficiency Assumptions'!$I:$I,'Water Use Calcs'!L1236)</f>
        <v>7.5</v>
      </c>
      <c r="N1236" s="577"/>
      <c r="O1236" s="1048">
        <f>SUMIFS('Detailed Fixture Data'!O:O,'Detailed Fixture Data'!C:C,G1236,'Detailed Fixture Data'!E:E,I1236,'Detailed Fixture Data'!F:F,J1236,'Detailed Fixture Data'!L:L,L1236)</f>
        <v>0</v>
      </c>
      <c r="P1236" s="1049"/>
      <c r="Q1236" s="577"/>
      <c r="R1236" s="1039"/>
      <c r="S1236" s="521"/>
      <c r="T1236" s="225"/>
      <c r="U1236" s="521"/>
      <c r="V1236" s="1040"/>
      <c r="W1236" s="1041"/>
    </row>
    <row r="1237" spans="3:23" ht="15" thickBot="1" x14ac:dyDescent="0.35">
      <c r="C1237" s="576"/>
      <c r="D1237" s="493" t="s">
        <v>471</v>
      </c>
      <c r="E1237" s="494"/>
      <c r="F1237" s="182"/>
      <c r="G1237" s="494" t="s">
        <v>109</v>
      </c>
      <c r="H1237" s="577"/>
      <c r="I1237" s="450" t="s">
        <v>8</v>
      </c>
      <c r="J1237" s="116" t="s">
        <v>52</v>
      </c>
      <c r="K1237" s="382"/>
      <c r="L1237" s="1042" t="s">
        <v>66</v>
      </c>
      <c r="M1237" s="1043">
        <f>SUMIFS('Level of Efficiency Assumptions'!$J:$J,'Level of Efficiency Assumptions'!$D:$D,I1237,'Level of Efficiency Assumptions'!$F:$F,J1237,'Level of Efficiency Assumptions'!$I:$I,'Water Use Calcs'!L1237)</f>
        <v>5</v>
      </c>
      <c r="N1237" s="577"/>
      <c r="O1237" s="1048">
        <f>SUMIFS('Detailed Fixture Data'!O:O,'Detailed Fixture Data'!C:C,G1237,'Detailed Fixture Data'!E:E,I1237,'Detailed Fixture Data'!F:F,J1237,'Detailed Fixture Data'!L:L,L1237)</f>
        <v>0</v>
      </c>
      <c r="P1237" s="1049"/>
      <c r="Q1237" s="577"/>
      <c r="R1237" s="1039"/>
      <c r="S1237" s="618"/>
      <c r="T1237" s="225"/>
      <c r="U1237" s="618"/>
      <c r="V1237" s="1045"/>
      <c r="W1237" s="1046"/>
    </row>
    <row r="1238" spans="3:23" x14ac:dyDescent="0.3">
      <c r="C1238" s="576"/>
      <c r="D1238" s="493" t="s">
        <v>471</v>
      </c>
      <c r="E1238" s="494"/>
      <c r="F1238" s="182"/>
      <c r="G1238" s="494" t="s">
        <v>109</v>
      </c>
      <c r="H1238" s="577"/>
      <c r="I1238" s="450" t="s">
        <v>8</v>
      </c>
      <c r="J1238" s="577" t="s">
        <v>53</v>
      </c>
      <c r="K1238" s="1055" t="s">
        <v>363</v>
      </c>
      <c r="L1238" s="1047" t="s">
        <v>64</v>
      </c>
      <c r="M1238" s="1036">
        <f>SUMIFS('Level of Efficiency Assumptions'!$J:$J,'Level of Efficiency Assumptions'!$D:$D,I1238,'Level of Efficiency Assumptions'!$F:$F,J1238,'Level of Efficiency Assumptions'!$I:$I,'Water Use Calcs'!L1238)</f>
        <v>10</v>
      </c>
      <c r="N1238" s="567" t="s">
        <v>660</v>
      </c>
      <c r="O1238" s="1048">
        <f>SUMIFS('Detailed Fixture Data'!O:O,'Detailed Fixture Data'!C:C,G1238,'Detailed Fixture Data'!E:E,I1238,'Detailed Fixture Data'!F:F,J1238,'Detailed Fixture Data'!L:L,L1238)</f>
        <v>0</v>
      </c>
      <c r="P1238" s="1030">
        <f>SUMIFS('Intensity of Use Assumptions'!$J:$J,'Intensity of Use Assumptions'!$D:$D,I1238,'Intensity of Use Assumptions'!$G:$G,J1238,'Intensity of Use Assumptions'!H:H,K1238)</f>
        <v>1</v>
      </c>
      <c r="Q1238" s="567" t="s">
        <v>67</v>
      </c>
      <c r="R1238" s="1032">
        <f>(SUMPRODUCT(M1238:M1240,O1238:O1240)*P1238)</f>
        <v>0</v>
      </c>
      <c r="S1238" s="1033">
        <f>IF(R1238=0,0,M1240*P1238)</f>
        <v>0</v>
      </c>
      <c r="T1238" s="225" t="str">
        <f>G1238&amp;"-"&amp;J1238</f>
        <v>Tenant D-Other 2</v>
      </c>
      <c r="U1238" s="1034">
        <f ca="1">IF(ISNA(VLOOKUP(T1238,list!$AV$3:$AW$130,2,FALSE)),1,(VLOOKUP(T1238,list!$AV$3:$AW$130,2,FALSE)))</f>
        <v>1</v>
      </c>
      <c r="V1238" s="1033">
        <f ca="1">R1238*U1238</f>
        <v>0</v>
      </c>
      <c r="W1238" s="1033">
        <f ca="1">S1238*U1238</f>
        <v>0</v>
      </c>
    </row>
    <row r="1239" spans="3:23" x14ac:dyDescent="0.3">
      <c r="C1239" s="576"/>
      <c r="D1239" s="493" t="s">
        <v>471</v>
      </c>
      <c r="E1239" s="494"/>
      <c r="F1239" s="182"/>
      <c r="G1239" s="494" t="s">
        <v>109</v>
      </c>
      <c r="H1239" s="577"/>
      <c r="I1239" s="450" t="s">
        <v>8</v>
      </c>
      <c r="J1239" s="577" t="s">
        <v>53</v>
      </c>
      <c r="K1239" s="577"/>
      <c r="L1239" s="1035" t="s">
        <v>65</v>
      </c>
      <c r="M1239" s="1036">
        <f>SUMIFS('Level of Efficiency Assumptions'!$J:$J,'Level of Efficiency Assumptions'!$D:$D,I1239,'Level of Efficiency Assumptions'!$F:$F,J1239,'Level of Efficiency Assumptions'!$I:$I,'Water Use Calcs'!L1239)</f>
        <v>7.5</v>
      </c>
      <c r="N1239" s="577"/>
      <c r="O1239" s="1048">
        <f>SUMIFS('Detailed Fixture Data'!O:O,'Detailed Fixture Data'!C:C,G1239,'Detailed Fixture Data'!E:E,I1239,'Detailed Fixture Data'!F:F,J1239,'Detailed Fixture Data'!L:L,L1239)</f>
        <v>0</v>
      </c>
      <c r="P1239" s="1049"/>
      <c r="Q1239" s="577"/>
      <c r="R1239" s="1039"/>
      <c r="S1239" s="521"/>
      <c r="T1239" s="225"/>
      <c r="U1239" s="521"/>
      <c r="V1239" s="1040"/>
      <c r="W1239" s="1041"/>
    </row>
    <row r="1240" spans="3:23" ht="15" thickBot="1" x14ac:dyDescent="0.35">
      <c r="C1240" s="576"/>
      <c r="D1240" s="493" t="s">
        <v>471</v>
      </c>
      <c r="E1240" s="494"/>
      <c r="F1240" s="182"/>
      <c r="G1240" s="494" t="s">
        <v>109</v>
      </c>
      <c r="H1240" s="577"/>
      <c r="I1240" s="450" t="s">
        <v>8</v>
      </c>
      <c r="J1240" s="116" t="s">
        <v>53</v>
      </c>
      <c r="K1240" s="116"/>
      <c r="L1240" s="1042" t="s">
        <v>66</v>
      </c>
      <c r="M1240" s="1043">
        <f>SUMIFS('Level of Efficiency Assumptions'!$J:$J,'Level of Efficiency Assumptions'!$D:$D,I1240,'Level of Efficiency Assumptions'!$F:$F,J1240,'Level of Efficiency Assumptions'!$I:$I,'Water Use Calcs'!L1240)</f>
        <v>5</v>
      </c>
      <c r="N1240" s="577"/>
      <c r="O1240" s="1048">
        <f>SUMIFS('Detailed Fixture Data'!O:O,'Detailed Fixture Data'!C:C,G1240,'Detailed Fixture Data'!E:E,I1240,'Detailed Fixture Data'!F:F,J1240,'Detailed Fixture Data'!L:L,L1240)</f>
        <v>0</v>
      </c>
      <c r="P1240" s="1049"/>
      <c r="Q1240" s="577"/>
      <c r="R1240" s="1039"/>
      <c r="S1240" s="618"/>
      <c r="T1240" s="225"/>
      <c r="U1240" s="618"/>
      <c r="V1240" s="1045"/>
      <c r="W1240" s="1046"/>
    </row>
    <row r="1241" spans="3:23" x14ac:dyDescent="0.3">
      <c r="C1241" s="576"/>
      <c r="D1241" s="493" t="s">
        <v>471</v>
      </c>
      <c r="E1241" s="494"/>
      <c r="F1241" s="182"/>
      <c r="G1241" s="494" t="s">
        <v>109</v>
      </c>
      <c r="H1241" s="577"/>
      <c r="I1241" s="450" t="s">
        <v>8</v>
      </c>
      <c r="J1241" s="577" t="s">
        <v>54</v>
      </c>
      <c r="K1241" s="379" t="s">
        <v>364</v>
      </c>
      <c r="L1241" s="1047" t="s">
        <v>64</v>
      </c>
      <c r="M1241" s="1036">
        <f>SUMIFS('Level of Efficiency Assumptions'!$J:$J,'Level of Efficiency Assumptions'!$D:$D,I1241,'Level of Efficiency Assumptions'!$F:$F,J1241,'Level of Efficiency Assumptions'!$I:$I,'Water Use Calcs'!L1241)</f>
        <v>10</v>
      </c>
      <c r="N1241" s="567" t="s">
        <v>660</v>
      </c>
      <c r="O1241" s="1048">
        <f>SUMIFS('Detailed Fixture Data'!O:O,'Detailed Fixture Data'!C:C,G1241,'Detailed Fixture Data'!E:E,I1241,'Detailed Fixture Data'!F:F,J1241,'Detailed Fixture Data'!L:L,L1241)</f>
        <v>0</v>
      </c>
      <c r="P1241" s="1030">
        <f>SUMIFS('Intensity of Use Assumptions'!$J:$J,'Intensity of Use Assumptions'!$D:$D,I1241,'Intensity of Use Assumptions'!$G:$G,J1241,'Intensity of Use Assumptions'!H:H,K1241)</f>
        <v>1</v>
      </c>
      <c r="Q1241" s="567" t="s">
        <v>67</v>
      </c>
      <c r="R1241" s="1032">
        <f>(SUMPRODUCT(M1241:M1243,O1241:O1243)*P1241)</f>
        <v>0</v>
      </c>
      <c r="S1241" s="1033">
        <f>IF(R1241=0,0,M1243*P1241)</f>
        <v>0</v>
      </c>
      <c r="T1241" s="225" t="str">
        <f>G1241&amp;"-"&amp;J1241</f>
        <v>Tenant D-Other 3</v>
      </c>
      <c r="U1241" s="1034">
        <f ca="1">IF(ISNA(VLOOKUP(T1241,list!$AV$3:$AW$130,2,FALSE)),1,(VLOOKUP(T1241,list!$AV$3:$AW$130,2,FALSE)))</f>
        <v>1</v>
      </c>
      <c r="V1241" s="1033">
        <f ca="1">R1241*U1241</f>
        <v>0</v>
      </c>
      <c r="W1241" s="1033">
        <f ca="1">S1241*U1241</f>
        <v>0</v>
      </c>
    </row>
    <row r="1242" spans="3:23" x14ac:dyDescent="0.3">
      <c r="C1242" s="576"/>
      <c r="D1242" s="493" t="s">
        <v>471</v>
      </c>
      <c r="E1242" s="494"/>
      <c r="F1242" s="182"/>
      <c r="G1242" s="494" t="s">
        <v>109</v>
      </c>
      <c r="H1242" s="577"/>
      <c r="I1242" s="450" t="s">
        <v>8</v>
      </c>
      <c r="J1242" s="577" t="s">
        <v>54</v>
      </c>
      <c r="K1242" s="577"/>
      <c r="L1242" s="1035" t="s">
        <v>65</v>
      </c>
      <c r="M1242" s="1036">
        <f>SUMIFS('Level of Efficiency Assumptions'!$J:$J,'Level of Efficiency Assumptions'!$D:$D,I1242,'Level of Efficiency Assumptions'!$F:$F,J1242,'Level of Efficiency Assumptions'!$I:$I,'Water Use Calcs'!L1242)</f>
        <v>7.5</v>
      </c>
      <c r="N1242" s="577"/>
      <c r="O1242" s="1048">
        <f>SUMIFS('Detailed Fixture Data'!O:O,'Detailed Fixture Data'!C:C,G1242,'Detailed Fixture Data'!E:E,I1242,'Detailed Fixture Data'!F:F,J1242,'Detailed Fixture Data'!L:L,L1242)</f>
        <v>0</v>
      </c>
      <c r="P1242" s="1049"/>
      <c r="Q1242" s="577"/>
      <c r="R1242" s="1039"/>
      <c r="S1242" s="521"/>
      <c r="T1242" s="225"/>
      <c r="U1242" s="521"/>
      <c r="V1242" s="1040"/>
      <c r="W1242" s="1041"/>
    </row>
    <row r="1243" spans="3:23" ht="15" thickBot="1" x14ac:dyDescent="0.35">
      <c r="C1243" s="576"/>
      <c r="D1243" s="500" t="s">
        <v>471</v>
      </c>
      <c r="E1243" s="501"/>
      <c r="F1243" s="184"/>
      <c r="G1243" s="501" t="s">
        <v>109</v>
      </c>
      <c r="H1243" s="116"/>
      <c r="I1243" s="451" t="s">
        <v>8</v>
      </c>
      <c r="J1243" s="116" t="s">
        <v>54</v>
      </c>
      <c r="K1243" s="116"/>
      <c r="L1243" s="1042" t="s">
        <v>66</v>
      </c>
      <c r="M1243" s="1043">
        <f>SUMIFS('Level of Efficiency Assumptions'!$J:$J,'Level of Efficiency Assumptions'!$D:$D,I1243,'Level of Efficiency Assumptions'!$F:$F,J1243,'Level of Efficiency Assumptions'!$I:$I,'Water Use Calcs'!L1243)</f>
        <v>5</v>
      </c>
      <c r="N1243" s="116"/>
      <c r="O1243" s="1048">
        <f>SUMIFS('Detailed Fixture Data'!O:O,'Detailed Fixture Data'!C:C,G1243,'Detailed Fixture Data'!E:E,I1243,'Detailed Fixture Data'!F:F,J1243,'Detailed Fixture Data'!L:L,L1243)</f>
        <v>0</v>
      </c>
      <c r="P1243" s="1049"/>
      <c r="Q1243" s="116"/>
      <c r="R1243" s="1045"/>
      <c r="S1243" s="618"/>
      <c r="T1243" s="225"/>
      <c r="U1243" s="618"/>
      <c r="V1243" s="1045"/>
      <c r="W1243" s="1046"/>
    </row>
    <row r="1244" spans="3:23" x14ac:dyDescent="0.3">
      <c r="C1244" s="576"/>
      <c r="D1244" s="493" t="s">
        <v>471</v>
      </c>
      <c r="E1244" s="619" t="str">
        <f>G1244</f>
        <v>Tenant E</v>
      </c>
      <c r="F1244" s="565" t="str">
        <f>VLOOKUP(E1244,'Airport Mapping'!$C$5:$D$39,2,FALSE)</f>
        <v xml:space="preserve"> </v>
      </c>
      <c r="G1244" s="494" t="s">
        <v>110</v>
      </c>
      <c r="H1244" s="651" t="str">
        <f>I1244</f>
        <v>Restrooms</v>
      </c>
      <c r="I1244" s="454" t="s">
        <v>37</v>
      </c>
      <c r="J1244" s="567" t="s">
        <v>2</v>
      </c>
      <c r="K1244" s="577" t="s">
        <v>6</v>
      </c>
      <c r="L1244" s="1028" t="s">
        <v>64</v>
      </c>
      <c r="M1244" s="1036">
        <f>SUMIFS('Level of Efficiency Assumptions'!$J:$J,'Level of Efficiency Assumptions'!$D:$D,I1244,'Level of Efficiency Assumptions'!$F:$F,J1244,'Level of Efficiency Assumptions'!$I:$I,'Water Use Calcs'!L1244)</f>
        <v>3.5</v>
      </c>
      <c r="N1244" s="567" t="s">
        <v>68</v>
      </c>
      <c r="O1244" s="1048">
        <f>SUMIFS('Detailed Fixture Data'!O:O,'Detailed Fixture Data'!C:C,G1244,'Detailed Fixture Data'!E:E,I1244,'Detailed Fixture Data'!F:F,J1244,'Detailed Fixture Data'!L:L,L1244)</f>
        <v>0</v>
      </c>
      <c r="P1244" s="1030">
        <f>SUMIFS('Intensity of Use Assumptions'!$J:$J,'Intensity of Use Assumptions'!$D:$D,I1244,'Intensity of Use Assumptions'!$G:$G,J1244,'Intensity of Use Assumptions'!H:H,K1244)</f>
        <v>2.5</v>
      </c>
      <c r="Q1244" s="567" t="s">
        <v>67</v>
      </c>
      <c r="R1244" s="1032">
        <f>(SUMPRODUCT(M1244:M1246,O1244:O1246)*P1244)</f>
        <v>0</v>
      </c>
      <c r="S1244" s="1033">
        <f>IF(R1244=0,0,M1246*P1244)</f>
        <v>0</v>
      </c>
      <c r="T1244" s="225" t="str">
        <f>G1244&amp;"-"&amp;J1244</f>
        <v>Tenant E-Toilets</v>
      </c>
      <c r="U1244" s="1034">
        <f ca="1">IF(ISNA(VLOOKUP(T1244,list!$AV$3:$AW$130,2,FALSE)),1,(VLOOKUP(T1244,list!$AV$3:$AW$130,2,FALSE)))</f>
        <v>1</v>
      </c>
      <c r="V1244" s="1033">
        <f ca="1">R1244*U1244</f>
        <v>0</v>
      </c>
      <c r="W1244" s="1033">
        <f ca="1">S1244*U1244</f>
        <v>0</v>
      </c>
    </row>
    <row r="1245" spans="3:23" x14ac:dyDescent="0.3">
      <c r="C1245" s="576"/>
      <c r="D1245" s="493" t="s">
        <v>471</v>
      </c>
      <c r="E1245" s="494"/>
      <c r="F1245" s="182"/>
      <c r="G1245" s="494" t="s">
        <v>110</v>
      </c>
      <c r="H1245" s="577"/>
      <c r="I1245" s="450" t="s">
        <v>37</v>
      </c>
      <c r="J1245" s="577" t="s">
        <v>2</v>
      </c>
      <c r="K1245" s="577"/>
      <c r="L1245" s="1035" t="s">
        <v>65</v>
      </c>
      <c r="M1245" s="1036">
        <f>SUMIFS('Level of Efficiency Assumptions'!$J:$J,'Level of Efficiency Assumptions'!$D:$D,I1245,'Level of Efficiency Assumptions'!$F:$F,J1245,'Level of Efficiency Assumptions'!$I:$I,'Water Use Calcs'!L1245)</f>
        <v>1.6</v>
      </c>
      <c r="N1245" s="577"/>
      <c r="O1245" s="1048">
        <f>SUMIFS('Detailed Fixture Data'!O:O,'Detailed Fixture Data'!C:C,G1245,'Detailed Fixture Data'!E:E,I1245,'Detailed Fixture Data'!F:F,J1245,'Detailed Fixture Data'!L:L,L1245)</f>
        <v>0</v>
      </c>
      <c r="P1245" s="1049"/>
      <c r="Q1245" s="577"/>
      <c r="R1245" s="1039"/>
      <c r="S1245" s="521"/>
      <c r="T1245" s="225"/>
      <c r="U1245" s="521"/>
      <c r="V1245" s="1040"/>
      <c r="W1245" s="1041"/>
    </row>
    <row r="1246" spans="3:23" ht="15" thickBot="1" x14ac:dyDescent="0.35">
      <c r="C1246" s="576"/>
      <c r="D1246" s="493" t="s">
        <v>471</v>
      </c>
      <c r="E1246" s="494"/>
      <c r="F1246" s="182"/>
      <c r="G1246" s="494" t="s">
        <v>110</v>
      </c>
      <c r="H1246" s="577"/>
      <c r="I1246" s="450" t="s">
        <v>37</v>
      </c>
      <c r="J1246" s="116" t="s">
        <v>2</v>
      </c>
      <c r="K1246" s="116"/>
      <c r="L1246" s="1042" t="s">
        <v>66</v>
      </c>
      <c r="M1246" s="1043">
        <f>SUMIFS('Level of Efficiency Assumptions'!$J:$J,'Level of Efficiency Assumptions'!$D:$D,I1246,'Level of Efficiency Assumptions'!$F:$F,J1246,'Level of Efficiency Assumptions'!$I:$I,'Water Use Calcs'!L1246)</f>
        <v>1.28</v>
      </c>
      <c r="N1246" s="577"/>
      <c r="O1246" s="1048">
        <f>SUMIFS('Detailed Fixture Data'!O:O,'Detailed Fixture Data'!C:C,G1246,'Detailed Fixture Data'!E:E,I1246,'Detailed Fixture Data'!F:F,J1246,'Detailed Fixture Data'!L:L,L1246)</f>
        <v>0</v>
      </c>
      <c r="P1246" s="1049"/>
      <c r="Q1246" s="577"/>
      <c r="R1246" s="1039"/>
      <c r="S1246" s="618"/>
      <c r="T1246" s="225"/>
      <c r="U1246" s="618"/>
      <c r="V1246" s="1045"/>
      <c r="W1246" s="1046"/>
    </row>
    <row r="1247" spans="3:23" x14ac:dyDescent="0.3">
      <c r="C1247" s="576"/>
      <c r="D1247" s="493" t="s">
        <v>471</v>
      </c>
      <c r="E1247" s="494"/>
      <c r="F1247" s="182"/>
      <c r="G1247" s="494" t="s">
        <v>110</v>
      </c>
      <c r="H1247" s="577"/>
      <c r="I1247" s="450" t="s">
        <v>37</v>
      </c>
      <c r="J1247" s="577" t="s">
        <v>4</v>
      </c>
      <c r="K1247" s="577" t="s">
        <v>6</v>
      </c>
      <c r="L1247" s="1047" t="s">
        <v>64</v>
      </c>
      <c r="M1247" s="1036">
        <f>SUMIFS('Level of Efficiency Assumptions'!$J:$J,'Level of Efficiency Assumptions'!$D:$D,I1247,'Level of Efficiency Assumptions'!$F:$F,J1247,'Level of Efficiency Assumptions'!$I:$I,'Water Use Calcs'!L1247)</f>
        <v>2</v>
      </c>
      <c r="N1247" s="567" t="s">
        <v>68</v>
      </c>
      <c r="O1247" s="1048">
        <f>SUMIFS('Detailed Fixture Data'!O:O,'Detailed Fixture Data'!C:C,G1247,'Detailed Fixture Data'!E:E,I1247,'Detailed Fixture Data'!F:F,J1247,'Detailed Fixture Data'!L:L,L1247)</f>
        <v>0</v>
      </c>
      <c r="P1247" s="1030">
        <f>SUMIFS('Intensity of Use Assumptions'!$J:$J,'Intensity of Use Assumptions'!$D:$D,I1247,'Intensity of Use Assumptions'!$G:$G,J1247,'Intensity of Use Assumptions'!H:H,K1247)</f>
        <v>1.5</v>
      </c>
      <c r="Q1247" s="567" t="s">
        <v>67</v>
      </c>
      <c r="R1247" s="1032">
        <f>(SUMPRODUCT(M1247:M1249,O1247:O1249)*P1247)</f>
        <v>0</v>
      </c>
      <c r="S1247" s="1033">
        <f>IF(R1247=0,0,M1249*P1247)</f>
        <v>0</v>
      </c>
      <c r="T1247" s="225" t="str">
        <f>G1247&amp;"-"&amp;J1247</f>
        <v>Tenant E-Urinals</v>
      </c>
      <c r="U1247" s="1034">
        <f ca="1">IF(ISNA(VLOOKUP(T1247,list!$AV$3:$AW$130,2,FALSE)),1,(VLOOKUP(T1247,list!$AV$3:$AW$130,2,FALSE)))</f>
        <v>1</v>
      </c>
      <c r="V1247" s="1033">
        <f ca="1">R1247*U1247</f>
        <v>0</v>
      </c>
      <c r="W1247" s="1033">
        <f ca="1">S1247*U1247</f>
        <v>0</v>
      </c>
    </row>
    <row r="1248" spans="3:23" x14ac:dyDescent="0.3">
      <c r="C1248" s="576"/>
      <c r="D1248" s="493" t="s">
        <v>471</v>
      </c>
      <c r="E1248" s="494"/>
      <c r="F1248" s="182"/>
      <c r="G1248" s="494" t="s">
        <v>110</v>
      </c>
      <c r="H1248" s="577"/>
      <c r="I1248" s="450" t="s">
        <v>37</v>
      </c>
      <c r="J1248" s="577" t="s">
        <v>4</v>
      </c>
      <c r="K1248" s="577"/>
      <c r="L1248" s="1035" t="s">
        <v>65</v>
      </c>
      <c r="M1248" s="1036">
        <f>SUMIFS('Level of Efficiency Assumptions'!$J:$J,'Level of Efficiency Assumptions'!$D:$D,I1248,'Level of Efficiency Assumptions'!$F:$F,J1248,'Level of Efficiency Assumptions'!$I:$I,'Water Use Calcs'!L1248)</f>
        <v>1</v>
      </c>
      <c r="N1248" s="577"/>
      <c r="O1248" s="1048">
        <f>SUMIFS('Detailed Fixture Data'!O:O,'Detailed Fixture Data'!C:C,G1248,'Detailed Fixture Data'!E:E,I1248,'Detailed Fixture Data'!F:F,J1248,'Detailed Fixture Data'!L:L,L1248)</f>
        <v>0</v>
      </c>
      <c r="P1248" s="1049"/>
      <c r="Q1248" s="577"/>
      <c r="R1248" s="1039"/>
      <c r="S1248" s="521"/>
      <c r="T1248" s="225"/>
      <c r="U1248" s="521"/>
      <c r="V1248" s="1040"/>
      <c r="W1248" s="1041"/>
    </row>
    <row r="1249" spans="3:23" ht="15" thickBot="1" x14ac:dyDescent="0.35">
      <c r="C1249" s="576"/>
      <c r="D1249" s="493" t="s">
        <v>471</v>
      </c>
      <c r="E1249" s="494"/>
      <c r="F1249" s="182"/>
      <c r="G1249" s="494" t="s">
        <v>110</v>
      </c>
      <c r="H1249" s="577"/>
      <c r="I1249" s="450" t="s">
        <v>37</v>
      </c>
      <c r="J1249" s="116" t="s">
        <v>4</v>
      </c>
      <c r="K1249" s="116"/>
      <c r="L1249" s="1042" t="s">
        <v>66</v>
      </c>
      <c r="M1249" s="1043">
        <f>SUMIFS('Level of Efficiency Assumptions'!$J:$J,'Level of Efficiency Assumptions'!$D:$D,I1249,'Level of Efficiency Assumptions'!$F:$F,J1249,'Level of Efficiency Assumptions'!$I:$I,'Water Use Calcs'!L1249)</f>
        <v>0.125</v>
      </c>
      <c r="N1249" s="577"/>
      <c r="O1249" s="1048">
        <f>SUMIFS('Detailed Fixture Data'!O:O,'Detailed Fixture Data'!C:C,G1249,'Detailed Fixture Data'!E:E,I1249,'Detailed Fixture Data'!F:F,J1249,'Detailed Fixture Data'!L:L,L1249)</f>
        <v>0</v>
      </c>
      <c r="P1249" s="1049"/>
      <c r="Q1249" s="577"/>
      <c r="R1249" s="1039"/>
      <c r="S1249" s="618"/>
      <c r="T1249" s="225"/>
      <c r="U1249" s="618"/>
      <c r="V1249" s="1045"/>
      <c r="W1249" s="1046"/>
    </row>
    <row r="1250" spans="3:23" x14ac:dyDescent="0.3">
      <c r="C1250" s="576"/>
      <c r="D1250" s="493" t="s">
        <v>471</v>
      </c>
      <c r="E1250" s="494"/>
      <c r="F1250" s="182"/>
      <c r="G1250" s="494" t="s">
        <v>110</v>
      </c>
      <c r="H1250" s="577"/>
      <c r="I1250" s="450" t="s">
        <v>37</v>
      </c>
      <c r="J1250" s="577" t="s">
        <v>33</v>
      </c>
      <c r="K1250" s="577" t="s">
        <v>6</v>
      </c>
      <c r="L1250" s="1047" t="s">
        <v>64</v>
      </c>
      <c r="M1250" s="1036">
        <f>SUMIFS('Level of Efficiency Assumptions'!$J:$J,'Level of Efficiency Assumptions'!$D:$D,I1250,'Level of Efficiency Assumptions'!$F:$F,J1250,'Level of Efficiency Assumptions'!$I:$I,'Water Use Calcs'!L1250)</f>
        <v>2</v>
      </c>
      <c r="N1250" s="567" t="s">
        <v>78</v>
      </c>
      <c r="O1250" s="1048">
        <f>SUMIFS('Detailed Fixture Data'!O:O,'Detailed Fixture Data'!C:C,G1250,'Detailed Fixture Data'!E:E,I1250,'Detailed Fixture Data'!F:F,J1250,'Detailed Fixture Data'!L:L,L1250)</f>
        <v>0</v>
      </c>
      <c r="P1250" s="1030">
        <f>SUMIFS('Intensity of Use Assumptions'!$J:$J,'Intensity of Use Assumptions'!$D:$D,I1250,'Intensity of Use Assumptions'!$G:$G,J1250,'Intensity of Use Assumptions'!H:H,K1250)</f>
        <v>0.66666666666666663</v>
      </c>
      <c r="Q1250" s="567" t="s">
        <v>133</v>
      </c>
      <c r="R1250" s="1032">
        <f>(SUMPRODUCT(M1250:M1252,O1250:O1252)*P1250)</f>
        <v>0</v>
      </c>
      <c r="S1250" s="1033">
        <f>IF(R1250=0,0,M1252*P1250)</f>
        <v>0</v>
      </c>
      <c r="T1250" s="225" t="str">
        <f>G1250&amp;"-"&amp;J1250</f>
        <v>Tenant E-Faucets</v>
      </c>
      <c r="U1250" s="1034">
        <f ca="1">IF(ISNA(VLOOKUP(T1250,list!$AV$3:$AW$130,2,FALSE)),1,(VLOOKUP(T1250,list!$AV$3:$AW$130,2,FALSE)))</f>
        <v>1</v>
      </c>
      <c r="V1250" s="1033">
        <f ca="1">R1250*U1250</f>
        <v>0</v>
      </c>
      <c r="W1250" s="1033">
        <f ca="1">S1250*U1250</f>
        <v>0</v>
      </c>
    </row>
    <row r="1251" spans="3:23" x14ac:dyDescent="0.3">
      <c r="C1251" s="576"/>
      <c r="D1251" s="493" t="s">
        <v>471</v>
      </c>
      <c r="E1251" s="494"/>
      <c r="F1251" s="182"/>
      <c r="G1251" s="494" t="s">
        <v>110</v>
      </c>
      <c r="H1251" s="577"/>
      <c r="I1251" s="450" t="s">
        <v>37</v>
      </c>
      <c r="J1251" s="577" t="s">
        <v>33</v>
      </c>
      <c r="K1251" s="577"/>
      <c r="L1251" s="1035" t="s">
        <v>65</v>
      </c>
      <c r="M1251" s="1036">
        <f>SUMIFS('Level of Efficiency Assumptions'!$J:$J,'Level of Efficiency Assumptions'!$D:$D,I1251,'Level of Efficiency Assumptions'!$F:$F,J1251,'Level of Efficiency Assumptions'!$I:$I,'Water Use Calcs'!L1251)</f>
        <v>1</v>
      </c>
      <c r="N1251" s="577"/>
      <c r="O1251" s="1048">
        <f>SUMIFS('Detailed Fixture Data'!O:O,'Detailed Fixture Data'!C:C,G1251,'Detailed Fixture Data'!E:E,I1251,'Detailed Fixture Data'!F:F,J1251,'Detailed Fixture Data'!L:L,L1251)</f>
        <v>0</v>
      </c>
      <c r="P1251" s="1049"/>
      <c r="Q1251" s="577"/>
      <c r="R1251" s="1039"/>
      <c r="S1251" s="521"/>
      <c r="T1251" s="225"/>
      <c r="U1251" s="521"/>
      <c r="V1251" s="1040"/>
      <c r="W1251" s="1041"/>
    </row>
    <row r="1252" spans="3:23" ht="15" thickBot="1" x14ac:dyDescent="0.35">
      <c r="C1252" s="576"/>
      <c r="D1252" s="493" t="s">
        <v>471</v>
      </c>
      <c r="E1252" s="494"/>
      <c r="F1252" s="182"/>
      <c r="G1252" s="494" t="s">
        <v>110</v>
      </c>
      <c r="H1252" s="577"/>
      <c r="I1252" s="451" t="s">
        <v>37</v>
      </c>
      <c r="J1252" s="116" t="s">
        <v>33</v>
      </c>
      <c r="K1252" s="116"/>
      <c r="L1252" s="1042" t="s">
        <v>66</v>
      </c>
      <c r="M1252" s="1043">
        <f>SUMIFS('Level of Efficiency Assumptions'!$J:$J,'Level of Efficiency Assumptions'!$D:$D,I1252,'Level of Efficiency Assumptions'!$F:$F,J1252,'Level of Efficiency Assumptions'!$I:$I,'Water Use Calcs'!L1252)</f>
        <v>0.5</v>
      </c>
      <c r="N1252" s="577"/>
      <c r="O1252" s="1048">
        <f>SUMIFS('Detailed Fixture Data'!O:O,'Detailed Fixture Data'!C:C,G1252,'Detailed Fixture Data'!E:E,I1252,'Detailed Fixture Data'!F:F,J1252,'Detailed Fixture Data'!L:L,L1252)</f>
        <v>0</v>
      </c>
      <c r="P1252" s="1049"/>
      <c r="Q1252" s="577"/>
      <c r="R1252" s="1039"/>
      <c r="S1252" s="618"/>
      <c r="T1252" s="225"/>
      <c r="U1252" s="618"/>
      <c r="V1252" s="1045"/>
      <c r="W1252" s="1046"/>
    </row>
    <row r="1253" spans="3:23" x14ac:dyDescent="0.3">
      <c r="C1253" s="576"/>
      <c r="D1253" s="493" t="s">
        <v>471</v>
      </c>
      <c r="E1253" s="494"/>
      <c r="F1253" s="182"/>
      <c r="G1253" s="494" t="s">
        <v>110</v>
      </c>
      <c r="H1253" s="651" t="str">
        <f>I1253</f>
        <v>Break rooms</v>
      </c>
      <c r="I1253" s="450" t="s">
        <v>5</v>
      </c>
      <c r="J1253" s="577" t="s">
        <v>33</v>
      </c>
      <c r="K1253" s="577" t="s">
        <v>6</v>
      </c>
      <c r="L1253" s="1047" t="s">
        <v>64</v>
      </c>
      <c r="M1253" s="1036">
        <f>SUMIFS('Level of Efficiency Assumptions'!$J:$J,'Level of Efficiency Assumptions'!$D:$D,I1253,'Level of Efficiency Assumptions'!$F:$F,J1253,'Level of Efficiency Assumptions'!$I:$I,'Water Use Calcs'!L1253)</f>
        <v>2</v>
      </c>
      <c r="N1253" s="567" t="s">
        <v>78</v>
      </c>
      <c r="O1253" s="1048">
        <f>SUMIFS('Detailed Fixture Data'!O:O,'Detailed Fixture Data'!C:C,G1253,'Detailed Fixture Data'!E:E,I1253,'Detailed Fixture Data'!F:F,J1253,'Detailed Fixture Data'!L:L,L1253)</f>
        <v>0</v>
      </c>
      <c r="P1253" s="1030">
        <f>SUMIFS('Intensity of Use Assumptions'!$J:$J,'Intensity of Use Assumptions'!$D:$D,I1253,'Intensity of Use Assumptions'!$G:$G,J1253,'Intensity of Use Assumptions'!H:H,K1253)</f>
        <v>0.16666666666666666</v>
      </c>
      <c r="Q1253" s="567" t="s">
        <v>133</v>
      </c>
      <c r="R1253" s="1032">
        <f>(SUMPRODUCT(M1253:M1255,O1253:O1255)*P1253)</f>
        <v>0</v>
      </c>
      <c r="S1253" s="1033">
        <f>IF(R1253=0,0,M1255*P1253)</f>
        <v>0</v>
      </c>
      <c r="T1253" s="225" t="str">
        <f>G1253&amp;"-"&amp;J1253</f>
        <v>Tenant E-Faucets</v>
      </c>
      <c r="U1253" s="1034">
        <f ca="1">IF(ISNA(VLOOKUP(T1253,list!$AV$3:$AW$130,2,FALSE)),1,(VLOOKUP(T1253,list!$AV$3:$AW$130,2,FALSE)))</f>
        <v>1</v>
      </c>
      <c r="V1253" s="1033">
        <f ca="1">R1253*U1253</f>
        <v>0</v>
      </c>
      <c r="W1253" s="1033">
        <f ca="1">S1253*U1253</f>
        <v>0</v>
      </c>
    </row>
    <row r="1254" spans="3:23" x14ac:dyDescent="0.3">
      <c r="C1254" s="576"/>
      <c r="D1254" s="493" t="s">
        <v>471</v>
      </c>
      <c r="E1254" s="494"/>
      <c r="F1254" s="182"/>
      <c r="G1254" s="494" t="s">
        <v>110</v>
      </c>
      <c r="H1254" s="577"/>
      <c r="I1254" s="450" t="s">
        <v>5</v>
      </c>
      <c r="J1254" s="577" t="s">
        <v>33</v>
      </c>
      <c r="K1254" s="577"/>
      <c r="L1254" s="1035" t="s">
        <v>65</v>
      </c>
      <c r="M1254" s="1036">
        <f>SUMIFS('Level of Efficiency Assumptions'!$J:$J,'Level of Efficiency Assumptions'!$D:$D,I1254,'Level of Efficiency Assumptions'!$F:$F,J1254,'Level of Efficiency Assumptions'!$I:$I,'Water Use Calcs'!L1254)</f>
        <v>1</v>
      </c>
      <c r="N1254" s="577"/>
      <c r="O1254" s="1048">
        <f>SUMIFS('Detailed Fixture Data'!O:O,'Detailed Fixture Data'!C:C,G1254,'Detailed Fixture Data'!E:E,I1254,'Detailed Fixture Data'!F:F,J1254,'Detailed Fixture Data'!L:L,L1254)</f>
        <v>0</v>
      </c>
      <c r="P1254" s="1049"/>
      <c r="Q1254" s="577"/>
      <c r="R1254" s="1039"/>
      <c r="S1254" s="521"/>
      <c r="T1254" s="225"/>
      <c r="U1254" s="521"/>
      <c r="V1254" s="1040"/>
      <c r="W1254" s="1041"/>
    </row>
    <row r="1255" spans="3:23" ht="15" thickBot="1" x14ac:dyDescent="0.35">
      <c r="C1255" s="576"/>
      <c r="D1255" s="493" t="s">
        <v>471</v>
      </c>
      <c r="E1255" s="494"/>
      <c r="F1255" s="182"/>
      <c r="G1255" s="494" t="s">
        <v>110</v>
      </c>
      <c r="H1255" s="577"/>
      <c r="I1255" s="451" t="s">
        <v>5</v>
      </c>
      <c r="J1255" s="116" t="s">
        <v>33</v>
      </c>
      <c r="K1255" s="116"/>
      <c r="L1255" s="1042" t="s">
        <v>66</v>
      </c>
      <c r="M1255" s="1043">
        <f>SUMIFS('Level of Efficiency Assumptions'!$J:$J,'Level of Efficiency Assumptions'!$D:$D,I1255,'Level of Efficiency Assumptions'!$F:$F,J1255,'Level of Efficiency Assumptions'!$I:$I,'Water Use Calcs'!L1255)</f>
        <v>0.5</v>
      </c>
      <c r="N1255" s="577"/>
      <c r="O1255" s="1048">
        <f>SUMIFS('Detailed Fixture Data'!O:O,'Detailed Fixture Data'!C:C,G1255,'Detailed Fixture Data'!E:E,I1255,'Detailed Fixture Data'!F:F,J1255,'Detailed Fixture Data'!L:L,L1255)</f>
        <v>0</v>
      </c>
      <c r="P1255" s="1049"/>
      <c r="Q1255" s="577"/>
      <c r="R1255" s="1039"/>
      <c r="S1255" s="618"/>
      <c r="T1255" s="225"/>
      <c r="U1255" s="618"/>
      <c r="V1255" s="1045"/>
      <c r="W1255" s="1046"/>
    </row>
    <row r="1256" spans="3:23" x14ac:dyDescent="0.3">
      <c r="C1256" s="576"/>
      <c r="D1256" s="493" t="s">
        <v>471</v>
      </c>
      <c r="E1256" s="494"/>
      <c r="F1256" s="182"/>
      <c r="G1256" s="494" t="s">
        <v>110</v>
      </c>
      <c r="H1256" s="651" t="str">
        <f>I1256</f>
        <v>Flight kitchens</v>
      </c>
      <c r="I1256" s="450" t="s">
        <v>391</v>
      </c>
      <c r="J1256" s="577" t="s">
        <v>114</v>
      </c>
      <c r="K1256" s="577" t="s">
        <v>118</v>
      </c>
      <c r="L1256" s="1047" t="s">
        <v>64</v>
      </c>
      <c r="M1256" s="1036">
        <f>SUMIFS('Level of Efficiency Assumptions'!$J:$J,'Level of Efficiency Assumptions'!$D:$D,I1256,'Level of Efficiency Assumptions'!$F:$F,J1256,'Level of Efficiency Assumptions'!$I:$I,'Water Use Calcs'!L1256)</f>
        <v>2</v>
      </c>
      <c r="N1256" s="567" t="s">
        <v>78</v>
      </c>
      <c r="O1256" s="1048">
        <f>SUMIFS('Detailed Fixture Data'!O:O,'Detailed Fixture Data'!C:C,G1256,'Detailed Fixture Data'!E:E,I1256,'Detailed Fixture Data'!F:F,J1256,'Detailed Fixture Data'!L:L,L1256)</f>
        <v>0</v>
      </c>
      <c r="P1256" s="1030">
        <f>SUMIFS('Intensity of Use Assumptions'!$J:$J,'Intensity of Use Assumptions'!$D:$D,I1256,'Intensity of Use Assumptions'!$G:$G,J1256,'Intensity of Use Assumptions'!H:H,K1256)</f>
        <v>1</v>
      </c>
      <c r="Q1256" s="567" t="s">
        <v>133</v>
      </c>
      <c r="R1256" s="1032">
        <f>(SUMPRODUCT(M1256:M1258,O1256:O1258)*P1256)</f>
        <v>0</v>
      </c>
      <c r="S1256" s="1033">
        <f>IF(R1256=0,0,M1258*P1256)</f>
        <v>0</v>
      </c>
      <c r="T1256" s="225" t="str">
        <f>G1256&amp;"-"&amp;J1256</f>
        <v>Tenant E-Kitchen faucets</v>
      </c>
      <c r="U1256" s="1034">
        <f ca="1">IF(ISNA(VLOOKUP(T1256,list!$AV$3:$AW$130,2,FALSE)),1,(VLOOKUP(T1256,list!$AV$3:$AW$130,2,FALSE)))</f>
        <v>1</v>
      </c>
      <c r="V1256" s="1033">
        <f ca="1">R1256*U1256</f>
        <v>0</v>
      </c>
      <c r="W1256" s="1033">
        <f ca="1">S1256*U1256</f>
        <v>0</v>
      </c>
    </row>
    <row r="1257" spans="3:23" x14ac:dyDescent="0.3">
      <c r="C1257" s="576"/>
      <c r="D1257" s="493" t="s">
        <v>471</v>
      </c>
      <c r="E1257" s="494"/>
      <c r="F1257" s="182"/>
      <c r="G1257" s="494" t="s">
        <v>110</v>
      </c>
      <c r="H1257" s="577"/>
      <c r="I1257" s="450" t="s">
        <v>391</v>
      </c>
      <c r="J1257" s="577" t="s">
        <v>114</v>
      </c>
      <c r="K1257" s="577"/>
      <c r="L1257" s="1035" t="s">
        <v>65</v>
      </c>
      <c r="M1257" s="1036">
        <f>SUMIFS('Level of Efficiency Assumptions'!$J:$J,'Level of Efficiency Assumptions'!$D:$D,I1257,'Level of Efficiency Assumptions'!$F:$F,J1257,'Level of Efficiency Assumptions'!$I:$I,'Water Use Calcs'!L1257)</f>
        <v>1</v>
      </c>
      <c r="N1257" s="577"/>
      <c r="O1257" s="1048">
        <f>SUMIFS('Detailed Fixture Data'!O:O,'Detailed Fixture Data'!C:C,G1257,'Detailed Fixture Data'!E:E,I1257,'Detailed Fixture Data'!F:F,J1257,'Detailed Fixture Data'!L:L,L1257)</f>
        <v>0</v>
      </c>
      <c r="P1257" s="1049"/>
      <c r="Q1257" s="577"/>
      <c r="R1257" s="1039"/>
      <c r="S1257" s="521"/>
      <c r="T1257" s="225"/>
      <c r="U1257" s="521"/>
      <c r="V1257" s="1040"/>
      <c r="W1257" s="1041"/>
    </row>
    <row r="1258" spans="3:23" ht="15" thickBot="1" x14ac:dyDescent="0.35">
      <c r="C1258" s="576"/>
      <c r="D1258" s="493" t="s">
        <v>471</v>
      </c>
      <c r="E1258" s="494"/>
      <c r="F1258" s="182"/>
      <c r="G1258" s="494" t="s">
        <v>110</v>
      </c>
      <c r="H1258" s="577"/>
      <c r="I1258" s="450" t="s">
        <v>391</v>
      </c>
      <c r="J1258" s="116" t="s">
        <v>114</v>
      </c>
      <c r="K1258" s="116"/>
      <c r="L1258" s="1042" t="s">
        <v>66</v>
      </c>
      <c r="M1258" s="1043">
        <f>SUMIFS('Level of Efficiency Assumptions'!$J:$J,'Level of Efficiency Assumptions'!$D:$D,I1258,'Level of Efficiency Assumptions'!$F:$F,J1258,'Level of Efficiency Assumptions'!$I:$I,'Water Use Calcs'!L1258)</f>
        <v>0.5</v>
      </c>
      <c r="N1258" s="577"/>
      <c r="O1258" s="1048">
        <f>SUMIFS('Detailed Fixture Data'!O:O,'Detailed Fixture Data'!C:C,G1258,'Detailed Fixture Data'!E:E,I1258,'Detailed Fixture Data'!F:F,J1258,'Detailed Fixture Data'!L:L,L1258)</f>
        <v>0</v>
      </c>
      <c r="P1258" s="1049"/>
      <c r="Q1258" s="577"/>
      <c r="R1258" s="1039"/>
      <c r="S1258" s="618"/>
      <c r="T1258" s="225"/>
      <c r="U1258" s="618"/>
      <c r="V1258" s="1045"/>
      <c r="W1258" s="1046"/>
    </row>
    <row r="1259" spans="3:23" x14ac:dyDescent="0.3">
      <c r="C1259" s="576"/>
      <c r="D1259" s="493" t="s">
        <v>471</v>
      </c>
      <c r="E1259" s="494"/>
      <c r="F1259" s="182"/>
      <c r="G1259" s="494" t="s">
        <v>110</v>
      </c>
      <c r="H1259" s="577"/>
      <c r="I1259" s="450" t="s">
        <v>391</v>
      </c>
      <c r="J1259" s="577" t="s">
        <v>41</v>
      </c>
      <c r="K1259" s="577" t="s">
        <v>118</v>
      </c>
      <c r="L1259" s="1047" t="s">
        <v>64</v>
      </c>
      <c r="M1259" s="1036">
        <f>SUMIFS('Level of Efficiency Assumptions'!$J:$J,'Level of Efficiency Assumptions'!$D:$D,I1259,'Level of Efficiency Assumptions'!$F:$F,J1259,'Level of Efficiency Assumptions'!$I:$I,'Water Use Calcs'!L1259)</f>
        <v>4.5</v>
      </c>
      <c r="N1259" s="567" t="s">
        <v>223</v>
      </c>
      <c r="O1259" s="1048">
        <f>SUMIFS('Detailed Fixture Data'!O:O,'Detailed Fixture Data'!C:C,G1259,'Detailed Fixture Data'!E:E,I1259,'Detailed Fixture Data'!F:F,J1259,'Detailed Fixture Data'!L:L,L1259)</f>
        <v>0</v>
      </c>
      <c r="P1259" s="1030">
        <f>SUMIFS('Intensity of Use Assumptions'!$J:$J,'Intensity of Use Assumptions'!$D:$D,I1259,'Intensity of Use Assumptions'!$G:$G,J1259,'Intensity of Use Assumptions'!H:H,K1259)</f>
        <v>0.05</v>
      </c>
      <c r="Q1259" s="567" t="s">
        <v>224</v>
      </c>
      <c r="R1259" s="1032">
        <f>(SUMPRODUCT(M1259:M1261,O1259:O1261)*P1259)</f>
        <v>0</v>
      </c>
      <c r="S1259" s="1033">
        <f>IF(R1259=0,0,M1261*P1259)</f>
        <v>0</v>
      </c>
      <c r="T1259" s="225" t="str">
        <f>G1259&amp;"-"&amp;J1259</f>
        <v>Tenant E-Dishwashers</v>
      </c>
      <c r="U1259" s="1034">
        <f ca="1">IF(ISNA(VLOOKUP(T1259,list!$AV$3:$AW$130,2,FALSE)),1,(VLOOKUP(T1259,list!$AV$3:$AW$130,2,FALSE)))</f>
        <v>1</v>
      </c>
      <c r="V1259" s="1033">
        <f ca="1">R1259*U1259</f>
        <v>0</v>
      </c>
      <c r="W1259" s="1033">
        <f ca="1">S1259*U1259</f>
        <v>0</v>
      </c>
    </row>
    <row r="1260" spans="3:23" x14ac:dyDescent="0.3">
      <c r="C1260" s="576"/>
      <c r="D1260" s="493" t="s">
        <v>471</v>
      </c>
      <c r="E1260" s="494"/>
      <c r="F1260" s="182"/>
      <c r="G1260" s="494" t="s">
        <v>110</v>
      </c>
      <c r="H1260" s="577"/>
      <c r="I1260" s="450" t="s">
        <v>391</v>
      </c>
      <c r="J1260" s="577" t="s">
        <v>41</v>
      </c>
      <c r="K1260" s="577"/>
      <c r="L1260" s="1035" t="s">
        <v>65</v>
      </c>
      <c r="M1260" s="1036">
        <f>SUMIFS('Level of Efficiency Assumptions'!$J:$J,'Level of Efficiency Assumptions'!$D:$D,I1260,'Level of Efficiency Assumptions'!$F:$F,J1260,'Level of Efficiency Assumptions'!$I:$I,'Water Use Calcs'!L1260)</f>
        <v>2.5</v>
      </c>
      <c r="N1260" s="577"/>
      <c r="O1260" s="1048">
        <f>SUMIFS('Detailed Fixture Data'!O:O,'Detailed Fixture Data'!C:C,G1260,'Detailed Fixture Data'!E:E,I1260,'Detailed Fixture Data'!F:F,J1260,'Detailed Fixture Data'!L:L,L1260)</f>
        <v>0</v>
      </c>
      <c r="P1260" s="1049"/>
      <c r="Q1260" s="576" t="s">
        <v>80</v>
      </c>
      <c r="R1260" s="1039"/>
      <c r="S1260" s="521"/>
      <c r="T1260" s="225"/>
      <c r="U1260" s="521"/>
      <c r="V1260" s="1040"/>
      <c r="W1260" s="1041"/>
    </row>
    <row r="1261" spans="3:23" ht="15" thickBot="1" x14ac:dyDescent="0.35">
      <c r="C1261" s="576"/>
      <c r="D1261" s="493" t="s">
        <v>471</v>
      </c>
      <c r="E1261" s="494"/>
      <c r="F1261" s="182"/>
      <c r="G1261" s="494" t="s">
        <v>110</v>
      </c>
      <c r="H1261" s="577"/>
      <c r="I1261" s="450" t="s">
        <v>391</v>
      </c>
      <c r="J1261" s="116" t="s">
        <v>41</v>
      </c>
      <c r="K1261" s="116"/>
      <c r="L1261" s="1042" t="s">
        <v>66</v>
      </c>
      <c r="M1261" s="1043">
        <f>SUMIFS('Level of Efficiency Assumptions'!$J:$J,'Level of Efficiency Assumptions'!$D:$D,I1261,'Level of Efficiency Assumptions'!$F:$F,J1261,'Level of Efficiency Assumptions'!$I:$I,'Water Use Calcs'!L1261)</f>
        <v>1</v>
      </c>
      <c r="N1261" s="577"/>
      <c r="O1261" s="1048">
        <f>SUMIFS('Detailed Fixture Data'!O:O,'Detailed Fixture Data'!C:C,G1261,'Detailed Fixture Data'!E:E,I1261,'Detailed Fixture Data'!F:F,J1261,'Detailed Fixture Data'!L:L,L1261)</f>
        <v>0</v>
      </c>
      <c r="P1261" s="1049"/>
      <c r="Q1261" s="577"/>
      <c r="R1261" s="1039"/>
      <c r="S1261" s="618"/>
      <c r="T1261" s="225"/>
      <c r="U1261" s="618"/>
      <c r="V1261" s="1045"/>
      <c r="W1261" s="1046"/>
    </row>
    <row r="1262" spans="3:23" x14ac:dyDescent="0.3">
      <c r="C1262" s="576"/>
      <c r="D1262" s="493" t="s">
        <v>471</v>
      </c>
      <c r="E1262" s="494"/>
      <c r="F1262" s="182"/>
      <c r="G1262" s="494" t="s">
        <v>110</v>
      </c>
      <c r="H1262" s="577"/>
      <c r="I1262" s="450" t="s">
        <v>391</v>
      </c>
      <c r="J1262" s="577" t="s">
        <v>20</v>
      </c>
      <c r="K1262" s="577" t="s">
        <v>118</v>
      </c>
      <c r="L1262" s="1047" t="s">
        <v>64</v>
      </c>
      <c r="M1262" s="1036">
        <f>SUMIFS('Level of Efficiency Assumptions'!$J:$J,'Level of Efficiency Assumptions'!$D:$D,I1262,'Level of Efficiency Assumptions'!$F:$F,J1262,'Level of Efficiency Assumptions'!$I:$I,'Water Use Calcs'!L1262)</f>
        <v>1.5</v>
      </c>
      <c r="N1262" s="567" t="s">
        <v>222</v>
      </c>
      <c r="O1262" s="1048">
        <f>SUMIFS('Detailed Fixture Data'!O:O,'Detailed Fixture Data'!C:C,G1262,'Detailed Fixture Data'!E:E,I1262,'Detailed Fixture Data'!F:F,J1262,'Detailed Fixture Data'!L:L,L1262)</f>
        <v>0</v>
      </c>
      <c r="P1262" s="1030">
        <f>SUMIFS('Intensity of Use Assumptions'!$J:$J,'Intensity of Use Assumptions'!$D:$D,I1262,'Intensity of Use Assumptions'!$G:$G,J1262,'Intensity of Use Assumptions'!H:H,K1262)</f>
        <v>1</v>
      </c>
      <c r="Q1262" s="567" t="s">
        <v>221</v>
      </c>
      <c r="R1262" s="1032">
        <f>(SUMPRODUCT(M1262:M1264,O1262:O1264)*P1262)</f>
        <v>0</v>
      </c>
      <c r="S1262" s="1033">
        <f>IF(R1262=0,0,M1264*P1262)</f>
        <v>0</v>
      </c>
      <c r="T1262" s="225" t="str">
        <f>G1262&amp;"-"&amp;J1262</f>
        <v>Tenant E-Ice machines</v>
      </c>
      <c r="U1262" s="1034">
        <f ca="1">IF(ISNA(VLOOKUP(T1262,list!$AV$3:$AW$130,2,FALSE)),1,(VLOOKUP(T1262,list!$AV$3:$AW$130,2,FALSE)))</f>
        <v>1</v>
      </c>
      <c r="V1262" s="1033">
        <f ca="1">R1262*U1262</f>
        <v>0</v>
      </c>
      <c r="W1262" s="1033">
        <f ca="1">S1262*U1262</f>
        <v>0</v>
      </c>
    </row>
    <row r="1263" spans="3:23" x14ac:dyDescent="0.3">
      <c r="C1263" s="576"/>
      <c r="D1263" s="493" t="s">
        <v>471</v>
      </c>
      <c r="E1263" s="494"/>
      <c r="F1263" s="182"/>
      <c r="G1263" s="494" t="s">
        <v>110</v>
      </c>
      <c r="H1263" s="577"/>
      <c r="I1263" s="450" t="s">
        <v>391</v>
      </c>
      <c r="J1263" s="577" t="s">
        <v>20</v>
      </c>
      <c r="K1263" s="577"/>
      <c r="L1263" s="1035" t="s">
        <v>65</v>
      </c>
      <c r="M1263" s="1036">
        <f>SUMIFS('Level of Efficiency Assumptions'!$J:$J,'Level of Efficiency Assumptions'!$D:$D,I1263,'Level of Efficiency Assumptions'!$F:$F,J1263,'Level of Efficiency Assumptions'!$I:$I,'Water Use Calcs'!L1263)</f>
        <v>0.25</v>
      </c>
      <c r="N1263" s="577"/>
      <c r="O1263" s="1048">
        <f>SUMIFS('Detailed Fixture Data'!O:O,'Detailed Fixture Data'!C:C,G1263,'Detailed Fixture Data'!E:E,I1263,'Detailed Fixture Data'!F:F,J1263,'Detailed Fixture Data'!L:L,L1263)</f>
        <v>0</v>
      </c>
      <c r="P1263" s="1049"/>
      <c r="Q1263" s="577"/>
      <c r="R1263" s="1039"/>
      <c r="S1263" s="521"/>
      <c r="T1263" s="225"/>
      <c r="U1263" s="521"/>
      <c r="V1263" s="1040"/>
      <c r="W1263" s="1041"/>
    </row>
    <row r="1264" spans="3:23" ht="15" thickBot="1" x14ac:dyDescent="0.35">
      <c r="C1264" s="576"/>
      <c r="D1264" s="493" t="s">
        <v>471</v>
      </c>
      <c r="E1264" s="494"/>
      <c r="F1264" s="182"/>
      <c r="G1264" s="494" t="s">
        <v>110</v>
      </c>
      <c r="H1264" s="577"/>
      <c r="I1264" s="451" t="s">
        <v>391</v>
      </c>
      <c r="J1264" s="116" t="s">
        <v>20</v>
      </c>
      <c r="K1264" s="116"/>
      <c r="L1264" s="1042" t="s">
        <v>66</v>
      </c>
      <c r="M1264" s="1043">
        <f>SUMIFS('Level of Efficiency Assumptions'!$J:$J,'Level of Efficiency Assumptions'!$D:$D,I1264,'Level of Efficiency Assumptions'!$F:$F,J1264,'Level of Efficiency Assumptions'!$I:$I,'Water Use Calcs'!L1264)</f>
        <v>0.12</v>
      </c>
      <c r="N1264" s="577"/>
      <c r="O1264" s="1048">
        <f>SUMIFS('Detailed Fixture Data'!O:O,'Detailed Fixture Data'!C:C,G1264,'Detailed Fixture Data'!E:E,I1264,'Detailed Fixture Data'!F:F,J1264,'Detailed Fixture Data'!L:L,L1264)</f>
        <v>0</v>
      </c>
      <c r="P1264" s="1049"/>
      <c r="Q1264" s="577"/>
      <c r="R1264" s="1039"/>
      <c r="S1264" s="618"/>
      <c r="T1264" s="225"/>
      <c r="U1264" s="618"/>
      <c r="V1264" s="1045"/>
      <c r="W1264" s="1046"/>
    </row>
    <row r="1265" spans="3:23" x14ac:dyDescent="0.3">
      <c r="C1265" s="576"/>
      <c r="D1265" s="493" t="s">
        <v>471</v>
      </c>
      <c r="E1265" s="494"/>
      <c r="F1265" s="182"/>
      <c r="G1265" s="494" t="s">
        <v>110</v>
      </c>
      <c r="H1265" s="651" t="str">
        <f>I1265</f>
        <v>Aircraft</v>
      </c>
      <c r="I1265" s="450" t="s">
        <v>44</v>
      </c>
      <c r="J1265" s="577" t="s">
        <v>27</v>
      </c>
      <c r="K1265" s="577" t="s">
        <v>10</v>
      </c>
      <c r="L1265" s="1047" t="s">
        <v>64</v>
      </c>
      <c r="M1265" s="1036">
        <f>SUMIFS('Level of Efficiency Assumptions'!$J:$J,'Level of Efficiency Assumptions'!$D:$D,I1265,'Level of Efficiency Assumptions'!$F:$F,J1265,'Level of Efficiency Assumptions'!$I:$I,'Water Use Calcs'!L1265)</f>
        <v>10</v>
      </c>
      <c r="N1265" s="567" t="s">
        <v>588</v>
      </c>
      <c r="O1265" s="1048">
        <f>SUMIFS('Detailed Fixture Data'!O:O,'Detailed Fixture Data'!C:C,G1265,'Detailed Fixture Data'!E:E,I1265,'Detailed Fixture Data'!F:F,J1265,'Detailed Fixture Data'!L:L,L1265)</f>
        <v>0</v>
      </c>
      <c r="P1265" s="1030">
        <f>SUMIFS('Intensity of Use Assumptions'!$J:$J,'Intensity of Use Assumptions'!$D:$D,I1265,'Intensity of Use Assumptions'!$G:$G,J1265,'Intensity of Use Assumptions'!H:H,K1265)</f>
        <v>1</v>
      </c>
      <c r="Q1265" s="567" t="s">
        <v>67</v>
      </c>
      <c r="R1265" s="1032">
        <f>(SUMPRODUCT(M1265:M1267,O1265:O1267)*P1265)</f>
        <v>0</v>
      </c>
      <c r="S1265" s="1033">
        <f>IF(R1265=0,0,M1267*P1265)</f>
        <v>0</v>
      </c>
      <c r="T1265" s="225" t="str">
        <f>G1265&amp;"-"&amp;J1265</f>
        <v xml:space="preserve">Tenant E-Aircraft cleaning </v>
      </c>
      <c r="U1265" s="1034">
        <f ca="1">IF(ISNA(VLOOKUP(T1265,list!$AV$3:$AW$130,2,FALSE)),1,(VLOOKUP(T1265,list!$AV$3:$AW$130,2,FALSE)))</f>
        <v>1</v>
      </c>
      <c r="V1265" s="1033">
        <f ca="1">R1265*U1265</f>
        <v>0</v>
      </c>
      <c r="W1265" s="1033">
        <f ca="1">S1265*U1265</f>
        <v>0</v>
      </c>
    </row>
    <row r="1266" spans="3:23" x14ac:dyDescent="0.3">
      <c r="C1266" s="576"/>
      <c r="D1266" s="493" t="s">
        <v>471</v>
      </c>
      <c r="E1266" s="494"/>
      <c r="F1266" s="182"/>
      <c r="G1266" s="494" t="s">
        <v>110</v>
      </c>
      <c r="H1266" s="577"/>
      <c r="I1266" s="450" t="s">
        <v>44</v>
      </c>
      <c r="J1266" s="577" t="s">
        <v>27</v>
      </c>
      <c r="K1266" s="577"/>
      <c r="L1266" s="1035" t="s">
        <v>65</v>
      </c>
      <c r="M1266" s="1036">
        <f>SUMIFS('Level of Efficiency Assumptions'!$J:$J,'Level of Efficiency Assumptions'!$D:$D,I1266,'Level of Efficiency Assumptions'!$F:$F,J1266,'Level of Efficiency Assumptions'!$I:$I,'Water Use Calcs'!L1266)</f>
        <v>7.5</v>
      </c>
      <c r="N1266" s="577"/>
      <c r="O1266" s="1048">
        <f>SUMIFS('Detailed Fixture Data'!O:O,'Detailed Fixture Data'!C:C,G1266,'Detailed Fixture Data'!E:E,I1266,'Detailed Fixture Data'!F:F,J1266,'Detailed Fixture Data'!L:L,L1266)</f>
        <v>0</v>
      </c>
      <c r="P1266" s="1049"/>
      <c r="Q1266" s="577"/>
      <c r="R1266" s="1039"/>
      <c r="S1266" s="521"/>
      <c r="T1266" s="225"/>
      <c r="U1266" s="521"/>
      <c r="V1266" s="1040"/>
      <c r="W1266" s="1041"/>
    </row>
    <row r="1267" spans="3:23" ht="15" thickBot="1" x14ac:dyDescent="0.35">
      <c r="C1267" s="576"/>
      <c r="D1267" s="493" t="s">
        <v>471</v>
      </c>
      <c r="E1267" s="494"/>
      <c r="F1267" s="182"/>
      <c r="G1267" s="494" t="s">
        <v>110</v>
      </c>
      <c r="H1267" s="577"/>
      <c r="I1267" s="450" t="s">
        <v>44</v>
      </c>
      <c r="J1267" s="116" t="s">
        <v>27</v>
      </c>
      <c r="K1267" s="116"/>
      <c r="L1267" s="1042" t="s">
        <v>66</v>
      </c>
      <c r="M1267" s="1043">
        <f>SUMIFS('Level of Efficiency Assumptions'!$J:$J,'Level of Efficiency Assumptions'!$D:$D,I1267,'Level of Efficiency Assumptions'!$F:$F,J1267,'Level of Efficiency Assumptions'!$I:$I,'Water Use Calcs'!L1267)</f>
        <v>5</v>
      </c>
      <c r="N1267" s="577"/>
      <c r="O1267" s="1048">
        <f>SUMIFS('Detailed Fixture Data'!O:O,'Detailed Fixture Data'!C:C,G1267,'Detailed Fixture Data'!E:E,I1267,'Detailed Fixture Data'!F:F,J1267,'Detailed Fixture Data'!L:L,L1267)</f>
        <v>0</v>
      </c>
      <c r="P1267" s="1049"/>
      <c r="Q1267" s="577"/>
      <c r="R1267" s="1039"/>
      <c r="S1267" s="618"/>
      <c r="T1267" s="225"/>
      <c r="U1267" s="618"/>
      <c r="V1267" s="1045"/>
      <c r="W1267" s="1046"/>
    </row>
    <row r="1268" spans="3:23" x14ac:dyDescent="0.3">
      <c r="C1268" s="576"/>
      <c r="D1268" s="493" t="s">
        <v>471</v>
      </c>
      <c r="E1268" s="494"/>
      <c r="F1268" s="182"/>
      <c r="G1268" s="494" t="s">
        <v>110</v>
      </c>
      <c r="H1268" s="577"/>
      <c r="I1268" s="450" t="s">
        <v>44</v>
      </c>
      <c r="J1268" s="577" t="s">
        <v>28</v>
      </c>
      <c r="K1268" s="577" t="s">
        <v>10</v>
      </c>
      <c r="L1268" s="1047" t="s">
        <v>64</v>
      </c>
      <c r="M1268" s="1036">
        <f>SUMIFS('Level of Efficiency Assumptions'!$J:$J,'Level of Efficiency Assumptions'!$D:$D,I1268,'Level of Efficiency Assumptions'!$F:$F,J1268,'Level of Efficiency Assumptions'!$I:$I,'Water Use Calcs'!L1268)</f>
        <v>10</v>
      </c>
      <c r="N1268" s="567" t="s">
        <v>588</v>
      </c>
      <c r="O1268" s="1048">
        <f>SUMIFS('Detailed Fixture Data'!O:O,'Detailed Fixture Data'!C:C,G1268,'Detailed Fixture Data'!E:E,I1268,'Detailed Fixture Data'!F:F,J1268,'Detailed Fixture Data'!L:L,L1268)</f>
        <v>0</v>
      </c>
      <c r="P1268" s="1030">
        <f>SUMIFS('Intensity of Use Assumptions'!$J:$J,'Intensity of Use Assumptions'!$D:$D,I1268,'Intensity of Use Assumptions'!$G:$G,J1268,'Intensity of Use Assumptions'!H:H,K1268)</f>
        <v>1</v>
      </c>
      <c r="Q1268" s="567" t="s">
        <v>67</v>
      </c>
      <c r="R1268" s="1032">
        <f>(SUMPRODUCT(M1268:M1270,O1268:O1270)*P1268)</f>
        <v>0</v>
      </c>
      <c r="S1268" s="1033">
        <f>IF(R1268=0,0,M1270*P1268)</f>
        <v>0</v>
      </c>
      <c r="T1268" s="225" t="str">
        <f>G1268&amp;"-"&amp;J1268</f>
        <v>Tenant E-Onboard aircraft water</v>
      </c>
      <c r="U1268" s="1034">
        <f ca="1">IF(ISNA(VLOOKUP(T1268,list!$AV$3:$AW$130,2,FALSE)),1,(VLOOKUP(T1268,list!$AV$3:$AW$130,2,FALSE)))</f>
        <v>1</v>
      </c>
      <c r="V1268" s="1033">
        <f ca="1">R1268*U1268</f>
        <v>0</v>
      </c>
      <c r="W1268" s="1033">
        <f ca="1">S1268*U1268</f>
        <v>0</v>
      </c>
    </row>
    <row r="1269" spans="3:23" x14ac:dyDescent="0.3">
      <c r="C1269" s="576"/>
      <c r="D1269" s="493" t="s">
        <v>471</v>
      </c>
      <c r="E1269" s="494"/>
      <c r="F1269" s="182"/>
      <c r="G1269" s="494" t="s">
        <v>110</v>
      </c>
      <c r="H1269" s="577"/>
      <c r="I1269" s="450" t="s">
        <v>44</v>
      </c>
      <c r="J1269" s="577" t="s">
        <v>28</v>
      </c>
      <c r="K1269" s="577"/>
      <c r="L1269" s="1035" t="s">
        <v>65</v>
      </c>
      <c r="M1269" s="1036">
        <f>SUMIFS('Level of Efficiency Assumptions'!$J:$J,'Level of Efficiency Assumptions'!$D:$D,I1269,'Level of Efficiency Assumptions'!$F:$F,J1269,'Level of Efficiency Assumptions'!$I:$I,'Water Use Calcs'!L1269)</f>
        <v>7.5</v>
      </c>
      <c r="N1269" s="577"/>
      <c r="O1269" s="1048">
        <f>SUMIFS('Detailed Fixture Data'!O:O,'Detailed Fixture Data'!C:C,G1269,'Detailed Fixture Data'!E:E,I1269,'Detailed Fixture Data'!F:F,J1269,'Detailed Fixture Data'!L:L,L1269)</f>
        <v>0</v>
      </c>
      <c r="P1269" s="1049"/>
      <c r="Q1269" s="577"/>
      <c r="R1269" s="1039"/>
      <c r="S1269" s="521"/>
      <c r="T1269" s="225"/>
      <c r="U1269" s="521"/>
      <c r="V1269" s="1040"/>
      <c r="W1269" s="1041"/>
    </row>
    <row r="1270" spans="3:23" ht="15" thickBot="1" x14ac:dyDescent="0.35">
      <c r="C1270" s="576"/>
      <c r="D1270" s="493" t="s">
        <v>471</v>
      </c>
      <c r="E1270" s="494"/>
      <c r="F1270" s="182"/>
      <c r="G1270" s="494" t="s">
        <v>110</v>
      </c>
      <c r="H1270" s="577"/>
      <c r="I1270" s="450" t="s">
        <v>44</v>
      </c>
      <c r="J1270" s="116" t="s">
        <v>28</v>
      </c>
      <c r="K1270" s="116"/>
      <c r="L1270" s="1042" t="s">
        <v>66</v>
      </c>
      <c r="M1270" s="1043">
        <f>SUMIFS('Level of Efficiency Assumptions'!$J:$J,'Level of Efficiency Assumptions'!$D:$D,I1270,'Level of Efficiency Assumptions'!$F:$F,J1270,'Level of Efficiency Assumptions'!$I:$I,'Water Use Calcs'!L1270)</f>
        <v>5</v>
      </c>
      <c r="N1270" s="577"/>
      <c r="O1270" s="1048">
        <f>SUMIFS('Detailed Fixture Data'!O:O,'Detailed Fixture Data'!C:C,G1270,'Detailed Fixture Data'!E:E,I1270,'Detailed Fixture Data'!F:F,J1270,'Detailed Fixture Data'!L:L,L1270)</f>
        <v>0</v>
      </c>
      <c r="P1270" s="1049"/>
      <c r="Q1270" s="577"/>
      <c r="R1270" s="1039"/>
      <c r="S1270" s="618"/>
      <c r="T1270" s="225"/>
      <c r="U1270" s="618"/>
      <c r="V1270" s="1045"/>
      <c r="W1270" s="1046"/>
    </row>
    <row r="1271" spans="3:23" x14ac:dyDescent="0.3">
      <c r="C1271" s="576"/>
      <c r="D1271" s="493" t="s">
        <v>471</v>
      </c>
      <c r="E1271" s="494"/>
      <c r="F1271" s="182"/>
      <c r="G1271" s="494" t="s">
        <v>110</v>
      </c>
      <c r="H1271" s="577"/>
      <c r="I1271" s="450" t="s">
        <v>44</v>
      </c>
      <c r="J1271" s="577" t="s">
        <v>29</v>
      </c>
      <c r="K1271" s="382" t="s">
        <v>10</v>
      </c>
      <c r="L1271" s="1047" t="s">
        <v>64</v>
      </c>
      <c r="M1271" s="1036">
        <f>SUMIFS('Level of Efficiency Assumptions'!$J:$J,'Level of Efficiency Assumptions'!$D:$D,I1271,'Level of Efficiency Assumptions'!$F:$F,J1271,'Level of Efficiency Assumptions'!$I:$I,'Water Use Calcs'!L1271)</f>
        <v>20</v>
      </c>
      <c r="N1271" s="567" t="s">
        <v>588</v>
      </c>
      <c r="O1271" s="1048">
        <f>SUMIFS('Detailed Fixture Data'!O:O,'Detailed Fixture Data'!C:C,G1271,'Detailed Fixture Data'!E:E,I1271,'Detailed Fixture Data'!F:F,J1271,'Detailed Fixture Data'!L:L,L1271)</f>
        <v>0</v>
      </c>
      <c r="P1271" s="1030">
        <f>SUMIFS('Intensity of Use Assumptions'!$J:$J,'Intensity of Use Assumptions'!$D:$D,I1271,'Intensity of Use Assumptions'!$G:$G,J1271,'Intensity of Use Assumptions'!H:H,K1271)</f>
        <v>1</v>
      </c>
      <c r="Q1271" s="567" t="s">
        <v>67</v>
      </c>
      <c r="R1271" s="1032">
        <f>(SUMPRODUCT(M1271:M1273,O1271:O1273)*P1271)</f>
        <v>0</v>
      </c>
      <c r="S1271" s="1033">
        <f>IF(R1271=0,0,M1273*P1271)</f>
        <v>0</v>
      </c>
      <c r="T1271" s="225" t="str">
        <f>G1271&amp;"-"&amp;J1271</f>
        <v>Tenant E-Deicing</v>
      </c>
      <c r="U1271" s="1034">
        <f ca="1">IF(ISNA(VLOOKUP(T1271,list!$AV$3:$AW$130,2,FALSE)),1,(VLOOKUP(T1271,list!$AV$3:$AW$130,2,FALSE)))</f>
        <v>1</v>
      </c>
      <c r="V1271" s="1033">
        <f ca="1">R1271*U1271</f>
        <v>0</v>
      </c>
      <c r="W1271" s="1033">
        <f ca="1">S1271*U1271</f>
        <v>0</v>
      </c>
    </row>
    <row r="1272" spans="3:23" x14ac:dyDescent="0.3">
      <c r="C1272" s="576"/>
      <c r="D1272" s="493" t="s">
        <v>471</v>
      </c>
      <c r="E1272" s="494"/>
      <c r="F1272" s="182"/>
      <c r="G1272" s="494" t="s">
        <v>110</v>
      </c>
      <c r="H1272" s="577"/>
      <c r="I1272" s="450" t="s">
        <v>44</v>
      </c>
      <c r="J1272" s="577" t="s">
        <v>29</v>
      </c>
      <c r="K1272" s="577"/>
      <c r="L1272" s="1035" t="s">
        <v>65</v>
      </c>
      <c r="M1272" s="1036">
        <f>SUMIFS('Level of Efficiency Assumptions'!$J:$J,'Level of Efficiency Assumptions'!$D:$D,I1272,'Level of Efficiency Assumptions'!$F:$F,J1272,'Level of Efficiency Assumptions'!$I:$I,'Water Use Calcs'!L1272)</f>
        <v>10</v>
      </c>
      <c r="N1272" s="577"/>
      <c r="O1272" s="1048">
        <f>SUMIFS('Detailed Fixture Data'!O:O,'Detailed Fixture Data'!C:C,G1272,'Detailed Fixture Data'!E:E,I1272,'Detailed Fixture Data'!F:F,J1272,'Detailed Fixture Data'!L:L,L1272)</f>
        <v>0</v>
      </c>
      <c r="P1272" s="1049"/>
      <c r="Q1272" s="577"/>
      <c r="R1272" s="1039"/>
      <c r="S1272" s="521"/>
      <c r="T1272" s="225"/>
      <c r="U1272" s="521"/>
      <c r="V1272" s="1040"/>
      <c r="W1272" s="1041"/>
    </row>
    <row r="1273" spans="3:23" ht="15" thickBot="1" x14ac:dyDescent="0.35">
      <c r="C1273" s="576"/>
      <c r="D1273" s="493" t="s">
        <v>471</v>
      </c>
      <c r="E1273" s="494"/>
      <c r="F1273" s="182"/>
      <c r="G1273" s="494" t="s">
        <v>110</v>
      </c>
      <c r="H1273" s="577"/>
      <c r="I1273" s="451" t="s">
        <v>44</v>
      </c>
      <c r="J1273" s="116" t="s">
        <v>29</v>
      </c>
      <c r="K1273" s="116"/>
      <c r="L1273" s="1042" t="s">
        <v>66</v>
      </c>
      <c r="M1273" s="1043">
        <f>SUMIFS('Level of Efficiency Assumptions'!$J:$J,'Level of Efficiency Assumptions'!$D:$D,I1273,'Level of Efficiency Assumptions'!$F:$F,J1273,'Level of Efficiency Assumptions'!$I:$I,'Water Use Calcs'!L1273)</f>
        <v>5</v>
      </c>
      <c r="N1273" s="577"/>
      <c r="O1273" s="1048">
        <f>SUMIFS('Detailed Fixture Data'!O:O,'Detailed Fixture Data'!C:C,G1273,'Detailed Fixture Data'!E:E,I1273,'Detailed Fixture Data'!F:F,J1273,'Detailed Fixture Data'!L:L,L1273)</f>
        <v>0</v>
      </c>
      <c r="P1273" s="1049"/>
      <c r="Q1273" s="577"/>
      <c r="R1273" s="1039"/>
      <c r="S1273" s="618"/>
      <c r="T1273" s="225"/>
      <c r="U1273" s="618"/>
      <c r="V1273" s="1045"/>
      <c r="W1273" s="1046"/>
    </row>
    <row r="1274" spans="3:23" x14ac:dyDescent="0.3">
      <c r="C1274" s="576"/>
      <c r="D1274" s="493" t="s">
        <v>471</v>
      </c>
      <c r="E1274" s="494"/>
      <c r="F1274" s="182"/>
      <c r="G1274" s="494" t="s">
        <v>110</v>
      </c>
      <c r="H1274" s="651" t="str">
        <f>I1274</f>
        <v>Landscaping</v>
      </c>
      <c r="I1274" s="450" t="s">
        <v>39</v>
      </c>
      <c r="J1274" s="577" t="s">
        <v>42</v>
      </c>
      <c r="K1274" s="577" t="s">
        <v>32</v>
      </c>
      <c r="L1274" s="1047" t="s">
        <v>64</v>
      </c>
      <c r="M1274" s="1036">
        <f>SUMIFS('Level of Efficiency Assumptions'!$J:$J,'Level of Efficiency Assumptions'!$D:$D,I1274,'Level of Efficiency Assumptions'!$F:$F,J1274,'Level of Efficiency Assumptions'!$I:$I,'Water Use Calcs'!L1274)</f>
        <v>28.6</v>
      </c>
      <c r="N1274" s="567" t="s">
        <v>817</v>
      </c>
      <c r="O1274" s="1048">
        <f>SUMIFS('Detailed Fixture Data'!O:O,'Detailed Fixture Data'!C:C,G1274,'Detailed Fixture Data'!E:E,I1274,'Detailed Fixture Data'!F:F,J1274,'Detailed Fixture Data'!L:L,L1274)</f>
        <v>0</v>
      </c>
      <c r="P1274" s="1030">
        <f>SUMIFS('Intensity of Use Assumptions'!$J:$J,'Intensity of Use Assumptions'!$D:$D,I1274,'Intensity of Use Assumptions'!$G:$G,J1274,'Intensity of Use Assumptions'!H:H,K1274,'Intensity of Use Assumptions'!F:F,D1274)</f>
        <v>2.7397260273972603E-3</v>
      </c>
      <c r="Q1274" s="567" t="s">
        <v>815</v>
      </c>
      <c r="R1274" s="1032">
        <f>(SUMPRODUCT(M1274:M1276,O1274:O1276)*P1274)</f>
        <v>0</v>
      </c>
      <c r="S1274" s="1033">
        <f>IF(R1274=0,0,M1276*P1274)</f>
        <v>0</v>
      </c>
      <c r="T1274" s="225" t="str">
        <f>G1274&amp;"-"&amp;J1274</f>
        <v>Tenant E-Outdoor irrigation</v>
      </c>
      <c r="U1274" s="1034">
        <f ca="1">IF(ISNA(VLOOKUP(T1274,list!$AV$3:$AW$130,2,FALSE)),1,(VLOOKUP(T1274,list!$AV$3:$AW$130,2,FALSE)))</f>
        <v>1</v>
      </c>
      <c r="V1274" s="1033">
        <f ca="1">R1274*U1274</f>
        <v>0</v>
      </c>
      <c r="W1274" s="1033">
        <f ca="1">S1274*U1274</f>
        <v>0</v>
      </c>
    </row>
    <row r="1275" spans="3:23" x14ac:dyDescent="0.3">
      <c r="C1275" s="576"/>
      <c r="D1275" s="493" t="s">
        <v>471</v>
      </c>
      <c r="E1275" s="494"/>
      <c r="F1275" s="182"/>
      <c r="G1275" s="494" t="s">
        <v>110</v>
      </c>
      <c r="H1275" s="577"/>
      <c r="I1275" s="450" t="s">
        <v>39</v>
      </c>
      <c r="J1275" s="577" t="s">
        <v>42</v>
      </c>
      <c r="K1275" s="577"/>
      <c r="L1275" s="1035" t="s">
        <v>65</v>
      </c>
      <c r="M1275" s="1036">
        <f>SUMIFS('Level of Efficiency Assumptions'!$J:$J,'Level of Efficiency Assumptions'!$D:$D,I1275,'Level of Efficiency Assumptions'!$F:$F,J1275,'Level of Efficiency Assumptions'!$I:$I,'Water Use Calcs'!L1275)</f>
        <v>13.980821518350929</v>
      </c>
      <c r="N1275" s="577"/>
      <c r="O1275" s="1048">
        <f>SUMIFS('Detailed Fixture Data'!O:O,'Detailed Fixture Data'!C:C,G1275,'Detailed Fixture Data'!E:E,I1275,'Detailed Fixture Data'!F:F,J1275,'Detailed Fixture Data'!L:L,L1275)</f>
        <v>0</v>
      </c>
      <c r="P1275" s="1049"/>
      <c r="Q1275" s="577"/>
      <c r="R1275" s="1039"/>
      <c r="S1275" s="521"/>
      <c r="T1275" s="225"/>
      <c r="U1275" s="521"/>
      <c r="V1275" s="1040"/>
      <c r="W1275" s="1041"/>
    </row>
    <row r="1276" spans="3:23" ht="15" thickBot="1" x14ac:dyDescent="0.35">
      <c r="C1276" s="576"/>
      <c r="D1276" s="493" t="s">
        <v>471</v>
      </c>
      <c r="E1276" s="494"/>
      <c r="F1276" s="182"/>
      <c r="G1276" s="494" t="s">
        <v>110</v>
      </c>
      <c r="H1276" s="577"/>
      <c r="I1276" s="451" t="s">
        <v>39</v>
      </c>
      <c r="J1276" s="116" t="s">
        <v>42</v>
      </c>
      <c r="K1276" s="116"/>
      <c r="L1276" s="1042" t="s">
        <v>66</v>
      </c>
      <c r="M1276" s="1043">
        <f>SUMIFS('Level of Efficiency Assumptions'!$J:$J,'Level of Efficiency Assumptions'!$D:$D,I1276,'Level of Efficiency Assumptions'!$F:$F,J1276,'Level of Efficiency Assumptions'!$I:$I,'Water Use Calcs'!L1276)</f>
        <v>0.59137254901960778</v>
      </c>
      <c r="N1276" s="577"/>
      <c r="O1276" s="1048">
        <f>SUMIFS('Detailed Fixture Data'!O:O,'Detailed Fixture Data'!C:C,G1276,'Detailed Fixture Data'!E:E,I1276,'Detailed Fixture Data'!F:F,J1276,'Detailed Fixture Data'!L:L,L1276)</f>
        <v>0</v>
      </c>
      <c r="P1276" s="1049"/>
      <c r="Q1276" s="577"/>
      <c r="R1276" s="1039"/>
      <c r="S1276" s="618"/>
      <c r="T1276" s="225"/>
      <c r="U1276" s="618"/>
      <c r="V1276" s="1045"/>
      <c r="W1276" s="1046"/>
    </row>
    <row r="1277" spans="3:23" x14ac:dyDescent="0.3">
      <c r="C1277" s="576"/>
      <c r="D1277" s="493" t="s">
        <v>471</v>
      </c>
      <c r="E1277" s="494"/>
      <c r="F1277" s="182"/>
      <c r="G1277" s="494" t="s">
        <v>110</v>
      </c>
      <c r="H1277" s="651" t="str">
        <f>I1277</f>
        <v>Maintenance</v>
      </c>
      <c r="I1277" s="450" t="s">
        <v>43</v>
      </c>
      <c r="J1277" s="577" t="s">
        <v>111</v>
      </c>
      <c r="K1277" s="217" t="s">
        <v>424</v>
      </c>
      <c r="L1277" s="1047" t="s">
        <v>64</v>
      </c>
      <c r="M1277" s="1036">
        <f>SUMIFS('Level of Efficiency Assumptions'!$J:$J,'Level of Efficiency Assumptions'!$D:$D,I1277,'Level of Efficiency Assumptions'!$F:$F,J1277,'Level of Efficiency Assumptions'!$I:$I,'Water Use Calcs'!L1277)</f>
        <v>100</v>
      </c>
      <c r="N1277" s="567" t="s">
        <v>659</v>
      </c>
      <c r="O1277" s="1048">
        <f>SUMIFS('Detailed Fixture Data'!O:O,'Detailed Fixture Data'!C:C,G1277,'Detailed Fixture Data'!E:E,I1277,'Detailed Fixture Data'!F:F,J1277,'Detailed Fixture Data'!L:L,L1277)</f>
        <v>0</v>
      </c>
      <c r="P1277" s="1030">
        <f>SUMIFS('Intensity of Use Assumptions'!$J:$J,'Intensity of Use Assumptions'!$D:$D,I1277,'Intensity of Use Assumptions'!$G:$G,J1277,'Intensity of Use Assumptions'!H:H,K1277)</f>
        <v>1</v>
      </c>
      <c r="Q1277" s="567" t="s">
        <v>67</v>
      </c>
      <c r="R1277" s="1032">
        <f>(SUMPRODUCT(M1277:M1279,O1277:O1279)*P1277)</f>
        <v>0</v>
      </c>
      <c r="S1277" s="1033">
        <f>IF(R1277=0,0,M1279*P1277)</f>
        <v>0</v>
      </c>
      <c r="T1277" s="225" t="str">
        <f>G1277&amp;"-"&amp;J1277</f>
        <v>Tenant E-Boiler</v>
      </c>
      <c r="U1277" s="1034">
        <f ca="1">IF(ISNA(VLOOKUP(T1277,list!$AV$3:$AW$130,2,FALSE)),1,(VLOOKUP(T1277,list!$AV$3:$AW$130,2,FALSE)))</f>
        <v>1</v>
      </c>
      <c r="V1277" s="1033">
        <f ca="1">R1277*U1277</f>
        <v>0</v>
      </c>
      <c r="W1277" s="1033">
        <f ca="1">S1277*U1277</f>
        <v>0</v>
      </c>
    </row>
    <row r="1278" spans="3:23" x14ac:dyDescent="0.3">
      <c r="C1278" s="576"/>
      <c r="D1278" s="493" t="s">
        <v>471</v>
      </c>
      <c r="E1278" s="494"/>
      <c r="F1278" s="182"/>
      <c r="G1278" s="494" t="s">
        <v>110</v>
      </c>
      <c r="H1278" s="577"/>
      <c r="I1278" s="450" t="s">
        <v>43</v>
      </c>
      <c r="J1278" s="577" t="s">
        <v>111</v>
      </c>
      <c r="K1278" s="382"/>
      <c r="L1278" s="1035" t="s">
        <v>65</v>
      </c>
      <c r="M1278" s="1036">
        <f>SUMIFS('Level of Efficiency Assumptions'!$J:$J,'Level of Efficiency Assumptions'!$D:$D,I1278,'Level of Efficiency Assumptions'!$F:$F,J1278,'Level of Efficiency Assumptions'!$I:$I,'Water Use Calcs'!L1278)</f>
        <v>75</v>
      </c>
      <c r="N1278" s="577"/>
      <c r="O1278" s="1048">
        <f>SUMIFS('Detailed Fixture Data'!O:O,'Detailed Fixture Data'!C:C,G1278,'Detailed Fixture Data'!E:E,I1278,'Detailed Fixture Data'!F:F,J1278,'Detailed Fixture Data'!L:L,L1278)</f>
        <v>0</v>
      </c>
      <c r="P1278" s="1049"/>
      <c r="Q1278" s="577"/>
      <c r="R1278" s="1039"/>
      <c r="S1278" s="521"/>
      <c r="T1278" s="225"/>
      <c r="U1278" s="521"/>
      <c r="V1278" s="1040"/>
      <c r="W1278" s="1041"/>
    </row>
    <row r="1279" spans="3:23" ht="15" thickBot="1" x14ac:dyDescent="0.35">
      <c r="C1279" s="576"/>
      <c r="D1279" s="493" t="s">
        <v>471</v>
      </c>
      <c r="E1279" s="494"/>
      <c r="F1279" s="182"/>
      <c r="G1279" s="494" t="s">
        <v>110</v>
      </c>
      <c r="H1279" s="577"/>
      <c r="I1279" s="450" t="s">
        <v>43</v>
      </c>
      <c r="J1279" s="116" t="s">
        <v>111</v>
      </c>
      <c r="K1279" s="116"/>
      <c r="L1279" s="1042" t="s">
        <v>66</v>
      </c>
      <c r="M1279" s="1043">
        <f>SUMIFS('Level of Efficiency Assumptions'!$J:$J,'Level of Efficiency Assumptions'!$D:$D,I1279,'Level of Efficiency Assumptions'!$F:$F,J1279,'Level of Efficiency Assumptions'!$I:$I,'Water Use Calcs'!L1279)</f>
        <v>50</v>
      </c>
      <c r="N1279" s="577"/>
      <c r="O1279" s="1048">
        <f>SUMIFS('Detailed Fixture Data'!O:O,'Detailed Fixture Data'!C:C,G1279,'Detailed Fixture Data'!E:E,I1279,'Detailed Fixture Data'!F:F,J1279,'Detailed Fixture Data'!L:L,L1279)</f>
        <v>0</v>
      </c>
      <c r="P1279" s="1049"/>
      <c r="Q1279" s="577"/>
      <c r="R1279" s="1039"/>
      <c r="S1279" s="618"/>
      <c r="T1279" s="225"/>
      <c r="U1279" s="618"/>
      <c r="V1279" s="1045"/>
      <c r="W1279" s="1046"/>
    </row>
    <row r="1280" spans="3:23" x14ac:dyDescent="0.3">
      <c r="C1280" s="576"/>
      <c r="D1280" s="493" t="s">
        <v>471</v>
      </c>
      <c r="E1280" s="494"/>
      <c r="F1280" s="182"/>
      <c r="G1280" s="494" t="s">
        <v>110</v>
      </c>
      <c r="H1280" s="577"/>
      <c r="I1280" s="450" t="s">
        <v>43</v>
      </c>
      <c r="J1280" s="577" t="s">
        <v>7</v>
      </c>
      <c r="K1280" s="215" t="s">
        <v>365</v>
      </c>
      <c r="L1280" s="1012" t="s">
        <v>257</v>
      </c>
      <c r="M1280" s="1050"/>
      <c r="N1280" s="1050"/>
      <c r="O1280" s="1050"/>
      <c r="P1280" s="1051"/>
      <c r="Q1280" s="981"/>
      <c r="R1280" s="1052">
        <f>SUMIFS('Cooling Data'!H:H,'Cooling Data'!$C:$C,$G1280,'Cooling Data'!$E:$E,$I1280,'Cooling Data'!$F:$F,$J1280)</f>
        <v>0</v>
      </c>
      <c r="S1280" s="1052">
        <f>SUMIFS('Cooling Data'!J:J,'Cooling Data'!$C:$C,$G1280,'Cooling Data'!$E:$E,$I1280,'Cooling Data'!$F:$F,$J1280)</f>
        <v>0</v>
      </c>
      <c r="T1280" s="225" t="str">
        <f>G1280&amp;"-"&amp;J1280</f>
        <v>Tenant E-Cooling</v>
      </c>
      <c r="U1280" s="1034">
        <f ca="1">IF(ISNA(VLOOKUP(T1280,list!$AV$3:$AW$130,2,FALSE)),1,(VLOOKUP(T1280,list!$AV$3:$AW$130,2,FALSE)))</f>
        <v>1</v>
      </c>
      <c r="V1280" s="1033">
        <f ca="1">R1280*U1280</f>
        <v>0</v>
      </c>
      <c r="W1280" s="1033">
        <f ca="1">S1280*U1280</f>
        <v>0</v>
      </c>
    </row>
    <row r="1281" spans="3:23" x14ac:dyDescent="0.3">
      <c r="C1281" s="576"/>
      <c r="D1281" s="493" t="s">
        <v>471</v>
      </c>
      <c r="E1281" s="494"/>
      <c r="F1281" s="182"/>
      <c r="G1281" s="494" t="s">
        <v>110</v>
      </c>
      <c r="H1281" s="577"/>
      <c r="I1281" s="450" t="s">
        <v>43</v>
      </c>
      <c r="J1281" s="577" t="s">
        <v>7</v>
      </c>
      <c r="K1281" s="577"/>
      <c r="L1281" s="206"/>
      <c r="M1281" s="181"/>
      <c r="N1281" s="181"/>
      <c r="O1281" s="181"/>
      <c r="P1281" s="1053"/>
      <c r="Q1281" s="439"/>
      <c r="R1281" s="1039"/>
      <c r="S1281" s="521"/>
      <c r="T1281" s="225"/>
      <c r="U1281" s="521"/>
      <c r="V1281" s="1040"/>
      <c r="W1281" s="1041"/>
    </row>
    <row r="1282" spans="3:23" ht="15" thickBot="1" x14ac:dyDescent="0.35">
      <c r="C1282" s="576"/>
      <c r="D1282" s="493" t="s">
        <v>471</v>
      </c>
      <c r="E1282" s="494"/>
      <c r="F1282" s="182"/>
      <c r="G1282" s="494" t="s">
        <v>110</v>
      </c>
      <c r="H1282" s="577"/>
      <c r="I1282" s="450" t="s">
        <v>43</v>
      </c>
      <c r="J1282" s="116" t="s">
        <v>7</v>
      </c>
      <c r="K1282" s="116"/>
      <c r="L1282" s="207"/>
      <c r="M1282" s="924"/>
      <c r="N1282" s="924"/>
      <c r="O1282" s="924"/>
      <c r="P1282" s="1054"/>
      <c r="Q1282" s="606"/>
      <c r="R1282" s="1039"/>
      <c r="S1282" s="618"/>
      <c r="T1282" s="225"/>
      <c r="U1282" s="618"/>
      <c r="V1282" s="1045"/>
      <c r="W1282" s="1046"/>
    </row>
    <row r="1283" spans="3:23" x14ac:dyDescent="0.3">
      <c r="C1283" s="576"/>
      <c r="D1283" s="493" t="s">
        <v>471</v>
      </c>
      <c r="E1283" s="494"/>
      <c r="F1283" s="182"/>
      <c r="G1283" s="494" t="s">
        <v>110</v>
      </c>
      <c r="H1283" s="577"/>
      <c r="I1283" s="450" t="s">
        <v>43</v>
      </c>
      <c r="J1283" s="567" t="s">
        <v>25</v>
      </c>
      <c r="K1283" s="577" t="s">
        <v>10</v>
      </c>
      <c r="L1283" s="1047" t="s">
        <v>64</v>
      </c>
      <c r="M1283" s="1036">
        <f>SUMIFS('Level of Efficiency Assumptions'!$J:$J,'Level of Efficiency Assumptions'!$D:$D,I1283,'Level of Efficiency Assumptions'!$F:$F,J1283,'Level of Efficiency Assumptions'!$I:$I,'Water Use Calcs'!L1283)</f>
        <v>10</v>
      </c>
      <c r="N1283" s="567" t="s">
        <v>588</v>
      </c>
      <c r="O1283" s="1048">
        <f>SUMIFS('Detailed Fixture Data'!O:O,'Detailed Fixture Data'!C:C,G1283,'Detailed Fixture Data'!E:E,I1283,'Detailed Fixture Data'!F:F,J1283,'Detailed Fixture Data'!L:L,L1283)</f>
        <v>0</v>
      </c>
      <c r="P1283" s="1030">
        <f>SUMIFS('Intensity of Use Assumptions'!$J:$J,'Intensity of Use Assumptions'!$D:$D,I1283,'Intensity of Use Assumptions'!$G:$G,J1283,'Intensity of Use Assumptions'!H:H,K1283)</f>
        <v>1</v>
      </c>
      <c r="Q1283" s="567" t="s">
        <v>67</v>
      </c>
      <c r="R1283" s="1032">
        <f>(SUMPRODUCT(M1283:M1285,O1283:O1285)*P1283)</f>
        <v>0</v>
      </c>
      <c r="S1283" s="1033">
        <f>IF(R1283=0,0,M1285*P1283)</f>
        <v>0</v>
      </c>
      <c r="T1283" s="225" t="str">
        <f>G1283&amp;"-"&amp;J1283</f>
        <v>Tenant E-Fleet vehicle washing</v>
      </c>
      <c r="U1283" s="1034">
        <f ca="1">IF(ISNA(VLOOKUP(T1283,list!$AV$3:$AW$130,2,FALSE)),1,(VLOOKUP(T1283,list!$AV$3:$AW$130,2,FALSE)))</f>
        <v>1</v>
      </c>
      <c r="V1283" s="1033">
        <f ca="1">R1283*U1283</f>
        <v>0</v>
      </c>
      <c r="W1283" s="1033">
        <f ca="1">S1283*U1283</f>
        <v>0</v>
      </c>
    </row>
    <row r="1284" spans="3:23" x14ac:dyDescent="0.3">
      <c r="C1284" s="576"/>
      <c r="D1284" s="493" t="s">
        <v>471</v>
      </c>
      <c r="E1284" s="494"/>
      <c r="F1284" s="182"/>
      <c r="G1284" s="494" t="s">
        <v>110</v>
      </c>
      <c r="H1284" s="577"/>
      <c r="I1284" s="450" t="s">
        <v>43</v>
      </c>
      <c r="J1284" s="577" t="s">
        <v>25</v>
      </c>
      <c r="K1284" s="577"/>
      <c r="L1284" s="1035" t="s">
        <v>65</v>
      </c>
      <c r="M1284" s="1036">
        <f>SUMIFS('Level of Efficiency Assumptions'!$J:$J,'Level of Efficiency Assumptions'!$D:$D,I1284,'Level of Efficiency Assumptions'!$F:$F,J1284,'Level of Efficiency Assumptions'!$I:$I,'Water Use Calcs'!L1284)</f>
        <v>7.5</v>
      </c>
      <c r="N1284" s="577"/>
      <c r="O1284" s="1048">
        <f>SUMIFS('Detailed Fixture Data'!O:O,'Detailed Fixture Data'!C:C,G1284,'Detailed Fixture Data'!E:E,I1284,'Detailed Fixture Data'!F:F,J1284,'Detailed Fixture Data'!L:L,L1284)</f>
        <v>0</v>
      </c>
      <c r="P1284" s="1049"/>
      <c r="Q1284" s="577"/>
      <c r="R1284" s="1039"/>
      <c r="S1284" s="521"/>
      <c r="T1284" s="225"/>
      <c r="U1284" s="521"/>
      <c r="V1284" s="1040"/>
      <c r="W1284" s="1041"/>
    </row>
    <row r="1285" spans="3:23" ht="15" thickBot="1" x14ac:dyDescent="0.35">
      <c r="C1285" s="576"/>
      <c r="D1285" s="493" t="s">
        <v>471</v>
      </c>
      <c r="E1285" s="494"/>
      <c r="F1285" s="182"/>
      <c r="G1285" s="494" t="s">
        <v>110</v>
      </c>
      <c r="H1285" s="577"/>
      <c r="I1285" s="450" t="s">
        <v>43</v>
      </c>
      <c r="J1285" s="116" t="s">
        <v>25</v>
      </c>
      <c r="K1285" s="116"/>
      <c r="L1285" s="1042" t="s">
        <v>66</v>
      </c>
      <c r="M1285" s="1043">
        <f>SUMIFS('Level of Efficiency Assumptions'!$J:$J,'Level of Efficiency Assumptions'!$D:$D,I1285,'Level of Efficiency Assumptions'!$F:$F,J1285,'Level of Efficiency Assumptions'!$I:$I,'Water Use Calcs'!L1285)</f>
        <v>5</v>
      </c>
      <c r="N1285" s="577"/>
      <c r="O1285" s="1048">
        <f>SUMIFS('Detailed Fixture Data'!O:O,'Detailed Fixture Data'!C:C,G1285,'Detailed Fixture Data'!E:E,I1285,'Detailed Fixture Data'!F:F,J1285,'Detailed Fixture Data'!L:L,L1285)</f>
        <v>0</v>
      </c>
      <c r="P1285" s="1049"/>
      <c r="Q1285" s="577"/>
      <c r="R1285" s="1039"/>
      <c r="S1285" s="618"/>
      <c r="T1285" s="225"/>
      <c r="U1285" s="618"/>
      <c r="V1285" s="1045"/>
      <c r="W1285" s="1046"/>
    </row>
    <row r="1286" spans="3:23" x14ac:dyDescent="0.3">
      <c r="C1286" s="576"/>
      <c r="D1286" s="493" t="s">
        <v>471</v>
      </c>
      <c r="E1286" s="494"/>
      <c r="F1286" s="182"/>
      <c r="G1286" s="494" t="s">
        <v>110</v>
      </c>
      <c r="H1286" s="577"/>
      <c r="I1286" s="450" t="s">
        <v>43</v>
      </c>
      <c r="J1286" s="577" t="s">
        <v>426</v>
      </c>
      <c r="K1286" s="577" t="s">
        <v>10</v>
      </c>
      <c r="L1286" s="1047" t="s">
        <v>64</v>
      </c>
      <c r="M1286" s="1036">
        <f>SUMIFS('Level of Efficiency Assumptions'!$J:$J,'Level of Efficiency Assumptions'!$D:$D,I1286,'Level of Efficiency Assumptions'!$F:$F,J1286,'Level of Efficiency Assumptions'!$I:$I,'Water Use Calcs'!L1286)</f>
        <v>10</v>
      </c>
      <c r="N1286" s="567" t="s">
        <v>588</v>
      </c>
      <c r="O1286" s="1048">
        <f>SUMIFS('Detailed Fixture Data'!O:O,'Detailed Fixture Data'!C:C,G1286,'Detailed Fixture Data'!E:E,I1286,'Detailed Fixture Data'!F:F,J1286,'Detailed Fixture Data'!L:L,L1286)</f>
        <v>0</v>
      </c>
      <c r="P1286" s="1030">
        <f>SUMIFS('Intensity of Use Assumptions'!$J:$J,'Intensity of Use Assumptions'!$D:$D,I1286,'Intensity of Use Assumptions'!$G:$G,J1286,'Intensity of Use Assumptions'!H:H,K1286)</f>
        <v>2E-3</v>
      </c>
      <c r="Q1286" s="567" t="s">
        <v>67</v>
      </c>
      <c r="R1286" s="1032">
        <f>(SUMPRODUCT(M1286:M1288,O1286:O1288)*P1286)</f>
        <v>0</v>
      </c>
      <c r="S1286" s="1033">
        <f>IF(R1286=0,0,M1288*P1286)</f>
        <v>0</v>
      </c>
      <c r="T1286" s="225" t="str">
        <f>G1286&amp;"-"&amp;J1286</f>
        <v>Tenant E-Pavement cleaning</v>
      </c>
      <c r="U1286" s="1034">
        <f ca="1">IF(ISNA(VLOOKUP(T1286,list!$AV$3:$AW$130,2,FALSE)),1,(VLOOKUP(T1286,list!$AV$3:$AW$130,2,FALSE)))</f>
        <v>1</v>
      </c>
      <c r="V1286" s="1033">
        <f ca="1">R1286*U1286</f>
        <v>0</v>
      </c>
      <c r="W1286" s="1033">
        <f ca="1">S1286*U1286</f>
        <v>0</v>
      </c>
    </row>
    <row r="1287" spans="3:23" x14ac:dyDescent="0.3">
      <c r="C1287" s="576"/>
      <c r="D1287" s="493" t="s">
        <v>471</v>
      </c>
      <c r="E1287" s="494"/>
      <c r="F1287" s="182"/>
      <c r="G1287" s="494" t="s">
        <v>110</v>
      </c>
      <c r="H1287" s="577"/>
      <c r="I1287" s="450" t="s">
        <v>43</v>
      </c>
      <c r="J1287" s="577" t="s">
        <v>426</v>
      </c>
      <c r="K1287" s="577"/>
      <c r="L1287" s="1035" t="s">
        <v>65</v>
      </c>
      <c r="M1287" s="1036">
        <f>SUMIFS('Level of Efficiency Assumptions'!$J:$J,'Level of Efficiency Assumptions'!$D:$D,I1287,'Level of Efficiency Assumptions'!$F:$F,J1287,'Level of Efficiency Assumptions'!$I:$I,'Water Use Calcs'!L1287)</f>
        <v>7.5</v>
      </c>
      <c r="N1287" s="577"/>
      <c r="O1287" s="1048">
        <f>SUMIFS('Detailed Fixture Data'!O:O,'Detailed Fixture Data'!C:C,G1287,'Detailed Fixture Data'!E:E,I1287,'Detailed Fixture Data'!F:F,J1287,'Detailed Fixture Data'!L:L,L1287)</f>
        <v>0</v>
      </c>
      <c r="P1287" s="1049"/>
      <c r="Q1287" s="577"/>
      <c r="R1287" s="1039"/>
      <c r="S1287" s="521"/>
      <c r="T1287" s="225"/>
      <c r="U1287" s="521"/>
      <c r="V1287" s="1040"/>
      <c r="W1287" s="1041"/>
    </row>
    <row r="1288" spans="3:23" ht="15" thickBot="1" x14ac:dyDescent="0.35">
      <c r="C1288" s="576"/>
      <c r="D1288" s="493" t="s">
        <v>471</v>
      </c>
      <c r="E1288" s="494"/>
      <c r="F1288" s="182"/>
      <c r="G1288" s="494" t="s">
        <v>110</v>
      </c>
      <c r="H1288" s="577"/>
      <c r="I1288" s="451" t="s">
        <v>43</v>
      </c>
      <c r="J1288" s="116" t="s">
        <v>426</v>
      </c>
      <c r="K1288" s="116"/>
      <c r="L1288" s="1042" t="s">
        <v>66</v>
      </c>
      <c r="M1288" s="1043">
        <f>SUMIFS('Level of Efficiency Assumptions'!$J:$J,'Level of Efficiency Assumptions'!$D:$D,I1288,'Level of Efficiency Assumptions'!$F:$F,J1288,'Level of Efficiency Assumptions'!$I:$I,'Water Use Calcs'!L1288)</f>
        <v>5</v>
      </c>
      <c r="N1288" s="577"/>
      <c r="O1288" s="1048">
        <f>SUMIFS('Detailed Fixture Data'!O:O,'Detailed Fixture Data'!C:C,G1288,'Detailed Fixture Data'!E:E,I1288,'Detailed Fixture Data'!F:F,J1288,'Detailed Fixture Data'!L:L,L1288)</f>
        <v>0</v>
      </c>
      <c r="P1288" s="1049"/>
      <c r="Q1288" s="577"/>
      <c r="R1288" s="1039"/>
      <c r="S1288" s="618"/>
      <c r="T1288" s="225"/>
      <c r="U1288" s="618"/>
      <c r="V1288" s="1045"/>
      <c r="W1288" s="1046"/>
    </row>
    <row r="1289" spans="3:23" x14ac:dyDescent="0.3">
      <c r="C1289" s="576"/>
      <c r="D1289" s="493" t="s">
        <v>471</v>
      </c>
      <c r="E1289" s="494"/>
      <c r="F1289" s="182"/>
      <c r="G1289" s="494" t="s">
        <v>110</v>
      </c>
      <c r="H1289" s="651" t="str">
        <f>I1289</f>
        <v>Other</v>
      </c>
      <c r="I1289" s="450" t="s">
        <v>8</v>
      </c>
      <c r="J1289" s="577" t="s">
        <v>52</v>
      </c>
      <c r="K1289" s="387" t="s">
        <v>362</v>
      </c>
      <c r="L1289" s="1047" t="s">
        <v>64</v>
      </c>
      <c r="M1289" s="1036">
        <f>SUMIFS('Level of Efficiency Assumptions'!$J:$J,'Level of Efficiency Assumptions'!$D:$D,I1289,'Level of Efficiency Assumptions'!$F:$F,J1289,'Level of Efficiency Assumptions'!$I:$I,'Water Use Calcs'!L1289)</f>
        <v>10</v>
      </c>
      <c r="N1289" s="567" t="s">
        <v>660</v>
      </c>
      <c r="O1289" s="1048">
        <f>SUMIFS('Detailed Fixture Data'!O:O,'Detailed Fixture Data'!C:C,G1289,'Detailed Fixture Data'!E:E,I1289,'Detailed Fixture Data'!F:F,J1289,'Detailed Fixture Data'!L:L,L1289)</f>
        <v>0</v>
      </c>
      <c r="P1289" s="1030">
        <f>SUMIFS('Intensity of Use Assumptions'!$J:$J,'Intensity of Use Assumptions'!$D:$D,I1289,'Intensity of Use Assumptions'!$G:$G,J1289,'Intensity of Use Assumptions'!H:H,K1289)</f>
        <v>1</v>
      </c>
      <c r="Q1289" s="567" t="s">
        <v>67</v>
      </c>
      <c r="R1289" s="1032">
        <f>(SUMPRODUCT(M1289:M1291,O1289:O1291)*P1289)</f>
        <v>0</v>
      </c>
      <c r="S1289" s="1033">
        <f>IF(R1289=0,0,M1291*P1289)</f>
        <v>0</v>
      </c>
      <c r="T1289" s="225" t="str">
        <f>G1289&amp;"-"&amp;J1289</f>
        <v>Tenant E-Other 1</v>
      </c>
      <c r="U1289" s="1034">
        <f ca="1">IF(ISNA(VLOOKUP(T1289,list!$AV$3:$AW$130,2,FALSE)),1,(VLOOKUP(T1289,list!$AV$3:$AW$130,2,FALSE)))</f>
        <v>1</v>
      </c>
      <c r="V1289" s="1033">
        <f ca="1">R1289*U1289</f>
        <v>0</v>
      </c>
      <c r="W1289" s="1033">
        <f ca="1">S1289*U1289</f>
        <v>0</v>
      </c>
    </row>
    <row r="1290" spans="3:23" x14ac:dyDescent="0.3">
      <c r="C1290" s="576"/>
      <c r="D1290" s="493" t="s">
        <v>471</v>
      </c>
      <c r="E1290" s="494"/>
      <c r="F1290" s="182"/>
      <c r="G1290" s="494" t="s">
        <v>110</v>
      </c>
      <c r="H1290" s="577"/>
      <c r="I1290" s="450" t="s">
        <v>8</v>
      </c>
      <c r="J1290" s="577" t="s">
        <v>52</v>
      </c>
      <c r="K1290" s="382"/>
      <c r="L1290" s="1035" t="s">
        <v>65</v>
      </c>
      <c r="M1290" s="1036">
        <f>SUMIFS('Level of Efficiency Assumptions'!$J:$J,'Level of Efficiency Assumptions'!$D:$D,I1290,'Level of Efficiency Assumptions'!$F:$F,J1290,'Level of Efficiency Assumptions'!$I:$I,'Water Use Calcs'!L1290)</f>
        <v>7.5</v>
      </c>
      <c r="N1290" s="577"/>
      <c r="O1290" s="1048">
        <f>SUMIFS('Detailed Fixture Data'!O:O,'Detailed Fixture Data'!C:C,G1290,'Detailed Fixture Data'!E:E,I1290,'Detailed Fixture Data'!F:F,J1290,'Detailed Fixture Data'!L:L,L1290)</f>
        <v>0</v>
      </c>
      <c r="P1290" s="1049"/>
      <c r="Q1290" s="577"/>
      <c r="R1290" s="1039"/>
      <c r="S1290" s="521"/>
      <c r="T1290" s="225"/>
      <c r="U1290" s="521"/>
      <c r="V1290" s="1040"/>
      <c r="W1290" s="1041"/>
    </row>
    <row r="1291" spans="3:23" ht="15" thickBot="1" x14ac:dyDescent="0.35">
      <c r="C1291" s="576"/>
      <c r="D1291" s="493" t="s">
        <v>471</v>
      </c>
      <c r="E1291" s="494"/>
      <c r="F1291" s="182"/>
      <c r="G1291" s="494" t="s">
        <v>110</v>
      </c>
      <c r="H1291" s="577"/>
      <c r="I1291" s="450" t="s">
        <v>8</v>
      </c>
      <c r="J1291" s="116" t="s">
        <v>52</v>
      </c>
      <c r="K1291" s="382"/>
      <c r="L1291" s="1042" t="s">
        <v>66</v>
      </c>
      <c r="M1291" s="1043">
        <f>SUMIFS('Level of Efficiency Assumptions'!$J:$J,'Level of Efficiency Assumptions'!$D:$D,I1291,'Level of Efficiency Assumptions'!$F:$F,J1291,'Level of Efficiency Assumptions'!$I:$I,'Water Use Calcs'!L1291)</f>
        <v>5</v>
      </c>
      <c r="N1291" s="577"/>
      <c r="O1291" s="1048">
        <f>SUMIFS('Detailed Fixture Data'!O:O,'Detailed Fixture Data'!C:C,G1291,'Detailed Fixture Data'!E:E,I1291,'Detailed Fixture Data'!F:F,J1291,'Detailed Fixture Data'!L:L,L1291)</f>
        <v>0</v>
      </c>
      <c r="P1291" s="1049"/>
      <c r="Q1291" s="577"/>
      <c r="R1291" s="1039"/>
      <c r="S1291" s="618"/>
      <c r="T1291" s="225"/>
      <c r="U1291" s="618"/>
      <c r="V1291" s="1045"/>
      <c r="W1291" s="1046"/>
    </row>
    <row r="1292" spans="3:23" x14ac:dyDescent="0.3">
      <c r="C1292" s="576"/>
      <c r="D1292" s="493" t="s">
        <v>471</v>
      </c>
      <c r="E1292" s="494"/>
      <c r="F1292" s="182"/>
      <c r="G1292" s="494" t="s">
        <v>110</v>
      </c>
      <c r="H1292" s="577"/>
      <c r="I1292" s="450" t="s">
        <v>8</v>
      </c>
      <c r="J1292" s="577" t="s">
        <v>53</v>
      </c>
      <c r="K1292" s="1055" t="s">
        <v>363</v>
      </c>
      <c r="L1292" s="1047" t="s">
        <v>64</v>
      </c>
      <c r="M1292" s="1036">
        <f>SUMIFS('Level of Efficiency Assumptions'!$J:$J,'Level of Efficiency Assumptions'!$D:$D,I1292,'Level of Efficiency Assumptions'!$F:$F,J1292,'Level of Efficiency Assumptions'!$I:$I,'Water Use Calcs'!L1292)</f>
        <v>10</v>
      </c>
      <c r="N1292" s="567" t="s">
        <v>660</v>
      </c>
      <c r="O1292" s="1048">
        <f>SUMIFS('Detailed Fixture Data'!O:O,'Detailed Fixture Data'!C:C,G1292,'Detailed Fixture Data'!E:E,I1292,'Detailed Fixture Data'!F:F,J1292,'Detailed Fixture Data'!L:L,L1292)</f>
        <v>0</v>
      </c>
      <c r="P1292" s="1030">
        <f>SUMIFS('Intensity of Use Assumptions'!$J:$J,'Intensity of Use Assumptions'!$D:$D,I1292,'Intensity of Use Assumptions'!$G:$G,J1292,'Intensity of Use Assumptions'!H:H,K1292)</f>
        <v>1</v>
      </c>
      <c r="Q1292" s="567" t="s">
        <v>67</v>
      </c>
      <c r="R1292" s="1032">
        <f>(SUMPRODUCT(M1292:M1294,O1292:O1294)*P1292)</f>
        <v>0</v>
      </c>
      <c r="S1292" s="1033">
        <f>IF(R1292=0,0,M1294*P1292)</f>
        <v>0</v>
      </c>
      <c r="T1292" s="225" t="str">
        <f>G1292&amp;"-"&amp;J1292</f>
        <v>Tenant E-Other 2</v>
      </c>
      <c r="U1292" s="1034">
        <f ca="1">IF(ISNA(VLOOKUP(T1292,list!$AV$3:$AW$130,2,FALSE)),1,(VLOOKUP(T1292,list!$AV$3:$AW$130,2,FALSE)))</f>
        <v>1</v>
      </c>
      <c r="V1292" s="1033">
        <f ca="1">R1292*U1292</f>
        <v>0</v>
      </c>
      <c r="W1292" s="1033">
        <f ca="1">S1292*U1292</f>
        <v>0</v>
      </c>
    </row>
    <row r="1293" spans="3:23" x14ac:dyDescent="0.3">
      <c r="C1293" s="576"/>
      <c r="D1293" s="493" t="s">
        <v>471</v>
      </c>
      <c r="E1293" s="494"/>
      <c r="F1293" s="182"/>
      <c r="G1293" s="494" t="s">
        <v>110</v>
      </c>
      <c r="H1293" s="577"/>
      <c r="I1293" s="450" t="s">
        <v>8</v>
      </c>
      <c r="J1293" s="577" t="s">
        <v>53</v>
      </c>
      <c r="K1293" s="577"/>
      <c r="L1293" s="1035" t="s">
        <v>65</v>
      </c>
      <c r="M1293" s="1036">
        <f>SUMIFS('Level of Efficiency Assumptions'!$J:$J,'Level of Efficiency Assumptions'!$D:$D,I1293,'Level of Efficiency Assumptions'!$F:$F,J1293,'Level of Efficiency Assumptions'!$I:$I,'Water Use Calcs'!L1293)</f>
        <v>7.5</v>
      </c>
      <c r="N1293" s="577"/>
      <c r="O1293" s="1048">
        <f>SUMIFS('Detailed Fixture Data'!O:O,'Detailed Fixture Data'!C:C,G1293,'Detailed Fixture Data'!E:E,I1293,'Detailed Fixture Data'!F:F,J1293,'Detailed Fixture Data'!L:L,L1293)</f>
        <v>0</v>
      </c>
      <c r="P1293" s="1049"/>
      <c r="Q1293" s="577"/>
      <c r="R1293" s="1039"/>
      <c r="S1293" s="521"/>
      <c r="T1293" s="225"/>
      <c r="U1293" s="521"/>
      <c r="V1293" s="1040"/>
      <c r="W1293" s="1041"/>
    </row>
    <row r="1294" spans="3:23" ht="15" thickBot="1" x14ac:dyDescent="0.35">
      <c r="C1294" s="576"/>
      <c r="D1294" s="493" t="s">
        <v>471</v>
      </c>
      <c r="E1294" s="494"/>
      <c r="F1294" s="182"/>
      <c r="G1294" s="494" t="s">
        <v>110</v>
      </c>
      <c r="H1294" s="577"/>
      <c r="I1294" s="450" t="s">
        <v>8</v>
      </c>
      <c r="J1294" s="116" t="s">
        <v>53</v>
      </c>
      <c r="K1294" s="116"/>
      <c r="L1294" s="1042" t="s">
        <v>66</v>
      </c>
      <c r="M1294" s="1043">
        <f>SUMIFS('Level of Efficiency Assumptions'!$J:$J,'Level of Efficiency Assumptions'!$D:$D,I1294,'Level of Efficiency Assumptions'!$F:$F,J1294,'Level of Efficiency Assumptions'!$I:$I,'Water Use Calcs'!L1294)</f>
        <v>5</v>
      </c>
      <c r="N1294" s="577"/>
      <c r="O1294" s="1048">
        <f>SUMIFS('Detailed Fixture Data'!O:O,'Detailed Fixture Data'!C:C,G1294,'Detailed Fixture Data'!E:E,I1294,'Detailed Fixture Data'!F:F,J1294,'Detailed Fixture Data'!L:L,L1294)</f>
        <v>0</v>
      </c>
      <c r="P1294" s="1049"/>
      <c r="Q1294" s="577"/>
      <c r="R1294" s="1039"/>
      <c r="S1294" s="618"/>
      <c r="T1294" s="225"/>
      <c r="U1294" s="618"/>
      <c r="V1294" s="1045"/>
      <c r="W1294" s="1046"/>
    </row>
    <row r="1295" spans="3:23" x14ac:dyDescent="0.3">
      <c r="C1295" s="576"/>
      <c r="D1295" s="493" t="s">
        <v>471</v>
      </c>
      <c r="E1295" s="494"/>
      <c r="F1295" s="182"/>
      <c r="G1295" s="494" t="s">
        <v>110</v>
      </c>
      <c r="H1295" s="577"/>
      <c r="I1295" s="450" t="s">
        <v>8</v>
      </c>
      <c r="J1295" s="577" t="s">
        <v>54</v>
      </c>
      <c r="K1295" s="379" t="s">
        <v>364</v>
      </c>
      <c r="L1295" s="1047" t="s">
        <v>64</v>
      </c>
      <c r="M1295" s="1036">
        <f>SUMIFS('Level of Efficiency Assumptions'!$J:$J,'Level of Efficiency Assumptions'!$D:$D,I1295,'Level of Efficiency Assumptions'!$F:$F,J1295,'Level of Efficiency Assumptions'!$I:$I,'Water Use Calcs'!L1295)</f>
        <v>10</v>
      </c>
      <c r="N1295" s="567" t="s">
        <v>660</v>
      </c>
      <c r="O1295" s="1030">
        <f>SUMIFS('Detailed Fixture Data'!O:O,'Detailed Fixture Data'!C:C,G1295,'Detailed Fixture Data'!E:E,I1295,'Detailed Fixture Data'!F:F,J1295,'Detailed Fixture Data'!L:L,L1295)</f>
        <v>0</v>
      </c>
      <c r="P1295" s="1030">
        <f>SUMIFS('Intensity of Use Assumptions'!$J:$J,'Intensity of Use Assumptions'!$D:$D,I1295,'Intensity of Use Assumptions'!$G:$G,J1295,'Intensity of Use Assumptions'!H:H,K1295)</f>
        <v>1</v>
      </c>
      <c r="Q1295" s="567" t="s">
        <v>67</v>
      </c>
      <c r="R1295" s="1032">
        <f>(SUMPRODUCT(M1295:M1297,O1295:O1297)*P1295)</f>
        <v>0</v>
      </c>
      <c r="S1295" s="1033">
        <f>IF(R1295=0,0,M1297*P1295)</f>
        <v>0</v>
      </c>
      <c r="T1295" s="225" t="str">
        <f>G1295&amp;"-"&amp;J1295</f>
        <v>Tenant E-Other 3</v>
      </c>
      <c r="U1295" s="1034">
        <f ca="1">IF(ISNA(VLOOKUP(T1295,list!$AV$3:$AW$130,2,FALSE)),1,(VLOOKUP(T1295,list!$AV$3:$AW$130,2,FALSE)))</f>
        <v>1</v>
      </c>
      <c r="V1295" s="1033">
        <f ca="1">R1295*U1295</f>
        <v>0</v>
      </c>
      <c r="W1295" s="1033">
        <f ca="1">S1295*U1295</f>
        <v>0</v>
      </c>
    </row>
    <row r="1296" spans="3:23" x14ac:dyDescent="0.3">
      <c r="C1296" s="576"/>
      <c r="D1296" s="493" t="s">
        <v>471</v>
      </c>
      <c r="E1296" s="494"/>
      <c r="F1296" s="182"/>
      <c r="G1296" s="494" t="s">
        <v>110</v>
      </c>
      <c r="H1296" s="577"/>
      <c r="I1296" s="450" t="s">
        <v>8</v>
      </c>
      <c r="J1296" s="577" t="s">
        <v>54</v>
      </c>
      <c r="K1296" s="577"/>
      <c r="L1296" s="1035" t="s">
        <v>65</v>
      </c>
      <c r="M1296" s="1036">
        <f>SUMIFS('Level of Efficiency Assumptions'!$J:$J,'Level of Efficiency Assumptions'!$D:$D,I1296,'Level of Efficiency Assumptions'!$F:$F,J1296,'Level of Efficiency Assumptions'!$I:$I,'Water Use Calcs'!L1296)</f>
        <v>7.5</v>
      </c>
      <c r="N1296" s="577"/>
      <c r="O1296" s="1037">
        <f>SUMIFS('Detailed Fixture Data'!O:O,'Detailed Fixture Data'!C:C,G1296,'Detailed Fixture Data'!E:E,I1296,'Detailed Fixture Data'!F:F,J1296,'Detailed Fixture Data'!L:L,L1296)</f>
        <v>0</v>
      </c>
      <c r="P1296" s="1049"/>
      <c r="Q1296" s="577"/>
      <c r="R1296" s="1039"/>
      <c r="S1296" s="521"/>
      <c r="T1296" s="225"/>
      <c r="U1296" s="521"/>
      <c r="V1296" s="1040"/>
      <c r="W1296" s="1041"/>
    </row>
    <row r="1297" spans="3:23" ht="15" thickBot="1" x14ac:dyDescent="0.35">
      <c r="C1297" s="605"/>
      <c r="D1297" s="500" t="s">
        <v>471</v>
      </c>
      <c r="E1297" s="501"/>
      <c r="F1297" s="184"/>
      <c r="G1297" s="501" t="s">
        <v>110</v>
      </c>
      <c r="H1297" s="116"/>
      <c r="I1297" s="451" t="s">
        <v>8</v>
      </c>
      <c r="J1297" s="116" t="s">
        <v>54</v>
      </c>
      <c r="K1297" s="116"/>
      <c r="L1297" s="1042" t="s">
        <v>66</v>
      </c>
      <c r="M1297" s="1043">
        <f>SUMIFS('Level of Efficiency Assumptions'!$J:$J,'Level of Efficiency Assumptions'!$D:$D,I1297,'Level of Efficiency Assumptions'!$F:$F,J1297,'Level of Efficiency Assumptions'!$I:$I,'Water Use Calcs'!L1297)</f>
        <v>5</v>
      </c>
      <c r="N1297" s="116"/>
      <c r="O1297" s="1044">
        <f>SUMIFS('Detailed Fixture Data'!O:O,'Detailed Fixture Data'!C:C,G1297,'Detailed Fixture Data'!E:E,I1297,'Detailed Fixture Data'!F:F,J1297,'Detailed Fixture Data'!L:L,L1297)</f>
        <v>0</v>
      </c>
      <c r="P1297" s="1064"/>
      <c r="Q1297" s="116"/>
      <c r="R1297" s="1045"/>
      <c r="S1297" s="618"/>
      <c r="T1297" s="225"/>
      <c r="U1297" s="618"/>
      <c r="V1297" s="1045"/>
      <c r="W1297" s="1046"/>
    </row>
    <row r="1298" spans="3:23" x14ac:dyDescent="0.3">
      <c r="T1298" s="85"/>
      <c r="U1298" s="231"/>
      <c r="V1298" s="1065"/>
      <c r="W1298" s="1065"/>
    </row>
    <row r="1299" spans="3:23" x14ac:dyDescent="0.3">
      <c r="T1299" s="85"/>
      <c r="U1299" s="85"/>
      <c r="V1299" s="1066"/>
      <c r="W1299" s="1065"/>
    </row>
    <row r="1300" spans="3:23" x14ac:dyDescent="0.3">
      <c r="T1300" s="85"/>
      <c r="U1300" s="85"/>
      <c r="V1300" s="1053"/>
      <c r="W1300" s="1065"/>
    </row>
    <row r="1301" spans="3:23" x14ac:dyDescent="0.3">
      <c r="T1301" s="85"/>
      <c r="U1301" s="231"/>
      <c r="V1301" s="1065"/>
      <c r="W1301" s="1065"/>
    </row>
    <row r="1302" spans="3:23" x14ac:dyDescent="0.3">
      <c r="T1302" s="85"/>
      <c r="U1302" s="85"/>
      <c r="V1302" s="1066"/>
      <c r="W1302" s="1065"/>
    </row>
    <row r="1303" spans="3:23" x14ac:dyDescent="0.3">
      <c r="T1303" s="85"/>
      <c r="U1303" s="85"/>
      <c r="V1303" s="1053"/>
      <c r="W1303" s="1065"/>
    </row>
    <row r="1304" spans="3:23" x14ac:dyDescent="0.3">
      <c r="T1304" s="85"/>
      <c r="U1304" s="231"/>
      <c r="V1304" s="1065"/>
      <c r="W1304" s="1065"/>
    </row>
    <row r="1305" spans="3:23" x14ac:dyDescent="0.3">
      <c r="T1305" s="85"/>
      <c r="U1305" s="85"/>
      <c r="V1305" s="1066"/>
      <c r="W1305" s="1065"/>
    </row>
    <row r="1306" spans="3:23" x14ac:dyDescent="0.3">
      <c r="T1306" s="85"/>
      <c r="U1306" s="85"/>
      <c r="V1306" s="1053"/>
      <c r="W1306" s="1065"/>
    </row>
    <row r="1307" spans="3:23" x14ac:dyDescent="0.3">
      <c r="T1307" s="85"/>
      <c r="U1307" s="231"/>
      <c r="V1307" s="1065"/>
      <c r="W1307" s="1065"/>
    </row>
    <row r="1308" spans="3:23" x14ac:dyDescent="0.3">
      <c r="T1308" s="85"/>
      <c r="U1308" s="85"/>
      <c r="V1308" s="1066"/>
      <c r="W1308" s="1065"/>
    </row>
    <row r="1309" spans="3:23" x14ac:dyDescent="0.3">
      <c r="T1309" s="85"/>
      <c r="U1309" s="85"/>
      <c r="V1309" s="1053"/>
      <c r="W1309" s="1065"/>
    </row>
    <row r="1310" spans="3:23" x14ac:dyDescent="0.3">
      <c r="T1310" s="85"/>
      <c r="U1310" s="231"/>
      <c r="V1310" s="1065"/>
      <c r="W1310" s="1065"/>
    </row>
    <row r="1311" spans="3:23" x14ac:dyDescent="0.3">
      <c r="T1311" s="85"/>
      <c r="U1311" s="85"/>
      <c r="V1311" s="1066"/>
      <c r="W1311" s="1065"/>
    </row>
    <row r="1312" spans="3:23" x14ac:dyDescent="0.3">
      <c r="T1312" s="85"/>
      <c r="U1312" s="85"/>
      <c r="V1312" s="1053"/>
      <c r="W1312" s="1065"/>
    </row>
    <row r="1313" spans="20:23" x14ac:dyDescent="0.3">
      <c r="T1313" s="85"/>
      <c r="U1313" s="231"/>
      <c r="V1313" s="1065"/>
      <c r="W1313" s="1065"/>
    </row>
    <row r="1314" spans="20:23" x14ac:dyDescent="0.3">
      <c r="T1314" s="85"/>
      <c r="U1314" s="85"/>
      <c r="V1314" s="1066"/>
      <c r="W1314" s="1065"/>
    </row>
    <row r="1315" spans="20:23" x14ac:dyDescent="0.3">
      <c r="T1315" s="85"/>
      <c r="U1315" s="85"/>
      <c r="V1315" s="1053"/>
      <c r="W1315" s="1065"/>
    </row>
    <row r="1316" spans="20:23" x14ac:dyDescent="0.3">
      <c r="T1316" s="85"/>
      <c r="U1316" s="231"/>
      <c r="V1316" s="1065"/>
      <c r="W1316" s="1065"/>
    </row>
    <row r="1317" spans="20:23" x14ac:dyDescent="0.3">
      <c r="T1317" s="85"/>
      <c r="U1317" s="85"/>
      <c r="V1317" s="1066"/>
      <c r="W1317" s="1065"/>
    </row>
    <row r="1318" spans="20:23" x14ac:dyDescent="0.3">
      <c r="T1318" s="85"/>
      <c r="U1318" s="85"/>
      <c r="V1318" s="1053"/>
      <c r="W1318" s="1065"/>
    </row>
    <row r="1319" spans="20:23" x14ac:dyDescent="0.3">
      <c r="T1319" s="85"/>
      <c r="U1319" s="231"/>
      <c r="V1319" s="1065"/>
      <c r="W1319" s="1065"/>
    </row>
    <row r="1320" spans="20:23" x14ac:dyDescent="0.3">
      <c r="T1320" s="85"/>
      <c r="U1320" s="85"/>
      <c r="V1320" s="1066"/>
      <c r="W1320" s="1065"/>
    </row>
    <row r="1321" spans="20:23" x14ac:dyDescent="0.3">
      <c r="T1321" s="85"/>
      <c r="U1321" s="85"/>
      <c r="V1321" s="1053"/>
      <c r="W1321" s="1065"/>
    </row>
    <row r="1322" spans="20:23" x14ac:dyDescent="0.3">
      <c r="T1322" s="85"/>
      <c r="U1322" s="231"/>
      <c r="V1322" s="1065"/>
      <c r="W1322" s="1065"/>
    </row>
    <row r="1323" spans="20:23" x14ac:dyDescent="0.3">
      <c r="T1323" s="85"/>
      <c r="U1323" s="85"/>
      <c r="V1323" s="1066"/>
      <c r="W1323" s="1065"/>
    </row>
    <row r="1324" spans="20:23" x14ac:dyDescent="0.3">
      <c r="T1324" s="85"/>
      <c r="U1324" s="85"/>
      <c r="V1324" s="1053"/>
      <c r="W1324" s="1065"/>
    </row>
    <row r="1325" spans="20:23" x14ac:dyDescent="0.3">
      <c r="T1325" s="85"/>
      <c r="U1325" s="231"/>
      <c r="V1325" s="1065"/>
      <c r="W1325" s="1065"/>
    </row>
    <row r="1326" spans="20:23" x14ac:dyDescent="0.3">
      <c r="T1326" s="85"/>
      <c r="U1326" s="85"/>
      <c r="V1326" s="1066"/>
      <c r="W1326" s="1065"/>
    </row>
    <row r="1327" spans="20:23" x14ac:dyDescent="0.3">
      <c r="T1327" s="85"/>
      <c r="U1327" s="85"/>
      <c r="V1327" s="1053"/>
      <c r="W1327" s="1065"/>
    </row>
    <row r="1328" spans="20:23" x14ac:dyDescent="0.3">
      <c r="T1328" s="85"/>
      <c r="U1328" s="231"/>
      <c r="V1328" s="1065"/>
      <c r="W1328" s="1065"/>
    </row>
    <row r="1329" spans="20:23" x14ac:dyDescent="0.3">
      <c r="T1329" s="85"/>
      <c r="U1329" s="85"/>
      <c r="V1329" s="1066"/>
      <c r="W1329" s="1065"/>
    </row>
    <row r="1330" spans="20:23" x14ac:dyDescent="0.3">
      <c r="T1330" s="85"/>
      <c r="U1330" s="85"/>
      <c r="V1330" s="1053"/>
      <c r="W1330" s="1065"/>
    </row>
    <row r="1331" spans="20:23" x14ac:dyDescent="0.3">
      <c r="T1331" s="85"/>
      <c r="U1331" s="231"/>
      <c r="V1331" s="1065"/>
      <c r="W1331" s="1065"/>
    </row>
    <row r="1332" spans="20:23" x14ac:dyDescent="0.3">
      <c r="T1332" s="85"/>
      <c r="U1332" s="85"/>
      <c r="V1332" s="1066"/>
      <c r="W1332" s="1065"/>
    </row>
    <row r="1333" spans="20:23" x14ac:dyDescent="0.3">
      <c r="T1333" s="85"/>
      <c r="U1333" s="85"/>
      <c r="V1333" s="1053"/>
      <c r="W1333" s="1065"/>
    </row>
    <row r="1334" spans="20:23" x14ac:dyDescent="0.3">
      <c r="T1334" s="85"/>
      <c r="U1334" s="231"/>
      <c r="V1334" s="1065"/>
      <c r="W1334" s="1065"/>
    </row>
    <row r="1335" spans="20:23" x14ac:dyDescent="0.3">
      <c r="T1335" s="85"/>
      <c r="U1335" s="85"/>
      <c r="V1335" s="1066"/>
      <c r="W1335" s="1065"/>
    </row>
    <row r="1336" spans="20:23" x14ac:dyDescent="0.3">
      <c r="T1336" s="85"/>
      <c r="U1336" s="85"/>
      <c r="V1336" s="1053"/>
      <c r="W1336" s="1065"/>
    </row>
    <row r="1337" spans="20:23" x14ac:dyDescent="0.3">
      <c r="T1337" s="85"/>
      <c r="U1337" s="231"/>
      <c r="V1337" s="1065"/>
      <c r="W1337" s="1065"/>
    </row>
    <row r="1338" spans="20:23" x14ac:dyDescent="0.3">
      <c r="T1338" s="85"/>
      <c r="U1338" s="85"/>
      <c r="V1338" s="1066"/>
      <c r="W1338" s="1065"/>
    </row>
    <row r="1339" spans="20:23" x14ac:dyDescent="0.3">
      <c r="T1339" s="85"/>
      <c r="U1339" s="85"/>
      <c r="V1339" s="1053"/>
      <c r="W1339" s="1065"/>
    </row>
    <row r="1340" spans="20:23" x14ac:dyDescent="0.3">
      <c r="T1340" s="85"/>
      <c r="U1340" s="231"/>
      <c r="V1340" s="1065"/>
      <c r="W1340" s="1065"/>
    </row>
    <row r="1341" spans="20:23" x14ac:dyDescent="0.3">
      <c r="T1341" s="85"/>
      <c r="U1341" s="85"/>
      <c r="V1341" s="1066"/>
      <c r="W1341" s="1065"/>
    </row>
    <row r="1342" spans="20:23" x14ac:dyDescent="0.3">
      <c r="T1342" s="85"/>
      <c r="U1342" s="85"/>
      <c r="V1342" s="1053"/>
      <c r="W1342" s="1065"/>
    </row>
    <row r="1343" spans="20:23" x14ac:dyDescent="0.3">
      <c r="T1343" s="85"/>
      <c r="U1343" s="231"/>
      <c r="V1343" s="1065"/>
      <c r="W1343" s="1065"/>
    </row>
    <row r="1344" spans="20:23" x14ac:dyDescent="0.3">
      <c r="T1344" s="85"/>
      <c r="U1344" s="85"/>
      <c r="V1344" s="1066"/>
      <c r="W1344" s="1065"/>
    </row>
    <row r="1345" spans="20:23" x14ac:dyDescent="0.3">
      <c r="T1345" s="85"/>
      <c r="U1345" s="85"/>
      <c r="V1345" s="1053"/>
      <c r="W1345" s="1065"/>
    </row>
    <row r="1346" spans="20:23" x14ac:dyDescent="0.3">
      <c r="T1346" s="85"/>
      <c r="U1346" s="85"/>
      <c r="V1346" s="85"/>
      <c r="W1346" s="85"/>
    </row>
    <row r="1347" spans="20:23" x14ac:dyDescent="0.3">
      <c r="T1347" s="85"/>
      <c r="U1347" s="85"/>
      <c r="V1347" s="85"/>
      <c r="W1347" s="85"/>
    </row>
    <row r="1348" spans="20:23" x14ac:dyDescent="0.3">
      <c r="T1348" s="85"/>
      <c r="U1348" s="85"/>
      <c r="V1348" s="85"/>
      <c r="W1348" s="85"/>
    </row>
    <row r="1349" spans="20:23" x14ac:dyDescent="0.3">
      <c r="T1349" s="85"/>
      <c r="U1349" s="85"/>
      <c r="V1349" s="85"/>
      <c r="W1349" s="85"/>
    </row>
    <row r="1350" spans="20:23" x14ac:dyDescent="0.3">
      <c r="T1350" s="85"/>
      <c r="U1350" s="85"/>
      <c r="V1350" s="85"/>
      <c r="W1350" s="85"/>
    </row>
    <row r="1351" spans="20:23" x14ac:dyDescent="0.3">
      <c r="T1351" s="85"/>
      <c r="U1351" s="85"/>
      <c r="V1351" s="85"/>
      <c r="W1351" s="85"/>
    </row>
    <row r="1352" spans="20:23" x14ac:dyDescent="0.3">
      <c r="T1352" s="85"/>
      <c r="U1352" s="85"/>
      <c r="V1352" s="85"/>
      <c r="W1352" s="85"/>
    </row>
    <row r="1353" spans="20:23" x14ac:dyDescent="0.3">
      <c r="T1353" s="85"/>
      <c r="U1353" s="85"/>
      <c r="V1353" s="85"/>
      <c r="W1353" s="85"/>
    </row>
    <row r="1354" spans="20:23" x14ac:dyDescent="0.3">
      <c r="T1354" s="85"/>
      <c r="U1354" s="85"/>
      <c r="V1354" s="85"/>
      <c r="W1354" s="85"/>
    </row>
    <row r="1355" spans="20:23" x14ac:dyDescent="0.3">
      <c r="T1355" s="85"/>
      <c r="U1355" s="85"/>
      <c r="V1355" s="85"/>
      <c r="W1355" s="85"/>
    </row>
    <row r="1356" spans="20:23" x14ac:dyDescent="0.3">
      <c r="T1356" s="85"/>
      <c r="U1356" s="85"/>
      <c r="V1356" s="85"/>
      <c r="W1356" s="85"/>
    </row>
    <row r="1357" spans="20:23" x14ac:dyDescent="0.3">
      <c r="T1357" s="85"/>
      <c r="U1357" s="85"/>
      <c r="V1357" s="85"/>
      <c r="W1357" s="85"/>
    </row>
    <row r="1358" spans="20:23" x14ac:dyDescent="0.3">
      <c r="T1358" s="85"/>
      <c r="U1358" s="85"/>
      <c r="V1358" s="85"/>
      <c r="W1358" s="85"/>
    </row>
  </sheetData>
  <sheetProtection algorithmName="SHA-512" hashValue="tvRCR2aIBndPIodoeqlIkwE3BkFewGnnEGVbiNl70nXbQPkAm0Ts5422IWFFKrZuu9fp3LFxob5uCxuSVksQQQ==" saltValue="9XrwEdgrNN8CkY/JR4rcyw==" spinCount="100000" sheet="1" objects="1" scenarios="1"/>
  <mergeCells count="8">
    <mergeCell ref="L16:M16"/>
    <mergeCell ref="L14:M15"/>
    <mergeCell ref="O14:O15"/>
    <mergeCell ref="V15:W15"/>
    <mergeCell ref="R15:S15"/>
    <mergeCell ref="U14:U15"/>
    <mergeCell ref="C3:M4"/>
    <mergeCell ref="P14:P15"/>
  </mergeCells>
  <pageMargins left="0.45" right="0.45" top="0.75" bottom="0.5" header="0.3" footer="0.3"/>
  <pageSetup scale="89" orientation="landscape" r:id="rId1"/>
  <headerFooter>
    <oddHeader>&amp;C&amp;"-,Bold"&amp;12&amp;F, &amp;A</oddHeader>
    <oddFooter>&amp;RPage &amp;P</oddFooter>
  </headerFooter>
  <colBreaks count="1" manualBreakCount="1">
    <brk id="14" min="13" max="1188"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99"/>
  </sheetPr>
  <dimension ref="B1:X443"/>
  <sheetViews>
    <sheetView showGridLines="0" zoomScaleNormal="100" workbookViewId="0">
      <pane ySplit="13" topLeftCell="A14" activePane="bottomLeft" state="frozen"/>
      <selection activeCell="C99" sqref="C99"/>
      <selection pane="bottomLeft" activeCell="A14" sqref="A14"/>
    </sheetView>
  </sheetViews>
  <sheetFormatPr defaultRowHeight="14.4" x14ac:dyDescent="0.3"/>
  <cols>
    <col min="1" max="1" width="2.5546875" style="13" customWidth="1"/>
    <col min="2" max="2" width="2.6640625" style="13" customWidth="1"/>
    <col min="3" max="3" width="23" style="13" customWidth="1"/>
    <col min="4" max="5" width="27" style="125" hidden="1" customWidth="1"/>
    <col min="6" max="6" width="19.109375" style="13" customWidth="1"/>
    <col min="7" max="7" width="27.6640625" style="125" hidden="1" customWidth="1"/>
    <col min="8" max="8" width="14.88671875" style="13" customWidth="1"/>
    <col min="9" max="9" width="24.5546875" style="125" hidden="1" customWidth="1"/>
    <col min="10" max="10" width="21" style="13" customWidth="1"/>
    <col min="11" max="11" width="22.5546875" style="13" bestFit="1" customWidth="1"/>
    <col min="12" max="12" width="14.5546875" style="13" customWidth="1"/>
    <col min="13" max="13" width="14.33203125" style="13" customWidth="1"/>
    <col min="14" max="14" width="20" style="13" customWidth="1"/>
    <col min="15" max="15" width="12.109375" style="13" customWidth="1"/>
    <col min="16" max="16" width="13.33203125" style="13" bestFit="1" customWidth="1"/>
    <col min="17" max="17" width="11.88671875" style="13" customWidth="1"/>
    <col min="18" max="18" width="13.33203125" style="13" bestFit="1" customWidth="1"/>
    <col min="19" max="19" width="12.6640625" style="13" customWidth="1"/>
    <col min="20" max="20" width="14.33203125" style="13" customWidth="1"/>
    <col min="21" max="21" width="10.33203125" style="13" bestFit="1" customWidth="1"/>
    <col min="22" max="22" width="13.33203125" style="13" customWidth="1"/>
    <col min="23" max="23" width="9.109375" style="13"/>
    <col min="24" max="24" width="17" style="13" customWidth="1"/>
    <col min="25" max="262" width="9.109375" style="13"/>
    <col min="263" max="263" width="27.6640625" style="13" bestFit="1" customWidth="1"/>
    <col min="264" max="264" width="23" style="13" bestFit="1" customWidth="1"/>
    <col min="265" max="265" width="20.6640625" style="13" bestFit="1" customWidth="1"/>
    <col min="266" max="270" width="12.109375" style="13" customWidth="1"/>
    <col min="271" max="518" width="9.109375" style="13"/>
    <col min="519" max="519" width="27.6640625" style="13" bestFit="1" customWidth="1"/>
    <col min="520" max="520" width="23" style="13" bestFit="1" customWidth="1"/>
    <col min="521" max="521" width="20.6640625" style="13" bestFit="1" customWidth="1"/>
    <col min="522" max="526" width="12.109375" style="13" customWidth="1"/>
    <col min="527" max="774" width="9.109375" style="13"/>
    <col min="775" max="775" width="27.6640625" style="13" bestFit="1" customWidth="1"/>
    <col min="776" max="776" width="23" style="13" bestFit="1" customWidth="1"/>
    <col min="777" max="777" width="20.6640625" style="13" bestFit="1" customWidth="1"/>
    <col min="778" max="782" width="12.109375" style="13" customWidth="1"/>
    <col min="783" max="1030" width="9.109375" style="13"/>
    <col min="1031" max="1031" width="27.6640625" style="13" bestFit="1" customWidth="1"/>
    <col min="1032" max="1032" width="23" style="13" bestFit="1" customWidth="1"/>
    <col min="1033" max="1033" width="20.6640625" style="13" bestFit="1" customWidth="1"/>
    <col min="1034" max="1038" width="12.109375" style="13" customWidth="1"/>
    <col min="1039" max="1286" width="9.109375" style="13"/>
    <col min="1287" max="1287" width="27.6640625" style="13" bestFit="1" customWidth="1"/>
    <col min="1288" max="1288" width="23" style="13" bestFit="1" customWidth="1"/>
    <col min="1289" max="1289" width="20.6640625" style="13" bestFit="1" customWidth="1"/>
    <col min="1290" max="1294" width="12.109375" style="13" customWidth="1"/>
    <col min="1295" max="1542" width="9.109375" style="13"/>
    <col min="1543" max="1543" width="27.6640625" style="13" bestFit="1" customWidth="1"/>
    <col min="1544" max="1544" width="23" style="13" bestFit="1" customWidth="1"/>
    <col min="1545" max="1545" width="20.6640625" style="13" bestFit="1" customWidth="1"/>
    <col min="1546" max="1550" width="12.109375" style="13" customWidth="1"/>
    <col min="1551" max="1798" width="9.109375" style="13"/>
    <col min="1799" max="1799" width="27.6640625" style="13" bestFit="1" customWidth="1"/>
    <col min="1800" max="1800" width="23" style="13" bestFit="1" customWidth="1"/>
    <col min="1801" max="1801" width="20.6640625" style="13" bestFit="1" customWidth="1"/>
    <col min="1802" max="1806" width="12.109375" style="13" customWidth="1"/>
    <col min="1807" max="2054" width="9.109375" style="13"/>
    <col min="2055" max="2055" width="27.6640625" style="13" bestFit="1" customWidth="1"/>
    <col min="2056" max="2056" width="23" style="13" bestFit="1" customWidth="1"/>
    <col min="2057" max="2057" width="20.6640625" style="13" bestFit="1" customWidth="1"/>
    <col min="2058" max="2062" width="12.109375" style="13" customWidth="1"/>
    <col min="2063" max="2310" width="9.109375" style="13"/>
    <col min="2311" max="2311" width="27.6640625" style="13" bestFit="1" customWidth="1"/>
    <col min="2312" max="2312" width="23" style="13" bestFit="1" customWidth="1"/>
    <col min="2313" max="2313" width="20.6640625" style="13" bestFit="1" customWidth="1"/>
    <col min="2314" max="2318" width="12.109375" style="13" customWidth="1"/>
    <col min="2319" max="2566" width="9.109375" style="13"/>
    <col min="2567" max="2567" width="27.6640625" style="13" bestFit="1" customWidth="1"/>
    <col min="2568" max="2568" width="23" style="13" bestFit="1" customWidth="1"/>
    <col min="2569" max="2569" width="20.6640625" style="13" bestFit="1" customWidth="1"/>
    <col min="2570" max="2574" width="12.109375" style="13" customWidth="1"/>
    <col min="2575" max="2822" width="9.109375" style="13"/>
    <col min="2823" max="2823" width="27.6640625" style="13" bestFit="1" customWidth="1"/>
    <col min="2824" max="2824" width="23" style="13" bestFit="1" customWidth="1"/>
    <col min="2825" max="2825" width="20.6640625" style="13" bestFit="1" customWidth="1"/>
    <col min="2826" max="2830" width="12.109375" style="13" customWidth="1"/>
    <col min="2831" max="3078" width="9.109375" style="13"/>
    <col min="3079" max="3079" width="27.6640625" style="13" bestFit="1" customWidth="1"/>
    <col min="3080" max="3080" width="23" style="13" bestFit="1" customWidth="1"/>
    <col min="3081" max="3081" width="20.6640625" style="13" bestFit="1" customWidth="1"/>
    <col min="3082" max="3086" width="12.109375" style="13" customWidth="1"/>
    <col min="3087" max="3334" width="9.109375" style="13"/>
    <col min="3335" max="3335" width="27.6640625" style="13" bestFit="1" customWidth="1"/>
    <col min="3336" max="3336" width="23" style="13" bestFit="1" customWidth="1"/>
    <col min="3337" max="3337" width="20.6640625" style="13" bestFit="1" customWidth="1"/>
    <col min="3338" max="3342" width="12.109375" style="13" customWidth="1"/>
    <col min="3343" max="3590" width="9.109375" style="13"/>
    <col min="3591" max="3591" width="27.6640625" style="13" bestFit="1" customWidth="1"/>
    <col min="3592" max="3592" width="23" style="13" bestFit="1" customWidth="1"/>
    <col min="3593" max="3593" width="20.6640625" style="13" bestFit="1" customWidth="1"/>
    <col min="3594" max="3598" width="12.109375" style="13" customWidth="1"/>
    <col min="3599" max="3846" width="9.109375" style="13"/>
    <col min="3847" max="3847" width="27.6640625" style="13" bestFit="1" customWidth="1"/>
    <col min="3848" max="3848" width="23" style="13" bestFit="1" customWidth="1"/>
    <col min="3849" max="3849" width="20.6640625" style="13" bestFit="1" customWidth="1"/>
    <col min="3850" max="3854" width="12.109375" style="13" customWidth="1"/>
    <col min="3855" max="4102" width="9.109375" style="13"/>
    <col min="4103" max="4103" width="27.6640625" style="13" bestFit="1" customWidth="1"/>
    <col min="4104" max="4104" width="23" style="13" bestFit="1" customWidth="1"/>
    <col min="4105" max="4105" width="20.6640625" style="13" bestFit="1" customWidth="1"/>
    <col min="4106" max="4110" width="12.109375" style="13" customWidth="1"/>
    <col min="4111" max="4358" width="9.109375" style="13"/>
    <col min="4359" max="4359" width="27.6640625" style="13" bestFit="1" customWidth="1"/>
    <col min="4360" max="4360" width="23" style="13" bestFit="1" customWidth="1"/>
    <col min="4361" max="4361" width="20.6640625" style="13" bestFit="1" customWidth="1"/>
    <col min="4362" max="4366" width="12.109375" style="13" customWidth="1"/>
    <col min="4367" max="4614" width="9.109375" style="13"/>
    <col min="4615" max="4615" width="27.6640625" style="13" bestFit="1" customWidth="1"/>
    <col min="4616" max="4616" width="23" style="13" bestFit="1" customWidth="1"/>
    <col min="4617" max="4617" width="20.6640625" style="13" bestFit="1" customWidth="1"/>
    <col min="4618" max="4622" width="12.109375" style="13" customWidth="1"/>
    <col min="4623" max="4870" width="9.109375" style="13"/>
    <col min="4871" max="4871" width="27.6640625" style="13" bestFit="1" customWidth="1"/>
    <col min="4872" max="4872" width="23" style="13" bestFit="1" customWidth="1"/>
    <col min="4873" max="4873" width="20.6640625" style="13" bestFit="1" customWidth="1"/>
    <col min="4874" max="4878" width="12.109375" style="13" customWidth="1"/>
    <col min="4879" max="5126" width="9.109375" style="13"/>
    <col min="5127" max="5127" width="27.6640625" style="13" bestFit="1" customWidth="1"/>
    <col min="5128" max="5128" width="23" style="13" bestFit="1" customWidth="1"/>
    <col min="5129" max="5129" width="20.6640625" style="13" bestFit="1" customWidth="1"/>
    <col min="5130" max="5134" width="12.109375" style="13" customWidth="1"/>
    <col min="5135" max="5382" width="9.109375" style="13"/>
    <col min="5383" max="5383" width="27.6640625" style="13" bestFit="1" customWidth="1"/>
    <col min="5384" max="5384" width="23" style="13" bestFit="1" customWidth="1"/>
    <col min="5385" max="5385" width="20.6640625" style="13" bestFit="1" customWidth="1"/>
    <col min="5386" max="5390" width="12.109375" style="13" customWidth="1"/>
    <col min="5391" max="5638" width="9.109375" style="13"/>
    <col min="5639" max="5639" width="27.6640625" style="13" bestFit="1" customWidth="1"/>
    <col min="5640" max="5640" width="23" style="13" bestFit="1" customWidth="1"/>
    <col min="5641" max="5641" width="20.6640625" style="13" bestFit="1" customWidth="1"/>
    <col min="5642" max="5646" width="12.109375" style="13" customWidth="1"/>
    <col min="5647" max="5894" width="9.109375" style="13"/>
    <col min="5895" max="5895" width="27.6640625" style="13" bestFit="1" customWidth="1"/>
    <col min="5896" max="5896" width="23" style="13" bestFit="1" customWidth="1"/>
    <col min="5897" max="5897" width="20.6640625" style="13" bestFit="1" customWidth="1"/>
    <col min="5898" max="5902" width="12.109375" style="13" customWidth="1"/>
    <col min="5903" max="6150" width="9.109375" style="13"/>
    <col min="6151" max="6151" width="27.6640625" style="13" bestFit="1" customWidth="1"/>
    <col min="6152" max="6152" width="23" style="13" bestFit="1" customWidth="1"/>
    <col min="6153" max="6153" width="20.6640625" style="13" bestFit="1" customWidth="1"/>
    <col min="6154" max="6158" width="12.109375" style="13" customWidth="1"/>
    <col min="6159" max="6406" width="9.109375" style="13"/>
    <col min="6407" max="6407" width="27.6640625" style="13" bestFit="1" customWidth="1"/>
    <col min="6408" max="6408" width="23" style="13" bestFit="1" customWidth="1"/>
    <col min="6409" max="6409" width="20.6640625" style="13" bestFit="1" customWidth="1"/>
    <col min="6410" max="6414" width="12.109375" style="13" customWidth="1"/>
    <col min="6415" max="6662" width="9.109375" style="13"/>
    <col min="6663" max="6663" width="27.6640625" style="13" bestFit="1" customWidth="1"/>
    <col min="6664" max="6664" width="23" style="13" bestFit="1" customWidth="1"/>
    <col min="6665" max="6665" width="20.6640625" style="13" bestFit="1" customWidth="1"/>
    <col min="6666" max="6670" width="12.109375" style="13" customWidth="1"/>
    <col min="6671" max="6918" width="9.109375" style="13"/>
    <col min="6919" max="6919" width="27.6640625" style="13" bestFit="1" customWidth="1"/>
    <col min="6920" max="6920" width="23" style="13" bestFit="1" customWidth="1"/>
    <col min="6921" max="6921" width="20.6640625" style="13" bestFit="1" customWidth="1"/>
    <col min="6922" max="6926" width="12.109375" style="13" customWidth="1"/>
    <col min="6927" max="7174" width="9.109375" style="13"/>
    <col min="7175" max="7175" width="27.6640625" style="13" bestFit="1" customWidth="1"/>
    <col min="7176" max="7176" width="23" style="13" bestFit="1" customWidth="1"/>
    <col min="7177" max="7177" width="20.6640625" style="13" bestFit="1" customWidth="1"/>
    <col min="7178" max="7182" width="12.109375" style="13" customWidth="1"/>
    <col min="7183" max="7430" width="9.109375" style="13"/>
    <col min="7431" max="7431" width="27.6640625" style="13" bestFit="1" customWidth="1"/>
    <col min="7432" max="7432" width="23" style="13" bestFit="1" customWidth="1"/>
    <col min="7433" max="7433" width="20.6640625" style="13" bestFit="1" customWidth="1"/>
    <col min="7434" max="7438" width="12.109375" style="13" customWidth="1"/>
    <col min="7439" max="7686" width="9.109375" style="13"/>
    <col min="7687" max="7687" width="27.6640625" style="13" bestFit="1" customWidth="1"/>
    <col min="7688" max="7688" width="23" style="13" bestFit="1" customWidth="1"/>
    <col min="7689" max="7689" width="20.6640625" style="13" bestFit="1" customWidth="1"/>
    <col min="7690" max="7694" width="12.109375" style="13" customWidth="1"/>
    <col min="7695" max="7942" width="9.109375" style="13"/>
    <col min="7943" max="7943" width="27.6640625" style="13" bestFit="1" customWidth="1"/>
    <col min="7944" max="7944" width="23" style="13" bestFit="1" customWidth="1"/>
    <col min="7945" max="7945" width="20.6640625" style="13" bestFit="1" customWidth="1"/>
    <col min="7946" max="7950" width="12.109375" style="13" customWidth="1"/>
    <col min="7951" max="8198" width="9.109375" style="13"/>
    <col min="8199" max="8199" width="27.6640625" style="13" bestFit="1" customWidth="1"/>
    <col min="8200" max="8200" width="23" style="13" bestFit="1" customWidth="1"/>
    <col min="8201" max="8201" width="20.6640625" style="13" bestFit="1" customWidth="1"/>
    <col min="8202" max="8206" width="12.109375" style="13" customWidth="1"/>
    <col min="8207" max="8454" width="9.109375" style="13"/>
    <col min="8455" max="8455" width="27.6640625" style="13" bestFit="1" customWidth="1"/>
    <col min="8456" max="8456" width="23" style="13" bestFit="1" customWidth="1"/>
    <col min="8457" max="8457" width="20.6640625" style="13" bestFit="1" customWidth="1"/>
    <col min="8458" max="8462" width="12.109375" style="13" customWidth="1"/>
    <col min="8463" max="8710" width="9.109375" style="13"/>
    <col min="8711" max="8711" width="27.6640625" style="13" bestFit="1" customWidth="1"/>
    <col min="8712" max="8712" width="23" style="13" bestFit="1" customWidth="1"/>
    <col min="8713" max="8713" width="20.6640625" style="13" bestFit="1" customWidth="1"/>
    <col min="8714" max="8718" width="12.109375" style="13" customWidth="1"/>
    <col min="8719" max="8966" width="9.109375" style="13"/>
    <col min="8967" max="8967" width="27.6640625" style="13" bestFit="1" customWidth="1"/>
    <col min="8968" max="8968" width="23" style="13" bestFit="1" customWidth="1"/>
    <col min="8969" max="8969" width="20.6640625" style="13" bestFit="1" customWidth="1"/>
    <col min="8970" max="8974" width="12.109375" style="13" customWidth="1"/>
    <col min="8975" max="9222" width="9.109375" style="13"/>
    <col min="9223" max="9223" width="27.6640625" style="13" bestFit="1" customWidth="1"/>
    <col min="9224" max="9224" width="23" style="13" bestFit="1" customWidth="1"/>
    <col min="9225" max="9225" width="20.6640625" style="13" bestFit="1" customWidth="1"/>
    <col min="9226" max="9230" width="12.109375" style="13" customWidth="1"/>
    <col min="9231" max="9478" width="9.109375" style="13"/>
    <col min="9479" max="9479" width="27.6640625" style="13" bestFit="1" customWidth="1"/>
    <col min="9480" max="9480" width="23" style="13" bestFit="1" customWidth="1"/>
    <col min="9481" max="9481" width="20.6640625" style="13" bestFit="1" customWidth="1"/>
    <col min="9482" max="9486" width="12.109375" style="13" customWidth="1"/>
    <col min="9487" max="9734" width="9.109375" style="13"/>
    <col min="9735" max="9735" width="27.6640625" style="13" bestFit="1" customWidth="1"/>
    <col min="9736" max="9736" width="23" style="13" bestFit="1" customWidth="1"/>
    <col min="9737" max="9737" width="20.6640625" style="13" bestFit="1" customWidth="1"/>
    <col min="9738" max="9742" width="12.109375" style="13" customWidth="1"/>
    <col min="9743" max="9990" width="9.109375" style="13"/>
    <col min="9991" max="9991" width="27.6640625" style="13" bestFit="1" customWidth="1"/>
    <col min="9992" max="9992" width="23" style="13" bestFit="1" customWidth="1"/>
    <col min="9993" max="9993" width="20.6640625" style="13" bestFit="1" customWidth="1"/>
    <col min="9994" max="9998" width="12.109375" style="13" customWidth="1"/>
    <col min="9999" max="10246" width="9.109375" style="13"/>
    <col min="10247" max="10247" width="27.6640625" style="13" bestFit="1" customWidth="1"/>
    <col min="10248" max="10248" width="23" style="13" bestFit="1" customWidth="1"/>
    <col min="10249" max="10249" width="20.6640625" style="13" bestFit="1" customWidth="1"/>
    <col min="10250" max="10254" width="12.109375" style="13" customWidth="1"/>
    <col min="10255" max="10502" width="9.109375" style="13"/>
    <col min="10503" max="10503" width="27.6640625" style="13" bestFit="1" customWidth="1"/>
    <col min="10504" max="10504" width="23" style="13" bestFit="1" customWidth="1"/>
    <col min="10505" max="10505" width="20.6640625" style="13" bestFit="1" customWidth="1"/>
    <col min="10506" max="10510" width="12.109375" style="13" customWidth="1"/>
    <col min="10511" max="10758" width="9.109375" style="13"/>
    <col min="10759" max="10759" width="27.6640625" style="13" bestFit="1" customWidth="1"/>
    <col min="10760" max="10760" width="23" style="13" bestFit="1" customWidth="1"/>
    <col min="10761" max="10761" width="20.6640625" style="13" bestFit="1" customWidth="1"/>
    <col min="10762" max="10766" width="12.109375" style="13" customWidth="1"/>
    <col min="10767" max="11014" width="9.109375" style="13"/>
    <col min="11015" max="11015" width="27.6640625" style="13" bestFit="1" customWidth="1"/>
    <col min="11016" max="11016" width="23" style="13" bestFit="1" customWidth="1"/>
    <col min="11017" max="11017" width="20.6640625" style="13" bestFit="1" customWidth="1"/>
    <col min="11018" max="11022" width="12.109375" style="13" customWidth="1"/>
    <col min="11023" max="11270" width="9.109375" style="13"/>
    <col min="11271" max="11271" width="27.6640625" style="13" bestFit="1" customWidth="1"/>
    <col min="11272" max="11272" width="23" style="13" bestFit="1" customWidth="1"/>
    <col min="11273" max="11273" width="20.6640625" style="13" bestFit="1" customWidth="1"/>
    <col min="11274" max="11278" width="12.109375" style="13" customWidth="1"/>
    <col min="11279" max="11526" width="9.109375" style="13"/>
    <col min="11527" max="11527" width="27.6640625" style="13" bestFit="1" customWidth="1"/>
    <col min="11528" max="11528" width="23" style="13" bestFit="1" customWidth="1"/>
    <col min="11529" max="11529" width="20.6640625" style="13" bestFit="1" customWidth="1"/>
    <col min="11530" max="11534" width="12.109375" style="13" customWidth="1"/>
    <col min="11535" max="11782" width="9.109375" style="13"/>
    <col min="11783" max="11783" width="27.6640625" style="13" bestFit="1" customWidth="1"/>
    <col min="11784" max="11784" width="23" style="13" bestFit="1" customWidth="1"/>
    <col min="11785" max="11785" width="20.6640625" style="13" bestFit="1" customWidth="1"/>
    <col min="11786" max="11790" width="12.109375" style="13" customWidth="1"/>
    <col min="11791" max="12038" width="9.109375" style="13"/>
    <col min="12039" max="12039" width="27.6640625" style="13" bestFit="1" customWidth="1"/>
    <col min="12040" max="12040" width="23" style="13" bestFit="1" customWidth="1"/>
    <col min="12041" max="12041" width="20.6640625" style="13" bestFit="1" customWidth="1"/>
    <col min="12042" max="12046" width="12.109375" style="13" customWidth="1"/>
    <col min="12047" max="12294" width="9.109375" style="13"/>
    <col min="12295" max="12295" width="27.6640625" style="13" bestFit="1" customWidth="1"/>
    <col min="12296" max="12296" width="23" style="13" bestFit="1" customWidth="1"/>
    <col min="12297" max="12297" width="20.6640625" style="13" bestFit="1" customWidth="1"/>
    <col min="12298" max="12302" width="12.109375" style="13" customWidth="1"/>
    <col min="12303" max="12550" width="9.109375" style="13"/>
    <col min="12551" max="12551" width="27.6640625" style="13" bestFit="1" customWidth="1"/>
    <col min="12552" max="12552" width="23" style="13" bestFit="1" customWidth="1"/>
    <col min="12553" max="12553" width="20.6640625" style="13" bestFit="1" customWidth="1"/>
    <col min="12554" max="12558" width="12.109375" style="13" customWidth="1"/>
    <col min="12559" max="12806" width="9.109375" style="13"/>
    <col min="12807" max="12807" width="27.6640625" style="13" bestFit="1" customWidth="1"/>
    <col min="12808" max="12808" width="23" style="13" bestFit="1" customWidth="1"/>
    <col min="12809" max="12809" width="20.6640625" style="13" bestFit="1" customWidth="1"/>
    <col min="12810" max="12814" width="12.109375" style="13" customWidth="1"/>
    <col min="12815" max="13062" width="9.109375" style="13"/>
    <col min="13063" max="13063" width="27.6640625" style="13" bestFit="1" customWidth="1"/>
    <col min="13064" max="13064" width="23" style="13" bestFit="1" customWidth="1"/>
    <col min="13065" max="13065" width="20.6640625" style="13" bestFit="1" customWidth="1"/>
    <col min="13066" max="13070" width="12.109375" style="13" customWidth="1"/>
    <col min="13071" max="13318" width="9.109375" style="13"/>
    <col min="13319" max="13319" width="27.6640625" style="13" bestFit="1" customWidth="1"/>
    <col min="13320" max="13320" width="23" style="13" bestFit="1" customWidth="1"/>
    <col min="13321" max="13321" width="20.6640625" style="13" bestFit="1" customWidth="1"/>
    <col min="13322" max="13326" width="12.109375" style="13" customWidth="1"/>
    <col min="13327" max="13574" width="9.109375" style="13"/>
    <col min="13575" max="13575" width="27.6640625" style="13" bestFit="1" customWidth="1"/>
    <col min="13576" max="13576" width="23" style="13" bestFit="1" customWidth="1"/>
    <col min="13577" max="13577" width="20.6640625" style="13" bestFit="1" customWidth="1"/>
    <col min="13578" max="13582" width="12.109375" style="13" customWidth="1"/>
    <col min="13583" max="13830" width="9.109375" style="13"/>
    <col min="13831" max="13831" width="27.6640625" style="13" bestFit="1" customWidth="1"/>
    <col min="13832" max="13832" width="23" style="13" bestFit="1" customWidth="1"/>
    <col min="13833" max="13833" width="20.6640625" style="13" bestFit="1" customWidth="1"/>
    <col min="13834" max="13838" width="12.109375" style="13" customWidth="1"/>
    <col min="13839" max="14086" width="9.109375" style="13"/>
    <col min="14087" max="14087" width="27.6640625" style="13" bestFit="1" customWidth="1"/>
    <col min="14088" max="14088" width="23" style="13" bestFit="1" customWidth="1"/>
    <col min="14089" max="14089" width="20.6640625" style="13" bestFit="1" customWidth="1"/>
    <col min="14090" max="14094" width="12.109375" style="13" customWidth="1"/>
    <col min="14095" max="14342" width="9.109375" style="13"/>
    <col min="14343" max="14343" width="27.6640625" style="13" bestFit="1" customWidth="1"/>
    <col min="14344" max="14344" width="23" style="13" bestFit="1" customWidth="1"/>
    <col min="14345" max="14345" width="20.6640625" style="13" bestFit="1" customWidth="1"/>
    <col min="14346" max="14350" width="12.109375" style="13" customWidth="1"/>
    <col min="14351" max="14598" width="9.109375" style="13"/>
    <col min="14599" max="14599" width="27.6640625" style="13" bestFit="1" customWidth="1"/>
    <col min="14600" max="14600" width="23" style="13" bestFit="1" customWidth="1"/>
    <col min="14601" max="14601" width="20.6640625" style="13" bestFit="1" customWidth="1"/>
    <col min="14602" max="14606" width="12.109375" style="13" customWidth="1"/>
    <col min="14607" max="14854" width="9.109375" style="13"/>
    <col min="14855" max="14855" width="27.6640625" style="13" bestFit="1" customWidth="1"/>
    <col min="14856" max="14856" width="23" style="13" bestFit="1" customWidth="1"/>
    <col min="14857" max="14857" width="20.6640625" style="13" bestFit="1" customWidth="1"/>
    <col min="14858" max="14862" width="12.109375" style="13" customWidth="1"/>
    <col min="14863" max="15110" width="9.109375" style="13"/>
    <col min="15111" max="15111" width="27.6640625" style="13" bestFit="1" customWidth="1"/>
    <col min="15112" max="15112" width="23" style="13" bestFit="1" customWidth="1"/>
    <col min="15113" max="15113" width="20.6640625" style="13" bestFit="1" customWidth="1"/>
    <col min="15114" max="15118" width="12.109375" style="13" customWidth="1"/>
    <col min="15119" max="15366" width="9.109375" style="13"/>
    <col min="15367" max="15367" width="27.6640625" style="13" bestFit="1" customWidth="1"/>
    <col min="15368" max="15368" width="23" style="13" bestFit="1" customWidth="1"/>
    <col min="15369" max="15369" width="20.6640625" style="13" bestFit="1" customWidth="1"/>
    <col min="15370" max="15374" width="12.109375" style="13" customWidth="1"/>
    <col min="15375" max="15622" width="9.109375" style="13"/>
    <col min="15623" max="15623" width="27.6640625" style="13" bestFit="1" customWidth="1"/>
    <col min="15624" max="15624" width="23" style="13" bestFit="1" customWidth="1"/>
    <col min="15625" max="15625" width="20.6640625" style="13" bestFit="1" customWidth="1"/>
    <col min="15626" max="15630" width="12.109375" style="13" customWidth="1"/>
    <col min="15631" max="15878" width="9.109375" style="13"/>
    <col min="15879" max="15879" width="27.6640625" style="13" bestFit="1" customWidth="1"/>
    <col min="15880" max="15880" width="23" style="13" bestFit="1" customWidth="1"/>
    <col min="15881" max="15881" width="20.6640625" style="13" bestFit="1" customWidth="1"/>
    <col min="15882" max="15886" width="12.109375" style="13" customWidth="1"/>
    <col min="15887" max="16134" width="9.109375" style="13"/>
    <col min="16135" max="16135" width="27.6640625" style="13" bestFit="1" customWidth="1"/>
    <col min="16136" max="16136" width="23" style="13" bestFit="1" customWidth="1"/>
    <col min="16137" max="16137" width="20.6640625" style="13" bestFit="1" customWidth="1"/>
    <col min="16138" max="16142" width="12.109375" style="13" customWidth="1"/>
    <col min="16143" max="16384" width="9.109375" style="13"/>
  </cols>
  <sheetData>
    <row r="1" spans="2:24" ht="15" x14ac:dyDescent="0.25">
      <c r="B1" s="175" t="s">
        <v>615</v>
      </c>
      <c r="C1" s="176"/>
      <c r="D1" s="176"/>
      <c r="E1" s="176"/>
      <c r="F1" s="176"/>
      <c r="G1" s="176"/>
      <c r="H1" s="176"/>
      <c r="I1" s="176"/>
      <c r="J1" s="176"/>
      <c r="K1" s="176"/>
      <c r="L1" s="176"/>
      <c r="M1" s="176"/>
    </row>
    <row r="2" spans="2:24" ht="15" x14ac:dyDescent="0.25">
      <c r="B2" s="176" t="s">
        <v>709</v>
      </c>
      <c r="C2" s="176"/>
      <c r="D2" s="176"/>
      <c r="E2" s="176"/>
      <c r="F2" s="176"/>
      <c r="G2" s="176"/>
      <c r="H2" s="176"/>
      <c r="I2" s="176"/>
      <c r="J2" s="176"/>
      <c r="K2" s="176"/>
      <c r="L2" s="176"/>
      <c r="M2" s="176"/>
    </row>
    <row r="3" spans="2:24" x14ac:dyDescent="0.3">
      <c r="B3" s="177" t="s">
        <v>555</v>
      </c>
      <c r="C3" s="176" t="s">
        <v>710</v>
      </c>
      <c r="D3" s="176"/>
      <c r="E3" s="176"/>
      <c r="F3" s="176"/>
      <c r="G3" s="176"/>
      <c r="H3" s="176"/>
      <c r="I3" s="176"/>
      <c r="J3" s="176"/>
      <c r="K3" s="176"/>
      <c r="L3" s="176"/>
      <c r="M3" s="176"/>
    </row>
    <row r="4" spans="2:24" x14ac:dyDescent="0.3">
      <c r="B4" s="177" t="s">
        <v>555</v>
      </c>
      <c r="C4" s="176" t="s">
        <v>711</v>
      </c>
      <c r="D4" s="176"/>
      <c r="E4" s="176"/>
      <c r="F4" s="176"/>
      <c r="G4" s="176"/>
      <c r="H4" s="176"/>
      <c r="I4" s="176"/>
      <c r="J4" s="176"/>
      <c r="K4" s="176"/>
      <c r="L4" s="176"/>
      <c r="M4" s="176"/>
    </row>
    <row r="5" spans="2:24" x14ac:dyDescent="0.3">
      <c r="B5" s="177" t="s">
        <v>555</v>
      </c>
      <c r="C5" s="176" t="s">
        <v>618</v>
      </c>
      <c r="D5" s="176"/>
      <c r="E5" s="176"/>
      <c r="F5" s="176"/>
      <c r="G5" s="176"/>
      <c r="H5" s="176"/>
      <c r="I5" s="176"/>
      <c r="J5" s="176"/>
      <c r="K5" s="176"/>
      <c r="L5" s="176"/>
      <c r="M5" s="176"/>
    </row>
    <row r="6" spans="2:24" ht="15" x14ac:dyDescent="0.25">
      <c r="B6" s="177"/>
      <c r="C6" s="176" t="s">
        <v>620</v>
      </c>
      <c r="D6" s="176"/>
      <c r="E6" s="176"/>
      <c r="F6" s="176"/>
      <c r="G6" s="176"/>
      <c r="H6" s="176"/>
      <c r="I6" s="176"/>
      <c r="J6" s="176"/>
      <c r="K6" s="176"/>
      <c r="L6" s="176"/>
      <c r="M6" s="176"/>
    </row>
    <row r="7" spans="2:24" ht="15" x14ac:dyDescent="0.25">
      <c r="B7" s="177"/>
      <c r="C7" s="540" t="s">
        <v>703</v>
      </c>
      <c r="D7" s="176"/>
      <c r="E7" s="176"/>
      <c r="F7" s="176"/>
      <c r="G7" s="176"/>
      <c r="H7" s="176"/>
      <c r="I7" s="176"/>
      <c r="J7" s="176"/>
      <c r="K7" s="176"/>
      <c r="L7" s="176"/>
      <c r="M7" s="176"/>
    </row>
    <row r="8" spans="2:24" x14ac:dyDescent="0.3">
      <c r="B8" s="177" t="s">
        <v>555</v>
      </c>
      <c r="C8" s="175" t="s">
        <v>619</v>
      </c>
      <c r="D8" s="176"/>
      <c r="E8" s="176"/>
      <c r="F8" s="176"/>
      <c r="G8" s="176"/>
      <c r="H8" s="176"/>
      <c r="I8" s="176"/>
      <c r="J8" s="176"/>
      <c r="K8" s="176"/>
      <c r="L8" s="176"/>
      <c r="M8" s="176"/>
    </row>
    <row r="9" spans="2:24" ht="15" x14ac:dyDescent="0.25">
      <c r="B9" s="177"/>
      <c r="C9" s="540" t="s">
        <v>712</v>
      </c>
      <c r="D9" s="176"/>
      <c r="E9" s="176"/>
      <c r="F9" s="176"/>
      <c r="G9" s="176"/>
      <c r="H9" s="176"/>
      <c r="I9" s="176"/>
      <c r="J9" s="176"/>
      <c r="K9" s="176"/>
      <c r="L9" s="176"/>
      <c r="M9" s="176"/>
    </row>
    <row r="10" spans="2:24" ht="15" x14ac:dyDescent="0.25">
      <c r="B10" s="177"/>
      <c r="C10" s="540" t="s">
        <v>713</v>
      </c>
      <c r="D10" s="176"/>
      <c r="E10" s="176"/>
      <c r="F10" s="176"/>
      <c r="G10" s="176"/>
      <c r="H10" s="176"/>
      <c r="I10" s="176"/>
      <c r="J10" s="176"/>
      <c r="K10" s="176"/>
      <c r="L10" s="176"/>
      <c r="M10" s="176"/>
    </row>
    <row r="11" spans="2:24" ht="15.75" thickBot="1" x14ac:dyDescent="0.3">
      <c r="B11" s="124"/>
      <c r="C11" s="127"/>
    </row>
    <row r="12" spans="2:24" ht="60.75" thickBot="1" x14ac:dyDescent="0.3">
      <c r="D12" s="223" t="s">
        <v>291</v>
      </c>
      <c r="E12" s="223" t="s">
        <v>291</v>
      </c>
      <c r="G12" s="223" t="s">
        <v>291</v>
      </c>
      <c r="I12" s="223" t="s">
        <v>291</v>
      </c>
      <c r="L12" s="543" t="s">
        <v>507</v>
      </c>
      <c r="M12" s="544" t="s">
        <v>63</v>
      </c>
      <c r="N12" s="1438" t="s">
        <v>137</v>
      </c>
      <c r="O12" s="1439"/>
      <c r="P12" s="1439"/>
      <c r="Q12" s="1439"/>
      <c r="R12" s="1440"/>
      <c r="S12" s="545" t="s">
        <v>63</v>
      </c>
      <c r="T12" s="1438" t="s">
        <v>138</v>
      </c>
      <c r="U12" s="1439"/>
      <c r="V12" s="1439"/>
      <c r="W12" s="1439"/>
      <c r="X12" s="1440"/>
    </row>
    <row r="13" spans="2:24" ht="45.75" thickBot="1" x14ac:dyDescent="0.3">
      <c r="C13" s="556" t="s">
        <v>105</v>
      </c>
      <c r="D13" s="557" t="s">
        <v>105</v>
      </c>
      <c r="E13" s="557" t="s">
        <v>104</v>
      </c>
      <c r="F13" s="4" t="s">
        <v>102</v>
      </c>
      <c r="G13" s="557" t="s">
        <v>104</v>
      </c>
      <c r="H13" s="558" t="s">
        <v>40</v>
      </c>
      <c r="I13" s="559" t="s">
        <v>40</v>
      </c>
      <c r="J13" s="287" t="s">
        <v>0</v>
      </c>
      <c r="K13" s="286" t="s">
        <v>30</v>
      </c>
      <c r="L13" s="560" t="s">
        <v>31</v>
      </c>
      <c r="M13" s="561" t="s">
        <v>673</v>
      </c>
      <c r="N13" s="562" t="s">
        <v>675</v>
      </c>
      <c r="O13" s="367" t="s">
        <v>48</v>
      </c>
      <c r="P13" s="367" t="s">
        <v>57</v>
      </c>
      <c r="Q13" s="367" t="s">
        <v>136</v>
      </c>
      <c r="R13" s="563" t="s">
        <v>58</v>
      </c>
      <c r="S13" s="365" t="s">
        <v>674</v>
      </c>
      <c r="T13" s="562" t="s">
        <v>675</v>
      </c>
      <c r="U13" s="367" t="s">
        <v>48</v>
      </c>
      <c r="V13" s="367" t="s">
        <v>57</v>
      </c>
      <c r="W13" s="367" t="s">
        <v>136</v>
      </c>
      <c r="X13" s="563" t="s">
        <v>58</v>
      </c>
    </row>
    <row r="14" spans="2:24" ht="15" x14ac:dyDescent="0.25">
      <c r="C14" s="564" t="str">
        <f>D14</f>
        <v>Terminals</v>
      </c>
      <c r="D14" s="521" t="s">
        <v>1</v>
      </c>
      <c r="E14" s="494" t="str">
        <f>G14</f>
        <v>Terminal A</v>
      </c>
      <c r="F14" s="565" t="str">
        <f>VLOOKUP(E14,'Airport Mapping'!$C$5:$D$39,2,FALSE)</f>
        <v xml:space="preserve"> </v>
      </c>
      <c r="G14" s="566" t="s">
        <v>84</v>
      </c>
      <c r="H14" s="564" t="str">
        <f>I14</f>
        <v>Restrooms</v>
      </c>
      <c r="I14" s="450" t="s">
        <v>37</v>
      </c>
      <c r="J14" s="567" t="s">
        <v>2</v>
      </c>
      <c r="K14" s="52" t="s">
        <v>117</v>
      </c>
      <c r="L14" s="568">
        <f>SUMIFS('Airport Statistics'!$G:$G,'Airport Statistics'!$D:$D,G14,'Airport Statistics'!$F:$F,K14)</f>
        <v>0</v>
      </c>
      <c r="M14" s="569">
        <f ca="1">SUMIFS('Water Use Calcs'!$V:$V,'Water Use Calcs'!$D:$D,'End Uses'!D14,'Water Use Calcs'!$G:$G,'End Uses'!G14,'Water Use Calcs'!$I:$I,'End Uses'!I14,'Water Use Calcs'!$J:$J,'End Uses'!J14)</f>
        <v>0</v>
      </c>
      <c r="N14" s="570">
        <f t="shared" ref="N14:N16" ca="1" si="0">L14*M14</f>
        <v>0</v>
      </c>
      <c r="O14" s="571" t="str">
        <f ca="1">IFERROR(N14/R14,"-")</f>
        <v>-</v>
      </c>
      <c r="P14" s="572">
        <f ca="1">SUMIFS($N:$N,$G:$G,G14,$I:$I,H14)</f>
        <v>0</v>
      </c>
      <c r="Q14" s="546" t="str">
        <f ca="1">IFERROR(P14/R14,"-")</f>
        <v>-</v>
      </c>
      <c r="R14" s="573">
        <f ca="1">SUMIFS($N:$N,$G:$G,G14)</f>
        <v>0</v>
      </c>
      <c r="S14" s="574">
        <f ca="1">SUMIFS('Water Use Calcs'!$W:$W,'Water Use Calcs'!$D:$D,'End Uses'!D14,'Water Use Calcs'!$G:$G,'End Uses'!G14,'Water Use Calcs'!$I:$I,'End Uses'!I14,'Water Use Calcs'!$J:$J,'End Uses'!J14)</f>
        <v>0</v>
      </c>
      <c r="T14" s="575">
        <f ca="1">L14*S14</f>
        <v>0</v>
      </c>
      <c r="U14" s="571" t="str">
        <f ca="1">IFERROR(T14/X14,"-")</f>
        <v>-</v>
      </c>
      <c r="V14" s="572">
        <f ca="1">SUMIFS($T:$T,$G:$G,G14,$I:$I,H14)</f>
        <v>0</v>
      </c>
      <c r="W14" s="546" t="str">
        <f ca="1">IFERROR(V14/X14,"-")</f>
        <v>-</v>
      </c>
      <c r="X14" s="573">
        <f ca="1">SUMIFS($T:$T,$G:$G,G14)</f>
        <v>0</v>
      </c>
    </row>
    <row r="15" spans="2:24" ht="15" x14ac:dyDescent="0.25">
      <c r="C15" s="576"/>
      <c r="D15" s="521" t="s">
        <v>1</v>
      </c>
      <c r="E15" s="521"/>
      <c r="F15" s="576"/>
      <c r="G15" s="494" t="s">
        <v>84</v>
      </c>
      <c r="H15" s="577"/>
      <c r="I15" s="450" t="s">
        <v>37</v>
      </c>
      <c r="J15" s="577" t="s">
        <v>4</v>
      </c>
      <c r="K15" s="15" t="s">
        <v>117</v>
      </c>
      <c r="L15" s="578">
        <f>SUMIFS('Airport Statistics'!$G:$G,'Airport Statistics'!$D:$D,G15,'Airport Statistics'!$F:$F,K15)</f>
        <v>0</v>
      </c>
      <c r="M15" s="579">
        <f ca="1">SUMIFS('Water Use Calcs'!$V:$V,'Water Use Calcs'!$D:$D,'End Uses'!D15,'Water Use Calcs'!$G:$G,'End Uses'!G15,'Water Use Calcs'!$I:$I,'End Uses'!I15,'Water Use Calcs'!$J:$J,'End Uses'!J15)</f>
        <v>0</v>
      </c>
      <c r="N15" s="580">
        <f t="shared" ca="1" si="0"/>
        <v>0</v>
      </c>
      <c r="O15" s="581" t="str">
        <f ca="1">IFERROR(N15/R14,"-")</f>
        <v>-</v>
      </c>
      <c r="P15" s="582"/>
      <c r="Q15" s="583"/>
      <c r="R15" s="584"/>
      <c r="S15" s="585">
        <f ca="1">SUMIFS('Water Use Calcs'!$W:$W,'Water Use Calcs'!$D:$D,'End Uses'!D15,'Water Use Calcs'!$G:$G,'End Uses'!G15,'Water Use Calcs'!$I:$I,'End Uses'!I15,'Water Use Calcs'!$J:$J,'End Uses'!J15)</f>
        <v>0</v>
      </c>
      <c r="T15" s="586">
        <f t="shared" ref="T15:T74" ca="1" si="1">L15*S15</f>
        <v>0</v>
      </c>
      <c r="U15" s="581" t="str">
        <f ca="1">IFERROR(T15/X14,"-")</f>
        <v>-</v>
      </c>
      <c r="V15" s="582"/>
      <c r="W15" s="583"/>
      <c r="X15" s="584"/>
    </row>
    <row r="16" spans="2:24" ht="15" x14ac:dyDescent="0.25">
      <c r="C16" s="576"/>
      <c r="D16" s="521" t="s">
        <v>1</v>
      </c>
      <c r="E16" s="521"/>
      <c r="F16" s="576"/>
      <c r="G16" s="494" t="s">
        <v>84</v>
      </c>
      <c r="H16" s="577"/>
      <c r="I16" s="587" t="s">
        <v>37</v>
      </c>
      <c r="J16" s="577" t="s">
        <v>33</v>
      </c>
      <c r="K16" s="15" t="s">
        <v>117</v>
      </c>
      <c r="L16" s="578">
        <f>SUMIFS('Airport Statistics'!$G:$G,'Airport Statistics'!$D:$D,G16,'Airport Statistics'!$F:$F,K16)</f>
        <v>0</v>
      </c>
      <c r="M16" s="579">
        <f ca="1">SUMIFS('Water Use Calcs'!$V:$V,'Water Use Calcs'!$D:$D,'End Uses'!D16,'Water Use Calcs'!$G:$G,'End Uses'!G16,'Water Use Calcs'!$I:$I,'End Uses'!I16,'Water Use Calcs'!$J:$J,'End Uses'!J16)</f>
        <v>0</v>
      </c>
      <c r="N16" s="580">
        <f t="shared" ca="1" si="0"/>
        <v>0</v>
      </c>
      <c r="O16" s="581" t="str">
        <f ca="1">IFERROR(N16/R14,"-")</f>
        <v>-</v>
      </c>
      <c r="P16" s="582"/>
      <c r="Q16" s="583"/>
      <c r="R16" s="584"/>
      <c r="S16" s="585">
        <f ca="1">SUMIFS('Water Use Calcs'!$W:$W,'Water Use Calcs'!$D:$D,'End Uses'!D16,'Water Use Calcs'!$G:$G,'End Uses'!G16,'Water Use Calcs'!$I:$I,'End Uses'!I16,'Water Use Calcs'!$J:$J,'End Uses'!J16)</f>
        <v>0</v>
      </c>
      <c r="T16" s="586">
        <f t="shared" ca="1" si="1"/>
        <v>0</v>
      </c>
      <c r="U16" s="581" t="str">
        <f ca="1">IFERROR(T16/X14,"-")</f>
        <v>-</v>
      </c>
      <c r="V16" s="582"/>
      <c r="W16" s="583"/>
      <c r="X16" s="584"/>
    </row>
    <row r="17" spans="3:24" ht="15" x14ac:dyDescent="0.25">
      <c r="C17" s="576"/>
      <c r="D17" s="521" t="s">
        <v>1</v>
      </c>
      <c r="E17" s="521"/>
      <c r="F17" s="576"/>
      <c r="G17" s="494" t="s">
        <v>84</v>
      </c>
      <c r="H17" s="588" t="str">
        <f>I17</f>
        <v>Food Service</v>
      </c>
      <c r="I17" s="450" t="s">
        <v>38</v>
      </c>
      <c r="J17" s="589" t="s">
        <v>114</v>
      </c>
      <c r="K17" s="590" t="s">
        <v>118</v>
      </c>
      <c r="L17" s="591">
        <f>SUMIFS('Airport Statistics'!$G:$G,'Airport Statistics'!$D:$D,G17,'Airport Statistics'!$F:$F,K17)</f>
        <v>0</v>
      </c>
      <c r="M17" s="592">
        <f ca="1">SUMIFS('Water Use Calcs'!$V:$V,'Water Use Calcs'!$D:$D,'End Uses'!D17,'Water Use Calcs'!$G:$G,'End Uses'!G17,'Water Use Calcs'!$I:$I,'End Uses'!I17,'Water Use Calcs'!$J:$J,'End Uses'!J17)</f>
        <v>0</v>
      </c>
      <c r="N17" s="593">
        <f ca="1">L17*M17</f>
        <v>0</v>
      </c>
      <c r="O17" s="594" t="str">
        <f ca="1">IFERROR(N17/R14,"-")</f>
        <v>-</v>
      </c>
      <c r="P17" s="595">
        <f ca="1">SUMIFS($N:$N,$G:$G,G17,$I:$I,H17)</f>
        <v>0</v>
      </c>
      <c r="Q17" s="547" t="str">
        <f ca="1">IFERROR(P17/R14,"-")</f>
        <v>-</v>
      </c>
      <c r="R17" s="584"/>
      <c r="S17" s="596">
        <f ca="1">SUMIFS('Water Use Calcs'!$W:$W,'Water Use Calcs'!$D:$D,'End Uses'!D17,'Water Use Calcs'!$G:$G,'End Uses'!G17,'Water Use Calcs'!$I:$I,'End Uses'!I17,'Water Use Calcs'!$J:$J,'End Uses'!J17)</f>
        <v>0</v>
      </c>
      <c r="T17" s="597">
        <f t="shared" ca="1" si="1"/>
        <v>0</v>
      </c>
      <c r="U17" s="594" t="str">
        <f ca="1">IFERROR(T17/X14,"-")</f>
        <v>-</v>
      </c>
      <c r="V17" s="595">
        <f ca="1">SUMIFS($T:$T,$G:$G,G17,$I:$I,H17)</f>
        <v>0</v>
      </c>
      <c r="W17" s="547" t="str">
        <f ca="1">IFERROR(V17/X14,"-")</f>
        <v>-</v>
      </c>
      <c r="X17" s="584"/>
    </row>
    <row r="18" spans="3:24" ht="15" x14ac:dyDescent="0.25">
      <c r="C18" s="576"/>
      <c r="D18" s="521" t="s">
        <v>1</v>
      </c>
      <c r="E18" s="521"/>
      <c r="F18" s="576"/>
      <c r="G18" s="521" t="s">
        <v>84</v>
      </c>
      <c r="H18" s="577"/>
      <c r="I18" s="224" t="s">
        <v>38</v>
      </c>
      <c r="J18" s="577" t="s">
        <v>127</v>
      </c>
      <c r="K18" s="598" t="s">
        <v>118</v>
      </c>
      <c r="L18" s="578">
        <f>SUMIFS('Airport Statistics'!$G:$G,'Airport Statistics'!$D:$D,G18,'Airport Statistics'!$F:$F,K18)</f>
        <v>0</v>
      </c>
      <c r="M18" s="579">
        <f ca="1">SUMIFS('Water Use Calcs'!$V:$V,'Water Use Calcs'!$D:$D,'End Uses'!D18,'Water Use Calcs'!$G:$G,'End Uses'!G18,'Water Use Calcs'!$I:$I,'End Uses'!I18,'Water Use Calcs'!$J:$J,'End Uses'!J18)</f>
        <v>0</v>
      </c>
      <c r="N18" s="580">
        <f ca="1">L18*M18</f>
        <v>0</v>
      </c>
      <c r="O18" s="581" t="str">
        <f ca="1">IFERROR(N18/R14,"-")</f>
        <v>-</v>
      </c>
      <c r="P18" s="582"/>
      <c r="Q18" s="548"/>
      <c r="R18" s="584"/>
      <c r="S18" s="585">
        <f ca="1">SUMIFS('Water Use Calcs'!$W:$W,'Water Use Calcs'!$D:$D,'End Uses'!D18,'Water Use Calcs'!$G:$G,'End Uses'!G18,'Water Use Calcs'!$I:$I,'End Uses'!I18,'Water Use Calcs'!$J:$J,'End Uses'!J18)</f>
        <v>0</v>
      </c>
      <c r="T18" s="586">
        <f t="shared" ca="1" si="1"/>
        <v>0</v>
      </c>
      <c r="U18" s="581" t="str">
        <f ca="1">IFERROR(T18/X14,"-")</f>
        <v>-</v>
      </c>
      <c r="V18" s="582"/>
      <c r="W18" s="548"/>
      <c r="X18" s="584"/>
    </row>
    <row r="19" spans="3:24" ht="15" x14ac:dyDescent="0.25">
      <c r="C19" s="576"/>
      <c r="D19" s="521" t="s">
        <v>1</v>
      </c>
      <c r="E19" s="521"/>
      <c r="F19" s="576"/>
      <c r="G19" s="494" t="s">
        <v>84</v>
      </c>
      <c r="H19" s="577"/>
      <c r="I19" s="450" t="s">
        <v>38</v>
      </c>
      <c r="J19" s="577" t="s">
        <v>41</v>
      </c>
      <c r="K19" s="598" t="s">
        <v>118</v>
      </c>
      <c r="L19" s="578">
        <f>SUMIFS('Airport Statistics'!$G:$G,'Airport Statistics'!$D:$D,G19,'Airport Statistics'!$F:$F,K19)</f>
        <v>0</v>
      </c>
      <c r="M19" s="579">
        <f ca="1">SUMIFS('Water Use Calcs'!$V:$V,'Water Use Calcs'!$D:$D,'End Uses'!D19,'Water Use Calcs'!$G:$G,'End Uses'!G19,'Water Use Calcs'!$I:$I,'End Uses'!I19,'Water Use Calcs'!$J:$J,'End Uses'!J19)</f>
        <v>0</v>
      </c>
      <c r="N19" s="580">
        <f t="shared" ref="N19:N343" ca="1" si="2">L19*M19</f>
        <v>0</v>
      </c>
      <c r="O19" s="581" t="str">
        <f ca="1">IFERROR(N19/R14,"-")</f>
        <v>-</v>
      </c>
      <c r="P19" s="404"/>
      <c r="Q19" s="548"/>
      <c r="R19" s="584"/>
      <c r="S19" s="585">
        <f ca="1">SUMIFS('Water Use Calcs'!$W:$W,'Water Use Calcs'!$D:$D,'End Uses'!D19,'Water Use Calcs'!$G:$G,'End Uses'!G19,'Water Use Calcs'!$I:$I,'End Uses'!I19,'Water Use Calcs'!$J:$J,'End Uses'!J19)</f>
        <v>0</v>
      </c>
      <c r="T19" s="586">
        <f t="shared" ca="1" si="1"/>
        <v>0</v>
      </c>
      <c r="U19" s="581" t="str">
        <f ca="1">IFERROR(T19/X14,"-")</f>
        <v>-</v>
      </c>
      <c r="V19" s="404"/>
      <c r="W19" s="548"/>
      <c r="X19" s="584"/>
    </row>
    <row r="20" spans="3:24" ht="15" x14ac:dyDescent="0.25">
      <c r="C20" s="576"/>
      <c r="D20" s="521" t="s">
        <v>1</v>
      </c>
      <c r="E20" s="521"/>
      <c r="F20" s="576"/>
      <c r="G20" s="494" t="s">
        <v>84</v>
      </c>
      <c r="H20" s="577"/>
      <c r="I20" s="587" t="s">
        <v>38</v>
      </c>
      <c r="J20" s="577" t="s">
        <v>20</v>
      </c>
      <c r="K20" s="598" t="s">
        <v>118</v>
      </c>
      <c r="L20" s="578">
        <f>SUMIFS('Airport Statistics'!$G:$G,'Airport Statistics'!$D:$D,G20,'Airport Statistics'!$F:$F,K20)</f>
        <v>0</v>
      </c>
      <c r="M20" s="579">
        <f ca="1">SUMIFS('Water Use Calcs'!$V:$V,'Water Use Calcs'!$D:$D,'End Uses'!D20,'Water Use Calcs'!$G:$G,'End Uses'!G20,'Water Use Calcs'!$I:$I,'End Uses'!I20,'Water Use Calcs'!$J:$J,'End Uses'!J20)</f>
        <v>0</v>
      </c>
      <c r="N20" s="580">
        <f t="shared" ca="1" si="2"/>
        <v>0</v>
      </c>
      <c r="O20" s="581" t="str">
        <f ca="1">IFERROR(N20/R14,"-")</f>
        <v>-</v>
      </c>
      <c r="P20" s="404"/>
      <c r="Q20" s="548"/>
      <c r="R20" s="584"/>
      <c r="S20" s="585">
        <f ca="1">SUMIFS('Water Use Calcs'!$W:$W,'Water Use Calcs'!$D:$D,'End Uses'!D20,'Water Use Calcs'!$G:$G,'End Uses'!G20,'Water Use Calcs'!$I:$I,'End Uses'!I20,'Water Use Calcs'!$J:$J,'End Uses'!J20)</f>
        <v>0</v>
      </c>
      <c r="T20" s="586">
        <f t="shared" ca="1" si="1"/>
        <v>0</v>
      </c>
      <c r="U20" s="581" t="str">
        <f ca="1">IFERROR(T20/X14,"-")</f>
        <v>-</v>
      </c>
      <c r="V20" s="404"/>
      <c r="W20" s="548"/>
      <c r="X20" s="584"/>
    </row>
    <row r="21" spans="3:24" ht="15" x14ac:dyDescent="0.25">
      <c r="C21" s="576"/>
      <c r="D21" s="521" t="s">
        <v>1</v>
      </c>
      <c r="E21" s="521"/>
      <c r="F21" s="576"/>
      <c r="G21" s="494" t="s">
        <v>84</v>
      </c>
      <c r="H21" s="588" t="str">
        <f>I21</f>
        <v>Landscaping</v>
      </c>
      <c r="I21" s="450" t="s">
        <v>39</v>
      </c>
      <c r="J21" s="589" t="s">
        <v>42</v>
      </c>
      <c r="K21" s="14" t="s">
        <v>120</v>
      </c>
      <c r="L21" s="591">
        <f>SUMIFS('Airport Statistics'!$G:$G,'Airport Statistics'!$D:$D,G21,'Airport Statistics'!$F:$F,K21)</f>
        <v>0</v>
      </c>
      <c r="M21" s="592">
        <f ca="1">SUMIFS('Water Use Calcs'!$V:$V,'Water Use Calcs'!$D:$D,'End Uses'!D21,'Water Use Calcs'!$G:$G,'End Uses'!G21,'Water Use Calcs'!$I:$I,'End Uses'!I21,'Water Use Calcs'!$J:$J,'End Uses'!J21)</f>
        <v>0</v>
      </c>
      <c r="N21" s="593">
        <f t="shared" ca="1" si="2"/>
        <v>0</v>
      </c>
      <c r="O21" s="594" t="str">
        <f ca="1">IFERROR(N21/R14,"-")</f>
        <v>-</v>
      </c>
      <c r="P21" s="595">
        <f ca="1">SUMIFS($N:$N,$G:$G,G21,$I:$I,H21)</f>
        <v>0</v>
      </c>
      <c r="Q21" s="547" t="str">
        <f ca="1">IFERROR(P21/R14,"-")</f>
        <v>-</v>
      </c>
      <c r="R21" s="584"/>
      <c r="S21" s="596">
        <f ca="1">SUMIFS('Water Use Calcs'!$W:$W,'Water Use Calcs'!$D:$D,'End Uses'!D21,'Water Use Calcs'!$G:$G,'End Uses'!G21,'Water Use Calcs'!$I:$I,'End Uses'!I21,'Water Use Calcs'!$J:$J,'End Uses'!J21)</f>
        <v>0</v>
      </c>
      <c r="T21" s="597">
        <f t="shared" ca="1" si="1"/>
        <v>0</v>
      </c>
      <c r="U21" s="594" t="str">
        <f ca="1">IFERROR(T21/X14,"-")</f>
        <v>-</v>
      </c>
      <c r="V21" s="595">
        <f ca="1">SUMIFS($T:$T,$G:$G,G21,$I:$I,H21)</f>
        <v>0</v>
      </c>
      <c r="W21" s="547" t="str">
        <f ca="1">IFERROR(V21/X14,"-")</f>
        <v>-</v>
      </c>
      <c r="X21" s="584"/>
    </row>
    <row r="22" spans="3:24" ht="15" x14ac:dyDescent="0.25">
      <c r="C22" s="576"/>
      <c r="D22" s="521" t="s">
        <v>1</v>
      </c>
      <c r="E22" s="521"/>
      <c r="F22" s="576"/>
      <c r="G22" s="494" t="s">
        <v>84</v>
      </c>
      <c r="H22" s="588" t="str">
        <f>I22</f>
        <v>Maintenance</v>
      </c>
      <c r="I22" s="455" t="s">
        <v>43</v>
      </c>
      <c r="J22" s="17" t="s">
        <v>111</v>
      </c>
      <c r="K22" s="599" t="s">
        <v>424</v>
      </c>
      <c r="L22" s="591">
        <f>SUMIFS('Airport Statistics'!$G:$G,'Airport Statistics'!$D:$D,G22,'Airport Statistics'!$F:$F,K22)</f>
        <v>0</v>
      </c>
      <c r="M22" s="592">
        <f ca="1">SUMIFS('Water Use Calcs'!$V:$V,'Water Use Calcs'!$D:$D,'End Uses'!D22,'Water Use Calcs'!$G:$G,'End Uses'!G22,'Water Use Calcs'!$I:$I,'End Uses'!I22,'Water Use Calcs'!$J:$J,'End Uses'!J22)</f>
        <v>0</v>
      </c>
      <c r="N22" s="593">
        <f t="shared" ca="1" si="2"/>
        <v>0</v>
      </c>
      <c r="O22" s="594" t="str">
        <f ca="1">IFERROR(N22/R14,"-")</f>
        <v>-</v>
      </c>
      <c r="P22" s="595">
        <f ca="1">SUMIFS($N:$N,$G:$G,G22,$I:$I,H22)</f>
        <v>0</v>
      </c>
      <c r="Q22" s="547" t="str">
        <f ca="1">IFERROR(P22/R14,"-")</f>
        <v>-</v>
      </c>
      <c r="R22" s="584"/>
      <c r="S22" s="596">
        <f ca="1">SUMIFS('Water Use Calcs'!$W:$W,'Water Use Calcs'!$D:$D,'End Uses'!D22,'Water Use Calcs'!$G:$G,'End Uses'!G22,'Water Use Calcs'!$I:$I,'End Uses'!I22,'Water Use Calcs'!$J:$J,'End Uses'!J22)</f>
        <v>0</v>
      </c>
      <c r="T22" s="597">
        <f t="shared" ca="1" si="1"/>
        <v>0</v>
      </c>
      <c r="U22" s="594" t="str">
        <f ca="1">IFERROR(T22/X14,"-")</f>
        <v>-</v>
      </c>
      <c r="V22" s="595">
        <f ca="1">SUMIFS($T:$T,$G:$G,G22,$I:$I,H22)</f>
        <v>0</v>
      </c>
      <c r="W22" s="547" t="str">
        <f ca="1">IFERROR(V22/X14,"-")</f>
        <v>-</v>
      </c>
      <c r="X22" s="584"/>
    </row>
    <row r="23" spans="3:24" ht="15" x14ac:dyDescent="0.25">
      <c r="C23" s="576"/>
      <c r="D23" s="521" t="s">
        <v>1</v>
      </c>
      <c r="E23" s="521"/>
      <c r="F23" s="576"/>
      <c r="G23" s="494" t="s">
        <v>84</v>
      </c>
      <c r="H23" s="577"/>
      <c r="I23" s="450" t="s">
        <v>43</v>
      </c>
      <c r="J23" s="577" t="s">
        <v>7</v>
      </c>
      <c r="K23" s="183" t="s">
        <v>365</v>
      </c>
      <c r="L23" s="600"/>
      <c r="M23" s="601">
        <f ca="1">SUMIFS('Water Use Calcs'!$V:$V,'Water Use Calcs'!$D:$D,'End Uses'!D23,'Water Use Calcs'!$G:$G,'End Uses'!G23,'Water Use Calcs'!$I:$I,'End Uses'!I23,'Water Use Calcs'!$J:$J,'End Uses'!J23)</f>
        <v>0</v>
      </c>
      <c r="N23" s="580">
        <f ca="1">M23</f>
        <v>0</v>
      </c>
      <c r="O23" s="581" t="str">
        <f ca="1">IFERROR(N23/R14,"-")</f>
        <v>-</v>
      </c>
      <c r="P23" s="404"/>
      <c r="Q23" s="548"/>
      <c r="R23" s="584"/>
      <c r="S23" s="585">
        <f ca="1">SUMIFS('Water Use Calcs'!$W:$W,'Water Use Calcs'!$D:$D,'End Uses'!D23,'Water Use Calcs'!$G:$G,'End Uses'!G23,'Water Use Calcs'!$I:$I,'End Uses'!I23,'Water Use Calcs'!$J:$J,'End Uses'!J23)</f>
        <v>0</v>
      </c>
      <c r="T23" s="586">
        <f ca="1">S23</f>
        <v>0</v>
      </c>
      <c r="U23" s="581" t="str">
        <f ca="1">IFERROR(T23/X14,"-")</f>
        <v>-</v>
      </c>
      <c r="V23" s="404"/>
      <c r="W23" s="548"/>
      <c r="X23" s="584"/>
    </row>
    <row r="24" spans="3:24" ht="15" x14ac:dyDescent="0.25">
      <c r="C24" s="576"/>
      <c r="D24" s="521" t="s">
        <v>1</v>
      </c>
      <c r="E24" s="521"/>
      <c r="F24" s="576"/>
      <c r="G24" s="494" t="s">
        <v>84</v>
      </c>
      <c r="H24" s="577"/>
      <c r="I24" s="587" t="s">
        <v>43</v>
      </c>
      <c r="J24" s="577" t="s">
        <v>426</v>
      </c>
      <c r="K24" s="15" t="s">
        <v>117</v>
      </c>
      <c r="L24" s="578">
        <f>SUMIFS('Airport Statistics'!$G:$G,'Airport Statistics'!$D:$D,G24,'Airport Statistics'!$F:$F,K24)</f>
        <v>0</v>
      </c>
      <c r="M24" s="579">
        <f ca="1">SUMIFS('Water Use Calcs'!$V:$V,'Water Use Calcs'!$D:$D,'End Uses'!D24,'Water Use Calcs'!$G:$G,'End Uses'!G24,'Water Use Calcs'!$I:$I,'End Uses'!I24,'Water Use Calcs'!$J:$J,'End Uses'!J24)</f>
        <v>0</v>
      </c>
      <c r="N24" s="580">
        <f t="shared" ca="1" si="2"/>
        <v>0</v>
      </c>
      <c r="O24" s="581" t="str">
        <f ca="1">IFERROR(N24/R14,"-")</f>
        <v>-</v>
      </c>
      <c r="P24" s="404"/>
      <c r="Q24" s="548"/>
      <c r="R24" s="584"/>
      <c r="S24" s="585">
        <f ca="1">SUMIFS('Water Use Calcs'!$W:$W,'Water Use Calcs'!$D:$D,'End Uses'!D24,'Water Use Calcs'!$G:$G,'End Uses'!G24,'Water Use Calcs'!$I:$I,'End Uses'!I24,'Water Use Calcs'!$J:$J,'End Uses'!J24)</f>
        <v>0</v>
      </c>
      <c r="T24" s="586">
        <f t="shared" ca="1" si="1"/>
        <v>0</v>
      </c>
      <c r="U24" s="581" t="str">
        <f ca="1">IFERROR(T24/X14,"-")</f>
        <v>-</v>
      </c>
      <c r="V24" s="404"/>
      <c r="W24" s="548"/>
      <c r="X24" s="584"/>
    </row>
    <row r="25" spans="3:24" ht="15" x14ac:dyDescent="0.25">
      <c r="C25" s="576"/>
      <c r="D25" s="521" t="s">
        <v>1</v>
      </c>
      <c r="E25" s="521"/>
      <c r="F25" s="576"/>
      <c r="G25" s="494" t="s">
        <v>84</v>
      </c>
      <c r="H25" s="588" t="str">
        <f>I25</f>
        <v>Other</v>
      </c>
      <c r="I25" s="450" t="s">
        <v>8</v>
      </c>
      <c r="J25" s="589" t="s">
        <v>52</v>
      </c>
      <c r="K25" s="602" t="s">
        <v>362</v>
      </c>
      <c r="L25" s="591">
        <f>SUMIFS('Airport Statistics'!$G:$G,'Airport Statistics'!$D:$D,G25,'Airport Statistics'!$F:$F,K25)</f>
        <v>0</v>
      </c>
      <c r="M25" s="592">
        <f ca="1">SUMIFS('Water Use Calcs'!$V:$V,'Water Use Calcs'!$D:$D,'End Uses'!D25,'Water Use Calcs'!$G:$G,'End Uses'!G25,'Water Use Calcs'!$I:$I,'End Uses'!I25,'Water Use Calcs'!$J:$J,'End Uses'!J25)</f>
        <v>0</v>
      </c>
      <c r="N25" s="593">
        <f ca="1">L25*M25</f>
        <v>0</v>
      </c>
      <c r="O25" s="603" t="str">
        <f ca="1">IFERROR(N25/R14,"-")</f>
        <v>-</v>
      </c>
      <c r="P25" s="595">
        <f ca="1">SUMIFS($N:$N,$G:$G,G25,$I:$I,H25)</f>
        <v>0</v>
      </c>
      <c r="Q25" s="549" t="str">
        <f ca="1">IFERROR(P25/R14,"-")</f>
        <v>-</v>
      </c>
      <c r="R25" s="584"/>
      <c r="S25" s="596">
        <f ca="1">SUMIFS('Water Use Calcs'!$W:$W,'Water Use Calcs'!$D:$D,'End Uses'!D25,'Water Use Calcs'!$G:$G,'End Uses'!G25,'Water Use Calcs'!$I:$I,'End Uses'!I25,'Water Use Calcs'!$J:$J,'End Uses'!J25)</f>
        <v>0</v>
      </c>
      <c r="T25" s="597">
        <f t="shared" ca="1" si="1"/>
        <v>0</v>
      </c>
      <c r="U25" s="594" t="str">
        <f ca="1">IFERROR(T25/X14,"-")</f>
        <v>-</v>
      </c>
      <c r="V25" s="595">
        <f ca="1">SUMIFS($T:$T,$G:$G,G25,$I:$I,H25)</f>
        <v>0</v>
      </c>
      <c r="W25" s="547" t="str">
        <f ca="1">IFERROR(V25/X14,"-")</f>
        <v>-</v>
      </c>
      <c r="X25" s="584"/>
    </row>
    <row r="26" spans="3:24" s="45" customFormat="1" ht="13.2" customHeight="1" x14ac:dyDescent="0.25">
      <c r="C26" s="576"/>
      <c r="D26" s="521" t="s">
        <v>1</v>
      </c>
      <c r="E26" s="521"/>
      <c r="F26" s="576"/>
      <c r="G26" s="494" t="s">
        <v>84</v>
      </c>
      <c r="H26" s="577"/>
      <c r="I26" s="450" t="s">
        <v>8</v>
      </c>
      <c r="J26" s="577" t="s">
        <v>53</v>
      </c>
      <c r="K26" s="439" t="s">
        <v>363</v>
      </c>
      <c r="L26" s="578">
        <f>SUMIFS('Airport Statistics'!$G:$G,'Airport Statistics'!$D:$D,G26,'Airport Statistics'!$F:$F,K26)</f>
        <v>0</v>
      </c>
      <c r="M26" s="579">
        <f ca="1">SUMIFS('Water Use Calcs'!$V:$V,'Water Use Calcs'!$D:$D,'End Uses'!D26,'Water Use Calcs'!$G:$G,'End Uses'!G26,'Water Use Calcs'!$I:$I,'End Uses'!I26,'Water Use Calcs'!$J:$J,'End Uses'!J26)</f>
        <v>0</v>
      </c>
      <c r="N26" s="580">
        <f ca="1">L26*M26</f>
        <v>0</v>
      </c>
      <c r="O26" s="604" t="str">
        <f ca="1">IFERROR(N26/R14,"-")</f>
        <v>-</v>
      </c>
      <c r="P26" s="404"/>
      <c r="Q26" s="583"/>
      <c r="R26" s="584"/>
      <c r="S26" s="585">
        <f ca="1">SUMIFS('Water Use Calcs'!$W:$W,'Water Use Calcs'!$D:$D,'End Uses'!D26,'Water Use Calcs'!$G:$G,'End Uses'!G26,'Water Use Calcs'!$I:$I,'End Uses'!I26,'Water Use Calcs'!$J:$J,'End Uses'!J26)</f>
        <v>0</v>
      </c>
      <c r="T26" s="586">
        <f t="shared" ca="1" si="1"/>
        <v>0</v>
      </c>
      <c r="U26" s="581" t="str">
        <f ca="1">IFERROR(T26/X14,"-")</f>
        <v>-</v>
      </c>
      <c r="V26" s="404"/>
      <c r="W26" s="583"/>
      <c r="X26" s="584"/>
    </row>
    <row r="27" spans="3:24" s="45" customFormat="1" ht="13.2" customHeight="1" thickBot="1" x14ac:dyDescent="0.3">
      <c r="C27" s="576"/>
      <c r="D27" s="521" t="s">
        <v>1</v>
      </c>
      <c r="E27" s="521"/>
      <c r="F27" s="605"/>
      <c r="G27" s="501" t="s">
        <v>84</v>
      </c>
      <c r="H27" s="116"/>
      <c r="I27" s="451" t="s">
        <v>8</v>
      </c>
      <c r="J27" s="116" t="s">
        <v>54</v>
      </c>
      <c r="K27" s="606" t="s">
        <v>364</v>
      </c>
      <c r="L27" s="607">
        <f>SUMIFS('Airport Statistics'!$G:$G,'Airport Statistics'!$D:$D,G27,'Airport Statistics'!$F:$F,K27)</f>
        <v>0</v>
      </c>
      <c r="M27" s="608">
        <f ca="1">SUMIFS('Water Use Calcs'!$V:$V,'Water Use Calcs'!$D:$D,'End Uses'!D27,'Water Use Calcs'!$G:$G,'End Uses'!G27,'Water Use Calcs'!$I:$I,'End Uses'!I27,'Water Use Calcs'!$J:$J,'End Uses'!J27)</f>
        <v>0</v>
      </c>
      <c r="N27" s="609">
        <f ca="1">L27*M27</f>
        <v>0</v>
      </c>
      <c r="O27" s="610" t="str">
        <f ca="1">IFERROR(N27/R14,"-")</f>
        <v>-</v>
      </c>
      <c r="P27" s="611"/>
      <c r="Q27" s="612"/>
      <c r="R27" s="613"/>
      <c r="S27" s="614">
        <f ca="1">SUMIFS('Water Use Calcs'!$W:$W,'Water Use Calcs'!$D:$D,'End Uses'!D27,'Water Use Calcs'!$G:$G,'End Uses'!G27,'Water Use Calcs'!$I:$I,'End Uses'!I27,'Water Use Calcs'!$J:$J,'End Uses'!J27)</f>
        <v>0</v>
      </c>
      <c r="T27" s="615">
        <f t="shared" ca="1" si="1"/>
        <v>0</v>
      </c>
      <c r="U27" s="616" t="str">
        <f ca="1">IFERROR(T27/X14,"-")</f>
        <v>-</v>
      </c>
      <c r="V27" s="611"/>
      <c r="W27" s="612"/>
      <c r="X27" s="613"/>
    </row>
    <row r="28" spans="3:24" s="45" customFormat="1" ht="13.2" customHeight="1" x14ac:dyDescent="0.25">
      <c r="C28" s="576"/>
      <c r="D28" s="521" t="s">
        <v>1</v>
      </c>
      <c r="E28" s="617" t="str">
        <f>G28</f>
        <v>Terminal B</v>
      </c>
      <c r="F28" s="292" t="str">
        <f>VLOOKUP(E28,'Airport Mapping'!$C$5:$D$39,2,FALSE)</f>
        <v xml:space="preserve"> </v>
      </c>
      <c r="G28" s="494" t="s">
        <v>85</v>
      </c>
      <c r="H28" s="564" t="str">
        <f>I28</f>
        <v>Restrooms</v>
      </c>
      <c r="I28" s="450" t="s">
        <v>37</v>
      </c>
      <c r="J28" s="567" t="s">
        <v>2</v>
      </c>
      <c r="K28" s="52" t="s">
        <v>117</v>
      </c>
      <c r="L28" s="568">
        <f>SUMIFS('Airport Statistics'!$G:$G,'Airport Statistics'!$D:$D,G28,'Airport Statistics'!$F:$F,K28)</f>
        <v>0</v>
      </c>
      <c r="M28" s="569">
        <f ca="1">SUMIFS('Water Use Calcs'!$V:$V,'Water Use Calcs'!$D:$D,'End Uses'!D28,'Water Use Calcs'!$G:$G,'End Uses'!G28,'Water Use Calcs'!$I:$I,'End Uses'!I28,'Water Use Calcs'!$J:$J,'End Uses'!J28)</f>
        <v>0</v>
      </c>
      <c r="N28" s="570">
        <f t="shared" ref="N28:N30" ca="1" si="3">L28*M28</f>
        <v>0</v>
      </c>
      <c r="O28" s="571" t="str">
        <f ca="1">IFERROR(N28/R28,"-")</f>
        <v>-</v>
      </c>
      <c r="P28" s="572">
        <f ca="1">SUMIFS($N:$N,$G:$G,G28,$I:$I,H28)</f>
        <v>0</v>
      </c>
      <c r="Q28" s="546" t="str">
        <f ca="1">IFERROR(P28/R28,"-")</f>
        <v>-</v>
      </c>
      <c r="R28" s="573">
        <f ca="1">SUMIFS($N:$N,$G:$G,G28)</f>
        <v>0</v>
      </c>
      <c r="S28" s="574">
        <f ca="1">SUMIFS('Water Use Calcs'!$W:$W,'Water Use Calcs'!$D:$D,'End Uses'!D28,'Water Use Calcs'!$G:$G,'End Uses'!G28,'Water Use Calcs'!$I:$I,'End Uses'!I28,'Water Use Calcs'!$J:$J,'End Uses'!J28)</f>
        <v>0</v>
      </c>
      <c r="T28" s="575">
        <f t="shared" ca="1" si="1"/>
        <v>0</v>
      </c>
      <c r="U28" s="571" t="str">
        <f ca="1">IFERROR(T28/X28,"-")</f>
        <v>-</v>
      </c>
      <c r="V28" s="572">
        <f ca="1">SUMIFS($T:$T,$G:$G,G28,$I:$I,H28)</f>
        <v>0</v>
      </c>
      <c r="W28" s="546" t="str">
        <f ca="1">IFERROR(V28/X28,"-")</f>
        <v>-</v>
      </c>
      <c r="X28" s="573">
        <f ca="1">SUMIFS($T:$T,$G:$G,G28)</f>
        <v>0</v>
      </c>
    </row>
    <row r="29" spans="3:24" ht="15" x14ac:dyDescent="0.25">
      <c r="C29" s="576"/>
      <c r="D29" s="521" t="s">
        <v>1</v>
      </c>
      <c r="E29" s="521"/>
      <c r="F29" s="576"/>
      <c r="G29" s="494" t="s">
        <v>85</v>
      </c>
      <c r="H29" s="577"/>
      <c r="I29" s="450" t="s">
        <v>37</v>
      </c>
      <c r="J29" s="577" t="s">
        <v>4</v>
      </c>
      <c r="K29" s="15" t="s">
        <v>117</v>
      </c>
      <c r="L29" s="578">
        <f>SUMIFS('Airport Statistics'!$G:$G,'Airport Statistics'!$D:$D,G29,'Airport Statistics'!$F:$F,K29)</f>
        <v>0</v>
      </c>
      <c r="M29" s="579">
        <f ca="1">SUMIFS('Water Use Calcs'!$V:$V,'Water Use Calcs'!$D:$D,'End Uses'!D29,'Water Use Calcs'!$G:$G,'End Uses'!G29,'Water Use Calcs'!$I:$I,'End Uses'!I29,'Water Use Calcs'!$J:$J,'End Uses'!J29)</f>
        <v>0</v>
      </c>
      <c r="N29" s="580">
        <f t="shared" ca="1" si="3"/>
        <v>0</v>
      </c>
      <c r="O29" s="581" t="str">
        <f ca="1">IFERROR(N29/R28,"-")</f>
        <v>-</v>
      </c>
      <c r="P29" s="582"/>
      <c r="Q29" s="583"/>
      <c r="R29" s="584"/>
      <c r="S29" s="585">
        <f ca="1">SUMIFS('Water Use Calcs'!$W:$W,'Water Use Calcs'!$D:$D,'End Uses'!D29,'Water Use Calcs'!$G:$G,'End Uses'!G29,'Water Use Calcs'!$I:$I,'End Uses'!I29,'Water Use Calcs'!$J:$J,'End Uses'!J29)</f>
        <v>0</v>
      </c>
      <c r="T29" s="586">
        <f t="shared" ca="1" si="1"/>
        <v>0</v>
      </c>
      <c r="U29" s="581" t="str">
        <f ca="1">IFERROR(T29/X28,"-")</f>
        <v>-</v>
      </c>
      <c r="V29" s="582"/>
      <c r="W29" s="583"/>
      <c r="X29" s="584"/>
    </row>
    <row r="30" spans="3:24" ht="15" x14ac:dyDescent="0.25">
      <c r="C30" s="576"/>
      <c r="D30" s="521" t="s">
        <v>1</v>
      </c>
      <c r="E30" s="521"/>
      <c r="F30" s="576"/>
      <c r="G30" s="494" t="s">
        <v>85</v>
      </c>
      <c r="H30" s="577"/>
      <c r="I30" s="587" t="s">
        <v>37</v>
      </c>
      <c r="J30" s="577" t="s">
        <v>33</v>
      </c>
      <c r="K30" s="15" t="s">
        <v>117</v>
      </c>
      <c r="L30" s="578">
        <f>SUMIFS('Airport Statistics'!$G:$G,'Airport Statistics'!$D:$D,G30,'Airport Statistics'!$F:$F,K30)</f>
        <v>0</v>
      </c>
      <c r="M30" s="579">
        <f ca="1">SUMIFS('Water Use Calcs'!$V:$V,'Water Use Calcs'!$D:$D,'End Uses'!D30,'Water Use Calcs'!$G:$G,'End Uses'!G30,'Water Use Calcs'!$I:$I,'End Uses'!I30,'Water Use Calcs'!$J:$J,'End Uses'!J30)</f>
        <v>0</v>
      </c>
      <c r="N30" s="580">
        <f t="shared" ca="1" si="3"/>
        <v>0</v>
      </c>
      <c r="O30" s="581" t="str">
        <f ca="1">IFERROR(N30/R28,"-")</f>
        <v>-</v>
      </c>
      <c r="P30" s="582"/>
      <c r="Q30" s="583"/>
      <c r="R30" s="584"/>
      <c r="S30" s="585">
        <f ca="1">SUMIFS('Water Use Calcs'!$W:$W,'Water Use Calcs'!$D:$D,'End Uses'!D30,'Water Use Calcs'!$G:$G,'End Uses'!G30,'Water Use Calcs'!$I:$I,'End Uses'!I30,'Water Use Calcs'!$J:$J,'End Uses'!J30)</f>
        <v>0</v>
      </c>
      <c r="T30" s="586">
        <f t="shared" ca="1" si="1"/>
        <v>0</v>
      </c>
      <c r="U30" s="581" t="str">
        <f ca="1">IFERROR(T30/X28,"-")</f>
        <v>-</v>
      </c>
      <c r="V30" s="582"/>
      <c r="W30" s="583"/>
      <c r="X30" s="584"/>
    </row>
    <row r="31" spans="3:24" ht="15" x14ac:dyDescent="0.25">
      <c r="C31" s="576"/>
      <c r="D31" s="521" t="s">
        <v>1</v>
      </c>
      <c r="E31" s="521"/>
      <c r="F31" s="576"/>
      <c r="G31" s="494" t="s">
        <v>85</v>
      </c>
      <c r="H31" s="588" t="str">
        <f>I31</f>
        <v>Food Service</v>
      </c>
      <c r="I31" s="450" t="s">
        <v>38</v>
      </c>
      <c r="J31" s="589" t="s">
        <v>114</v>
      </c>
      <c r="K31" s="590" t="s">
        <v>118</v>
      </c>
      <c r="L31" s="591">
        <f>SUMIFS('Airport Statistics'!$G:$G,'Airport Statistics'!$D:$D,G31,'Airport Statistics'!$F:$F,K31)</f>
        <v>0</v>
      </c>
      <c r="M31" s="592">
        <f ca="1">SUMIFS('Water Use Calcs'!$V:$V,'Water Use Calcs'!$D:$D,'End Uses'!D31,'Water Use Calcs'!$G:$G,'End Uses'!G31,'Water Use Calcs'!$I:$I,'End Uses'!I31,'Water Use Calcs'!$J:$J,'End Uses'!J31)</f>
        <v>0</v>
      </c>
      <c r="N31" s="593">
        <f ca="1">L31*M31</f>
        <v>0</v>
      </c>
      <c r="O31" s="594" t="str">
        <f ca="1">IFERROR(N31/R28,"-")</f>
        <v>-</v>
      </c>
      <c r="P31" s="595">
        <f ca="1">SUMIFS($N:$N,$G:$G,G31,$I:$I,H31)</f>
        <v>0</v>
      </c>
      <c r="Q31" s="547" t="str">
        <f ca="1">IFERROR(P31/R28,"-")</f>
        <v>-</v>
      </c>
      <c r="R31" s="584"/>
      <c r="S31" s="596">
        <f ca="1">SUMIFS('Water Use Calcs'!$W:$W,'Water Use Calcs'!$D:$D,'End Uses'!D31,'Water Use Calcs'!$G:$G,'End Uses'!G31,'Water Use Calcs'!$I:$I,'End Uses'!I31,'Water Use Calcs'!$J:$J,'End Uses'!J31)</f>
        <v>0</v>
      </c>
      <c r="T31" s="597">
        <f t="shared" ca="1" si="1"/>
        <v>0</v>
      </c>
      <c r="U31" s="594" t="str">
        <f ca="1">IFERROR(T31/X28,"-")</f>
        <v>-</v>
      </c>
      <c r="V31" s="595">
        <f ca="1">SUMIFS($T:$T,$G:$G,G31,$I:$I,H31)</f>
        <v>0</v>
      </c>
      <c r="W31" s="547" t="str">
        <f ca="1">IFERROR(V31/X28,"-")</f>
        <v>-</v>
      </c>
      <c r="X31" s="584"/>
    </row>
    <row r="32" spans="3:24" ht="15" x14ac:dyDescent="0.25">
      <c r="C32" s="576"/>
      <c r="D32" s="521" t="s">
        <v>1</v>
      </c>
      <c r="E32" s="521"/>
      <c r="F32" s="576"/>
      <c r="G32" s="521" t="s">
        <v>85</v>
      </c>
      <c r="H32" s="577"/>
      <c r="I32" s="224" t="s">
        <v>38</v>
      </c>
      <c r="J32" s="577" t="s">
        <v>127</v>
      </c>
      <c r="K32" s="598" t="s">
        <v>118</v>
      </c>
      <c r="L32" s="578">
        <f>SUMIFS('Airport Statistics'!$G:$G,'Airport Statistics'!$D:$D,G32,'Airport Statistics'!$F:$F,K32)</f>
        <v>0</v>
      </c>
      <c r="M32" s="579">
        <f ca="1">SUMIFS('Water Use Calcs'!$V:$V,'Water Use Calcs'!$D:$D,'End Uses'!D32,'Water Use Calcs'!$G:$G,'End Uses'!G32,'Water Use Calcs'!$I:$I,'End Uses'!I32,'Water Use Calcs'!$J:$J,'End Uses'!J32)</f>
        <v>0</v>
      </c>
      <c r="N32" s="580">
        <f ca="1">L32*M32</f>
        <v>0</v>
      </c>
      <c r="O32" s="581" t="str">
        <f ca="1">IFERROR(N32/R28,"-")</f>
        <v>-</v>
      </c>
      <c r="P32" s="582"/>
      <c r="Q32" s="548"/>
      <c r="R32" s="584"/>
      <c r="S32" s="585">
        <f ca="1">SUMIFS('Water Use Calcs'!$W:$W,'Water Use Calcs'!$D:$D,'End Uses'!D32,'Water Use Calcs'!$G:$G,'End Uses'!G32,'Water Use Calcs'!$I:$I,'End Uses'!I32,'Water Use Calcs'!$J:$J,'End Uses'!J32)</f>
        <v>0</v>
      </c>
      <c r="T32" s="586">
        <f t="shared" ca="1" si="1"/>
        <v>0</v>
      </c>
      <c r="U32" s="581" t="str">
        <f ca="1">IFERROR(T32/X28,"-")</f>
        <v>-</v>
      </c>
      <c r="V32" s="582"/>
      <c r="W32" s="548"/>
      <c r="X32" s="584"/>
    </row>
    <row r="33" spans="3:24" ht="15" x14ac:dyDescent="0.25">
      <c r="C33" s="576"/>
      <c r="D33" s="521" t="s">
        <v>1</v>
      </c>
      <c r="E33" s="521"/>
      <c r="F33" s="576"/>
      <c r="G33" s="494" t="s">
        <v>85</v>
      </c>
      <c r="H33" s="577"/>
      <c r="I33" s="450" t="s">
        <v>38</v>
      </c>
      <c r="J33" s="577" t="s">
        <v>41</v>
      </c>
      <c r="K33" s="598" t="s">
        <v>118</v>
      </c>
      <c r="L33" s="578">
        <f>SUMIFS('Airport Statistics'!$G:$G,'Airport Statistics'!$D:$D,G33,'Airport Statistics'!$F:$F,K33)</f>
        <v>0</v>
      </c>
      <c r="M33" s="579">
        <f ca="1">SUMIFS('Water Use Calcs'!$V:$V,'Water Use Calcs'!$D:$D,'End Uses'!D33,'Water Use Calcs'!$G:$G,'End Uses'!G33,'Water Use Calcs'!$I:$I,'End Uses'!I33,'Water Use Calcs'!$J:$J,'End Uses'!J33)</f>
        <v>0</v>
      </c>
      <c r="N33" s="580">
        <f t="shared" ca="1" si="2"/>
        <v>0</v>
      </c>
      <c r="O33" s="581" t="str">
        <f ca="1">IFERROR(N33/R28,"-")</f>
        <v>-</v>
      </c>
      <c r="P33" s="404"/>
      <c r="Q33" s="548"/>
      <c r="R33" s="584"/>
      <c r="S33" s="585">
        <f ca="1">SUMIFS('Water Use Calcs'!$W:$W,'Water Use Calcs'!$D:$D,'End Uses'!D33,'Water Use Calcs'!$G:$G,'End Uses'!G33,'Water Use Calcs'!$I:$I,'End Uses'!I33,'Water Use Calcs'!$J:$J,'End Uses'!J33)</f>
        <v>0</v>
      </c>
      <c r="T33" s="586">
        <f t="shared" ca="1" si="1"/>
        <v>0</v>
      </c>
      <c r="U33" s="581" t="str">
        <f ca="1">IFERROR(T33/X28,"-")</f>
        <v>-</v>
      </c>
      <c r="V33" s="404"/>
      <c r="W33" s="548"/>
      <c r="X33" s="584"/>
    </row>
    <row r="34" spans="3:24" ht="15" x14ac:dyDescent="0.25">
      <c r="C34" s="576"/>
      <c r="D34" s="521" t="s">
        <v>1</v>
      </c>
      <c r="E34" s="521"/>
      <c r="F34" s="576"/>
      <c r="G34" s="494" t="s">
        <v>85</v>
      </c>
      <c r="H34" s="577"/>
      <c r="I34" s="587" t="s">
        <v>38</v>
      </c>
      <c r="J34" s="577" t="s">
        <v>20</v>
      </c>
      <c r="K34" s="598" t="s">
        <v>118</v>
      </c>
      <c r="L34" s="578">
        <f>SUMIFS('Airport Statistics'!$G:$G,'Airport Statistics'!$D:$D,G34,'Airport Statistics'!$F:$F,K34)</f>
        <v>0</v>
      </c>
      <c r="M34" s="579">
        <f ca="1">SUMIFS('Water Use Calcs'!$V:$V,'Water Use Calcs'!$D:$D,'End Uses'!D34,'Water Use Calcs'!$G:$G,'End Uses'!G34,'Water Use Calcs'!$I:$I,'End Uses'!I34,'Water Use Calcs'!$J:$J,'End Uses'!J34)</f>
        <v>0</v>
      </c>
      <c r="N34" s="580">
        <f t="shared" ca="1" si="2"/>
        <v>0</v>
      </c>
      <c r="O34" s="581" t="str">
        <f ca="1">IFERROR(N34/R28,"-")</f>
        <v>-</v>
      </c>
      <c r="P34" s="404"/>
      <c r="Q34" s="548"/>
      <c r="R34" s="584"/>
      <c r="S34" s="585">
        <f ca="1">SUMIFS('Water Use Calcs'!$W:$W,'Water Use Calcs'!$D:$D,'End Uses'!D34,'Water Use Calcs'!$G:$G,'End Uses'!G34,'Water Use Calcs'!$I:$I,'End Uses'!I34,'Water Use Calcs'!$J:$J,'End Uses'!J34)</f>
        <v>0</v>
      </c>
      <c r="T34" s="586">
        <f t="shared" ca="1" si="1"/>
        <v>0</v>
      </c>
      <c r="U34" s="581" t="str">
        <f ca="1">IFERROR(T34/X28,"-")</f>
        <v>-</v>
      </c>
      <c r="V34" s="404"/>
      <c r="W34" s="548"/>
      <c r="X34" s="584"/>
    </row>
    <row r="35" spans="3:24" x14ac:dyDescent="0.3">
      <c r="C35" s="576"/>
      <c r="D35" s="521" t="s">
        <v>1</v>
      </c>
      <c r="E35" s="521"/>
      <c r="F35" s="576"/>
      <c r="G35" s="494" t="s">
        <v>85</v>
      </c>
      <c r="H35" s="588" t="str">
        <f>I35</f>
        <v>Landscaping</v>
      </c>
      <c r="I35" s="450" t="s">
        <v>39</v>
      </c>
      <c r="J35" s="589" t="s">
        <v>42</v>
      </c>
      <c r="K35" s="14" t="s">
        <v>120</v>
      </c>
      <c r="L35" s="591">
        <f>SUMIFS('Airport Statistics'!$G:$G,'Airport Statistics'!$D:$D,G35,'Airport Statistics'!$F:$F,K35)</f>
        <v>0</v>
      </c>
      <c r="M35" s="592">
        <f ca="1">SUMIFS('Water Use Calcs'!$V:$V,'Water Use Calcs'!$D:$D,'End Uses'!D35,'Water Use Calcs'!$G:$G,'End Uses'!G35,'Water Use Calcs'!$I:$I,'End Uses'!I35,'Water Use Calcs'!$J:$J,'End Uses'!J35)</f>
        <v>0</v>
      </c>
      <c r="N35" s="593">
        <f t="shared" ca="1" si="2"/>
        <v>0</v>
      </c>
      <c r="O35" s="594" t="str">
        <f ca="1">IFERROR(N35/R28,"-")</f>
        <v>-</v>
      </c>
      <c r="P35" s="595">
        <f ca="1">SUMIFS($N:$N,$G:$G,G35,$I:$I,H35)</f>
        <v>0</v>
      </c>
      <c r="Q35" s="547" t="str">
        <f ca="1">IFERROR(P35/R28,"-")</f>
        <v>-</v>
      </c>
      <c r="R35" s="584"/>
      <c r="S35" s="596">
        <f ca="1">SUMIFS('Water Use Calcs'!$W:$W,'Water Use Calcs'!$D:$D,'End Uses'!D35,'Water Use Calcs'!$G:$G,'End Uses'!G35,'Water Use Calcs'!$I:$I,'End Uses'!I35,'Water Use Calcs'!$J:$J,'End Uses'!J35)</f>
        <v>0</v>
      </c>
      <c r="T35" s="597">
        <f t="shared" ca="1" si="1"/>
        <v>0</v>
      </c>
      <c r="U35" s="594" t="str">
        <f ca="1">IFERROR(T35/X28,"-")</f>
        <v>-</v>
      </c>
      <c r="V35" s="595">
        <f ca="1">SUMIFS($T:$T,$G:$G,G35,$I:$I,H35)</f>
        <v>0</v>
      </c>
      <c r="W35" s="547" t="str">
        <f ca="1">IFERROR(V35/X28,"-")</f>
        <v>-</v>
      </c>
      <c r="X35" s="584"/>
    </row>
    <row r="36" spans="3:24" x14ac:dyDescent="0.3">
      <c r="C36" s="576"/>
      <c r="D36" s="521" t="s">
        <v>1</v>
      </c>
      <c r="E36" s="521"/>
      <c r="F36" s="576"/>
      <c r="G36" s="494" t="s">
        <v>85</v>
      </c>
      <c r="H36" s="588" t="str">
        <f>I36</f>
        <v>Maintenance</v>
      </c>
      <c r="I36" s="455" t="s">
        <v>43</v>
      </c>
      <c r="J36" s="17" t="s">
        <v>111</v>
      </c>
      <c r="K36" s="599" t="s">
        <v>424</v>
      </c>
      <c r="L36" s="591">
        <f>SUMIFS('Airport Statistics'!$G:$G,'Airport Statistics'!$D:$D,G36,'Airport Statistics'!$F:$F,K36)</f>
        <v>0</v>
      </c>
      <c r="M36" s="592">
        <f ca="1">SUMIFS('Water Use Calcs'!$V:$V,'Water Use Calcs'!$D:$D,'End Uses'!D36,'Water Use Calcs'!$G:$G,'End Uses'!G36,'Water Use Calcs'!$I:$I,'End Uses'!I36,'Water Use Calcs'!$J:$J,'End Uses'!J36)</f>
        <v>0</v>
      </c>
      <c r="N36" s="593">
        <f t="shared" ca="1" si="2"/>
        <v>0</v>
      </c>
      <c r="O36" s="594" t="str">
        <f ca="1">IFERROR(N36/R28,"-")</f>
        <v>-</v>
      </c>
      <c r="P36" s="595">
        <f ca="1">SUMIFS($N:$N,$G:$G,G36,$I:$I,H36)</f>
        <v>0</v>
      </c>
      <c r="Q36" s="547" t="str">
        <f ca="1">IFERROR(P36/R28,"-")</f>
        <v>-</v>
      </c>
      <c r="R36" s="584"/>
      <c r="S36" s="596">
        <f ca="1">SUMIFS('Water Use Calcs'!$W:$W,'Water Use Calcs'!$D:$D,'End Uses'!D36,'Water Use Calcs'!$G:$G,'End Uses'!G36,'Water Use Calcs'!$I:$I,'End Uses'!I36,'Water Use Calcs'!$J:$J,'End Uses'!J36)</f>
        <v>0</v>
      </c>
      <c r="T36" s="597">
        <f t="shared" ca="1" si="1"/>
        <v>0</v>
      </c>
      <c r="U36" s="594" t="str">
        <f ca="1">IFERROR(T36/X28,"-")</f>
        <v>-</v>
      </c>
      <c r="V36" s="595">
        <f ca="1">SUMIFS($T:$T,$G:$G,G36,$I:$I,H36)</f>
        <v>0</v>
      </c>
      <c r="W36" s="547" t="str">
        <f ca="1">IFERROR(V36/X28,"-")</f>
        <v>-</v>
      </c>
      <c r="X36" s="584"/>
    </row>
    <row r="37" spans="3:24" x14ac:dyDescent="0.3">
      <c r="C37" s="576"/>
      <c r="D37" s="521" t="s">
        <v>1</v>
      </c>
      <c r="E37" s="521"/>
      <c r="F37" s="576"/>
      <c r="G37" s="494" t="s">
        <v>85</v>
      </c>
      <c r="H37" s="577"/>
      <c r="I37" s="450" t="s">
        <v>43</v>
      </c>
      <c r="J37" s="577" t="s">
        <v>7</v>
      </c>
      <c r="K37" s="183" t="s">
        <v>365</v>
      </c>
      <c r="L37" s="600"/>
      <c r="M37" s="601">
        <f ca="1">SUMIFS('Water Use Calcs'!$V:$V,'Water Use Calcs'!$D:$D,'End Uses'!D37,'Water Use Calcs'!$G:$G,'End Uses'!G37,'Water Use Calcs'!$I:$I,'End Uses'!I37,'Water Use Calcs'!$J:$J,'End Uses'!J37)</f>
        <v>0</v>
      </c>
      <c r="N37" s="580">
        <f ca="1">M37</f>
        <v>0</v>
      </c>
      <c r="O37" s="581" t="str">
        <f ca="1">IFERROR(N37/R28,"-")</f>
        <v>-</v>
      </c>
      <c r="P37" s="404"/>
      <c r="Q37" s="548"/>
      <c r="R37" s="584"/>
      <c r="S37" s="585">
        <f ca="1">SUMIFS('Water Use Calcs'!$W:$W,'Water Use Calcs'!$D:$D,'End Uses'!D37,'Water Use Calcs'!$G:$G,'End Uses'!G37,'Water Use Calcs'!$I:$I,'End Uses'!I37,'Water Use Calcs'!$J:$J,'End Uses'!J37)</f>
        <v>0</v>
      </c>
      <c r="T37" s="586">
        <f ca="1">S37</f>
        <v>0</v>
      </c>
      <c r="U37" s="581" t="str">
        <f ca="1">IFERROR(T37/X28,"-")</f>
        <v>-</v>
      </c>
      <c r="V37" s="404"/>
      <c r="W37" s="548"/>
      <c r="X37" s="584"/>
    </row>
    <row r="38" spans="3:24" x14ac:dyDescent="0.3">
      <c r="C38" s="576"/>
      <c r="D38" s="521" t="s">
        <v>1</v>
      </c>
      <c r="E38" s="521"/>
      <c r="F38" s="576"/>
      <c r="G38" s="494" t="s">
        <v>85</v>
      </c>
      <c r="H38" s="577"/>
      <c r="I38" s="587" t="s">
        <v>43</v>
      </c>
      <c r="J38" s="577" t="s">
        <v>426</v>
      </c>
      <c r="K38" s="15" t="s">
        <v>117</v>
      </c>
      <c r="L38" s="578">
        <f>SUMIFS('Airport Statistics'!$G:$G,'Airport Statistics'!$D:$D,G38,'Airport Statistics'!$F:$F,K38)</f>
        <v>0</v>
      </c>
      <c r="M38" s="579">
        <f ca="1">SUMIFS('Water Use Calcs'!$V:$V,'Water Use Calcs'!$D:$D,'End Uses'!D38,'Water Use Calcs'!$G:$G,'End Uses'!G38,'Water Use Calcs'!$I:$I,'End Uses'!I38,'Water Use Calcs'!$J:$J,'End Uses'!J38)</f>
        <v>0</v>
      </c>
      <c r="N38" s="580">
        <f t="shared" ca="1" si="2"/>
        <v>0</v>
      </c>
      <c r="O38" s="581" t="str">
        <f ca="1">IFERROR(N38/R28,"-")</f>
        <v>-</v>
      </c>
      <c r="P38" s="404"/>
      <c r="Q38" s="548"/>
      <c r="R38" s="584"/>
      <c r="S38" s="585">
        <f ca="1">SUMIFS('Water Use Calcs'!$W:$W,'Water Use Calcs'!$D:$D,'End Uses'!D38,'Water Use Calcs'!$G:$G,'End Uses'!G38,'Water Use Calcs'!$I:$I,'End Uses'!I38,'Water Use Calcs'!$J:$J,'End Uses'!J38)</f>
        <v>0</v>
      </c>
      <c r="T38" s="586">
        <f t="shared" ca="1" si="1"/>
        <v>0</v>
      </c>
      <c r="U38" s="581" t="str">
        <f ca="1">IFERROR(T38/X28,"-")</f>
        <v>-</v>
      </c>
      <c r="V38" s="404"/>
      <c r="W38" s="548"/>
      <c r="X38" s="584"/>
    </row>
    <row r="39" spans="3:24" x14ac:dyDescent="0.3">
      <c r="C39" s="576"/>
      <c r="D39" s="521" t="s">
        <v>1</v>
      </c>
      <c r="E39" s="521"/>
      <c r="F39" s="576"/>
      <c r="G39" s="494" t="s">
        <v>85</v>
      </c>
      <c r="H39" s="588" t="str">
        <f>I39</f>
        <v>Other</v>
      </c>
      <c r="I39" s="450" t="s">
        <v>8</v>
      </c>
      <c r="J39" s="589" t="s">
        <v>52</v>
      </c>
      <c r="K39" s="602" t="s">
        <v>362</v>
      </c>
      <c r="L39" s="591">
        <f>SUMIFS('Airport Statistics'!$G:$G,'Airport Statistics'!$D:$D,G39,'Airport Statistics'!$F:$F,K39)</f>
        <v>0</v>
      </c>
      <c r="M39" s="592">
        <f ca="1">SUMIFS('Water Use Calcs'!$V:$V,'Water Use Calcs'!$D:$D,'End Uses'!D39,'Water Use Calcs'!$G:$G,'End Uses'!G39,'Water Use Calcs'!$I:$I,'End Uses'!I39,'Water Use Calcs'!$J:$J,'End Uses'!J39)</f>
        <v>0</v>
      </c>
      <c r="N39" s="593">
        <f ca="1">L39*M39</f>
        <v>0</v>
      </c>
      <c r="O39" s="603" t="str">
        <f ca="1">IFERROR(N39/R28,"-")</f>
        <v>-</v>
      </c>
      <c r="P39" s="595">
        <f ca="1">SUMIFS($N:$N,$G:$G,G39,$I:$I,H39)</f>
        <v>0</v>
      </c>
      <c r="Q39" s="549" t="str">
        <f ca="1">IFERROR(P39/R28,"-")</f>
        <v>-</v>
      </c>
      <c r="R39" s="584"/>
      <c r="S39" s="596">
        <f ca="1">SUMIFS('Water Use Calcs'!$W:$W,'Water Use Calcs'!$D:$D,'End Uses'!D39,'Water Use Calcs'!$G:$G,'End Uses'!G39,'Water Use Calcs'!$I:$I,'End Uses'!I39,'Water Use Calcs'!$J:$J,'End Uses'!J39)</f>
        <v>0</v>
      </c>
      <c r="T39" s="597">
        <f t="shared" ca="1" si="1"/>
        <v>0</v>
      </c>
      <c r="U39" s="594" t="str">
        <f ca="1">IFERROR(T39/X28,"-")</f>
        <v>-</v>
      </c>
      <c r="V39" s="595">
        <f ca="1">SUMIFS($T:$T,$G:$G,G39,$I:$I,H39)</f>
        <v>0</v>
      </c>
      <c r="W39" s="547" t="str">
        <f ca="1">IFERROR(V39/X28,"-")</f>
        <v>-</v>
      </c>
      <c r="X39" s="584"/>
    </row>
    <row r="40" spans="3:24" s="45" customFormat="1" ht="13.2" customHeight="1" x14ac:dyDescent="0.3">
      <c r="C40" s="576"/>
      <c r="D40" s="521" t="s">
        <v>1</v>
      </c>
      <c r="E40" s="521"/>
      <c r="F40" s="576"/>
      <c r="G40" s="494" t="s">
        <v>85</v>
      </c>
      <c r="H40" s="577"/>
      <c r="I40" s="450" t="s">
        <v>8</v>
      </c>
      <c r="J40" s="577" t="s">
        <v>53</v>
      </c>
      <c r="K40" s="439" t="s">
        <v>363</v>
      </c>
      <c r="L40" s="578">
        <f>SUMIFS('Airport Statistics'!$G:$G,'Airport Statistics'!$D:$D,G40,'Airport Statistics'!$F:$F,K40)</f>
        <v>0</v>
      </c>
      <c r="M40" s="579">
        <f ca="1">SUMIFS('Water Use Calcs'!$V:$V,'Water Use Calcs'!$D:$D,'End Uses'!D40,'Water Use Calcs'!$G:$G,'End Uses'!G40,'Water Use Calcs'!$I:$I,'End Uses'!I40,'Water Use Calcs'!$J:$J,'End Uses'!J40)</f>
        <v>0</v>
      </c>
      <c r="N40" s="580">
        <f ca="1">L40*M40</f>
        <v>0</v>
      </c>
      <c r="O40" s="604" t="str">
        <f ca="1">IFERROR(N40/R28,"-")</f>
        <v>-</v>
      </c>
      <c r="P40" s="404"/>
      <c r="Q40" s="583"/>
      <c r="R40" s="584"/>
      <c r="S40" s="585">
        <f ca="1">SUMIFS('Water Use Calcs'!$W:$W,'Water Use Calcs'!$D:$D,'End Uses'!D40,'Water Use Calcs'!$G:$G,'End Uses'!G40,'Water Use Calcs'!$I:$I,'End Uses'!I40,'Water Use Calcs'!$J:$J,'End Uses'!J40)</f>
        <v>0</v>
      </c>
      <c r="T40" s="586">
        <f t="shared" ca="1" si="1"/>
        <v>0</v>
      </c>
      <c r="U40" s="581" t="str">
        <f ca="1">IFERROR(T40/X28,"-")</f>
        <v>-</v>
      </c>
      <c r="V40" s="404"/>
      <c r="W40" s="583"/>
      <c r="X40" s="584"/>
    </row>
    <row r="41" spans="3:24" s="45" customFormat="1" ht="13.2" customHeight="1" thickBot="1" x14ac:dyDescent="0.35">
      <c r="C41" s="576"/>
      <c r="D41" s="521" t="s">
        <v>1</v>
      </c>
      <c r="E41" s="521"/>
      <c r="F41" s="576"/>
      <c r="G41" s="501" t="s">
        <v>85</v>
      </c>
      <c r="H41" s="116"/>
      <c r="I41" s="451" t="s">
        <v>8</v>
      </c>
      <c r="J41" s="116" t="s">
        <v>54</v>
      </c>
      <c r="K41" s="606" t="s">
        <v>364</v>
      </c>
      <c r="L41" s="607">
        <f>SUMIFS('Airport Statistics'!$G:$G,'Airport Statistics'!$D:$D,G41,'Airport Statistics'!$F:$F,K41)</f>
        <v>0</v>
      </c>
      <c r="M41" s="608">
        <f ca="1">SUMIFS('Water Use Calcs'!$V:$V,'Water Use Calcs'!$D:$D,'End Uses'!D41,'Water Use Calcs'!$G:$G,'End Uses'!G41,'Water Use Calcs'!$I:$I,'End Uses'!I41,'Water Use Calcs'!$J:$J,'End Uses'!J41)</f>
        <v>0</v>
      </c>
      <c r="N41" s="609">
        <f ca="1">L41*M41</f>
        <v>0</v>
      </c>
      <c r="O41" s="610" t="str">
        <f ca="1">IFERROR(N41/R28,"-")</f>
        <v>-</v>
      </c>
      <c r="P41" s="611"/>
      <c r="Q41" s="612"/>
      <c r="R41" s="613"/>
      <c r="S41" s="614">
        <f ca="1">SUMIFS('Water Use Calcs'!$W:$W,'Water Use Calcs'!$D:$D,'End Uses'!D41,'Water Use Calcs'!$G:$G,'End Uses'!G41,'Water Use Calcs'!$I:$I,'End Uses'!I41,'Water Use Calcs'!$J:$J,'End Uses'!J41)</f>
        <v>0</v>
      </c>
      <c r="T41" s="615">
        <f t="shared" ca="1" si="1"/>
        <v>0</v>
      </c>
      <c r="U41" s="616" t="str">
        <f ca="1">IFERROR(T41/X28,"-")</f>
        <v>-</v>
      </c>
      <c r="V41" s="611"/>
      <c r="W41" s="612"/>
      <c r="X41" s="613"/>
    </row>
    <row r="42" spans="3:24" s="45" customFormat="1" ht="13.2" customHeight="1" x14ac:dyDescent="0.3">
      <c r="C42" s="576"/>
      <c r="D42" s="521" t="s">
        <v>1</v>
      </c>
      <c r="E42" s="617" t="str">
        <f>G42</f>
        <v>Terminal C</v>
      </c>
      <c r="F42" s="565" t="str">
        <f>VLOOKUP(E42,'Airport Mapping'!$C$5:$D$39,2,FALSE)</f>
        <v xml:space="preserve"> </v>
      </c>
      <c r="G42" s="566" t="s">
        <v>86</v>
      </c>
      <c r="H42" s="564" t="str">
        <f>I42</f>
        <v>Restrooms</v>
      </c>
      <c r="I42" s="450" t="s">
        <v>37</v>
      </c>
      <c r="J42" s="567" t="s">
        <v>2</v>
      </c>
      <c r="K42" s="52" t="s">
        <v>117</v>
      </c>
      <c r="L42" s="568">
        <f>SUMIFS('Airport Statistics'!$G:$G,'Airport Statistics'!$D:$D,G42,'Airport Statistics'!$F:$F,K42)</f>
        <v>0</v>
      </c>
      <c r="M42" s="569">
        <f ca="1">SUMIFS('Water Use Calcs'!$V:$V,'Water Use Calcs'!$D:$D,'End Uses'!D42,'Water Use Calcs'!$G:$G,'End Uses'!G42,'Water Use Calcs'!$I:$I,'End Uses'!I42,'Water Use Calcs'!$J:$J,'End Uses'!J42)</f>
        <v>0</v>
      </c>
      <c r="N42" s="570">
        <f t="shared" ref="N42:N44" ca="1" si="4">L42*M42</f>
        <v>0</v>
      </c>
      <c r="O42" s="571" t="str">
        <f ca="1">IFERROR(N42/R42,"-")</f>
        <v>-</v>
      </c>
      <c r="P42" s="572">
        <f ca="1">SUMIFS($N:$N,$G:$G,G42,$I:$I,H42)</f>
        <v>0</v>
      </c>
      <c r="Q42" s="546" t="str">
        <f ca="1">IFERROR(P42/R42,"-")</f>
        <v>-</v>
      </c>
      <c r="R42" s="573">
        <f ca="1">SUMIFS($N:$N,$G:$G,G42)</f>
        <v>0</v>
      </c>
      <c r="S42" s="574">
        <f ca="1">SUMIFS('Water Use Calcs'!$W:$W,'Water Use Calcs'!$D:$D,'End Uses'!D42,'Water Use Calcs'!$G:$G,'End Uses'!G42,'Water Use Calcs'!$I:$I,'End Uses'!I42,'Water Use Calcs'!$J:$J,'End Uses'!J42)</f>
        <v>0</v>
      </c>
      <c r="T42" s="575">
        <f t="shared" ca="1" si="1"/>
        <v>0</v>
      </c>
      <c r="U42" s="571" t="str">
        <f ca="1">IFERROR(T42/X42,"-")</f>
        <v>-</v>
      </c>
      <c r="V42" s="572">
        <f ca="1">SUMIFS($T:$T,$G:$G,G42,$I:$I,H42)</f>
        <v>0</v>
      </c>
      <c r="W42" s="546" t="str">
        <f ca="1">IFERROR(V42/X42,"-")</f>
        <v>-</v>
      </c>
      <c r="X42" s="573">
        <f ca="1">SUMIFS($T:$T,$G:$G,G42)</f>
        <v>0</v>
      </c>
    </row>
    <row r="43" spans="3:24" x14ac:dyDescent="0.3">
      <c r="C43" s="576"/>
      <c r="D43" s="521" t="s">
        <v>1</v>
      </c>
      <c r="E43" s="521"/>
      <c r="F43" s="576"/>
      <c r="G43" s="494" t="s">
        <v>86</v>
      </c>
      <c r="H43" s="577"/>
      <c r="I43" s="450" t="s">
        <v>37</v>
      </c>
      <c r="J43" s="577" t="s">
        <v>4</v>
      </c>
      <c r="K43" s="15" t="s">
        <v>117</v>
      </c>
      <c r="L43" s="578">
        <f>SUMIFS('Airport Statistics'!$G:$G,'Airport Statistics'!$D:$D,G43,'Airport Statistics'!$F:$F,K43)</f>
        <v>0</v>
      </c>
      <c r="M43" s="579">
        <f ca="1">SUMIFS('Water Use Calcs'!$V:$V,'Water Use Calcs'!$D:$D,'End Uses'!D43,'Water Use Calcs'!$G:$G,'End Uses'!G43,'Water Use Calcs'!$I:$I,'End Uses'!I43,'Water Use Calcs'!$J:$J,'End Uses'!J43)</f>
        <v>0</v>
      </c>
      <c r="N43" s="580">
        <f t="shared" ca="1" si="4"/>
        <v>0</v>
      </c>
      <c r="O43" s="581" t="str">
        <f ca="1">IFERROR(N43/R42,"-")</f>
        <v>-</v>
      </c>
      <c r="P43" s="582"/>
      <c r="Q43" s="583"/>
      <c r="R43" s="584"/>
      <c r="S43" s="585">
        <f ca="1">SUMIFS('Water Use Calcs'!$W:$W,'Water Use Calcs'!$D:$D,'End Uses'!D43,'Water Use Calcs'!$G:$G,'End Uses'!G43,'Water Use Calcs'!$I:$I,'End Uses'!I43,'Water Use Calcs'!$J:$J,'End Uses'!J43)</f>
        <v>0</v>
      </c>
      <c r="T43" s="586">
        <f t="shared" ca="1" si="1"/>
        <v>0</v>
      </c>
      <c r="U43" s="581" t="str">
        <f ca="1">IFERROR(T43/X42,"-")</f>
        <v>-</v>
      </c>
      <c r="V43" s="582"/>
      <c r="W43" s="583"/>
      <c r="X43" s="584"/>
    </row>
    <row r="44" spans="3:24" x14ac:dyDescent="0.3">
      <c r="C44" s="576"/>
      <c r="D44" s="521" t="s">
        <v>1</v>
      </c>
      <c r="E44" s="521"/>
      <c r="F44" s="576"/>
      <c r="G44" s="494" t="s">
        <v>86</v>
      </c>
      <c r="H44" s="577"/>
      <c r="I44" s="587" t="s">
        <v>37</v>
      </c>
      <c r="J44" s="577" t="s">
        <v>33</v>
      </c>
      <c r="K44" s="15" t="s">
        <v>117</v>
      </c>
      <c r="L44" s="578">
        <f>SUMIFS('Airport Statistics'!$G:$G,'Airport Statistics'!$D:$D,G44,'Airport Statistics'!$F:$F,K44)</f>
        <v>0</v>
      </c>
      <c r="M44" s="579">
        <f ca="1">SUMIFS('Water Use Calcs'!$V:$V,'Water Use Calcs'!$D:$D,'End Uses'!D44,'Water Use Calcs'!$G:$G,'End Uses'!G44,'Water Use Calcs'!$I:$I,'End Uses'!I44,'Water Use Calcs'!$J:$J,'End Uses'!J44)</f>
        <v>0</v>
      </c>
      <c r="N44" s="580">
        <f t="shared" ca="1" si="4"/>
        <v>0</v>
      </c>
      <c r="O44" s="581" t="str">
        <f ca="1">IFERROR(N44/R42,"-")</f>
        <v>-</v>
      </c>
      <c r="P44" s="582"/>
      <c r="Q44" s="583"/>
      <c r="R44" s="584"/>
      <c r="S44" s="585">
        <f ca="1">SUMIFS('Water Use Calcs'!$W:$W,'Water Use Calcs'!$D:$D,'End Uses'!D44,'Water Use Calcs'!$G:$G,'End Uses'!G44,'Water Use Calcs'!$I:$I,'End Uses'!I44,'Water Use Calcs'!$J:$J,'End Uses'!J44)</f>
        <v>0</v>
      </c>
      <c r="T44" s="586">
        <f t="shared" ca="1" si="1"/>
        <v>0</v>
      </c>
      <c r="U44" s="581" t="str">
        <f ca="1">IFERROR(T44/X42,"-")</f>
        <v>-</v>
      </c>
      <c r="V44" s="582"/>
      <c r="W44" s="583"/>
      <c r="X44" s="584"/>
    </row>
    <row r="45" spans="3:24" x14ac:dyDescent="0.3">
      <c r="C45" s="576"/>
      <c r="D45" s="521" t="s">
        <v>1</v>
      </c>
      <c r="E45" s="521"/>
      <c r="F45" s="576"/>
      <c r="G45" s="494" t="s">
        <v>86</v>
      </c>
      <c r="H45" s="588" t="str">
        <f>I45</f>
        <v>Food Service</v>
      </c>
      <c r="I45" s="450" t="s">
        <v>38</v>
      </c>
      <c r="J45" s="589" t="s">
        <v>114</v>
      </c>
      <c r="K45" s="590" t="s">
        <v>118</v>
      </c>
      <c r="L45" s="591">
        <f>SUMIFS('Airport Statistics'!$G:$G,'Airport Statistics'!$D:$D,G45,'Airport Statistics'!$F:$F,K45)</f>
        <v>0</v>
      </c>
      <c r="M45" s="592">
        <f ca="1">SUMIFS('Water Use Calcs'!$V:$V,'Water Use Calcs'!$D:$D,'End Uses'!D45,'Water Use Calcs'!$G:$G,'End Uses'!G45,'Water Use Calcs'!$I:$I,'End Uses'!I45,'Water Use Calcs'!$J:$J,'End Uses'!J45)</f>
        <v>0</v>
      </c>
      <c r="N45" s="593">
        <f ca="1">L45*M45</f>
        <v>0</v>
      </c>
      <c r="O45" s="594" t="str">
        <f ca="1">IFERROR(N45/R42,"-")</f>
        <v>-</v>
      </c>
      <c r="P45" s="595">
        <f ca="1">SUMIFS($N:$N,$G:$G,G45,$I:$I,H45)</f>
        <v>0</v>
      </c>
      <c r="Q45" s="547" t="str">
        <f ca="1">IFERROR(P45/R42,"-")</f>
        <v>-</v>
      </c>
      <c r="R45" s="584"/>
      <c r="S45" s="596">
        <f ca="1">SUMIFS('Water Use Calcs'!$W:$W,'Water Use Calcs'!$D:$D,'End Uses'!D45,'Water Use Calcs'!$G:$G,'End Uses'!G45,'Water Use Calcs'!$I:$I,'End Uses'!I45,'Water Use Calcs'!$J:$J,'End Uses'!J45)</f>
        <v>0</v>
      </c>
      <c r="T45" s="597">
        <f t="shared" ca="1" si="1"/>
        <v>0</v>
      </c>
      <c r="U45" s="594" t="str">
        <f ca="1">IFERROR(T45/X42,"-")</f>
        <v>-</v>
      </c>
      <c r="V45" s="595">
        <f ca="1">SUMIFS($T:$T,$G:$G,G45,$I:$I,H45)</f>
        <v>0</v>
      </c>
      <c r="W45" s="547" t="str">
        <f ca="1">IFERROR(V45/X42,"-")</f>
        <v>-</v>
      </c>
      <c r="X45" s="584"/>
    </row>
    <row r="46" spans="3:24" x14ac:dyDescent="0.3">
      <c r="C46" s="576"/>
      <c r="D46" s="521" t="s">
        <v>1</v>
      </c>
      <c r="E46" s="521"/>
      <c r="F46" s="576"/>
      <c r="G46" s="521" t="s">
        <v>86</v>
      </c>
      <c r="H46" s="577"/>
      <c r="I46" s="224" t="s">
        <v>38</v>
      </c>
      <c r="J46" s="577" t="s">
        <v>127</v>
      </c>
      <c r="K46" s="598" t="s">
        <v>118</v>
      </c>
      <c r="L46" s="578">
        <f>SUMIFS('Airport Statistics'!$G:$G,'Airport Statistics'!$D:$D,G46,'Airport Statistics'!$F:$F,K46)</f>
        <v>0</v>
      </c>
      <c r="M46" s="579">
        <f ca="1">SUMIFS('Water Use Calcs'!$V:$V,'Water Use Calcs'!$D:$D,'End Uses'!D46,'Water Use Calcs'!$G:$G,'End Uses'!G46,'Water Use Calcs'!$I:$I,'End Uses'!I46,'Water Use Calcs'!$J:$J,'End Uses'!J46)</f>
        <v>0</v>
      </c>
      <c r="N46" s="580">
        <f ca="1">L46*M46</f>
        <v>0</v>
      </c>
      <c r="O46" s="581" t="str">
        <f ca="1">IFERROR(N46/R42,"-")</f>
        <v>-</v>
      </c>
      <c r="P46" s="582"/>
      <c r="Q46" s="548"/>
      <c r="R46" s="584"/>
      <c r="S46" s="585">
        <f ca="1">SUMIFS('Water Use Calcs'!$W:$W,'Water Use Calcs'!$D:$D,'End Uses'!D46,'Water Use Calcs'!$G:$G,'End Uses'!G46,'Water Use Calcs'!$I:$I,'End Uses'!I46,'Water Use Calcs'!$J:$J,'End Uses'!J46)</f>
        <v>0</v>
      </c>
      <c r="T46" s="586">
        <f t="shared" ca="1" si="1"/>
        <v>0</v>
      </c>
      <c r="U46" s="581" t="str">
        <f ca="1">IFERROR(T46/X42,"-")</f>
        <v>-</v>
      </c>
      <c r="V46" s="582"/>
      <c r="W46" s="548"/>
      <c r="X46" s="584"/>
    </row>
    <row r="47" spans="3:24" x14ac:dyDescent="0.3">
      <c r="C47" s="576"/>
      <c r="D47" s="521" t="s">
        <v>1</v>
      </c>
      <c r="E47" s="521"/>
      <c r="F47" s="576"/>
      <c r="G47" s="494" t="s">
        <v>86</v>
      </c>
      <c r="H47" s="577"/>
      <c r="I47" s="450" t="s">
        <v>38</v>
      </c>
      <c r="J47" s="577" t="s">
        <v>41</v>
      </c>
      <c r="K47" s="598" t="s">
        <v>118</v>
      </c>
      <c r="L47" s="578">
        <f>SUMIFS('Airport Statistics'!$G:$G,'Airport Statistics'!$D:$D,G47,'Airport Statistics'!$F:$F,K47)</f>
        <v>0</v>
      </c>
      <c r="M47" s="579">
        <f ca="1">SUMIFS('Water Use Calcs'!$V:$V,'Water Use Calcs'!$D:$D,'End Uses'!D47,'Water Use Calcs'!$G:$G,'End Uses'!G47,'Water Use Calcs'!$I:$I,'End Uses'!I47,'Water Use Calcs'!$J:$J,'End Uses'!J47)</f>
        <v>0</v>
      </c>
      <c r="N47" s="580">
        <f t="shared" ca="1" si="2"/>
        <v>0</v>
      </c>
      <c r="O47" s="581" t="str">
        <f ca="1">IFERROR(N47/R42,"-")</f>
        <v>-</v>
      </c>
      <c r="P47" s="404"/>
      <c r="Q47" s="548"/>
      <c r="R47" s="584"/>
      <c r="S47" s="585">
        <f ca="1">SUMIFS('Water Use Calcs'!$W:$W,'Water Use Calcs'!$D:$D,'End Uses'!D47,'Water Use Calcs'!$G:$G,'End Uses'!G47,'Water Use Calcs'!$I:$I,'End Uses'!I47,'Water Use Calcs'!$J:$J,'End Uses'!J47)</f>
        <v>0</v>
      </c>
      <c r="T47" s="586">
        <f t="shared" ca="1" si="1"/>
        <v>0</v>
      </c>
      <c r="U47" s="581" t="str">
        <f ca="1">IFERROR(T47/X42,"-")</f>
        <v>-</v>
      </c>
      <c r="V47" s="404"/>
      <c r="W47" s="548"/>
      <c r="X47" s="584"/>
    </row>
    <row r="48" spans="3:24" x14ac:dyDescent="0.3">
      <c r="C48" s="576"/>
      <c r="D48" s="521" t="s">
        <v>1</v>
      </c>
      <c r="E48" s="521"/>
      <c r="F48" s="576"/>
      <c r="G48" s="494" t="s">
        <v>86</v>
      </c>
      <c r="H48" s="577"/>
      <c r="I48" s="587" t="s">
        <v>38</v>
      </c>
      <c r="J48" s="577" t="s">
        <v>20</v>
      </c>
      <c r="K48" s="598" t="s">
        <v>118</v>
      </c>
      <c r="L48" s="578">
        <f>SUMIFS('Airport Statistics'!$G:$G,'Airport Statistics'!$D:$D,G48,'Airport Statistics'!$F:$F,K48)</f>
        <v>0</v>
      </c>
      <c r="M48" s="579">
        <f ca="1">SUMIFS('Water Use Calcs'!$V:$V,'Water Use Calcs'!$D:$D,'End Uses'!D48,'Water Use Calcs'!$G:$G,'End Uses'!G48,'Water Use Calcs'!$I:$I,'End Uses'!I48,'Water Use Calcs'!$J:$J,'End Uses'!J48)</f>
        <v>0</v>
      </c>
      <c r="N48" s="580">
        <f t="shared" ca="1" si="2"/>
        <v>0</v>
      </c>
      <c r="O48" s="581" t="str">
        <f ca="1">IFERROR(N48/R42,"-")</f>
        <v>-</v>
      </c>
      <c r="P48" s="404"/>
      <c r="Q48" s="548"/>
      <c r="R48" s="584"/>
      <c r="S48" s="585">
        <f ca="1">SUMIFS('Water Use Calcs'!$W:$W,'Water Use Calcs'!$D:$D,'End Uses'!D48,'Water Use Calcs'!$G:$G,'End Uses'!G48,'Water Use Calcs'!$I:$I,'End Uses'!I48,'Water Use Calcs'!$J:$J,'End Uses'!J48)</f>
        <v>0</v>
      </c>
      <c r="T48" s="586">
        <f t="shared" ca="1" si="1"/>
        <v>0</v>
      </c>
      <c r="U48" s="581" t="str">
        <f ca="1">IFERROR(T48/X42,"-")</f>
        <v>-</v>
      </c>
      <c r="V48" s="404"/>
      <c r="W48" s="548"/>
      <c r="X48" s="584"/>
    </row>
    <row r="49" spans="3:24" x14ac:dyDescent="0.3">
      <c r="C49" s="576"/>
      <c r="D49" s="521" t="s">
        <v>1</v>
      </c>
      <c r="E49" s="521"/>
      <c r="F49" s="576"/>
      <c r="G49" s="494" t="s">
        <v>86</v>
      </c>
      <c r="H49" s="588" t="str">
        <f>I49</f>
        <v>Landscaping</v>
      </c>
      <c r="I49" s="450" t="s">
        <v>39</v>
      </c>
      <c r="J49" s="589" t="s">
        <v>42</v>
      </c>
      <c r="K49" s="14" t="s">
        <v>120</v>
      </c>
      <c r="L49" s="591">
        <f>SUMIFS('Airport Statistics'!$G:$G,'Airport Statistics'!$D:$D,G49,'Airport Statistics'!$F:$F,K49)</f>
        <v>0</v>
      </c>
      <c r="M49" s="592">
        <f ca="1">SUMIFS('Water Use Calcs'!$V:$V,'Water Use Calcs'!$D:$D,'End Uses'!D49,'Water Use Calcs'!$G:$G,'End Uses'!G49,'Water Use Calcs'!$I:$I,'End Uses'!I49,'Water Use Calcs'!$J:$J,'End Uses'!J49)</f>
        <v>0</v>
      </c>
      <c r="N49" s="593">
        <f t="shared" ca="1" si="2"/>
        <v>0</v>
      </c>
      <c r="O49" s="594" t="str">
        <f ca="1">IFERROR(N49/R42,"-")</f>
        <v>-</v>
      </c>
      <c r="P49" s="595">
        <f ca="1">SUMIFS($N:$N,$G:$G,G49,$I:$I,H49)</f>
        <v>0</v>
      </c>
      <c r="Q49" s="547" t="str">
        <f ca="1">IFERROR(P49/R42,"-")</f>
        <v>-</v>
      </c>
      <c r="R49" s="584"/>
      <c r="S49" s="596">
        <f ca="1">SUMIFS('Water Use Calcs'!$W:$W,'Water Use Calcs'!$D:$D,'End Uses'!D49,'Water Use Calcs'!$G:$G,'End Uses'!G49,'Water Use Calcs'!$I:$I,'End Uses'!I49,'Water Use Calcs'!$J:$J,'End Uses'!J49)</f>
        <v>0</v>
      </c>
      <c r="T49" s="597">
        <f t="shared" ca="1" si="1"/>
        <v>0</v>
      </c>
      <c r="U49" s="594" t="str">
        <f ca="1">IFERROR(T49/X42,"-")</f>
        <v>-</v>
      </c>
      <c r="V49" s="595">
        <f ca="1">SUMIFS($T:$T,$G:$G,G49,$I:$I,H49)</f>
        <v>0</v>
      </c>
      <c r="W49" s="547" t="str">
        <f ca="1">IFERROR(V49/X42,"-")</f>
        <v>-</v>
      </c>
      <c r="X49" s="584"/>
    </row>
    <row r="50" spans="3:24" x14ac:dyDescent="0.3">
      <c r="C50" s="576"/>
      <c r="D50" s="521" t="s">
        <v>1</v>
      </c>
      <c r="E50" s="521"/>
      <c r="F50" s="576"/>
      <c r="G50" s="494" t="s">
        <v>86</v>
      </c>
      <c r="H50" s="588" t="str">
        <f>I50</f>
        <v>Maintenance</v>
      </c>
      <c r="I50" s="455" t="s">
        <v>43</v>
      </c>
      <c r="J50" s="17" t="s">
        <v>111</v>
      </c>
      <c r="K50" s="599" t="s">
        <v>424</v>
      </c>
      <c r="L50" s="591">
        <f>SUMIFS('Airport Statistics'!$G:$G,'Airport Statistics'!$D:$D,G50,'Airport Statistics'!$F:$F,K50)</f>
        <v>0</v>
      </c>
      <c r="M50" s="592">
        <f ca="1">SUMIFS('Water Use Calcs'!$V:$V,'Water Use Calcs'!$D:$D,'End Uses'!D50,'Water Use Calcs'!$G:$G,'End Uses'!G50,'Water Use Calcs'!$I:$I,'End Uses'!I50,'Water Use Calcs'!$J:$J,'End Uses'!J50)</f>
        <v>0</v>
      </c>
      <c r="N50" s="593">
        <f t="shared" ca="1" si="2"/>
        <v>0</v>
      </c>
      <c r="O50" s="594" t="str">
        <f ca="1">IFERROR(N50/R42,"-")</f>
        <v>-</v>
      </c>
      <c r="P50" s="595">
        <f ca="1">SUMIFS($N:$N,$G:$G,G50,$I:$I,H50)</f>
        <v>0</v>
      </c>
      <c r="Q50" s="547" t="str">
        <f ca="1">IFERROR(P50/R42,"-")</f>
        <v>-</v>
      </c>
      <c r="R50" s="584"/>
      <c r="S50" s="596">
        <f ca="1">SUMIFS('Water Use Calcs'!$W:$W,'Water Use Calcs'!$D:$D,'End Uses'!D50,'Water Use Calcs'!$G:$G,'End Uses'!G50,'Water Use Calcs'!$I:$I,'End Uses'!I50,'Water Use Calcs'!$J:$J,'End Uses'!J50)</f>
        <v>0</v>
      </c>
      <c r="T50" s="597">
        <f t="shared" ca="1" si="1"/>
        <v>0</v>
      </c>
      <c r="U50" s="594" t="str">
        <f ca="1">IFERROR(T50/X42,"-")</f>
        <v>-</v>
      </c>
      <c r="V50" s="595">
        <f ca="1">SUMIFS($T:$T,$G:$G,G50,$I:$I,H50)</f>
        <v>0</v>
      </c>
      <c r="W50" s="547" t="str">
        <f ca="1">IFERROR(V50/X42,"-")</f>
        <v>-</v>
      </c>
      <c r="X50" s="584"/>
    </row>
    <row r="51" spans="3:24" x14ac:dyDescent="0.3">
      <c r="C51" s="576"/>
      <c r="D51" s="521" t="s">
        <v>1</v>
      </c>
      <c r="E51" s="521"/>
      <c r="F51" s="576"/>
      <c r="G51" s="494" t="s">
        <v>86</v>
      </c>
      <c r="H51" s="577"/>
      <c r="I51" s="450" t="s">
        <v>43</v>
      </c>
      <c r="J51" s="577" t="s">
        <v>7</v>
      </c>
      <c r="K51" s="183" t="s">
        <v>365</v>
      </c>
      <c r="L51" s="600"/>
      <c r="M51" s="601">
        <f ca="1">SUMIFS('Water Use Calcs'!$V:$V,'Water Use Calcs'!$D:$D,'End Uses'!D51,'Water Use Calcs'!$G:$G,'End Uses'!G51,'Water Use Calcs'!$I:$I,'End Uses'!I51,'Water Use Calcs'!$J:$J,'End Uses'!J51)</f>
        <v>0</v>
      </c>
      <c r="N51" s="580">
        <f ca="1">M51</f>
        <v>0</v>
      </c>
      <c r="O51" s="581" t="str">
        <f ca="1">IFERROR(N51/R42,"-")</f>
        <v>-</v>
      </c>
      <c r="P51" s="404"/>
      <c r="Q51" s="548"/>
      <c r="R51" s="584"/>
      <c r="S51" s="585">
        <f ca="1">SUMIFS('Water Use Calcs'!$W:$W,'Water Use Calcs'!$D:$D,'End Uses'!D51,'Water Use Calcs'!$G:$G,'End Uses'!G51,'Water Use Calcs'!$I:$I,'End Uses'!I51,'Water Use Calcs'!$J:$J,'End Uses'!J51)</f>
        <v>0</v>
      </c>
      <c r="T51" s="586">
        <f ca="1">S51</f>
        <v>0</v>
      </c>
      <c r="U51" s="581" t="str">
        <f ca="1">IFERROR(T51/X42,"-")</f>
        <v>-</v>
      </c>
      <c r="V51" s="404"/>
      <c r="W51" s="548"/>
      <c r="X51" s="584"/>
    </row>
    <row r="52" spans="3:24" x14ac:dyDescent="0.3">
      <c r="C52" s="576"/>
      <c r="D52" s="521" t="s">
        <v>1</v>
      </c>
      <c r="E52" s="521"/>
      <c r="F52" s="576"/>
      <c r="G52" s="494" t="s">
        <v>86</v>
      </c>
      <c r="H52" s="577"/>
      <c r="I52" s="587" t="s">
        <v>43</v>
      </c>
      <c r="J52" s="577" t="s">
        <v>426</v>
      </c>
      <c r="K52" s="15" t="s">
        <v>117</v>
      </c>
      <c r="L52" s="578">
        <f>SUMIFS('Airport Statistics'!$G:$G,'Airport Statistics'!$D:$D,G52,'Airport Statistics'!$F:$F,K52)</f>
        <v>0</v>
      </c>
      <c r="M52" s="579">
        <f ca="1">SUMIFS('Water Use Calcs'!$V:$V,'Water Use Calcs'!$D:$D,'End Uses'!D52,'Water Use Calcs'!$G:$G,'End Uses'!G52,'Water Use Calcs'!$I:$I,'End Uses'!I52,'Water Use Calcs'!$J:$J,'End Uses'!J52)</f>
        <v>0</v>
      </c>
      <c r="N52" s="580">
        <f t="shared" ca="1" si="2"/>
        <v>0</v>
      </c>
      <c r="O52" s="581" t="str">
        <f ca="1">IFERROR(N52/R42,"-")</f>
        <v>-</v>
      </c>
      <c r="P52" s="404"/>
      <c r="Q52" s="548"/>
      <c r="R52" s="584"/>
      <c r="S52" s="585">
        <f ca="1">SUMIFS('Water Use Calcs'!$W:$W,'Water Use Calcs'!$D:$D,'End Uses'!D52,'Water Use Calcs'!$G:$G,'End Uses'!G52,'Water Use Calcs'!$I:$I,'End Uses'!I52,'Water Use Calcs'!$J:$J,'End Uses'!J52)</f>
        <v>0</v>
      </c>
      <c r="T52" s="586">
        <f t="shared" ca="1" si="1"/>
        <v>0</v>
      </c>
      <c r="U52" s="581" t="str">
        <f ca="1">IFERROR(T52/X42,"-")</f>
        <v>-</v>
      </c>
      <c r="V52" s="404"/>
      <c r="W52" s="548"/>
      <c r="X52" s="584"/>
    </row>
    <row r="53" spans="3:24" x14ac:dyDescent="0.3">
      <c r="C53" s="576"/>
      <c r="D53" s="521" t="s">
        <v>1</v>
      </c>
      <c r="E53" s="521"/>
      <c r="F53" s="576"/>
      <c r="G53" s="494" t="s">
        <v>86</v>
      </c>
      <c r="H53" s="588" t="str">
        <f>I53</f>
        <v>Other</v>
      </c>
      <c r="I53" s="450" t="s">
        <v>8</v>
      </c>
      <c r="J53" s="589" t="s">
        <v>52</v>
      </c>
      <c r="K53" s="602" t="s">
        <v>362</v>
      </c>
      <c r="L53" s="591">
        <f>SUMIFS('Airport Statistics'!$G:$G,'Airport Statistics'!$D:$D,G53,'Airport Statistics'!$F:$F,K53)</f>
        <v>0</v>
      </c>
      <c r="M53" s="592">
        <f ca="1">SUMIFS('Water Use Calcs'!$V:$V,'Water Use Calcs'!$D:$D,'End Uses'!D53,'Water Use Calcs'!$G:$G,'End Uses'!G53,'Water Use Calcs'!$I:$I,'End Uses'!I53,'Water Use Calcs'!$J:$J,'End Uses'!J53)</f>
        <v>0</v>
      </c>
      <c r="N53" s="593">
        <f ca="1">L53*M53</f>
        <v>0</v>
      </c>
      <c r="O53" s="603" t="str">
        <f ca="1">IFERROR(N53/R42,"-")</f>
        <v>-</v>
      </c>
      <c r="P53" s="595">
        <f ca="1">SUMIFS($N:$N,$G:$G,G53,$I:$I,H53)</f>
        <v>0</v>
      </c>
      <c r="Q53" s="549" t="str">
        <f ca="1">IFERROR(P53/R42,"-")</f>
        <v>-</v>
      </c>
      <c r="R53" s="584"/>
      <c r="S53" s="596">
        <f ca="1">SUMIFS('Water Use Calcs'!$W:$W,'Water Use Calcs'!$D:$D,'End Uses'!D53,'Water Use Calcs'!$G:$G,'End Uses'!G53,'Water Use Calcs'!$I:$I,'End Uses'!I53,'Water Use Calcs'!$J:$J,'End Uses'!J53)</f>
        <v>0</v>
      </c>
      <c r="T53" s="597">
        <f t="shared" ca="1" si="1"/>
        <v>0</v>
      </c>
      <c r="U53" s="594" t="str">
        <f ca="1">IFERROR(T53/X42,"-")</f>
        <v>-</v>
      </c>
      <c r="V53" s="595">
        <f ca="1">SUMIFS($T:$T,$G:$G,G53,$I:$I,H53)</f>
        <v>0</v>
      </c>
      <c r="W53" s="547" t="str">
        <f ca="1">IFERROR(V53/X42,"-")</f>
        <v>-</v>
      </c>
      <c r="X53" s="584"/>
    </row>
    <row r="54" spans="3:24" s="45" customFormat="1" ht="13.2" customHeight="1" x14ac:dyDescent="0.3">
      <c r="C54" s="576"/>
      <c r="D54" s="521" t="s">
        <v>1</v>
      </c>
      <c r="E54" s="521"/>
      <c r="F54" s="576"/>
      <c r="G54" s="494" t="s">
        <v>86</v>
      </c>
      <c r="H54" s="577"/>
      <c r="I54" s="450" t="s">
        <v>8</v>
      </c>
      <c r="J54" s="577" t="s">
        <v>53</v>
      </c>
      <c r="K54" s="439" t="s">
        <v>363</v>
      </c>
      <c r="L54" s="578">
        <f>SUMIFS('Airport Statistics'!$G:$G,'Airport Statistics'!$D:$D,G54,'Airport Statistics'!$F:$F,K54)</f>
        <v>0</v>
      </c>
      <c r="M54" s="579">
        <f ca="1">SUMIFS('Water Use Calcs'!$V:$V,'Water Use Calcs'!$D:$D,'End Uses'!D54,'Water Use Calcs'!$G:$G,'End Uses'!G54,'Water Use Calcs'!$I:$I,'End Uses'!I54,'Water Use Calcs'!$J:$J,'End Uses'!J54)</f>
        <v>0</v>
      </c>
      <c r="N54" s="580">
        <f ca="1">L54*M54</f>
        <v>0</v>
      </c>
      <c r="O54" s="604" t="str">
        <f ca="1">IFERROR(N54/R42,"-")</f>
        <v>-</v>
      </c>
      <c r="P54" s="404"/>
      <c r="Q54" s="583"/>
      <c r="R54" s="584"/>
      <c r="S54" s="585">
        <f ca="1">SUMIFS('Water Use Calcs'!$W:$W,'Water Use Calcs'!$D:$D,'End Uses'!D54,'Water Use Calcs'!$G:$G,'End Uses'!G54,'Water Use Calcs'!$I:$I,'End Uses'!I54,'Water Use Calcs'!$J:$J,'End Uses'!J54)</f>
        <v>0</v>
      </c>
      <c r="T54" s="586">
        <f t="shared" ca="1" si="1"/>
        <v>0</v>
      </c>
      <c r="U54" s="581" t="str">
        <f ca="1">IFERROR(T54/X42,"-")</f>
        <v>-</v>
      </c>
      <c r="V54" s="404"/>
      <c r="W54" s="583"/>
      <c r="X54" s="584"/>
    </row>
    <row r="55" spans="3:24" s="45" customFormat="1" ht="13.2" customHeight="1" thickBot="1" x14ac:dyDescent="0.35">
      <c r="C55" s="576"/>
      <c r="D55" s="521" t="s">
        <v>1</v>
      </c>
      <c r="E55" s="521"/>
      <c r="F55" s="576"/>
      <c r="G55" s="501" t="s">
        <v>86</v>
      </c>
      <c r="H55" s="116"/>
      <c r="I55" s="451" t="s">
        <v>8</v>
      </c>
      <c r="J55" s="116" t="s">
        <v>54</v>
      </c>
      <c r="K55" s="606" t="s">
        <v>364</v>
      </c>
      <c r="L55" s="607">
        <f>SUMIFS('Airport Statistics'!$G:$G,'Airport Statistics'!$D:$D,G55,'Airport Statistics'!$F:$F,K55)</f>
        <v>0</v>
      </c>
      <c r="M55" s="608">
        <f ca="1">SUMIFS('Water Use Calcs'!$V:$V,'Water Use Calcs'!$D:$D,'End Uses'!D55,'Water Use Calcs'!$G:$G,'End Uses'!G55,'Water Use Calcs'!$I:$I,'End Uses'!I55,'Water Use Calcs'!$J:$J,'End Uses'!J55)</f>
        <v>0</v>
      </c>
      <c r="N55" s="609">
        <f ca="1">L55*M55</f>
        <v>0</v>
      </c>
      <c r="O55" s="610" t="str">
        <f ca="1">IFERROR(N55/R42,"-")</f>
        <v>-</v>
      </c>
      <c r="P55" s="611"/>
      <c r="Q55" s="612"/>
      <c r="R55" s="613"/>
      <c r="S55" s="614">
        <f ca="1">SUMIFS('Water Use Calcs'!$W:$W,'Water Use Calcs'!$D:$D,'End Uses'!D55,'Water Use Calcs'!$G:$G,'End Uses'!G55,'Water Use Calcs'!$I:$I,'End Uses'!I55,'Water Use Calcs'!$J:$J,'End Uses'!J55)</f>
        <v>0</v>
      </c>
      <c r="T55" s="615">
        <f t="shared" ca="1" si="1"/>
        <v>0</v>
      </c>
      <c r="U55" s="616" t="str">
        <f ca="1">IFERROR(T55/X42,"-")</f>
        <v>-</v>
      </c>
      <c r="V55" s="611"/>
      <c r="W55" s="612"/>
      <c r="X55" s="613"/>
    </row>
    <row r="56" spans="3:24" s="45" customFormat="1" ht="13.2" customHeight="1" x14ac:dyDescent="0.3">
      <c r="C56" s="576"/>
      <c r="D56" s="521" t="s">
        <v>1</v>
      </c>
      <c r="E56" s="617" t="str">
        <f>G56</f>
        <v>Terminal D</v>
      </c>
      <c r="F56" s="565" t="str">
        <f>VLOOKUP(E56,'Airport Mapping'!$C$5:$D$39,2,FALSE)</f>
        <v xml:space="preserve"> </v>
      </c>
      <c r="G56" s="566" t="s">
        <v>87</v>
      </c>
      <c r="H56" s="564" t="str">
        <f>I56</f>
        <v>Restrooms</v>
      </c>
      <c r="I56" s="450" t="s">
        <v>37</v>
      </c>
      <c r="J56" s="567" t="s">
        <v>2</v>
      </c>
      <c r="K56" s="52" t="s">
        <v>117</v>
      </c>
      <c r="L56" s="568">
        <f>SUMIFS('Airport Statistics'!$G:$G,'Airport Statistics'!$D:$D,G56,'Airport Statistics'!$F:$F,K56)</f>
        <v>0</v>
      </c>
      <c r="M56" s="569">
        <f ca="1">SUMIFS('Water Use Calcs'!$V:$V,'Water Use Calcs'!$D:$D,'End Uses'!D56,'Water Use Calcs'!$G:$G,'End Uses'!G56,'Water Use Calcs'!$I:$I,'End Uses'!I56,'Water Use Calcs'!$J:$J,'End Uses'!J56)</f>
        <v>0</v>
      </c>
      <c r="N56" s="570">
        <f t="shared" ref="N56:N58" ca="1" si="5">L56*M56</f>
        <v>0</v>
      </c>
      <c r="O56" s="571" t="str">
        <f ca="1">IFERROR(N56/R56,"-")</f>
        <v>-</v>
      </c>
      <c r="P56" s="572">
        <f ca="1">SUMIFS($N:$N,$G:$G,G56,$I:$I,H56)</f>
        <v>0</v>
      </c>
      <c r="Q56" s="546" t="str">
        <f ca="1">IFERROR(P56/R56,"-")</f>
        <v>-</v>
      </c>
      <c r="R56" s="573">
        <f ca="1">SUMIFS($N:$N,$G:$G,G56)</f>
        <v>0</v>
      </c>
      <c r="S56" s="574">
        <f ca="1">SUMIFS('Water Use Calcs'!$W:$W,'Water Use Calcs'!$D:$D,'End Uses'!D56,'Water Use Calcs'!$G:$G,'End Uses'!G56,'Water Use Calcs'!$I:$I,'End Uses'!I56,'Water Use Calcs'!$J:$J,'End Uses'!J56)</f>
        <v>0</v>
      </c>
      <c r="T56" s="575">
        <f t="shared" ca="1" si="1"/>
        <v>0</v>
      </c>
      <c r="U56" s="571" t="str">
        <f ca="1">IFERROR(T56/X56,"-")</f>
        <v>-</v>
      </c>
      <c r="V56" s="572">
        <f ca="1">SUMIFS($T:$T,$G:$G,G56,$I:$I,H56)</f>
        <v>0</v>
      </c>
      <c r="W56" s="546" t="str">
        <f ca="1">IFERROR(V56/X56,"-")</f>
        <v>-</v>
      </c>
      <c r="X56" s="573">
        <f ca="1">SUMIFS($T:$T,$G:$G,G56)</f>
        <v>0</v>
      </c>
    </row>
    <row r="57" spans="3:24" x14ac:dyDescent="0.3">
      <c r="C57" s="576"/>
      <c r="D57" s="521" t="s">
        <v>1</v>
      </c>
      <c r="E57" s="521"/>
      <c r="F57" s="576"/>
      <c r="G57" s="494" t="s">
        <v>87</v>
      </c>
      <c r="H57" s="577"/>
      <c r="I57" s="450" t="s">
        <v>37</v>
      </c>
      <c r="J57" s="577" t="s">
        <v>4</v>
      </c>
      <c r="K57" s="15" t="s">
        <v>117</v>
      </c>
      <c r="L57" s="578">
        <f>SUMIFS('Airport Statistics'!$G:$G,'Airport Statistics'!$D:$D,G57,'Airport Statistics'!$F:$F,K57)</f>
        <v>0</v>
      </c>
      <c r="M57" s="579">
        <f ca="1">SUMIFS('Water Use Calcs'!$V:$V,'Water Use Calcs'!$D:$D,'End Uses'!D57,'Water Use Calcs'!$G:$G,'End Uses'!G57,'Water Use Calcs'!$I:$I,'End Uses'!I57,'Water Use Calcs'!$J:$J,'End Uses'!J57)</f>
        <v>0</v>
      </c>
      <c r="N57" s="580">
        <f t="shared" ca="1" si="5"/>
        <v>0</v>
      </c>
      <c r="O57" s="581" t="str">
        <f ca="1">IFERROR(N57/R56,"-")</f>
        <v>-</v>
      </c>
      <c r="P57" s="582"/>
      <c r="Q57" s="583"/>
      <c r="R57" s="584"/>
      <c r="S57" s="585">
        <f ca="1">SUMIFS('Water Use Calcs'!$W:$W,'Water Use Calcs'!$D:$D,'End Uses'!D57,'Water Use Calcs'!$G:$G,'End Uses'!G57,'Water Use Calcs'!$I:$I,'End Uses'!I57,'Water Use Calcs'!$J:$J,'End Uses'!J57)</f>
        <v>0</v>
      </c>
      <c r="T57" s="586">
        <f t="shared" ca="1" si="1"/>
        <v>0</v>
      </c>
      <c r="U57" s="581" t="str">
        <f ca="1">IFERROR(T57/X56,"-")</f>
        <v>-</v>
      </c>
      <c r="V57" s="582"/>
      <c r="W57" s="583"/>
      <c r="X57" s="584"/>
    </row>
    <row r="58" spans="3:24" x14ac:dyDescent="0.3">
      <c r="C58" s="576"/>
      <c r="D58" s="521" t="s">
        <v>1</v>
      </c>
      <c r="E58" s="521"/>
      <c r="F58" s="576"/>
      <c r="G58" s="494" t="s">
        <v>87</v>
      </c>
      <c r="H58" s="577"/>
      <c r="I58" s="587" t="s">
        <v>37</v>
      </c>
      <c r="J58" s="577" t="s">
        <v>33</v>
      </c>
      <c r="K58" s="15" t="s">
        <v>117</v>
      </c>
      <c r="L58" s="578">
        <f>SUMIFS('Airport Statistics'!$G:$G,'Airport Statistics'!$D:$D,G58,'Airport Statistics'!$F:$F,K58)</f>
        <v>0</v>
      </c>
      <c r="M58" s="579">
        <f ca="1">SUMIFS('Water Use Calcs'!$V:$V,'Water Use Calcs'!$D:$D,'End Uses'!D58,'Water Use Calcs'!$G:$G,'End Uses'!G58,'Water Use Calcs'!$I:$I,'End Uses'!I58,'Water Use Calcs'!$J:$J,'End Uses'!J58)</f>
        <v>0</v>
      </c>
      <c r="N58" s="580">
        <f t="shared" ca="1" si="5"/>
        <v>0</v>
      </c>
      <c r="O58" s="581" t="str">
        <f ca="1">IFERROR(N58/R56,"-")</f>
        <v>-</v>
      </c>
      <c r="P58" s="582"/>
      <c r="Q58" s="583"/>
      <c r="R58" s="584"/>
      <c r="S58" s="585">
        <f ca="1">SUMIFS('Water Use Calcs'!$W:$W,'Water Use Calcs'!$D:$D,'End Uses'!D58,'Water Use Calcs'!$G:$G,'End Uses'!G58,'Water Use Calcs'!$I:$I,'End Uses'!I58,'Water Use Calcs'!$J:$J,'End Uses'!J58)</f>
        <v>0</v>
      </c>
      <c r="T58" s="586">
        <f t="shared" ca="1" si="1"/>
        <v>0</v>
      </c>
      <c r="U58" s="581" t="str">
        <f ca="1">IFERROR(T58/X56,"-")</f>
        <v>-</v>
      </c>
      <c r="V58" s="582"/>
      <c r="W58" s="583"/>
      <c r="X58" s="584"/>
    </row>
    <row r="59" spans="3:24" x14ac:dyDescent="0.3">
      <c r="C59" s="576"/>
      <c r="D59" s="521" t="s">
        <v>1</v>
      </c>
      <c r="E59" s="521"/>
      <c r="F59" s="576"/>
      <c r="G59" s="494" t="s">
        <v>87</v>
      </c>
      <c r="H59" s="588" t="str">
        <f>I59</f>
        <v>Food Service</v>
      </c>
      <c r="I59" s="450" t="s">
        <v>38</v>
      </c>
      <c r="J59" s="589" t="s">
        <v>114</v>
      </c>
      <c r="K59" s="590" t="s">
        <v>118</v>
      </c>
      <c r="L59" s="591">
        <f>SUMIFS('Airport Statistics'!$G:$G,'Airport Statistics'!$D:$D,G59,'Airport Statistics'!$F:$F,K59)</f>
        <v>0</v>
      </c>
      <c r="M59" s="592">
        <f ca="1">SUMIFS('Water Use Calcs'!$V:$V,'Water Use Calcs'!$D:$D,'End Uses'!D59,'Water Use Calcs'!$G:$G,'End Uses'!G59,'Water Use Calcs'!$I:$I,'End Uses'!I59,'Water Use Calcs'!$J:$J,'End Uses'!J59)</f>
        <v>0</v>
      </c>
      <c r="N59" s="593">
        <f ca="1">L59*M59</f>
        <v>0</v>
      </c>
      <c r="O59" s="594" t="str">
        <f ca="1">IFERROR(N59/R56,"-")</f>
        <v>-</v>
      </c>
      <c r="P59" s="595">
        <f ca="1">SUMIFS($N:$N,$G:$G,G59,$I:$I,H59)</f>
        <v>0</v>
      </c>
      <c r="Q59" s="547" t="str">
        <f ca="1">IFERROR(P59/R56,"-")</f>
        <v>-</v>
      </c>
      <c r="R59" s="584"/>
      <c r="S59" s="596">
        <f ca="1">SUMIFS('Water Use Calcs'!$W:$W,'Water Use Calcs'!$D:$D,'End Uses'!D59,'Water Use Calcs'!$G:$G,'End Uses'!G59,'Water Use Calcs'!$I:$I,'End Uses'!I59,'Water Use Calcs'!$J:$J,'End Uses'!J59)</f>
        <v>0</v>
      </c>
      <c r="T59" s="597">
        <f t="shared" ca="1" si="1"/>
        <v>0</v>
      </c>
      <c r="U59" s="594" t="str">
        <f ca="1">IFERROR(T59/X56,"-")</f>
        <v>-</v>
      </c>
      <c r="V59" s="595">
        <f ca="1">SUMIFS($T:$T,$G:$G,G59,$I:$I,H59)</f>
        <v>0</v>
      </c>
      <c r="W59" s="547" t="str">
        <f ca="1">IFERROR(V59/X56,"-")</f>
        <v>-</v>
      </c>
      <c r="X59" s="584"/>
    </row>
    <row r="60" spans="3:24" x14ac:dyDescent="0.3">
      <c r="C60" s="576"/>
      <c r="D60" s="521" t="s">
        <v>1</v>
      </c>
      <c r="E60" s="521"/>
      <c r="F60" s="576"/>
      <c r="G60" s="521" t="s">
        <v>87</v>
      </c>
      <c r="H60" s="577"/>
      <c r="I60" s="224" t="s">
        <v>38</v>
      </c>
      <c r="J60" s="577" t="s">
        <v>127</v>
      </c>
      <c r="K60" s="598" t="s">
        <v>118</v>
      </c>
      <c r="L60" s="578">
        <f>SUMIFS('Airport Statistics'!$G:$G,'Airport Statistics'!$D:$D,G60,'Airport Statistics'!$F:$F,K60)</f>
        <v>0</v>
      </c>
      <c r="M60" s="579">
        <f ca="1">SUMIFS('Water Use Calcs'!$V:$V,'Water Use Calcs'!$D:$D,'End Uses'!D60,'Water Use Calcs'!$G:$G,'End Uses'!G60,'Water Use Calcs'!$I:$I,'End Uses'!I60,'Water Use Calcs'!$J:$J,'End Uses'!J60)</f>
        <v>0</v>
      </c>
      <c r="N60" s="580">
        <f ca="1">L60*M60</f>
        <v>0</v>
      </c>
      <c r="O60" s="581" t="str">
        <f ca="1">IFERROR(N60/R56,"-")</f>
        <v>-</v>
      </c>
      <c r="P60" s="582"/>
      <c r="Q60" s="548"/>
      <c r="R60" s="584"/>
      <c r="S60" s="585">
        <f ca="1">SUMIFS('Water Use Calcs'!$W:$W,'Water Use Calcs'!$D:$D,'End Uses'!D60,'Water Use Calcs'!$G:$G,'End Uses'!G60,'Water Use Calcs'!$I:$I,'End Uses'!I60,'Water Use Calcs'!$J:$J,'End Uses'!J60)</f>
        <v>0</v>
      </c>
      <c r="T60" s="586">
        <f t="shared" ca="1" si="1"/>
        <v>0</v>
      </c>
      <c r="U60" s="581" t="str">
        <f ca="1">IFERROR(T60/X56,"-")</f>
        <v>-</v>
      </c>
      <c r="V60" s="582"/>
      <c r="W60" s="548"/>
      <c r="X60" s="584"/>
    </row>
    <row r="61" spans="3:24" x14ac:dyDescent="0.3">
      <c r="C61" s="576"/>
      <c r="D61" s="521" t="s">
        <v>1</v>
      </c>
      <c r="E61" s="521"/>
      <c r="F61" s="576"/>
      <c r="G61" s="494" t="s">
        <v>87</v>
      </c>
      <c r="H61" s="577"/>
      <c r="I61" s="450" t="s">
        <v>38</v>
      </c>
      <c r="J61" s="577" t="s">
        <v>41</v>
      </c>
      <c r="K61" s="598" t="s">
        <v>118</v>
      </c>
      <c r="L61" s="578">
        <f>SUMIFS('Airport Statistics'!$G:$G,'Airport Statistics'!$D:$D,G61,'Airport Statistics'!$F:$F,K61)</f>
        <v>0</v>
      </c>
      <c r="M61" s="579">
        <f ca="1">SUMIFS('Water Use Calcs'!$V:$V,'Water Use Calcs'!$D:$D,'End Uses'!D61,'Water Use Calcs'!$G:$G,'End Uses'!G61,'Water Use Calcs'!$I:$I,'End Uses'!I61,'Water Use Calcs'!$J:$J,'End Uses'!J61)</f>
        <v>0</v>
      </c>
      <c r="N61" s="580">
        <f t="shared" ca="1" si="2"/>
        <v>0</v>
      </c>
      <c r="O61" s="581" t="str">
        <f ca="1">IFERROR(N61/R56,"-")</f>
        <v>-</v>
      </c>
      <c r="P61" s="404"/>
      <c r="Q61" s="548"/>
      <c r="R61" s="584"/>
      <c r="S61" s="585">
        <f ca="1">SUMIFS('Water Use Calcs'!$W:$W,'Water Use Calcs'!$D:$D,'End Uses'!D61,'Water Use Calcs'!$G:$G,'End Uses'!G61,'Water Use Calcs'!$I:$I,'End Uses'!I61,'Water Use Calcs'!$J:$J,'End Uses'!J61)</f>
        <v>0</v>
      </c>
      <c r="T61" s="586">
        <f t="shared" ca="1" si="1"/>
        <v>0</v>
      </c>
      <c r="U61" s="581" t="str">
        <f ca="1">IFERROR(T61/X56,"-")</f>
        <v>-</v>
      </c>
      <c r="V61" s="404"/>
      <c r="W61" s="548"/>
      <c r="X61" s="584"/>
    </row>
    <row r="62" spans="3:24" x14ac:dyDescent="0.3">
      <c r="C62" s="576"/>
      <c r="D62" s="521" t="s">
        <v>1</v>
      </c>
      <c r="E62" s="521"/>
      <c r="F62" s="576"/>
      <c r="G62" s="494" t="s">
        <v>87</v>
      </c>
      <c r="H62" s="577"/>
      <c r="I62" s="587" t="s">
        <v>38</v>
      </c>
      <c r="J62" s="577" t="s">
        <v>20</v>
      </c>
      <c r="K62" s="598" t="s">
        <v>118</v>
      </c>
      <c r="L62" s="578">
        <f>SUMIFS('Airport Statistics'!$G:$G,'Airport Statistics'!$D:$D,G62,'Airport Statistics'!$F:$F,K62)</f>
        <v>0</v>
      </c>
      <c r="M62" s="579">
        <f ca="1">SUMIFS('Water Use Calcs'!$V:$V,'Water Use Calcs'!$D:$D,'End Uses'!D62,'Water Use Calcs'!$G:$G,'End Uses'!G62,'Water Use Calcs'!$I:$I,'End Uses'!I62,'Water Use Calcs'!$J:$J,'End Uses'!J62)</f>
        <v>0</v>
      </c>
      <c r="N62" s="580">
        <f t="shared" ca="1" si="2"/>
        <v>0</v>
      </c>
      <c r="O62" s="581" t="str">
        <f ca="1">IFERROR(N62/R56,"-")</f>
        <v>-</v>
      </c>
      <c r="P62" s="404"/>
      <c r="Q62" s="548"/>
      <c r="R62" s="584"/>
      <c r="S62" s="585">
        <f ca="1">SUMIFS('Water Use Calcs'!$W:$W,'Water Use Calcs'!$D:$D,'End Uses'!D62,'Water Use Calcs'!$G:$G,'End Uses'!G62,'Water Use Calcs'!$I:$I,'End Uses'!I62,'Water Use Calcs'!$J:$J,'End Uses'!J62)</f>
        <v>0</v>
      </c>
      <c r="T62" s="586">
        <f t="shared" ca="1" si="1"/>
        <v>0</v>
      </c>
      <c r="U62" s="581" t="str">
        <f ca="1">IFERROR(T62/X56,"-")</f>
        <v>-</v>
      </c>
      <c r="V62" s="404"/>
      <c r="W62" s="548"/>
      <c r="X62" s="584"/>
    </row>
    <row r="63" spans="3:24" x14ac:dyDescent="0.3">
      <c r="C63" s="576"/>
      <c r="D63" s="521" t="s">
        <v>1</v>
      </c>
      <c r="E63" s="521"/>
      <c r="F63" s="576"/>
      <c r="G63" s="494" t="s">
        <v>87</v>
      </c>
      <c r="H63" s="588" t="str">
        <f>I63</f>
        <v>Landscaping</v>
      </c>
      <c r="I63" s="450" t="s">
        <v>39</v>
      </c>
      <c r="J63" s="589" t="s">
        <v>42</v>
      </c>
      <c r="K63" s="14" t="s">
        <v>120</v>
      </c>
      <c r="L63" s="591">
        <f>SUMIFS('Airport Statistics'!$G:$G,'Airport Statistics'!$D:$D,G63,'Airport Statistics'!$F:$F,K63)</f>
        <v>0</v>
      </c>
      <c r="M63" s="592">
        <f ca="1">SUMIFS('Water Use Calcs'!$V:$V,'Water Use Calcs'!$D:$D,'End Uses'!D63,'Water Use Calcs'!$G:$G,'End Uses'!G63,'Water Use Calcs'!$I:$I,'End Uses'!I63,'Water Use Calcs'!$J:$J,'End Uses'!J63)</f>
        <v>0</v>
      </c>
      <c r="N63" s="593">
        <f t="shared" ca="1" si="2"/>
        <v>0</v>
      </c>
      <c r="O63" s="594" t="str">
        <f ca="1">IFERROR(N63/R56,"-")</f>
        <v>-</v>
      </c>
      <c r="P63" s="595">
        <f ca="1">SUMIFS($N:$N,$G:$G,G63,$I:$I,H63)</f>
        <v>0</v>
      </c>
      <c r="Q63" s="547" t="str">
        <f ca="1">IFERROR(P63/R56,"-")</f>
        <v>-</v>
      </c>
      <c r="R63" s="584"/>
      <c r="S63" s="596">
        <f ca="1">SUMIFS('Water Use Calcs'!$W:$W,'Water Use Calcs'!$D:$D,'End Uses'!D63,'Water Use Calcs'!$G:$G,'End Uses'!G63,'Water Use Calcs'!$I:$I,'End Uses'!I63,'Water Use Calcs'!$J:$J,'End Uses'!J63)</f>
        <v>0</v>
      </c>
      <c r="T63" s="597">
        <f t="shared" ca="1" si="1"/>
        <v>0</v>
      </c>
      <c r="U63" s="594" t="str">
        <f ca="1">IFERROR(T63/X56,"-")</f>
        <v>-</v>
      </c>
      <c r="V63" s="595">
        <f ca="1">SUMIFS($T:$T,$G:$G,G63,$I:$I,H63)</f>
        <v>0</v>
      </c>
      <c r="W63" s="547" t="str">
        <f ca="1">IFERROR(V63/X56,"-")</f>
        <v>-</v>
      </c>
      <c r="X63" s="584"/>
    </row>
    <row r="64" spans="3:24" x14ac:dyDescent="0.3">
      <c r="C64" s="576"/>
      <c r="D64" s="521" t="s">
        <v>1</v>
      </c>
      <c r="E64" s="521"/>
      <c r="F64" s="576"/>
      <c r="G64" s="494" t="s">
        <v>87</v>
      </c>
      <c r="H64" s="588" t="str">
        <f>I64</f>
        <v>Maintenance</v>
      </c>
      <c r="I64" s="455" t="s">
        <v>43</v>
      </c>
      <c r="J64" s="17" t="s">
        <v>111</v>
      </c>
      <c r="K64" s="599" t="s">
        <v>424</v>
      </c>
      <c r="L64" s="591">
        <f>SUMIFS('Airport Statistics'!$G:$G,'Airport Statistics'!$D:$D,G64,'Airport Statistics'!$F:$F,K64)</f>
        <v>0</v>
      </c>
      <c r="M64" s="592">
        <f ca="1">SUMIFS('Water Use Calcs'!$V:$V,'Water Use Calcs'!$D:$D,'End Uses'!D64,'Water Use Calcs'!$G:$G,'End Uses'!G64,'Water Use Calcs'!$I:$I,'End Uses'!I64,'Water Use Calcs'!$J:$J,'End Uses'!J64)</f>
        <v>0</v>
      </c>
      <c r="N64" s="593">
        <f t="shared" ca="1" si="2"/>
        <v>0</v>
      </c>
      <c r="O64" s="594" t="str">
        <f ca="1">IFERROR(N64/R56,"-")</f>
        <v>-</v>
      </c>
      <c r="P64" s="595">
        <f ca="1">SUMIFS($N:$N,$G:$G,G64,$I:$I,H64)</f>
        <v>0</v>
      </c>
      <c r="Q64" s="547" t="str">
        <f ca="1">IFERROR(P64/R56,"-")</f>
        <v>-</v>
      </c>
      <c r="R64" s="584"/>
      <c r="S64" s="596">
        <f ca="1">SUMIFS('Water Use Calcs'!$W:$W,'Water Use Calcs'!$D:$D,'End Uses'!D64,'Water Use Calcs'!$G:$G,'End Uses'!G64,'Water Use Calcs'!$I:$I,'End Uses'!I64,'Water Use Calcs'!$J:$J,'End Uses'!J64)</f>
        <v>0</v>
      </c>
      <c r="T64" s="597">
        <f t="shared" ca="1" si="1"/>
        <v>0</v>
      </c>
      <c r="U64" s="594" t="str">
        <f ca="1">IFERROR(T64/X56,"-")</f>
        <v>-</v>
      </c>
      <c r="V64" s="595">
        <f ca="1">SUMIFS($T:$T,$G:$G,G64,$I:$I,H64)</f>
        <v>0</v>
      </c>
      <c r="W64" s="547" t="str">
        <f ca="1">IFERROR(V64/X56,"-")</f>
        <v>-</v>
      </c>
      <c r="X64" s="584"/>
    </row>
    <row r="65" spans="3:24" x14ac:dyDescent="0.3">
      <c r="C65" s="576"/>
      <c r="D65" s="521" t="s">
        <v>1</v>
      </c>
      <c r="E65" s="521"/>
      <c r="F65" s="576"/>
      <c r="G65" s="494" t="s">
        <v>87</v>
      </c>
      <c r="H65" s="577"/>
      <c r="I65" s="450" t="s">
        <v>43</v>
      </c>
      <c r="J65" s="577" t="s">
        <v>7</v>
      </c>
      <c r="K65" s="183" t="s">
        <v>365</v>
      </c>
      <c r="L65" s="600"/>
      <c r="M65" s="601">
        <f ca="1">SUMIFS('Water Use Calcs'!$V:$V,'Water Use Calcs'!$D:$D,'End Uses'!D65,'Water Use Calcs'!$G:$G,'End Uses'!G65,'Water Use Calcs'!$I:$I,'End Uses'!I65,'Water Use Calcs'!$J:$J,'End Uses'!J65)</f>
        <v>0</v>
      </c>
      <c r="N65" s="580">
        <f ca="1">M65</f>
        <v>0</v>
      </c>
      <c r="O65" s="581" t="str">
        <f ca="1">IFERROR(N65/R56,"-")</f>
        <v>-</v>
      </c>
      <c r="P65" s="404"/>
      <c r="Q65" s="548"/>
      <c r="R65" s="584"/>
      <c r="S65" s="585">
        <f ca="1">SUMIFS('Water Use Calcs'!$W:$W,'Water Use Calcs'!$D:$D,'End Uses'!D65,'Water Use Calcs'!$G:$G,'End Uses'!G65,'Water Use Calcs'!$I:$I,'End Uses'!I65,'Water Use Calcs'!$J:$J,'End Uses'!J65)</f>
        <v>0</v>
      </c>
      <c r="T65" s="586">
        <f ca="1">S65</f>
        <v>0</v>
      </c>
      <c r="U65" s="581" t="str">
        <f ca="1">IFERROR(T65/X56,"-")</f>
        <v>-</v>
      </c>
      <c r="V65" s="404"/>
      <c r="W65" s="548"/>
      <c r="X65" s="584"/>
    </row>
    <row r="66" spans="3:24" x14ac:dyDescent="0.3">
      <c r="C66" s="576"/>
      <c r="D66" s="521" t="s">
        <v>1</v>
      </c>
      <c r="E66" s="521"/>
      <c r="F66" s="576"/>
      <c r="G66" s="494" t="s">
        <v>87</v>
      </c>
      <c r="H66" s="577"/>
      <c r="I66" s="587" t="s">
        <v>43</v>
      </c>
      <c r="J66" s="577" t="s">
        <v>426</v>
      </c>
      <c r="K66" s="15" t="s">
        <v>117</v>
      </c>
      <c r="L66" s="578">
        <f>SUMIFS('Airport Statistics'!$G:$G,'Airport Statistics'!$D:$D,G66,'Airport Statistics'!$F:$F,K66)</f>
        <v>0</v>
      </c>
      <c r="M66" s="579">
        <f ca="1">SUMIFS('Water Use Calcs'!$V:$V,'Water Use Calcs'!$D:$D,'End Uses'!D66,'Water Use Calcs'!$G:$G,'End Uses'!G66,'Water Use Calcs'!$I:$I,'End Uses'!I66,'Water Use Calcs'!$J:$J,'End Uses'!J66)</f>
        <v>0</v>
      </c>
      <c r="N66" s="580">
        <f t="shared" ca="1" si="2"/>
        <v>0</v>
      </c>
      <c r="O66" s="581" t="str">
        <f ca="1">IFERROR(N66/R56,"-")</f>
        <v>-</v>
      </c>
      <c r="P66" s="404"/>
      <c r="Q66" s="548"/>
      <c r="R66" s="584"/>
      <c r="S66" s="585">
        <f ca="1">SUMIFS('Water Use Calcs'!$W:$W,'Water Use Calcs'!$D:$D,'End Uses'!D66,'Water Use Calcs'!$G:$G,'End Uses'!G66,'Water Use Calcs'!$I:$I,'End Uses'!I66,'Water Use Calcs'!$J:$J,'End Uses'!J66)</f>
        <v>0</v>
      </c>
      <c r="T66" s="586">
        <f t="shared" ca="1" si="1"/>
        <v>0</v>
      </c>
      <c r="U66" s="581" t="str">
        <f ca="1">IFERROR(T66/X56,"-")</f>
        <v>-</v>
      </c>
      <c r="V66" s="404"/>
      <c r="W66" s="548"/>
      <c r="X66" s="584"/>
    </row>
    <row r="67" spans="3:24" x14ac:dyDescent="0.3">
      <c r="C67" s="576"/>
      <c r="D67" s="521" t="s">
        <v>1</v>
      </c>
      <c r="E67" s="521"/>
      <c r="F67" s="576"/>
      <c r="G67" s="494" t="s">
        <v>87</v>
      </c>
      <c r="H67" s="588" t="str">
        <f>I67</f>
        <v>Other</v>
      </c>
      <c r="I67" s="450" t="s">
        <v>8</v>
      </c>
      <c r="J67" s="589" t="s">
        <v>52</v>
      </c>
      <c r="K67" s="602" t="s">
        <v>362</v>
      </c>
      <c r="L67" s="591">
        <f>SUMIFS('Airport Statistics'!$G:$G,'Airport Statistics'!$D:$D,G67,'Airport Statistics'!$F:$F,K67)</f>
        <v>0</v>
      </c>
      <c r="M67" s="592">
        <f ca="1">SUMIFS('Water Use Calcs'!$V:$V,'Water Use Calcs'!$D:$D,'End Uses'!D67,'Water Use Calcs'!$G:$G,'End Uses'!G67,'Water Use Calcs'!$I:$I,'End Uses'!I67,'Water Use Calcs'!$J:$J,'End Uses'!J67)</f>
        <v>0</v>
      </c>
      <c r="N67" s="593">
        <f ca="1">L67*M67</f>
        <v>0</v>
      </c>
      <c r="O67" s="603" t="str">
        <f ca="1">IFERROR(N67/R56,"-")</f>
        <v>-</v>
      </c>
      <c r="P67" s="595">
        <f ca="1">SUMIFS($N:$N,$G:$G,G67,$I:$I,H67)</f>
        <v>0</v>
      </c>
      <c r="Q67" s="549" t="str">
        <f ca="1">IFERROR(P67/R56,"-")</f>
        <v>-</v>
      </c>
      <c r="R67" s="584"/>
      <c r="S67" s="596">
        <f ca="1">SUMIFS('Water Use Calcs'!$W:$W,'Water Use Calcs'!$D:$D,'End Uses'!D67,'Water Use Calcs'!$G:$G,'End Uses'!G67,'Water Use Calcs'!$I:$I,'End Uses'!I67,'Water Use Calcs'!$J:$J,'End Uses'!J67)</f>
        <v>0</v>
      </c>
      <c r="T67" s="597">
        <f t="shared" ca="1" si="1"/>
        <v>0</v>
      </c>
      <c r="U67" s="594" t="str">
        <f ca="1">IFERROR(T67/X56,"-")</f>
        <v>-</v>
      </c>
      <c r="V67" s="595">
        <f ca="1">SUMIFS($T:$T,$G:$G,G67,$I:$I,H67)</f>
        <v>0</v>
      </c>
      <c r="W67" s="547" t="str">
        <f ca="1">IFERROR(V67/X56,"-")</f>
        <v>-</v>
      </c>
      <c r="X67" s="584"/>
    </row>
    <row r="68" spans="3:24" s="45" customFormat="1" ht="13.2" customHeight="1" x14ac:dyDescent="0.3">
      <c r="C68" s="576"/>
      <c r="D68" s="521" t="s">
        <v>1</v>
      </c>
      <c r="E68" s="521"/>
      <c r="F68" s="576"/>
      <c r="G68" s="494" t="s">
        <v>87</v>
      </c>
      <c r="H68" s="577"/>
      <c r="I68" s="450" t="s">
        <v>8</v>
      </c>
      <c r="J68" s="577" t="s">
        <v>53</v>
      </c>
      <c r="K68" s="439" t="s">
        <v>363</v>
      </c>
      <c r="L68" s="578">
        <f>SUMIFS('Airport Statistics'!$G:$G,'Airport Statistics'!$D:$D,G68,'Airport Statistics'!$F:$F,K68)</f>
        <v>0</v>
      </c>
      <c r="M68" s="579">
        <f ca="1">SUMIFS('Water Use Calcs'!$V:$V,'Water Use Calcs'!$D:$D,'End Uses'!D68,'Water Use Calcs'!$G:$G,'End Uses'!G68,'Water Use Calcs'!$I:$I,'End Uses'!I68,'Water Use Calcs'!$J:$J,'End Uses'!J68)</f>
        <v>0</v>
      </c>
      <c r="N68" s="580">
        <f ca="1">L68*M68</f>
        <v>0</v>
      </c>
      <c r="O68" s="604" t="str">
        <f ca="1">IFERROR(N68/R56,"-")</f>
        <v>-</v>
      </c>
      <c r="P68" s="404"/>
      <c r="Q68" s="583"/>
      <c r="R68" s="584"/>
      <c r="S68" s="585">
        <f ca="1">SUMIFS('Water Use Calcs'!$W:$W,'Water Use Calcs'!$D:$D,'End Uses'!D68,'Water Use Calcs'!$G:$G,'End Uses'!G68,'Water Use Calcs'!$I:$I,'End Uses'!I68,'Water Use Calcs'!$J:$J,'End Uses'!J68)</f>
        <v>0</v>
      </c>
      <c r="T68" s="586">
        <f t="shared" ca="1" si="1"/>
        <v>0</v>
      </c>
      <c r="U68" s="581" t="str">
        <f ca="1">IFERROR(T68/X56,"-")</f>
        <v>-</v>
      </c>
      <c r="V68" s="404"/>
      <c r="W68" s="583"/>
      <c r="X68" s="584"/>
    </row>
    <row r="69" spans="3:24" s="45" customFormat="1" ht="13.2" customHeight="1" thickBot="1" x14ac:dyDescent="0.35">
      <c r="C69" s="576"/>
      <c r="D69" s="521" t="s">
        <v>1</v>
      </c>
      <c r="E69" s="521"/>
      <c r="F69" s="576"/>
      <c r="G69" s="501" t="s">
        <v>87</v>
      </c>
      <c r="H69" s="116"/>
      <c r="I69" s="451" t="s">
        <v>8</v>
      </c>
      <c r="J69" s="116" t="s">
        <v>54</v>
      </c>
      <c r="K69" s="606" t="s">
        <v>364</v>
      </c>
      <c r="L69" s="607">
        <f>SUMIFS('Airport Statistics'!$G:$G,'Airport Statistics'!$D:$D,G69,'Airport Statistics'!$F:$F,K69)</f>
        <v>0</v>
      </c>
      <c r="M69" s="608">
        <f ca="1">SUMIFS('Water Use Calcs'!$V:$V,'Water Use Calcs'!$D:$D,'End Uses'!D69,'Water Use Calcs'!$G:$G,'End Uses'!G69,'Water Use Calcs'!$I:$I,'End Uses'!I69,'Water Use Calcs'!$J:$J,'End Uses'!J69)</f>
        <v>0</v>
      </c>
      <c r="N69" s="609">
        <f ca="1">L69*M69</f>
        <v>0</v>
      </c>
      <c r="O69" s="610" t="str">
        <f ca="1">IFERROR(N69/R56,"-")</f>
        <v>-</v>
      </c>
      <c r="P69" s="611"/>
      <c r="Q69" s="612"/>
      <c r="R69" s="613"/>
      <c r="S69" s="614">
        <f ca="1">SUMIFS('Water Use Calcs'!$W:$W,'Water Use Calcs'!$D:$D,'End Uses'!D69,'Water Use Calcs'!$G:$G,'End Uses'!G69,'Water Use Calcs'!$I:$I,'End Uses'!I69,'Water Use Calcs'!$J:$J,'End Uses'!J69)</f>
        <v>0</v>
      </c>
      <c r="T69" s="615">
        <f t="shared" ca="1" si="1"/>
        <v>0</v>
      </c>
      <c r="U69" s="616" t="str">
        <f ca="1">IFERROR(T69/X56,"-")</f>
        <v>-</v>
      </c>
      <c r="V69" s="611"/>
      <c r="W69" s="612"/>
      <c r="X69" s="613"/>
    </row>
    <row r="70" spans="3:24" s="45" customFormat="1" ht="13.2" customHeight="1" x14ac:dyDescent="0.3">
      <c r="C70" s="576"/>
      <c r="D70" s="521" t="s">
        <v>1</v>
      </c>
      <c r="E70" s="617" t="str">
        <f>G70</f>
        <v>Terminal E</v>
      </c>
      <c r="F70" s="565" t="str">
        <f>VLOOKUP(E70,'Airport Mapping'!$C$5:$D$39,2,FALSE)</f>
        <v xml:space="preserve"> </v>
      </c>
      <c r="G70" s="566" t="s">
        <v>88</v>
      </c>
      <c r="H70" s="564" t="str">
        <f>I70</f>
        <v>Restrooms</v>
      </c>
      <c r="I70" s="450" t="s">
        <v>37</v>
      </c>
      <c r="J70" s="567" t="s">
        <v>2</v>
      </c>
      <c r="K70" s="52" t="s">
        <v>117</v>
      </c>
      <c r="L70" s="568">
        <f>SUMIFS('Airport Statistics'!$G:$G,'Airport Statistics'!$D:$D,G70,'Airport Statistics'!$F:$F,K70)</f>
        <v>0</v>
      </c>
      <c r="M70" s="569">
        <f ca="1">SUMIFS('Water Use Calcs'!$V:$V,'Water Use Calcs'!$D:$D,'End Uses'!D70,'Water Use Calcs'!$G:$G,'End Uses'!G70,'Water Use Calcs'!$I:$I,'End Uses'!I70,'Water Use Calcs'!$J:$J,'End Uses'!J70)</f>
        <v>0</v>
      </c>
      <c r="N70" s="570">
        <f t="shared" ref="N70:N72" ca="1" si="6">L70*M70</f>
        <v>0</v>
      </c>
      <c r="O70" s="571" t="str">
        <f ca="1">IFERROR(N70/R70,"-")</f>
        <v>-</v>
      </c>
      <c r="P70" s="572">
        <f ca="1">SUMIFS($N:$N,$G:$G,G70,$I:$I,H70)</f>
        <v>0</v>
      </c>
      <c r="Q70" s="546" t="str">
        <f ca="1">IFERROR(P70/R70,"-")</f>
        <v>-</v>
      </c>
      <c r="R70" s="573">
        <f ca="1">SUMIFS($N:$N,$G:$G,G70)</f>
        <v>0</v>
      </c>
      <c r="S70" s="574">
        <f ca="1">SUMIFS('Water Use Calcs'!$W:$W,'Water Use Calcs'!$D:$D,'End Uses'!D70,'Water Use Calcs'!$G:$G,'End Uses'!G70,'Water Use Calcs'!$I:$I,'End Uses'!I70,'Water Use Calcs'!$J:$J,'End Uses'!J70)</f>
        <v>0</v>
      </c>
      <c r="T70" s="575">
        <f t="shared" ca="1" si="1"/>
        <v>0</v>
      </c>
      <c r="U70" s="571" t="str">
        <f ca="1">IFERROR(T70/X70,"-")</f>
        <v>-</v>
      </c>
      <c r="V70" s="572">
        <f ca="1">SUMIFS($T:$T,$G:$G,G70,$I:$I,H70)</f>
        <v>0</v>
      </c>
      <c r="W70" s="546" t="str">
        <f ca="1">IFERROR(V70/X70,"-")</f>
        <v>-</v>
      </c>
      <c r="X70" s="573">
        <f ca="1">SUMIFS($T:$T,$G:$G,G70)</f>
        <v>0</v>
      </c>
    </row>
    <row r="71" spans="3:24" x14ac:dyDescent="0.3">
      <c r="C71" s="576"/>
      <c r="D71" s="521" t="s">
        <v>1</v>
      </c>
      <c r="E71" s="521"/>
      <c r="F71" s="576"/>
      <c r="G71" s="494" t="s">
        <v>88</v>
      </c>
      <c r="H71" s="577"/>
      <c r="I71" s="450" t="s">
        <v>37</v>
      </c>
      <c r="J71" s="577" t="s">
        <v>4</v>
      </c>
      <c r="K71" s="15" t="s">
        <v>117</v>
      </c>
      <c r="L71" s="578">
        <f>SUMIFS('Airport Statistics'!$G:$G,'Airport Statistics'!$D:$D,G71,'Airport Statistics'!$F:$F,K71)</f>
        <v>0</v>
      </c>
      <c r="M71" s="579">
        <f ca="1">SUMIFS('Water Use Calcs'!$V:$V,'Water Use Calcs'!$D:$D,'End Uses'!D71,'Water Use Calcs'!$G:$G,'End Uses'!G71,'Water Use Calcs'!$I:$I,'End Uses'!I71,'Water Use Calcs'!$J:$J,'End Uses'!J71)</f>
        <v>0</v>
      </c>
      <c r="N71" s="580">
        <f t="shared" ca="1" si="6"/>
        <v>0</v>
      </c>
      <c r="O71" s="581" t="str">
        <f ca="1">IFERROR(N71/R70,"-")</f>
        <v>-</v>
      </c>
      <c r="P71" s="582"/>
      <c r="Q71" s="583"/>
      <c r="R71" s="584"/>
      <c r="S71" s="585">
        <f ca="1">SUMIFS('Water Use Calcs'!$W:$W,'Water Use Calcs'!$D:$D,'End Uses'!D71,'Water Use Calcs'!$G:$G,'End Uses'!G71,'Water Use Calcs'!$I:$I,'End Uses'!I71,'Water Use Calcs'!$J:$J,'End Uses'!J71)</f>
        <v>0</v>
      </c>
      <c r="T71" s="586">
        <f t="shared" ca="1" si="1"/>
        <v>0</v>
      </c>
      <c r="U71" s="581" t="str">
        <f ca="1">IFERROR(T71/X70,"-")</f>
        <v>-</v>
      </c>
      <c r="V71" s="582"/>
      <c r="W71" s="583"/>
      <c r="X71" s="584"/>
    </row>
    <row r="72" spans="3:24" x14ac:dyDescent="0.3">
      <c r="C72" s="576"/>
      <c r="D72" s="521" t="s">
        <v>1</v>
      </c>
      <c r="E72" s="521"/>
      <c r="F72" s="576"/>
      <c r="G72" s="494" t="s">
        <v>88</v>
      </c>
      <c r="H72" s="577"/>
      <c r="I72" s="587" t="s">
        <v>37</v>
      </c>
      <c r="J72" s="577" t="s">
        <v>33</v>
      </c>
      <c r="K72" s="15" t="s">
        <v>117</v>
      </c>
      <c r="L72" s="578">
        <f>SUMIFS('Airport Statistics'!$G:$G,'Airport Statistics'!$D:$D,G72,'Airport Statistics'!$F:$F,K72)</f>
        <v>0</v>
      </c>
      <c r="M72" s="579">
        <f ca="1">SUMIFS('Water Use Calcs'!$V:$V,'Water Use Calcs'!$D:$D,'End Uses'!D72,'Water Use Calcs'!$G:$G,'End Uses'!G72,'Water Use Calcs'!$I:$I,'End Uses'!I72,'Water Use Calcs'!$J:$J,'End Uses'!J72)</f>
        <v>0</v>
      </c>
      <c r="N72" s="580">
        <f t="shared" ca="1" si="6"/>
        <v>0</v>
      </c>
      <c r="O72" s="581" t="str">
        <f ca="1">IFERROR(N72/R70,"-")</f>
        <v>-</v>
      </c>
      <c r="P72" s="582"/>
      <c r="Q72" s="583"/>
      <c r="R72" s="584"/>
      <c r="S72" s="585">
        <f ca="1">SUMIFS('Water Use Calcs'!$W:$W,'Water Use Calcs'!$D:$D,'End Uses'!D72,'Water Use Calcs'!$G:$G,'End Uses'!G72,'Water Use Calcs'!$I:$I,'End Uses'!I72,'Water Use Calcs'!$J:$J,'End Uses'!J72)</f>
        <v>0</v>
      </c>
      <c r="T72" s="586">
        <f t="shared" ca="1" si="1"/>
        <v>0</v>
      </c>
      <c r="U72" s="581" t="str">
        <f ca="1">IFERROR(T72/X70,"-")</f>
        <v>-</v>
      </c>
      <c r="V72" s="582"/>
      <c r="W72" s="583"/>
      <c r="X72" s="584"/>
    </row>
    <row r="73" spans="3:24" x14ac:dyDescent="0.3">
      <c r="C73" s="576"/>
      <c r="D73" s="521" t="s">
        <v>1</v>
      </c>
      <c r="E73" s="521"/>
      <c r="F73" s="576"/>
      <c r="G73" s="494" t="s">
        <v>88</v>
      </c>
      <c r="H73" s="588" t="str">
        <f>I73</f>
        <v>Food Service</v>
      </c>
      <c r="I73" s="450" t="s">
        <v>38</v>
      </c>
      <c r="J73" s="589" t="s">
        <v>114</v>
      </c>
      <c r="K73" s="590" t="s">
        <v>118</v>
      </c>
      <c r="L73" s="591">
        <f>SUMIFS('Airport Statistics'!$G:$G,'Airport Statistics'!$D:$D,G73,'Airport Statistics'!$F:$F,K73)</f>
        <v>0</v>
      </c>
      <c r="M73" s="592">
        <f ca="1">SUMIFS('Water Use Calcs'!$V:$V,'Water Use Calcs'!$D:$D,'End Uses'!D73,'Water Use Calcs'!$G:$G,'End Uses'!G73,'Water Use Calcs'!$I:$I,'End Uses'!I73,'Water Use Calcs'!$J:$J,'End Uses'!J73)</f>
        <v>0</v>
      </c>
      <c r="N73" s="593">
        <f ca="1">L73*M73</f>
        <v>0</v>
      </c>
      <c r="O73" s="594" t="str">
        <f ca="1">IFERROR(N73/R70,"-")</f>
        <v>-</v>
      </c>
      <c r="P73" s="595">
        <f ca="1">SUMIFS($N:$N,$G:$G,G73,$I:$I,H73)</f>
        <v>0</v>
      </c>
      <c r="Q73" s="547" t="str">
        <f ca="1">IFERROR(P73/R70,"-")</f>
        <v>-</v>
      </c>
      <c r="R73" s="584"/>
      <c r="S73" s="596">
        <f ca="1">SUMIFS('Water Use Calcs'!$W:$W,'Water Use Calcs'!$D:$D,'End Uses'!D73,'Water Use Calcs'!$G:$G,'End Uses'!G73,'Water Use Calcs'!$I:$I,'End Uses'!I73,'Water Use Calcs'!$J:$J,'End Uses'!J73)</f>
        <v>0</v>
      </c>
      <c r="T73" s="597">
        <f t="shared" ca="1" si="1"/>
        <v>0</v>
      </c>
      <c r="U73" s="594" t="str">
        <f ca="1">IFERROR(T73/X70,"-")</f>
        <v>-</v>
      </c>
      <c r="V73" s="595">
        <f ca="1">SUMIFS($T:$T,$G:$G,G73,$I:$I,H73)</f>
        <v>0</v>
      </c>
      <c r="W73" s="547" t="str">
        <f ca="1">IFERROR(V73/X70,"-")</f>
        <v>-</v>
      </c>
      <c r="X73" s="584"/>
    </row>
    <row r="74" spans="3:24" x14ac:dyDescent="0.3">
      <c r="C74" s="576"/>
      <c r="D74" s="521" t="s">
        <v>1</v>
      </c>
      <c r="E74" s="521"/>
      <c r="F74" s="576"/>
      <c r="G74" s="521" t="s">
        <v>88</v>
      </c>
      <c r="H74" s="577"/>
      <c r="I74" s="224" t="s">
        <v>38</v>
      </c>
      <c r="J74" s="577" t="s">
        <v>127</v>
      </c>
      <c r="K74" s="598" t="s">
        <v>118</v>
      </c>
      <c r="L74" s="578">
        <f>SUMIFS('Airport Statistics'!$G:$G,'Airport Statistics'!$D:$D,G74,'Airport Statistics'!$F:$F,K74)</f>
        <v>0</v>
      </c>
      <c r="M74" s="579">
        <f ca="1">SUMIFS('Water Use Calcs'!$V:$V,'Water Use Calcs'!$D:$D,'End Uses'!D74,'Water Use Calcs'!$G:$G,'End Uses'!G74,'Water Use Calcs'!$I:$I,'End Uses'!I74,'Water Use Calcs'!$J:$J,'End Uses'!J74)</f>
        <v>0</v>
      </c>
      <c r="N74" s="580">
        <f ca="1">L74*M74</f>
        <v>0</v>
      </c>
      <c r="O74" s="581" t="str">
        <f ca="1">IFERROR(N74/R70,"-")</f>
        <v>-</v>
      </c>
      <c r="P74" s="582"/>
      <c r="Q74" s="548"/>
      <c r="R74" s="584"/>
      <c r="S74" s="585">
        <f ca="1">SUMIFS('Water Use Calcs'!$W:$W,'Water Use Calcs'!$D:$D,'End Uses'!D74,'Water Use Calcs'!$G:$G,'End Uses'!G74,'Water Use Calcs'!$I:$I,'End Uses'!I74,'Water Use Calcs'!$J:$J,'End Uses'!J74)</f>
        <v>0</v>
      </c>
      <c r="T74" s="586">
        <f t="shared" ca="1" si="1"/>
        <v>0</v>
      </c>
      <c r="U74" s="581" t="str">
        <f ca="1">IFERROR(T74/X70,"-")</f>
        <v>-</v>
      </c>
      <c r="V74" s="582"/>
      <c r="W74" s="548"/>
      <c r="X74" s="584"/>
    </row>
    <row r="75" spans="3:24" x14ac:dyDescent="0.3">
      <c r="C75" s="576"/>
      <c r="D75" s="521" t="s">
        <v>1</v>
      </c>
      <c r="E75" s="521"/>
      <c r="F75" s="576"/>
      <c r="G75" s="494" t="s">
        <v>88</v>
      </c>
      <c r="H75" s="577"/>
      <c r="I75" s="450" t="s">
        <v>38</v>
      </c>
      <c r="J75" s="577" t="s">
        <v>41</v>
      </c>
      <c r="K75" s="598" t="s">
        <v>118</v>
      </c>
      <c r="L75" s="578">
        <f>SUMIFS('Airport Statistics'!$G:$G,'Airport Statistics'!$D:$D,G75,'Airport Statistics'!$F:$F,K75)</f>
        <v>0</v>
      </c>
      <c r="M75" s="579">
        <f ca="1">SUMIFS('Water Use Calcs'!$V:$V,'Water Use Calcs'!$D:$D,'End Uses'!D75,'Water Use Calcs'!$G:$G,'End Uses'!G75,'Water Use Calcs'!$I:$I,'End Uses'!I75,'Water Use Calcs'!$J:$J,'End Uses'!J75)</f>
        <v>0</v>
      </c>
      <c r="N75" s="580">
        <f t="shared" ca="1" si="2"/>
        <v>0</v>
      </c>
      <c r="O75" s="581" t="str">
        <f ca="1">IFERROR(N75/R70,"-")</f>
        <v>-</v>
      </c>
      <c r="P75" s="404"/>
      <c r="Q75" s="548"/>
      <c r="R75" s="584"/>
      <c r="S75" s="585">
        <f ca="1">SUMIFS('Water Use Calcs'!$W:$W,'Water Use Calcs'!$D:$D,'End Uses'!D75,'Water Use Calcs'!$G:$G,'End Uses'!G75,'Water Use Calcs'!$I:$I,'End Uses'!I75,'Water Use Calcs'!$J:$J,'End Uses'!J75)</f>
        <v>0</v>
      </c>
      <c r="T75" s="586">
        <f t="shared" ref="T75:T137" ca="1" si="7">L75*S75</f>
        <v>0</v>
      </c>
      <c r="U75" s="581" t="str">
        <f ca="1">IFERROR(T75/X70,"-")</f>
        <v>-</v>
      </c>
      <c r="V75" s="404"/>
      <c r="W75" s="548"/>
      <c r="X75" s="584"/>
    </row>
    <row r="76" spans="3:24" x14ac:dyDescent="0.3">
      <c r="C76" s="576"/>
      <c r="D76" s="521" t="s">
        <v>1</v>
      </c>
      <c r="E76" s="521"/>
      <c r="F76" s="576"/>
      <c r="G76" s="494" t="s">
        <v>88</v>
      </c>
      <c r="H76" s="577"/>
      <c r="I76" s="587" t="s">
        <v>38</v>
      </c>
      <c r="J76" s="577" t="s">
        <v>20</v>
      </c>
      <c r="K76" s="598" t="s">
        <v>118</v>
      </c>
      <c r="L76" s="578">
        <f>SUMIFS('Airport Statistics'!$G:$G,'Airport Statistics'!$D:$D,G76,'Airport Statistics'!$F:$F,K76)</f>
        <v>0</v>
      </c>
      <c r="M76" s="579">
        <f ca="1">SUMIFS('Water Use Calcs'!$V:$V,'Water Use Calcs'!$D:$D,'End Uses'!D76,'Water Use Calcs'!$G:$G,'End Uses'!G76,'Water Use Calcs'!$I:$I,'End Uses'!I76,'Water Use Calcs'!$J:$J,'End Uses'!J76)</f>
        <v>0</v>
      </c>
      <c r="N76" s="580">
        <f t="shared" ca="1" si="2"/>
        <v>0</v>
      </c>
      <c r="O76" s="581" t="str">
        <f ca="1">IFERROR(N76/R70,"-")</f>
        <v>-</v>
      </c>
      <c r="P76" s="404"/>
      <c r="Q76" s="548"/>
      <c r="R76" s="584"/>
      <c r="S76" s="585">
        <f ca="1">SUMIFS('Water Use Calcs'!$W:$W,'Water Use Calcs'!$D:$D,'End Uses'!D76,'Water Use Calcs'!$G:$G,'End Uses'!G76,'Water Use Calcs'!$I:$I,'End Uses'!I76,'Water Use Calcs'!$J:$J,'End Uses'!J76)</f>
        <v>0</v>
      </c>
      <c r="T76" s="586">
        <f t="shared" ca="1" si="7"/>
        <v>0</v>
      </c>
      <c r="U76" s="581" t="str">
        <f ca="1">IFERROR(T76/X70,"-")</f>
        <v>-</v>
      </c>
      <c r="V76" s="404"/>
      <c r="W76" s="548"/>
      <c r="X76" s="584"/>
    </row>
    <row r="77" spans="3:24" x14ac:dyDescent="0.3">
      <c r="C77" s="576"/>
      <c r="D77" s="521" t="s">
        <v>1</v>
      </c>
      <c r="E77" s="521"/>
      <c r="F77" s="576"/>
      <c r="G77" s="494" t="s">
        <v>88</v>
      </c>
      <c r="H77" s="588" t="str">
        <f>I77</f>
        <v>Landscaping</v>
      </c>
      <c r="I77" s="450" t="s">
        <v>39</v>
      </c>
      <c r="J77" s="589" t="s">
        <v>42</v>
      </c>
      <c r="K77" s="14" t="s">
        <v>120</v>
      </c>
      <c r="L77" s="591">
        <f>SUMIFS('Airport Statistics'!$G:$G,'Airport Statistics'!$D:$D,G77,'Airport Statistics'!$F:$F,K77)</f>
        <v>0</v>
      </c>
      <c r="M77" s="592">
        <f ca="1">SUMIFS('Water Use Calcs'!$V:$V,'Water Use Calcs'!$D:$D,'End Uses'!D77,'Water Use Calcs'!$G:$G,'End Uses'!G77,'Water Use Calcs'!$I:$I,'End Uses'!I77,'Water Use Calcs'!$J:$J,'End Uses'!J77)</f>
        <v>0</v>
      </c>
      <c r="N77" s="593">
        <f t="shared" ca="1" si="2"/>
        <v>0</v>
      </c>
      <c r="O77" s="594" t="str">
        <f ca="1">IFERROR(N77/R70,"-")</f>
        <v>-</v>
      </c>
      <c r="P77" s="595">
        <f ca="1">SUMIFS($N:$N,$G:$G,G77,$I:$I,H77)</f>
        <v>0</v>
      </c>
      <c r="Q77" s="547" t="str">
        <f ca="1">IFERROR(P77/R70,"-")</f>
        <v>-</v>
      </c>
      <c r="R77" s="584"/>
      <c r="S77" s="596">
        <f ca="1">SUMIFS('Water Use Calcs'!$W:$W,'Water Use Calcs'!$D:$D,'End Uses'!D77,'Water Use Calcs'!$G:$G,'End Uses'!G77,'Water Use Calcs'!$I:$I,'End Uses'!I77,'Water Use Calcs'!$J:$J,'End Uses'!J77)</f>
        <v>0</v>
      </c>
      <c r="T77" s="597">
        <f t="shared" ca="1" si="7"/>
        <v>0</v>
      </c>
      <c r="U77" s="594" t="str">
        <f ca="1">IFERROR(T77/X70,"-")</f>
        <v>-</v>
      </c>
      <c r="V77" s="595">
        <f ca="1">SUMIFS($T:$T,$G:$G,G77,$I:$I,H77)</f>
        <v>0</v>
      </c>
      <c r="W77" s="547" t="str">
        <f ca="1">IFERROR(V77/X70,"-")</f>
        <v>-</v>
      </c>
      <c r="X77" s="584"/>
    </row>
    <row r="78" spans="3:24" x14ac:dyDescent="0.3">
      <c r="C78" s="576"/>
      <c r="D78" s="521" t="s">
        <v>1</v>
      </c>
      <c r="E78" s="521"/>
      <c r="F78" s="576"/>
      <c r="G78" s="494" t="s">
        <v>88</v>
      </c>
      <c r="H78" s="588" t="str">
        <f>I78</f>
        <v>Maintenance</v>
      </c>
      <c r="I78" s="455" t="s">
        <v>43</v>
      </c>
      <c r="J78" s="17" t="s">
        <v>111</v>
      </c>
      <c r="K78" s="599" t="s">
        <v>424</v>
      </c>
      <c r="L78" s="591">
        <f>SUMIFS('Airport Statistics'!$G:$G,'Airport Statistics'!$D:$D,G78,'Airport Statistics'!$F:$F,K78)</f>
        <v>0</v>
      </c>
      <c r="M78" s="592">
        <f ca="1">SUMIFS('Water Use Calcs'!$V:$V,'Water Use Calcs'!$D:$D,'End Uses'!D78,'Water Use Calcs'!$G:$G,'End Uses'!G78,'Water Use Calcs'!$I:$I,'End Uses'!I78,'Water Use Calcs'!$J:$J,'End Uses'!J78)</f>
        <v>0</v>
      </c>
      <c r="N78" s="593">
        <f t="shared" ca="1" si="2"/>
        <v>0</v>
      </c>
      <c r="O78" s="594" t="str">
        <f ca="1">IFERROR(N78/R70,"-")</f>
        <v>-</v>
      </c>
      <c r="P78" s="595">
        <f ca="1">SUMIFS($N:$N,$G:$G,G78,$I:$I,H78)</f>
        <v>0</v>
      </c>
      <c r="Q78" s="547" t="str">
        <f ca="1">IFERROR(P78/R70,"-")</f>
        <v>-</v>
      </c>
      <c r="R78" s="584"/>
      <c r="S78" s="596">
        <f ca="1">SUMIFS('Water Use Calcs'!$W:$W,'Water Use Calcs'!$D:$D,'End Uses'!D78,'Water Use Calcs'!$G:$G,'End Uses'!G78,'Water Use Calcs'!$I:$I,'End Uses'!I78,'Water Use Calcs'!$J:$J,'End Uses'!J78)</f>
        <v>0</v>
      </c>
      <c r="T78" s="597">
        <f t="shared" ca="1" si="7"/>
        <v>0</v>
      </c>
      <c r="U78" s="594" t="str">
        <f ca="1">IFERROR(T78/X70,"-")</f>
        <v>-</v>
      </c>
      <c r="V78" s="595">
        <f ca="1">SUMIFS($T:$T,$G:$G,G78,$I:$I,H78)</f>
        <v>0</v>
      </c>
      <c r="W78" s="547" t="str">
        <f ca="1">IFERROR(V78/X70,"-")</f>
        <v>-</v>
      </c>
      <c r="X78" s="584"/>
    </row>
    <row r="79" spans="3:24" x14ac:dyDescent="0.3">
      <c r="C79" s="576"/>
      <c r="D79" s="521" t="s">
        <v>1</v>
      </c>
      <c r="E79" s="521"/>
      <c r="F79" s="576"/>
      <c r="G79" s="494" t="s">
        <v>88</v>
      </c>
      <c r="H79" s="577"/>
      <c r="I79" s="450" t="s">
        <v>43</v>
      </c>
      <c r="J79" s="577" t="s">
        <v>7</v>
      </c>
      <c r="K79" s="183" t="s">
        <v>365</v>
      </c>
      <c r="L79" s="600"/>
      <c r="M79" s="601">
        <f ca="1">SUMIFS('Water Use Calcs'!$V:$V,'Water Use Calcs'!$D:$D,'End Uses'!D79,'Water Use Calcs'!$G:$G,'End Uses'!G79,'Water Use Calcs'!$I:$I,'End Uses'!I79,'Water Use Calcs'!$J:$J,'End Uses'!J79)</f>
        <v>0</v>
      </c>
      <c r="N79" s="580">
        <f ca="1">M79</f>
        <v>0</v>
      </c>
      <c r="O79" s="581" t="str">
        <f ca="1">IFERROR(N79/R70,"-")</f>
        <v>-</v>
      </c>
      <c r="P79" s="404"/>
      <c r="Q79" s="548"/>
      <c r="R79" s="584"/>
      <c r="S79" s="585">
        <f ca="1">SUMIFS('Water Use Calcs'!$W:$W,'Water Use Calcs'!$D:$D,'End Uses'!D79,'Water Use Calcs'!$G:$G,'End Uses'!G79,'Water Use Calcs'!$I:$I,'End Uses'!I79,'Water Use Calcs'!$J:$J,'End Uses'!J79)</f>
        <v>0</v>
      </c>
      <c r="T79" s="586">
        <f ca="1">S79</f>
        <v>0</v>
      </c>
      <c r="U79" s="581" t="str">
        <f ca="1">IFERROR(T79/X70,"-")</f>
        <v>-</v>
      </c>
      <c r="V79" s="404"/>
      <c r="W79" s="548"/>
      <c r="X79" s="584"/>
    </row>
    <row r="80" spans="3:24" x14ac:dyDescent="0.3">
      <c r="C80" s="576"/>
      <c r="D80" s="521" t="s">
        <v>1</v>
      </c>
      <c r="E80" s="521"/>
      <c r="F80" s="576"/>
      <c r="G80" s="494" t="s">
        <v>88</v>
      </c>
      <c r="H80" s="577"/>
      <c r="I80" s="587" t="s">
        <v>43</v>
      </c>
      <c r="J80" s="577" t="s">
        <v>426</v>
      </c>
      <c r="K80" s="15" t="s">
        <v>117</v>
      </c>
      <c r="L80" s="578">
        <f>SUMIFS('Airport Statistics'!$G:$G,'Airport Statistics'!$D:$D,G80,'Airport Statistics'!$F:$F,K80)</f>
        <v>0</v>
      </c>
      <c r="M80" s="579">
        <f ca="1">SUMIFS('Water Use Calcs'!$V:$V,'Water Use Calcs'!$D:$D,'End Uses'!D80,'Water Use Calcs'!$G:$G,'End Uses'!G80,'Water Use Calcs'!$I:$I,'End Uses'!I80,'Water Use Calcs'!$J:$J,'End Uses'!J80)</f>
        <v>0</v>
      </c>
      <c r="N80" s="580">
        <f t="shared" ca="1" si="2"/>
        <v>0</v>
      </c>
      <c r="O80" s="581" t="str">
        <f ca="1">IFERROR(N80/R70,"-")</f>
        <v>-</v>
      </c>
      <c r="P80" s="404"/>
      <c r="Q80" s="548"/>
      <c r="R80" s="584"/>
      <c r="S80" s="585">
        <f ca="1">SUMIFS('Water Use Calcs'!$W:$W,'Water Use Calcs'!$D:$D,'End Uses'!D80,'Water Use Calcs'!$G:$G,'End Uses'!G80,'Water Use Calcs'!$I:$I,'End Uses'!I80,'Water Use Calcs'!$J:$J,'End Uses'!J80)</f>
        <v>0</v>
      </c>
      <c r="T80" s="586">
        <f t="shared" ca="1" si="7"/>
        <v>0</v>
      </c>
      <c r="U80" s="581" t="str">
        <f ca="1">IFERROR(T80/X70,"-")</f>
        <v>-</v>
      </c>
      <c r="V80" s="404"/>
      <c r="W80" s="548"/>
      <c r="X80" s="584"/>
    </row>
    <row r="81" spans="3:24" x14ac:dyDescent="0.3">
      <c r="C81" s="576"/>
      <c r="D81" s="521" t="s">
        <v>1</v>
      </c>
      <c r="E81" s="521"/>
      <c r="F81" s="576"/>
      <c r="G81" s="494" t="s">
        <v>88</v>
      </c>
      <c r="H81" s="588" t="str">
        <f>I81</f>
        <v>Other</v>
      </c>
      <c r="I81" s="450" t="s">
        <v>8</v>
      </c>
      <c r="J81" s="589" t="s">
        <v>52</v>
      </c>
      <c r="K81" s="602" t="s">
        <v>362</v>
      </c>
      <c r="L81" s="591">
        <f>SUMIFS('Airport Statistics'!$G:$G,'Airport Statistics'!$D:$D,G81,'Airport Statistics'!$F:$F,K81)</f>
        <v>0</v>
      </c>
      <c r="M81" s="592">
        <f ca="1">SUMIFS('Water Use Calcs'!$V:$V,'Water Use Calcs'!$D:$D,'End Uses'!D81,'Water Use Calcs'!$G:$G,'End Uses'!G81,'Water Use Calcs'!$I:$I,'End Uses'!I81,'Water Use Calcs'!$J:$J,'End Uses'!J81)</f>
        <v>0</v>
      </c>
      <c r="N81" s="593">
        <f ca="1">L81*M81</f>
        <v>0</v>
      </c>
      <c r="O81" s="603" t="str">
        <f ca="1">IFERROR(N81/R70,"-")</f>
        <v>-</v>
      </c>
      <c r="P81" s="595">
        <f ca="1">SUMIFS($N:$N,$G:$G,G81,$I:$I,H81)</f>
        <v>0</v>
      </c>
      <c r="Q81" s="549" t="str">
        <f ca="1">IFERROR(P81/R70,"-")</f>
        <v>-</v>
      </c>
      <c r="R81" s="584"/>
      <c r="S81" s="596">
        <f ca="1">SUMIFS('Water Use Calcs'!$W:$W,'Water Use Calcs'!$D:$D,'End Uses'!D81,'Water Use Calcs'!$G:$G,'End Uses'!G81,'Water Use Calcs'!$I:$I,'End Uses'!I81,'Water Use Calcs'!$J:$J,'End Uses'!J81)</f>
        <v>0</v>
      </c>
      <c r="T81" s="597">
        <f t="shared" ca="1" si="7"/>
        <v>0</v>
      </c>
      <c r="U81" s="594" t="str">
        <f ca="1">IFERROR(T81/X70,"-")</f>
        <v>-</v>
      </c>
      <c r="V81" s="595">
        <f ca="1">SUMIFS($T:$T,$G:$G,G81,$I:$I,H81)</f>
        <v>0</v>
      </c>
      <c r="W81" s="547" t="str">
        <f ca="1">IFERROR(V81/X70,"-")</f>
        <v>-</v>
      </c>
      <c r="X81" s="584"/>
    </row>
    <row r="82" spans="3:24" s="45" customFormat="1" ht="13.2" customHeight="1" x14ac:dyDescent="0.3">
      <c r="C82" s="576"/>
      <c r="D82" s="521" t="s">
        <v>1</v>
      </c>
      <c r="E82" s="521"/>
      <c r="F82" s="576"/>
      <c r="G82" s="494" t="s">
        <v>88</v>
      </c>
      <c r="H82" s="577"/>
      <c r="I82" s="450" t="s">
        <v>8</v>
      </c>
      <c r="J82" s="577" t="s">
        <v>53</v>
      </c>
      <c r="K82" s="439" t="s">
        <v>363</v>
      </c>
      <c r="L82" s="578">
        <f>SUMIFS('Airport Statistics'!$G:$G,'Airport Statistics'!$D:$D,G82,'Airport Statistics'!$F:$F,K82)</f>
        <v>0</v>
      </c>
      <c r="M82" s="579">
        <f ca="1">SUMIFS('Water Use Calcs'!$V:$V,'Water Use Calcs'!$D:$D,'End Uses'!D82,'Water Use Calcs'!$G:$G,'End Uses'!G82,'Water Use Calcs'!$I:$I,'End Uses'!I82,'Water Use Calcs'!$J:$J,'End Uses'!J82)</f>
        <v>0</v>
      </c>
      <c r="N82" s="580">
        <f ca="1">L82*M82</f>
        <v>0</v>
      </c>
      <c r="O82" s="604" t="str">
        <f ca="1">IFERROR(N82/R70,"-")</f>
        <v>-</v>
      </c>
      <c r="P82" s="404"/>
      <c r="Q82" s="583"/>
      <c r="R82" s="584"/>
      <c r="S82" s="585">
        <f ca="1">SUMIFS('Water Use Calcs'!$W:$W,'Water Use Calcs'!$D:$D,'End Uses'!D82,'Water Use Calcs'!$G:$G,'End Uses'!G82,'Water Use Calcs'!$I:$I,'End Uses'!I82,'Water Use Calcs'!$J:$J,'End Uses'!J82)</f>
        <v>0</v>
      </c>
      <c r="T82" s="586">
        <f t="shared" ca="1" si="7"/>
        <v>0</v>
      </c>
      <c r="U82" s="581" t="str">
        <f ca="1">IFERROR(T82/X70,"-")</f>
        <v>-</v>
      </c>
      <c r="V82" s="404"/>
      <c r="W82" s="583"/>
      <c r="X82" s="584"/>
    </row>
    <row r="83" spans="3:24" s="45" customFormat="1" ht="13.2" customHeight="1" thickBot="1" x14ac:dyDescent="0.35">
      <c r="C83" s="576"/>
      <c r="D83" s="618" t="s">
        <v>1</v>
      </c>
      <c r="E83" s="618"/>
      <c r="F83" s="576"/>
      <c r="G83" s="501" t="s">
        <v>88</v>
      </c>
      <c r="H83" s="116"/>
      <c r="I83" s="451" t="s">
        <v>8</v>
      </c>
      <c r="J83" s="116" t="s">
        <v>54</v>
      </c>
      <c r="K83" s="606" t="s">
        <v>364</v>
      </c>
      <c r="L83" s="607">
        <f>SUMIFS('Airport Statistics'!$G:$G,'Airport Statistics'!$D:$D,G83,'Airport Statistics'!$F:$F,K83)</f>
        <v>0</v>
      </c>
      <c r="M83" s="608">
        <f ca="1">SUMIFS('Water Use Calcs'!$V:$V,'Water Use Calcs'!$D:$D,'End Uses'!D83,'Water Use Calcs'!$G:$G,'End Uses'!G83,'Water Use Calcs'!$I:$I,'End Uses'!I83,'Water Use Calcs'!$J:$J,'End Uses'!J83)</f>
        <v>0</v>
      </c>
      <c r="N83" s="609">
        <f ca="1">L83*M83</f>
        <v>0</v>
      </c>
      <c r="O83" s="610" t="str">
        <f ca="1">IFERROR(N83/R70,"-")</f>
        <v>-</v>
      </c>
      <c r="P83" s="611"/>
      <c r="Q83" s="612"/>
      <c r="R83" s="613"/>
      <c r="S83" s="614">
        <f ca="1">SUMIFS('Water Use Calcs'!$W:$W,'Water Use Calcs'!$D:$D,'End Uses'!D83,'Water Use Calcs'!$G:$G,'End Uses'!G83,'Water Use Calcs'!$I:$I,'End Uses'!I83,'Water Use Calcs'!$J:$J,'End Uses'!J83)</f>
        <v>0</v>
      </c>
      <c r="T83" s="615">
        <f t="shared" ca="1" si="7"/>
        <v>0</v>
      </c>
      <c r="U83" s="616" t="str">
        <f ca="1">IFERROR(T83/X70,"-")</f>
        <v>-</v>
      </c>
      <c r="V83" s="611"/>
      <c r="W83" s="612"/>
      <c r="X83" s="613"/>
    </row>
    <row r="84" spans="3:24" s="45" customFormat="1" ht="13.2" customHeight="1" x14ac:dyDescent="0.3">
      <c r="C84" s="564" t="str">
        <f>D84</f>
        <v>Office Buildings</v>
      </c>
      <c r="D84" s="619" t="s">
        <v>412</v>
      </c>
      <c r="E84" s="617" t="str">
        <f>G84</f>
        <v>Office Building A</v>
      </c>
      <c r="F84" s="565" t="str">
        <f>VLOOKUP(E84,'Airport Mapping'!$C$5:$D$39,2,FALSE)</f>
        <v xml:space="preserve"> </v>
      </c>
      <c r="G84" s="566" t="s">
        <v>383</v>
      </c>
      <c r="H84" s="564" t="str">
        <f>I84</f>
        <v>Restrooms</v>
      </c>
      <c r="I84" s="454" t="s">
        <v>37</v>
      </c>
      <c r="J84" s="567" t="s">
        <v>2</v>
      </c>
      <c r="K84" s="620" t="s">
        <v>6</v>
      </c>
      <c r="L84" s="568">
        <f>SUMIFS('Airport Statistics'!$G:$G,'Airport Statistics'!$D:$D,G84,'Airport Statistics'!$F:$F,K84)</f>
        <v>0</v>
      </c>
      <c r="M84" s="569">
        <f ca="1">SUMIFS('Water Use Calcs'!$V:$V,'Water Use Calcs'!$D:$D,'End Uses'!D84,'Water Use Calcs'!$G:$G,'End Uses'!G84,'Water Use Calcs'!$I:$I,'End Uses'!I84,'Water Use Calcs'!$J:$J,'End Uses'!J84)</f>
        <v>0</v>
      </c>
      <c r="N84" s="570">
        <f t="shared" ref="N84:N93" ca="1" si="8">L84*M84</f>
        <v>0</v>
      </c>
      <c r="O84" s="571" t="str">
        <f ca="1">IFERROR(N84/R84,"-")</f>
        <v>-</v>
      </c>
      <c r="P84" s="572">
        <f ca="1">SUMIFS($N:$N,$G:$G,G84,$I:$I,H84)</f>
        <v>0</v>
      </c>
      <c r="Q84" s="546" t="str">
        <f ca="1">IFERROR(P84/R84,"-")</f>
        <v>-</v>
      </c>
      <c r="R84" s="573">
        <f ca="1">SUMIFS($N:$N,$G:$G,G84)</f>
        <v>0</v>
      </c>
      <c r="S84" s="574">
        <f ca="1">SUMIFS('Water Use Calcs'!$W:$W,'Water Use Calcs'!$D:$D,'End Uses'!D84,'Water Use Calcs'!$G:$G,'End Uses'!G84,'Water Use Calcs'!$I:$I,'End Uses'!I84,'Water Use Calcs'!$J:$J,'End Uses'!J84)</f>
        <v>0</v>
      </c>
      <c r="T84" s="575">
        <f t="shared" ca="1" si="7"/>
        <v>0</v>
      </c>
      <c r="U84" s="571" t="str">
        <f ca="1">IFERROR(T84/X84,"-")</f>
        <v>-</v>
      </c>
      <c r="V84" s="572">
        <f ca="1">SUMIFS($T:$T,$G:$G,G84,$I:$I,H84)</f>
        <v>0</v>
      </c>
      <c r="W84" s="546" t="str">
        <f ca="1">IFERROR(V84/X84,"-")</f>
        <v>-</v>
      </c>
      <c r="X84" s="573">
        <f ca="1">SUMIFS($T:$T,$G:$G,G84)</f>
        <v>0</v>
      </c>
    </row>
    <row r="85" spans="3:24" x14ac:dyDescent="0.3">
      <c r="C85" s="576"/>
      <c r="D85" s="521" t="s">
        <v>412</v>
      </c>
      <c r="E85" s="521"/>
      <c r="F85" s="621"/>
      <c r="G85" s="494" t="s">
        <v>383</v>
      </c>
      <c r="H85" s="577"/>
      <c r="I85" s="450" t="s">
        <v>37</v>
      </c>
      <c r="J85" s="577" t="s">
        <v>4</v>
      </c>
      <c r="K85" s="598" t="s">
        <v>6</v>
      </c>
      <c r="L85" s="578">
        <f>SUMIFS('Airport Statistics'!$G:$G,'Airport Statistics'!$D:$D,G85,'Airport Statistics'!$F:$F,K85)</f>
        <v>0</v>
      </c>
      <c r="M85" s="579">
        <f ca="1">SUMIFS('Water Use Calcs'!$V:$V,'Water Use Calcs'!$D:$D,'End Uses'!D85,'Water Use Calcs'!$G:$G,'End Uses'!G85,'Water Use Calcs'!$I:$I,'End Uses'!I85,'Water Use Calcs'!$J:$J,'End Uses'!J85)</f>
        <v>0</v>
      </c>
      <c r="N85" s="580">
        <f t="shared" ca="1" si="8"/>
        <v>0</v>
      </c>
      <c r="O85" s="581" t="str">
        <f ca="1">IFERROR(N85/R84,"-")</f>
        <v>-</v>
      </c>
      <c r="P85" s="582"/>
      <c r="Q85" s="583"/>
      <c r="R85" s="584"/>
      <c r="S85" s="585">
        <f ca="1">SUMIFS('Water Use Calcs'!$W:$W,'Water Use Calcs'!$D:$D,'End Uses'!D85,'Water Use Calcs'!$G:$G,'End Uses'!G85,'Water Use Calcs'!$I:$I,'End Uses'!I85,'Water Use Calcs'!$J:$J,'End Uses'!J85)</f>
        <v>0</v>
      </c>
      <c r="T85" s="586">
        <f t="shared" ca="1" si="7"/>
        <v>0</v>
      </c>
      <c r="U85" s="581" t="str">
        <f ca="1">IFERROR(T85/X84,"-")</f>
        <v>-</v>
      </c>
      <c r="V85" s="582"/>
      <c r="W85" s="583"/>
      <c r="X85" s="584"/>
    </row>
    <row r="86" spans="3:24" x14ac:dyDescent="0.3">
      <c r="C86" s="576"/>
      <c r="D86" s="521" t="s">
        <v>412</v>
      </c>
      <c r="E86" s="521"/>
      <c r="F86" s="621"/>
      <c r="G86" s="494" t="s">
        <v>383</v>
      </c>
      <c r="H86" s="577"/>
      <c r="I86" s="450" t="s">
        <v>37</v>
      </c>
      <c r="J86" s="577" t="s">
        <v>33</v>
      </c>
      <c r="K86" s="598" t="s">
        <v>6</v>
      </c>
      <c r="L86" s="578">
        <f>SUMIFS('Airport Statistics'!$G:$G,'Airport Statistics'!$D:$D,G86,'Airport Statistics'!$F:$F,K86)</f>
        <v>0</v>
      </c>
      <c r="M86" s="579">
        <f ca="1">SUMIFS('Water Use Calcs'!$V:$V,'Water Use Calcs'!$D:$D,'End Uses'!D86,'Water Use Calcs'!$G:$G,'End Uses'!G86,'Water Use Calcs'!$I:$I,'End Uses'!I86,'Water Use Calcs'!$J:$J,'End Uses'!J86)</f>
        <v>0</v>
      </c>
      <c r="N86" s="580">
        <f t="shared" ca="1" si="8"/>
        <v>0</v>
      </c>
      <c r="O86" s="581" t="str">
        <f ca="1">IFERROR(N86/R84,"-")</f>
        <v>-</v>
      </c>
      <c r="P86" s="582"/>
      <c r="Q86" s="583"/>
      <c r="R86" s="584"/>
      <c r="S86" s="585">
        <f ca="1">SUMIFS('Water Use Calcs'!$W:$W,'Water Use Calcs'!$D:$D,'End Uses'!D86,'Water Use Calcs'!$G:$G,'End Uses'!G86,'Water Use Calcs'!$I:$I,'End Uses'!I86,'Water Use Calcs'!$J:$J,'End Uses'!J86)</f>
        <v>0</v>
      </c>
      <c r="T86" s="586">
        <f t="shared" ca="1" si="7"/>
        <v>0</v>
      </c>
      <c r="U86" s="581" t="str">
        <f ca="1">IFERROR(T86/X84,"-")</f>
        <v>-</v>
      </c>
      <c r="V86" s="582"/>
      <c r="W86" s="583"/>
      <c r="X86" s="584"/>
    </row>
    <row r="87" spans="3:24" x14ac:dyDescent="0.3">
      <c r="C87" s="576"/>
      <c r="D87" s="521" t="s">
        <v>412</v>
      </c>
      <c r="E87" s="521"/>
      <c r="F87" s="621"/>
      <c r="G87" s="494" t="s">
        <v>383</v>
      </c>
      <c r="H87" s="622" t="str">
        <f>I87</f>
        <v>Break rooms</v>
      </c>
      <c r="I87" s="623" t="s">
        <v>5</v>
      </c>
      <c r="J87" s="624" t="s">
        <v>33</v>
      </c>
      <c r="K87" s="625" t="s">
        <v>6</v>
      </c>
      <c r="L87" s="496">
        <f>SUMIFS('Airport Statistics'!$G:$G,'Airport Statistics'!$D:$D,G87,'Airport Statistics'!$F:$F,K87)</f>
        <v>0</v>
      </c>
      <c r="M87" s="626">
        <f ca="1">SUMIFS('Water Use Calcs'!$V:$V,'Water Use Calcs'!$D:$D,'End Uses'!D87,'Water Use Calcs'!$G:$G,'End Uses'!G87,'Water Use Calcs'!$I:$I,'End Uses'!I87,'Water Use Calcs'!$J:$J,'End Uses'!J87)</f>
        <v>0</v>
      </c>
      <c r="N87" s="627">
        <f t="shared" ca="1" si="8"/>
        <v>0</v>
      </c>
      <c r="O87" s="628" t="str">
        <f ca="1">IFERROR(N87/R84,"-")</f>
        <v>-</v>
      </c>
      <c r="P87" s="629">
        <f ca="1">SUMIFS($N:$N,$G:$G,G87,$I:$I,H87)</f>
        <v>0</v>
      </c>
      <c r="Q87" s="291" t="str">
        <f ca="1">IFERROR(P87/R84,"-")</f>
        <v>-</v>
      </c>
      <c r="R87" s="584"/>
      <c r="S87" s="630">
        <f ca="1">SUMIFS('Water Use Calcs'!$W:$W,'Water Use Calcs'!$D:$D,'End Uses'!D87,'Water Use Calcs'!$G:$G,'End Uses'!G87,'Water Use Calcs'!$I:$I,'End Uses'!I87,'Water Use Calcs'!$J:$J,'End Uses'!J87)</f>
        <v>0</v>
      </c>
      <c r="T87" s="631">
        <f t="shared" ca="1" si="7"/>
        <v>0</v>
      </c>
      <c r="U87" s="628" t="str">
        <f ca="1">IFERROR(T87/X84,"-")</f>
        <v>-</v>
      </c>
      <c r="V87" s="629">
        <f ca="1">SUMIFS($T:$T,$G:$G,G87,$I:$I,H87)</f>
        <v>0</v>
      </c>
      <c r="W87" s="291" t="str">
        <f ca="1">IFERROR(V87/X84,"-")</f>
        <v>-</v>
      </c>
      <c r="X87" s="584"/>
    </row>
    <row r="88" spans="3:24" x14ac:dyDescent="0.3">
      <c r="C88" s="576"/>
      <c r="D88" s="521" t="s">
        <v>412</v>
      </c>
      <c r="E88" s="521"/>
      <c r="F88" s="621"/>
      <c r="G88" s="494" t="s">
        <v>383</v>
      </c>
      <c r="H88" s="622" t="str">
        <f>I88</f>
        <v>Landscaping</v>
      </c>
      <c r="I88" s="623" t="s">
        <v>39</v>
      </c>
      <c r="J88" s="624" t="s">
        <v>42</v>
      </c>
      <c r="K88" s="20" t="s">
        <v>120</v>
      </c>
      <c r="L88" s="496">
        <f>SUMIFS('Airport Statistics'!$G:$G,'Airport Statistics'!$D:$D,G88,'Airport Statistics'!$F:$F,K88)</f>
        <v>0</v>
      </c>
      <c r="M88" s="626">
        <f ca="1">SUMIFS('Water Use Calcs'!$V:$V,'Water Use Calcs'!$D:$D,'End Uses'!D88,'Water Use Calcs'!$G:$G,'End Uses'!G88,'Water Use Calcs'!$I:$I,'End Uses'!I88,'Water Use Calcs'!$J:$J,'End Uses'!J88)</f>
        <v>0</v>
      </c>
      <c r="N88" s="627">
        <f t="shared" ca="1" si="8"/>
        <v>0</v>
      </c>
      <c r="O88" s="628" t="str">
        <f ca="1">IFERROR(N88/R84,"-")</f>
        <v>-</v>
      </c>
      <c r="P88" s="629">
        <f ca="1">SUMIFS($N:$N,$G:$G,G88,$I:$I,H88)</f>
        <v>0</v>
      </c>
      <c r="Q88" s="291" t="str">
        <f ca="1">IFERROR(P88/R84,"-")</f>
        <v>-</v>
      </c>
      <c r="R88" s="584"/>
      <c r="S88" s="630">
        <f ca="1">SUMIFS('Water Use Calcs'!$W:$W,'Water Use Calcs'!$D:$D,'End Uses'!D88,'Water Use Calcs'!$G:$G,'End Uses'!G88,'Water Use Calcs'!$I:$I,'End Uses'!I88,'Water Use Calcs'!$J:$J,'End Uses'!J88)</f>
        <v>0</v>
      </c>
      <c r="T88" s="631">
        <f t="shared" ca="1" si="7"/>
        <v>0</v>
      </c>
      <c r="U88" s="628" t="str">
        <f ca="1">IFERROR(T88/X84,"-")</f>
        <v>-</v>
      </c>
      <c r="V88" s="629">
        <f ca="1">SUMIFS($T:$T,$G:$G,G88,$I:$I,H88)</f>
        <v>0</v>
      </c>
      <c r="W88" s="291" t="str">
        <f ca="1">IFERROR(V88/X84,"-")</f>
        <v>-</v>
      </c>
      <c r="X88" s="584"/>
    </row>
    <row r="89" spans="3:24" x14ac:dyDescent="0.3">
      <c r="C89" s="576"/>
      <c r="D89" s="521" t="s">
        <v>412</v>
      </c>
      <c r="E89" s="521"/>
      <c r="F89" s="621"/>
      <c r="G89" s="494" t="s">
        <v>383</v>
      </c>
      <c r="H89" s="588" t="str">
        <f>I89</f>
        <v>Maintenance</v>
      </c>
      <c r="I89" s="455" t="s">
        <v>43</v>
      </c>
      <c r="J89" s="17" t="s">
        <v>111</v>
      </c>
      <c r="K89" s="599" t="s">
        <v>424</v>
      </c>
      <c r="L89" s="591">
        <f>SUMIFS('Airport Statistics'!$G:$G,'Airport Statistics'!$D:$D,G89,'Airport Statistics'!$F:$F,K89)</f>
        <v>0</v>
      </c>
      <c r="M89" s="592">
        <f ca="1">SUMIFS('Water Use Calcs'!$V:$V,'Water Use Calcs'!$D:$D,'End Uses'!D89,'Water Use Calcs'!$G:$G,'End Uses'!G89,'Water Use Calcs'!$I:$I,'End Uses'!I89,'Water Use Calcs'!$J:$J,'End Uses'!J89)</f>
        <v>0</v>
      </c>
      <c r="N89" s="593">
        <f t="shared" ca="1" si="8"/>
        <v>0</v>
      </c>
      <c r="O89" s="594" t="str">
        <f ca="1">IFERROR(N89/R84,"-")</f>
        <v>-</v>
      </c>
      <c r="P89" s="595">
        <f ca="1">SUMIFS($N:$N,$G:$G,G89,$I:$I,H89)</f>
        <v>0</v>
      </c>
      <c r="Q89" s="547" t="str">
        <f ca="1">IFERROR(P89/R84,"-")</f>
        <v>-</v>
      </c>
      <c r="R89" s="584"/>
      <c r="S89" s="596">
        <f ca="1">SUMIFS('Water Use Calcs'!$W:$W,'Water Use Calcs'!$D:$D,'End Uses'!D89,'Water Use Calcs'!$G:$G,'End Uses'!G89,'Water Use Calcs'!$I:$I,'End Uses'!I89,'Water Use Calcs'!$J:$J,'End Uses'!J89)</f>
        <v>0</v>
      </c>
      <c r="T89" s="597">
        <f t="shared" ca="1" si="7"/>
        <v>0</v>
      </c>
      <c r="U89" s="594" t="str">
        <f ca="1">IFERROR(T89/X84,"-")</f>
        <v>-</v>
      </c>
      <c r="V89" s="595">
        <f ca="1">SUMIFS($T:$T,$G:$G,G89,$I:$I,H89)</f>
        <v>0</v>
      </c>
      <c r="W89" s="547" t="str">
        <f ca="1">IFERROR(V89/X84,"-")</f>
        <v>-</v>
      </c>
      <c r="X89" s="584"/>
    </row>
    <row r="90" spans="3:24" x14ac:dyDescent="0.3">
      <c r="C90" s="576"/>
      <c r="D90" s="521" t="s">
        <v>412</v>
      </c>
      <c r="E90" s="521"/>
      <c r="F90" s="621"/>
      <c r="G90" s="494" t="s">
        <v>383</v>
      </c>
      <c r="H90" s="577"/>
      <c r="I90" s="450" t="s">
        <v>43</v>
      </c>
      <c r="J90" s="18" t="s">
        <v>7</v>
      </c>
      <c r="K90" s="183" t="s">
        <v>365</v>
      </c>
      <c r="L90" s="600"/>
      <c r="M90" s="601">
        <f ca="1">SUMIFS('Water Use Calcs'!$V:$V,'Water Use Calcs'!$D:$D,'End Uses'!D90,'Water Use Calcs'!$G:$G,'End Uses'!G90,'Water Use Calcs'!$I:$I,'End Uses'!I90,'Water Use Calcs'!$J:$J,'End Uses'!J90)</f>
        <v>0</v>
      </c>
      <c r="N90" s="580">
        <f ca="1">M90</f>
        <v>0</v>
      </c>
      <c r="O90" s="581" t="str">
        <f ca="1">IFERROR(N90/R84,"-")</f>
        <v>-</v>
      </c>
      <c r="P90" s="404"/>
      <c r="Q90" s="548"/>
      <c r="R90" s="584"/>
      <c r="S90" s="585">
        <f ca="1">SUMIFS('Water Use Calcs'!$W:$W,'Water Use Calcs'!$D:$D,'End Uses'!D90,'Water Use Calcs'!$G:$G,'End Uses'!G90,'Water Use Calcs'!$I:$I,'End Uses'!I90,'Water Use Calcs'!$J:$J,'End Uses'!J90)</f>
        <v>0</v>
      </c>
      <c r="T90" s="586">
        <f ca="1">S90</f>
        <v>0</v>
      </c>
      <c r="U90" s="581" t="str">
        <f ca="1">IFERROR(T90/X84,"-")</f>
        <v>-</v>
      </c>
      <c r="V90" s="404"/>
      <c r="W90" s="548"/>
      <c r="X90" s="584"/>
    </row>
    <row r="91" spans="3:24" x14ac:dyDescent="0.3">
      <c r="C91" s="576"/>
      <c r="D91" s="521" t="s">
        <v>412</v>
      </c>
      <c r="E91" s="521"/>
      <c r="F91" s="621"/>
      <c r="G91" s="494" t="s">
        <v>383</v>
      </c>
      <c r="H91" s="588" t="str">
        <f>I91</f>
        <v>Other</v>
      </c>
      <c r="I91" s="455" t="s">
        <v>8</v>
      </c>
      <c r="J91" s="589" t="s">
        <v>52</v>
      </c>
      <c r="K91" s="602" t="s">
        <v>362</v>
      </c>
      <c r="L91" s="591">
        <f>SUMIFS('Airport Statistics'!$G:$G,'Airport Statistics'!$D:$D,G91,'Airport Statistics'!$F:$F,K91)</f>
        <v>0</v>
      </c>
      <c r="M91" s="592">
        <f ca="1">SUMIFS('Water Use Calcs'!$V:$V,'Water Use Calcs'!$D:$D,'End Uses'!D91,'Water Use Calcs'!$G:$G,'End Uses'!G91,'Water Use Calcs'!$I:$I,'End Uses'!I91,'Water Use Calcs'!$J:$J,'End Uses'!J91)</f>
        <v>0</v>
      </c>
      <c r="N91" s="593">
        <f t="shared" ca="1" si="8"/>
        <v>0</v>
      </c>
      <c r="O91" s="594" t="str">
        <f ca="1">IFERROR(N91/R84,"-")</f>
        <v>-</v>
      </c>
      <c r="P91" s="595">
        <f ca="1">SUMIFS($N:$N,$G:$G,G91,$I:$I,H91)</f>
        <v>0</v>
      </c>
      <c r="Q91" s="547" t="str">
        <f ca="1">IFERROR(P91/R84,"-")</f>
        <v>-</v>
      </c>
      <c r="R91" s="584"/>
      <c r="S91" s="596">
        <f ca="1">SUMIFS('Water Use Calcs'!$W:$W,'Water Use Calcs'!$D:$D,'End Uses'!D91,'Water Use Calcs'!$G:$G,'End Uses'!G91,'Water Use Calcs'!$I:$I,'End Uses'!I91,'Water Use Calcs'!$J:$J,'End Uses'!J91)</f>
        <v>0</v>
      </c>
      <c r="T91" s="597">
        <f t="shared" ca="1" si="7"/>
        <v>0</v>
      </c>
      <c r="U91" s="594" t="str">
        <f ca="1">IFERROR(T91/X84,"-")</f>
        <v>-</v>
      </c>
      <c r="V91" s="595">
        <f ca="1">SUMIFS($T:$T,$G:$G,G91,$I:$I,H91)</f>
        <v>0</v>
      </c>
      <c r="W91" s="547" t="str">
        <f ca="1">IFERROR(V91/X84,"-")</f>
        <v>-</v>
      </c>
      <c r="X91" s="584"/>
    </row>
    <row r="92" spans="3:24" s="45" customFormat="1" ht="13.2" customHeight="1" x14ac:dyDescent="0.3">
      <c r="C92" s="576"/>
      <c r="D92" s="521" t="s">
        <v>412</v>
      </c>
      <c r="E92" s="521"/>
      <c r="F92" s="621"/>
      <c r="G92" s="494" t="s">
        <v>383</v>
      </c>
      <c r="H92" s="577"/>
      <c r="I92" s="450" t="s">
        <v>8</v>
      </c>
      <c r="J92" s="577" t="s">
        <v>53</v>
      </c>
      <c r="K92" s="439" t="s">
        <v>363</v>
      </c>
      <c r="L92" s="578">
        <f>SUMIFS('Airport Statistics'!$G:$G,'Airport Statistics'!$D:$D,G92,'Airport Statistics'!$F:$F,K92)</f>
        <v>0</v>
      </c>
      <c r="M92" s="579">
        <f ca="1">SUMIFS('Water Use Calcs'!$V:$V,'Water Use Calcs'!$D:$D,'End Uses'!D92,'Water Use Calcs'!$G:$G,'End Uses'!G92,'Water Use Calcs'!$I:$I,'End Uses'!I92,'Water Use Calcs'!$J:$J,'End Uses'!J92)</f>
        <v>0</v>
      </c>
      <c r="N92" s="580">
        <f t="shared" ca="1" si="8"/>
        <v>0</v>
      </c>
      <c r="O92" s="581" t="str">
        <f ca="1">IFERROR(N92/R84,"-")</f>
        <v>-</v>
      </c>
      <c r="P92" s="404"/>
      <c r="Q92" s="548"/>
      <c r="R92" s="584"/>
      <c r="S92" s="585">
        <f ca="1">SUMIFS('Water Use Calcs'!$W:$W,'Water Use Calcs'!$D:$D,'End Uses'!D92,'Water Use Calcs'!$G:$G,'End Uses'!G92,'Water Use Calcs'!$I:$I,'End Uses'!I92,'Water Use Calcs'!$J:$J,'End Uses'!J92)</f>
        <v>0</v>
      </c>
      <c r="T92" s="586">
        <f t="shared" ca="1" si="7"/>
        <v>0</v>
      </c>
      <c r="U92" s="581" t="str">
        <f ca="1">IFERROR(T92/X84,"-")</f>
        <v>-</v>
      </c>
      <c r="V92" s="404"/>
      <c r="W92" s="548"/>
      <c r="X92" s="584"/>
    </row>
    <row r="93" spans="3:24" s="45" customFormat="1" ht="13.2" customHeight="1" thickBot="1" x14ac:dyDescent="0.35">
      <c r="C93" s="576"/>
      <c r="D93" s="521" t="s">
        <v>412</v>
      </c>
      <c r="E93" s="521"/>
      <c r="F93" s="621"/>
      <c r="G93" s="494" t="s">
        <v>383</v>
      </c>
      <c r="H93" s="116"/>
      <c r="I93" s="451" t="s">
        <v>8</v>
      </c>
      <c r="J93" s="116" t="s">
        <v>54</v>
      </c>
      <c r="K93" s="606" t="s">
        <v>364</v>
      </c>
      <c r="L93" s="607">
        <f>SUMIFS('Airport Statistics'!$G:$G,'Airport Statistics'!$D:$D,G93,'Airport Statistics'!$F:$F,K93)</f>
        <v>0</v>
      </c>
      <c r="M93" s="608">
        <f ca="1">SUMIFS('Water Use Calcs'!$V:$V,'Water Use Calcs'!$D:$D,'End Uses'!D93,'Water Use Calcs'!$G:$G,'End Uses'!G93,'Water Use Calcs'!$I:$I,'End Uses'!I93,'Water Use Calcs'!$J:$J,'End Uses'!J93)</f>
        <v>0</v>
      </c>
      <c r="N93" s="609">
        <f t="shared" ca="1" si="8"/>
        <v>0</v>
      </c>
      <c r="O93" s="616" t="str">
        <f ca="1">IFERROR(N93/R84,"-")</f>
        <v>-</v>
      </c>
      <c r="P93" s="550"/>
      <c r="Q93" s="550"/>
      <c r="R93" s="613"/>
      <c r="S93" s="614">
        <f ca="1">SUMIFS('Water Use Calcs'!$W:$W,'Water Use Calcs'!$D:$D,'End Uses'!D93,'Water Use Calcs'!$G:$G,'End Uses'!G93,'Water Use Calcs'!$I:$I,'End Uses'!I93,'Water Use Calcs'!$J:$J,'End Uses'!J93)</f>
        <v>0</v>
      </c>
      <c r="T93" s="615">
        <f t="shared" ca="1" si="7"/>
        <v>0</v>
      </c>
      <c r="U93" s="616" t="str">
        <f ca="1">IFERROR(T93/X84,"-")</f>
        <v>-</v>
      </c>
      <c r="V93" s="550"/>
      <c r="W93" s="550"/>
      <c r="X93" s="613"/>
    </row>
    <row r="94" spans="3:24" s="45" customFormat="1" ht="13.2" customHeight="1" x14ac:dyDescent="0.3">
      <c r="C94" s="576"/>
      <c r="D94" s="521" t="s">
        <v>412</v>
      </c>
      <c r="E94" s="617" t="str">
        <f>G94</f>
        <v>Office Building B</v>
      </c>
      <c r="F94" s="565" t="str">
        <f>VLOOKUP(E94,'Airport Mapping'!$C$5:$D$39,2,FALSE)</f>
        <v xml:space="preserve"> </v>
      </c>
      <c r="G94" s="566" t="s">
        <v>384</v>
      </c>
      <c r="H94" s="564" t="str">
        <f>I94</f>
        <v>Restrooms</v>
      </c>
      <c r="I94" s="454" t="s">
        <v>37</v>
      </c>
      <c r="J94" s="567" t="s">
        <v>2</v>
      </c>
      <c r="K94" s="620" t="s">
        <v>6</v>
      </c>
      <c r="L94" s="568">
        <f>SUMIFS('Airport Statistics'!$G:$G,'Airport Statistics'!$D:$D,G94,'Airport Statistics'!$F:$F,K94)</f>
        <v>0</v>
      </c>
      <c r="M94" s="569">
        <f ca="1">SUMIFS('Water Use Calcs'!$V:$V,'Water Use Calcs'!$D:$D,'End Uses'!D94,'Water Use Calcs'!$G:$G,'End Uses'!G94,'Water Use Calcs'!$I:$I,'End Uses'!I94,'Water Use Calcs'!$J:$J,'End Uses'!J94)</f>
        <v>0</v>
      </c>
      <c r="N94" s="570">
        <f t="shared" ref="N94:N113" ca="1" si="9">L94*M94</f>
        <v>0</v>
      </c>
      <c r="O94" s="571" t="str">
        <f ca="1">IFERROR(N94/R94,"-")</f>
        <v>-</v>
      </c>
      <c r="P94" s="572">
        <f ca="1">SUMIFS($N:$N,$G:$G,G94,$I:$I,H94)</f>
        <v>0</v>
      </c>
      <c r="Q94" s="546" t="str">
        <f ca="1">IFERROR(P94/R94,"-")</f>
        <v>-</v>
      </c>
      <c r="R94" s="573">
        <f ca="1">SUMIFS($N:$N,$G:$G,G94)</f>
        <v>0</v>
      </c>
      <c r="S94" s="574">
        <f ca="1">SUMIFS('Water Use Calcs'!$W:$W,'Water Use Calcs'!$D:$D,'End Uses'!D94,'Water Use Calcs'!$G:$G,'End Uses'!G94,'Water Use Calcs'!$I:$I,'End Uses'!I94,'Water Use Calcs'!$J:$J,'End Uses'!J94)</f>
        <v>3.2</v>
      </c>
      <c r="T94" s="575">
        <f t="shared" ca="1" si="7"/>
        <v>0</v>
      </c>
      <c r="U94" s="571" t="str">
        <f ca="1">IFERROR(T94/X94,"-")</f>
        <v>-</v>
      </c>
      <c r="V94" s="572">
        <f ca="1">SUMIFS($T:$T,$G:$G,G94,$I:$I,H94)</f>
        <v>0</v>
      </c>
      <c r="W94" s="546" t="str">
        <f ca="1">IFERROR(V94/X94,"-")</f>
        <v>-</v>
      </c>
      <c r="X94" s="573">
        <f ca="1">SUMIFS($T:$T,$G:$G,G94)</f>
        <v>0</v>
      </c>
    </row>
    <row r="95" spans="3:24" x14ac:dyDescent="0.3">
      <c r="C95" s="576"/>
      <c r="D95" s="521" t="s">
        <v>412</v>
      </c>
      <c r="E95" s="521"/>
      <c r="F95" s="621"/>
      <c r="G95" s="494" t="s">
        <v>384</v>
      </c>
      <c r="H95" s="577"/>
      <c r="I95" s="450" t="s">
        <v>37</v>
      </c>
      <c r="J95" s="577" t="s">
        <v>4</v>
      </c>
      <c r="K95" s="598" t="s">
        <v>6</v>
      </c>
      <c r="L95" s="578">
        <f>SUMIFS('Airport Statistics'!$G:$G,'Airport Statistics'!$D:$D,G95,'Airport Statistics'!$F:$F,K95)</f>
        <v>0</v>
      </c>
      <c r="M95" s="579">
        <f ca="1">SUMIFS('Water Use Calcs'!$V:$V,'Water Use Calcs'!$D:$D,'End Uses'!D95,'Water Use Calcs'!$G:$G,'End Uses'!G95,'Water Use Calcs'!$I:$I,'End Uses'!I95,'Water Use Calcs'!$J:$J,'End Uses'!J95)</f>
        <v>0</v>
      </c>
      <c r="N95" s="580">
        <f t="shared" ca="1" si="9"/>
        <v>0</v>
      </c>
      <c r="O95" s="581" t="str">
        <f ca="1">IFERROR(N95/R94,"-")</f>
        <v>-</v>
      </c>
      <c r="P95" s="582"/>
      <c r="Q95" s="583"/>
      <c r="R95" s="584"/>
      <c r="S95" s="585">
        <f ca="1">SUMIFS('Water Use Calcs'!$W:$W,'Water Use Calcs'!$D:$D,'End Uses'!D95,'Water Use Calcs'!$G:$G,'End Uses'!G95,'Water Use Calcs'!$I:$I,'End Uses'!I95,'Water Use Calcs'!$J:$J,'End Uses'!J95)</f>
        <v>0</v>
      </c>
      <c r="T95" s="586">
        <f t="shared" ca="1" si="7"/>
        <v>0</v>
      </c>
      <c r="U95" s="581" t="str">
        <f ca="1">IFERROR(T95/X94,"-")</f>
        <v>-</v>
      </c>
      <c r="V95" s="582"/>
      <c r="W95" s="583"/>
      <c r="X95" s="584"/>
    </row>
    <row r="96" spans="3:24" x14ac:dyDescent="0.3">
      <c r="C96" s="576"/>
      <c r="D96" s="521" t="s">
        <v>412</v>
      </c>
      <c r="E96" s="521"/>
      <c r="F96" s="621"/>
      <c r="G96" s="494" t="s">
        <v>384</v>
      </c>
      <c r="H96" s="577"/>
      <c r="I96" s="450" t="s">
        <v>37</v>
      </c>
      <c r="J96" s="577" t="s">
        <v>33</v>
      </c>
      <c r="K96" s="598" t="s">
        <v>6</v>
      </c>
      <c r="L96" s="578">
        <f>SUMIFS('Airport Statistics'!$G:$G,'Airport Statistics'!$D:$D,G96,'Airport Statistics'!$F:$F,K96)</f>
        <v>0</v>
      </c>
      <c r="M96" s="579">
        <f ca="1">SUMIFS('Water Use Calcs'!$V:$V,'Water Use Calcs'!$D:$D,'End Uses'!D96,'Water Use Calcs'!$G:$G,'End Uses'!G96,'Water Use Calcs'!$I:$I,'End Uses'!I96,'Water Use Calcs'!$J:$J,'End Uses'!J96)</f>
        <v>0</v>
      </c>
      <c r="N96" s="580">
        <f t="shared" ca="1" si="9"/>
        <v>0</v>
      </c>
      <c r="O96" s="581" t="str">
        <f ca="1">IFERROR(N96/R94,"-")</f>
        <v>-</v>
      </c>
      <c r="P96" s="582"/>
      <c r="Q96" s="583"/>
      <c r="R96" s="584"/>
      <c r="S96" s="585">
        <f ca="1">SUMIFS('Water Use Calcs'!$W:$W,'Water Use Calcs'!$D:$D,'End Uses'!D96,'Water Use Calcs'!$G:$G,'End Uses'!G96,'Water Use Calcs'!$I:$I,'End Uses'!I96,'Water Use Calcs'!$J:$J,'End Uses'!J96)</f>
        <v>0</v>
      </c>
      <c r="T96" s="586">
        <f t="shared" ca="1" si="7"/>
        <v>0</v>
      </c>
      <c r="U96" s="581" t="str">
        <f ca="1">IFERROR(T96/X94,"-")</f>
        <v>-</v>
      </c>
      <c r="V96" s="582"/>
      <c r="W96" s="583"/>
      <c r="X96" s="584"/>
    </row>
    <row r="97" spans="3:24" x14ac:dyDescent="0.3">
      <c r="C97" s="576"/>
      <c r="D97" s="521" t="s">
        <v>412</v>
      </c>
      <c r="E97" s="521"/>
      <c r="F97" s="621"/>
      <c r="G97" s="494" t="s">
        <v>384</v>
      </c>
      <c r="H97" s="622" t="str">
        <f>I97</f>
        <v>Break rooms</v>
      </c>
      <c r="I97" s="623" t="s">
        <v>5</v>
      </c>
      <c r="J97" s="624" t="s">
        <v>33</v>
      </c>
      <c r="K97" s="625" t="s">
        <v>6</v>
      </c>
      <c r="L97" s="496">
        <f>SUMIFS('Airport Statistics'!$G:$G,'Airport Statistics'!$D:$D,G97,'Airport Statistics'!$F:$F,K97)</f>
        <v>0</v>
      </c>
      <c r="M97" s="626">
        <f ca="1">SUMIFS('Water Use Calcs'!$V:$V,'Water Use Calcs'!$D:$D,'End Uses'!D97,'Water Use Calcs'!$G:$G,'End Uses'!G97,'Water Use Calcs'!$I:$I,'End Uses'!I97,'Water Use Calcs'!$J:$J,'End Uses'!J97)</f>
        <v>0</v>
      </c>
      <c r="N97" s="627">
        <f t="shared" ca="1" si="9"/>
        <v>0</v>
      </c>
      <c r="O97" s="628" t="str">
        <f ca="1">IFERROR(N97/R94,"-")</f>
        <v>-</v>
      </c>
      <c r="P97" s="629">
        <f ca="1">SUMIFS($N:$N,$G:$G,G97,$I:$I,H97)</f>
        <v>0</v>
      </c>
      <c r="Q97" s="291" t="str">
        <f ca="1">IFERROR(P97/R94,"-")</f>
        <v>-</v>
      </c>
      <c r="R97" s="584"/>
      <c r="S97" s="630">
        <f ca="1">SUMIFS('Water Use Calcs'!$W:$W,'Water Use Calcs'!$D:$D,'End Uses'!D97,'Water Use Calcs'!$G:$G,'End Uses'!G97,'Water Use Calcs'!$I:$I,'End Uses'!I97,'Water Use Calcs'!$J:$J,'End Uses'!J97)</f>
        <v>0</v>
      </c>
      <c r="T97" s="631">
        <f t="shared" ca="1" si="7"/>
        <v>0</v>
      </c>
      <c r="U97" s="628" t="str">
        <f ca="1">IFERROR(T97/X94,"-")</f>
        <v>-</v>
      </c>
      <c r="V97" s="629">
        <f ca="1">SUMIFS($T:$T,$G:$G,G97,$I:$I,H97)</f>
        <v>0</v>
      </c>
      <c r="W97" s="291" t="str">
        <f ca="1">IFERROR(V97/X94,"-")</f>
        <v>-</v>
      </c>
      <c r="X97" s="584"/>
    </row>
    <row r="98" spans="3:24" x14ac:dyDescent="0.3">
      <c r="C98" s="576"/>
      <c r="D98" s="521" t="s">
        <v>412</v>
      </c>
      <c r="E98" s="521"/>
      <c r="F98" s="621"/>
      <c r="G98" s="494" t="s">
        <v>384</v>
      </c>
      <c r="H98" s="622" t="str">
        <f>I98</f>
        <v>Landscaping</v>
      </c>
      <c r="I98" s="623" t="s">
        <v>39</v>
      </c>
      <c r="J98" s="624" t="s">
        <v>42</v>
      </c>
      <c r="K98" s="20" t="s">
        <v>120</v>
      </c>
      <c r="L98" s="496">
        <f>SUMIFS('Airport Statistics'!$G:$G,'Airport Statistics'!$D:$D,G98,'Airport Statistics'!$F:$F,K98)</f>
        <v>0</v>
      </c>
      <c r="M98" s="626">
        <f ca="1">SUMIFS('Water Use Calcs'!$V:$V,'Water Use Calcs'!$D:$D,'End Uses'!D98,'Water Use Calcs'!$G:$G,'End Uses'!G98,'Water Use Calcs'!$I:$I,'End Uses'!I98,'Water Use Calcs'!$J:$J,'End Uses'!J98)</f>
        <v>0</v>
      </c>
      <c r="N98" s="627">
        <f t="shared" ca="1" si="9"/>
        <v>0</v>
      </c>
      <c r="O98" s="628" t="str">
        <f ca="1">IFERROR(N98/R94,"-")</f>
        <v>-</v>
      </c>
      <c r="P98" s="629">
        <f ca="1">SUMIFS($N:$N,$G:$G,G98,$I:$I,H98)</f>
        <v>0</v>
      </c>
      <c r="Q98" s="291" t="str">
        <f ca="1">IFERROR(P98/R94,"-")</f>
        <v>-</v>
      </c>
      <c r="R98" s="584"/>
      <c r="S98" s="630">
        <f ca="1">SUMIFS('Water Use Calcs'!$W:$W,'Water Use Calcs'!$D:$D,'End Uses'!D98,'Water Use Calcs'!$G:$G,'End Uses'!G98,'Water Use Calcs'!$I:$I,'End Uses'!I98,'Water Use Calcs'!$J:$J,'End Uses'!J98)</f>
        <v>0</v>
      </c>
      <c r="T98" s="631">
        <f t="shared" ca="1" si="7"/>
        <v>0</v>
      </c>
      <c r="U98" s="628" t="str">
        <f ca="1">IFERROR(T98/X94,"-")</f>
        <v>-</v>
      </c>
      <c r="V98" s="629">
        <f ca="1">SUMIFS($T:$T,$G:$G,G98,$I:$I,H98)</f>
        <v>0</v>
      </c>
      <c r="W98" s="291" t="str">
        <f ca="1">IFERROR(V98/X94,"-")</f>
        <v>-</v>
      </c>
      <c r="X98" s="584"/>
    </row>
    <row r="99" spans="3:24" x14ac:dyDescent="0.3">
      <c r="C99" s="576"/>
      <c r="D99" s="521" t="s">
        <v>412</v>
      </c>
      <c r="E99" s="521"/>
      <c r="F99" s="621"/>
      <c r="G99" s="494" t="s">
        <v>384</v>
      </c>
      <c r="H99" s="588" t="str">
        <f>I99</f>
        <v>Maintenance</v>
      </c>
      <c r="I99" s="455" t="s">
        <v>43</v>
      </c>
      <c r="J99" s="17" t="s">
        <v>111</v>
      </c>
      <c r="K99" s="599" t="s">
        <v>424</v>
      </c>
      <c r="L99" s="591">
        <f>SUMIFS('Airport Statistics'!$G:$G,'Airport Statistics'!$D:$D,G99,'Airport Statistics'!$F:$F,K99)</f>
        <v>0</v>
      </c>
      <c r="M99" s="592">
        <f ca="1">SUMIFS('Water Use Calcs'!$V:$V,'Water Use Calcs'!$D:$D,'End Uses'!D99,'Water Use Calcs'!$G:$G,'End Uses'!G99,'Water Use Calcs'!$I:$I,'End Uses'!I99,'Water Use Calcs'!$J:$J,'End Uses'!J99)</f>
        <v>0</v>
      </c>
      <c r="N99" s="593">
        <f t="shared" ca="1" si="9"/>
        <v>0</v>
      </c>
      <c r="O99" s="594" t="str">
        <f ca="1">IFERROR(N99/R94,"-")</f>
        <v>-</v>
      </c>
      <c r="P99" s="595">
        <f ca="1">SUMIFS($N:$N,$G:$G,G99,$I:$I,H99)</f>
        <v>0</v>
      </c>
      <c r="Q99" s="547" t="str">
        <f ca="1">IFERROR(P99/R94,"-")</f>
        <v>-</v>
      </c>
      <c r="R99" s="584"/>
      <c r="S99" s="596">
        <f ca="1">SUMIFS('Water Use Calcs'!$W:$W,'Water Use Calcs'!$D:$D,'End Uses'!D99,'Water Use Calcs'!$G:$G,'End Uses'!G99,'Water Use Calcs'!$I:$I,'End Uses'!I99,'Water Use Calcs'!$J:$J,'End Uses'!J99)</f>
        <v>0</v>
      </c>
      <c r="T99" s="597">
        <f t="shared" ca="1" si="7"/>
        <v>0</v>
      </c>
      <c r="U99" s="594" t="str">
        <f ca="1">IFERROR(T99/X94,"-")</f>
        <v>-</v>
      </c>
      <c r="V99" s="595">
        <f ca="1">SUMIFS($T:$T,$G:$G,G99,$I:$I,H99)</f>
        <v>0</v>
      </c>
      <c r="W99" s="547" t="str">
        <f ca="1">IFERROR(V99/X94,"-")</f>
        <v>-</v>
      </c>
      <c r="X99" s="584"/>
    </row>
    <row r="100" spans="3:24" x14ac:dyDescent="0.3">
      <c r="C100" s="576"/>
      <c r="D100" s="521" t="s">
        <v>412</v>
      </c>
      <c r="E100" s="521"/>
      <c r="F100" s="621"/>
      <c r="G100" s="494" t="s">
        <v>384</v>
      </c>
      <c r="H100" s="577"/>
      <c r="I100" s="450" t="s">
        <v>43</v>
      </c>
      <c r="J100" s="18" t="s">
        <v>7</v>
      </c>
      <c r="K100" s="183" t="s">
        <v>365</v>
      </c>
      <c r="L100" s="600"/>
      <c r="M100" s="601">
        <f ca="1">SUMIFS('Water Use Calcs'!$V:$V,'Water Use Calcs'!$D:$D,'End Uses'!D100,'Water Use Calcs'!$G:$G,'End Uses'!G100,'Water Use Calcs'!$I:$I,'End Uses'!I100,'Water Use Calcs'!$J:$J,'End Uses'!J100)</f>
        <v>0</v>
      </c>
      <c r="N100" s="580">
        <f ca="1">M100</f>
        <v>0</v>
      </c>
      <c r="O100" s="581" t="str">
        <f ca="1">IFERROR(N100/R94,"-")</f>
        <v>-</v>
      </c>
      <c r="P100" s="404"/>
      <c r="Q100" s="548"/>
      <c r="R100" s="584"/>
      <c r="S100" s="585">
        <f ca="1">SUMIFS('Water Use Calcs'!$W:$W,'Water Use Calcs'!$D:$D,'End Uses'!D100,'Water Use Calcs'!$G:$G,'End Uses'!G100,'Water Use Calcs'!$I:$I,'End Uses'!I100,'Water Use Calcs'!$J:$J,'End Uses'!J100)</f>
        <v>0</v>
      </c>
      <c r="T100" s="586">
        <f ca="1">S100</f>
        <v>0</v>
      </c>
      <c r="U100" s="581" t="str">
        <f ca="1">IFERROR(T100/X94,"-")</f>
        <v>-</v>
      </c>
      <c r="V100" s="404"/>
      <c r="W100" s="548"/>
      <c r="X100" s="584"/>
    </row>
    <row r="101" spans="3:24" x14ac:dyDescent="0.3">
      <c r="C101" s="576"/>
      <c r="D101" s="521" t="s">
        <v>412</v>
      </c>
      <c r="E101" s="521"/>
      <c r="F101" s="621"/>
      <c r="G101" s="494" t="s">
        <v>384</v>
      </c>
      <c r="H101" s="588" t="str">
        <f>I101</f>
        <v>Other</v>
      </c>
      <c r="I101" s="455" t="s">
        <v>8</v>
      </c>
      <c r="J101" s="589" t="s">
        <v>52</v>
      </c>
      <c r="K101" s="602" t="s">
        <v>362</v>
      </c>
      <c r="L101" s="591">
        <f>SUMIFS('Airport Statistics'!$G:$G,'Airport Statistics'!$D:$D,G101,'Airport Statistics'!$F:$F,K101)</f>
        <v>0</v>
      </c>
      <c r="M101" s="592">
        <f ca="1">SUMIFS('Water Use Calcs'!$V:$V,'Water Use Calcs'!$D:$D,'End Uses'!D101,'Water Use Calcs'!$G:$G,'End Uses'!G101,'Water Use Calcs'!$I:$I,'End Uses'!I101,'Water Use Calcs'!$J:$J,'End Uses'!J101)</f>
        <v>0</v>
      </c>
      <c r="N101" s="593">
        <f t="shared" ca="1" si="9"/>
        <v>0</v>
      </c>
      <c r="O101" s="594" t="str">
        <f ca="1">IFERROR(N101/R94,"-")</f>
        <v>-</v>
      </c>
      <c r="P101" s="595">
        <f ca="1">SUMIFS($N:$N,$G:$G,G101,$I:$I,H101)</f>
        <v>0</v>
      </c>
      <c r="Q101" s="547" t="str">
        <f ca="1">IFERROR(P101/R94,"-")</f>
        <v>-</v>
      </c>
      <c r="R101" s="584"/>
      <c r="S101" s="596">
        <f ca="1">SUMIFS('Water Use Calcs'!$W:$W,'Water Use Calcs'!$D:$D,'End Uses'!D101,'Water Use Calcs'!$G:$G,'End Uses'!G101,'Water Use Calcs'!$I:$I,'End Uses'!I101,'Water Use Calcs'!$J:$J,'End Uses'!J101)</f>
        <v>0</v>
      </c>
      <c r="T101" s="597">
        <f t="shared" ca="1" si="7"/>
        <v>0</v>
      </c>
      <c r="U101" s="594" t="str">
        <f ca="1">IFERROR(T101/X94,"-")</f>
        <v>-</v>
      </c>
      <c r="V101" s="595">
        <f ca="1">SUMIFS($T:$T,$G:$G,G101,$I:$I,H101)</f>
        <v>0</v>
      </c>
      <c r="W101" s="547" t="str">
        <f ca="1">IFERROR(V101/X94,"-")</f>
        <v>-</v>
      </c>
      <c r="X101" s="584"/>
    </row>
    <row r="102" spans="3:24" s="45" customFormat="1" ht="13.2" customHeight="1" x14ac:dyDescent="0.3">
      <c r="C102" s="576"/>
      <c r="D102" s="521" t="s">
        <v>412</v>
      </c>
      <c r="E102" s="521"/>
      <c r="F102" s="621"/>
      <c r="G102" s="494" t="s">
        <v>384</v>
      </c>
      <c r="H102" s="577"/>
      <c r="I102" s="450" t="s">
        <v>8</v>
      </c>
      <c r="J102" s="577" t="s">
        <v>53</v>
      </c>
      <c r="K102" s="439" t="s">
        <v>363</v>
      </c>
      <c r="L102" s="578">
        <f>SUMIFS('Airport Statistics'!$G:$G,'Airport Statistics'!$D:$D,G102,'Airport Statistics'!$F:$F,K102)</f>
        <v>0</v>
      </c>
      <c r="M102" s="579">
        <f ca="1">SUMIFS('Water Use Calcs'!$V:$V,'Water Use Calcs'!$D:$D,'End Uses'!D102,'Water Use Calcs'!$G:$G,'End Uses'!G102,'Water Use Calcs'!$I:$I,'End Uses'!I102,'Water Use Calcs'!$J:$J,'End Uses'!J102)</f>
        <v>0</v>
      </c>
      <c r="N102" s="580">
        <f t="shared" ca="1" si="9"/>
        <v>0</v>
      </c>
      <c r="O102" s="581" t="str">
        <f ca="1">IFERROR(N102/R94,"-")</f>
        <v>-</v>
      </c>
      <c r="P102" s="404"/>
      <c r="Q102" s="548"/>
      <c r="R102" s="584"/>
      <c r="S102" s="585">
        <f ca="1">SUMIFS('Water Use Calcs'!$W:$W,'Water Use Calcs'!$D:$D,'End Uses'!D102,'Water Use Calcs'!$G:$G,'End Uses'!G102,'Water Use Calcs'!$I:$I,'End Uses'!I102,'Water Use Calcs'!$J:$J,'End Uses'!J102)</f>
        <v>0</v>
      </c>
      <c r="T102" s="586">
        <f t="shared" ca="1" si="7"/>
        <v>0</v>
      </c>
      <c r="U102" s="581" t="str">
        <f ca="1">IFERROR(T102/X94,"-")</f>
        <v>-</v>
      </c>
      <c r="V102" s="404"/>
      <c r="W102" s="548"/>
      <c r="X102" s="584"/>
    </row>
    <row r="103" spans="3:24" s="45" customFormat="1" ht="13.2" customHeight="1" thickBot="1" x14ac:dyDescent="0.35">
      <c r="C103" s="576"/>
      <c r="D103" s="521" t="s">
        <v>412</v>
      </c>
      <c r="E103" s="521"/>
      <c r="F103" s="621"/>
      <c r="G103" s="494" t="s">
        <v>384</v>
      </c>
      <c r="H103" s="116"/>
      <c r="I103" s="451" t="s">
        <v>8</v>
      </c>
      <c r="J103" s="116" t="s">
        <v>54</v>
      </c>
      <c r="K103" s="606" t="s">
        <v>364</v>
      </c>
      <c r="L103" s="607">
        <f>SUMIFS('Airport Statistics'!$G:$G,'Airport Statistics'!$D:$D,G103,'Airport Statistics'!$F:$F,K103)</f>
        <v>0</v>
      </c>
      <c r="M103" s="608">
        <f ca="1">SUMIFS('Water Use Calcs'!$V:$V,'Water Use Calcs'!$D:$D,'End Uses'!D103,'Water Use Calcs'!$G:$G,'End Uses'!G103,'Water Use Calcs'!$I:$I,'End Uses'!I103,'Water Use Calcs'!$J:$J,'End Uses'!J103)</f>
        <v>0</v>
      </c>
      <c r="N103" s="609">
        <f t="shared" ca="1" si="9"/>
        <v>0</v>
      </c>
      <c r="O103" s="616" t="str">
        <f ca="1">IFERROR(N103/R94,"-")</f>
        <v>-</v>
      </c>
      <c r="P103" s="550"/>
      <c r="Q103" s="550"/>
      <c r="R103" s="613"/>
      <c r="S103" s="614">
        <f ca="1">SUMIFS('Water Use Calcs'!$W:$W,'Water Use Calcs'!$D:$D,'End Uses'!D103,'Water Use Calcs'!$G:$G,'End Uses'!G103,'Water Use Calcs'!$I:$I,'End Uses'!I103,'Water Use Calcs'!$J:$J,'End Uses'!J103)</f>
        <v>0</v>
      </c>
      <c r="T103" s="615">
        <f t="shared" ca="1" si="7"/>
        <v>0</v>
      </c>
      <c r="U103" s="616" t="str">
        <f ca="1">IFERROR(T103/X94,"-")</f>
        <v>-</v>
      </c>
      <c r="V103" s="550"/>
      <c r="W103" s="550"/>
      <c r="X103" s="613"/>
    </row>
    <row r="104" spans="3:24" s="45" customFormat="1" ht="13.2" customHeight="1" x14ac:dyDescent="0.3">
      <c r="C104" s="576"/>
      <c r="D104" s="521" t="s">
        <v>412</v>
      </c>
      <c r="E104" s="617" t="str">
        <f>G104</f>
        <v>Office Building C</v>
      </c>
      <c r="F104" s="565" t="str">
        <f>VLOOKUP(E104,'Airport Mapping'!$C$5:$D$39,2,FALSE)</f>
        <v xml:space="preserve"> </v>
      </c>
      <c r="G104" s="566" t="s">
        <v>385</v>
      </c>
      <c r="H104" s="564" t="str">
        <f>I104</f>
        <v>Restrooms</v>
      </c>
      <c r="I104" s="454" t="s">
        <v>37</v>
      </c>
      <c r="J104" s="567" t="s">
        <v>2</v>
      </c>
      <c r="K104" s="620" t="s">
        <v>6</v>
      </c>
      <c r="L104" s="568">
        <f>SUMIFS('Airport Statistics'!$G:$G,'Airport Statistics'!$D:$D,G104,'Airport Statistics'!$F:$F,K104)</f>
        <v>0</v>
      </c>
      <c r="M104" s="569">
        <f ca="1">SUMIFS('Water Use Calcs'!$V:$V,'Water Use Calcs'!$D:$D,'End Uses'!D104,'Water Use Calcs'!$G:$G,'End Uses'!G104,'Water Use Calcs'!$I:$I,'End Uses'!I104,'Water Use Calcs'!$J:$J,'End Uses'!J104)</f>
        <v>0</v>
      </c>
      <c r="N104" s="570">
        <f t="shared" ca="1" si="9"/>
        <v>0</v>
      </c>
      <c r="O104" s="571" t="str">
        <f ca="1">IFERROR(N104/R104,"-")</f>
        <v>-</v>
      </c>
      <c r="P104" s="572">
        <f ca="1">SUMIFS($N:$N,$G:$G,G104,$I:$I,H104)</f>
        <v>0</v>
      </c>
      <c r="Q104" s="546" t="str">
        <f ca="1">IFERROR(P104/R104,"-")</f>
        <v>-</v>
      </c>
      <c r="R104" s="573">
        <f ca="1">SUMIFS($N:$N,$G:$G,G104)</f>
        <v>0</v>
      </c>
      <c r="S104" s="574">
        <f ca="1">SUMIFS('Water Use Calcs'!$W:$W,'Water Use Calcs'!$D:$D,'End Uses'!D104,'Water Use Calcs'!$G:$G,'End Uses'!G104,'Water Use Calcs'!$I:$I,'End Uses'!I104,'Water Use Calcs'!$J:$J,'End Uses'!J104)</f>
        <v>0</v>
      </c>
      <c r="T104" s="575">
        <f t="shared" ca="1" si="7"/>
        <v>0</v>
      </c>
      <c r="U104" s="571" t="str">
        <f ca="1">IFERROR(T104/X104,"-")</f>
        <v>-</v>
      </c>
      <c r="V104" s="572">
        <f ca="1">SUMIFS($T:$T,$G:$G,G104,$I:$I,H104)</f>
        <v>0</v>
      </c>
      <c r="W104" s="546" t="str">
        <f ca="1">IFERROR(V104/X104,"-")</f>
        <v>-</v>
      </c>
      <c r="X104" s="573">
        <f ca="1">SUMIFS($T:$T,$G:$G,G104)</f>
        <v>0</v>
      </c>
    </row>
    <row r="105" spans="3:24" x14ac:dyDescent="0.3">
      <c r="C105" s="576"/>
      <c r="D105" s="521" t="s">
        <v>412</v>
      </c>
      <c r="E105" s="521"/>
      <c r="F105" s="621"/>
      <c r="G105" s="494" t="s">
        <v>385</v>
      </c>
      <c r="H105" s="577"/>
      <c r="I105" s="450" t="s">
        <v>37</v>
      </c>
      <c r="J105" s="577" t="s">
        <v>4</v>
      </c>
      <c r="K105" s="598" t="s">
        <v>6</v>
      </c>
      <c r="L105" s="578">
        <f>SUMIFS('Airport Statistics'!$G:$G,'Airport Statistics'!$D:$D,G105,'Airport Statistics'!$F:$F,K105)</f>
        <v>0</v>
      </c>
      <c r="M105" s="579">
        <f ca="1">SUMIFS('Water Use Calcs'!$V:$V,'Water Use Calcs'!$D:$D,'End Uses'!D105,'Water Use Calcs'!$G:$G,'End Uses'!G105,'Water Use Calcs'!$I:$I,'End Uses'!I105,'Water Use Calcs'!$J:$J,'End Uses'!J105)</f>
        <v>0</v>
      </c>
      <c r="N105" s="580">
        <f t="shared" ca="1" si="9"/>
        <v>0</v>
      </c>
      <c r="O105" s="581" t="str">
        <f ca="1">IFERROR(N105/R104,"-")</f>
        <v>-</v>
      </c>
      <c r="P105" s="582"/>
      <c r="Q105" s="583"/>
      <c r="R105" s="584"/>
      <c r="S105" s="585">
        <f ca="1">SUMIFS('Water Use Calcs'!$W:$W,'Water Use Calcs'!$D:$D,'End Uses'!D105,'Water Use Calcs'!$G:$G,'End Uses'!G105,'Water Use Calcs'!$I:$I,'End Uses'!I105,'Water Use Calcs'!$J:$J,'End Uses'!J105)</f>
        <v>0</v>
      </c>
      <c r="T105" s="586">
        <f t="shared" ca="1" si="7"/>
        <v>0</v>
      </c>
      <c r="U105" s="581" t="str">
        <f ca="1">IFERROR(T105/X104,"-")</f>
        <v>-</v>
      </c>
      <c r="V105" s="582"/>
      <c r="W105" s="583"/>
      <c r="X105" s="584"/>
    </row>
    <row r="106" spans="3:24" x14ac:dyDescent="0.3">
      <c r="C106" s="576"/>
      <c r="D106" s="521" t="s">
        <v>412</v>
      </c>
      <c r="E106" s="521"/>
      <c r="F106" s="621"/>
      <c r="G106" s="494" t="s">
        <v>385</v>
      </c>
      <c r="H106" s="577"/>
      <c r="I106" s="450" t="s">
        <v>37</v>
      </c>
      <c r="J106" s="577" t="s">
        <v>33</v>
      </c>
      <c r="K106" s="598" t="s">
        <v>6</v>
      </c>
      <c r="L106" s="578">
        <f>SUMIFS('Airport Statistics'!$G:$G,'Airport Statistics'!$D:$D,G106,'Airport Statistics'!$F:$F,K106)</f>
        <v>0</v>
      </c>
      <c r="M106" s="579">
        <f ca="1">SUMIFS('Water Use Calcs'!$V:$V,'Water Use Calcs'!$D:$D,'End Uses'!D106,'Water Use Calcs'!$G:$G,'End Uses'!G106,'Water Use Calcs'!$I:$I,'End Uses'!I106,'Water Use Calcs'!$J:$J,'End Uses'!J106)</f>
        <v>0</v>
      </c>
      <c r="N106" s="580">
        <f t="shared" ca="1" si="9"/>
        <v>0</v>
      </c>
      <c r="O106" s="581" t="str">
        <f ca="1">IFERROR(N106/R104,"-")</f>
        <v>-</v>
      </c>
      <c r="P106" s="582"/>
      <c r="Q106" s="583"/>
      <c r="R106" s="584"/>
      <c r="S106" s="585">
        <f ca="1">SUMIFS('Water Use Calcs'!$W:$W,'Water Use Calcs'!$D:$D,'End Uses'!D106,'Water Use Calcs'!$G:$G,'End Uses'!G106,'Water Use Calcs'!$I:$I,'End Uses'!I106,'Water Use Calcs'!$J:$J,'End Uses'!J106)</f>
        <v>0</v>
      </c>
      <c r="T106" s="586">
        <f t="shared" ca="1" si="7"/>
        <v>0</v>
      </c>
      <c r="U106" s="581" t="str">
        <f ca="1">IFERROR(T106/X104,"-")</f>
        <v>-</v>
      </c>
      <c r="V106" s="582"/>
      <c r="W106" s="583"/>
      <c r="X106" s="584"/>
    </row>
    <row r="107" spans="3:24" x14ac:dyDescent="0.3">
      <c r="C107" s="576"/>
      <c r="D107" s="521" t="s">
        <v>412</v>
      </c>
      <c r="E107" s="521"/>
      <c r="F107" s="621"/>
      <c r="G107" s="494" t="s">
        <v>385</v>
      </c>
      <c r="H107" s="622" t="str">
        <f>I107</f>
        <v>Break rooms</v>
      </c>
      <c r="I107" s="623" t="s">
        <v>5</v>
      </c>
      <c r="J107" s="624" t="s">
        <v>33</v>
      </c>
      <c r="K107" s="625" t="s">
        <v>6</v>
      </c>
      <c r="L107" s="496">
        <f>SUMIFS('Airport Statistics'!$G:$G,'Airport Statistics'!$D:$D,G107,'Airport Statistics'!$F:$F,K107)</f>
        <v>0</v>
      </c>
      <c r="M107" s="626">
        <f ca="1">SUMIFS('Water Use Calcs'!$V:$V,'Water Use Calcs'!$D:$D,'End Uses'!D107,'Water Use Calcs'!$G:$G,'End Uses'!G107,'Water Use Calcs'!$I:$I,'End Uses'!I107,'Water Use Calcs'!$J:$J,'End Uses'!J107)</f>
        <v>0</v>
      </c>
      <c r="N107" s="627">
        <f t="shared" ca="1" si="9"/>
        <v>0</v>
      </c>
      <c r="O107" s="628" t="str">
        <f ca="1">IFERROR(N107/R104,"-")</f>
        <v>-</v>
      </c>
      <c r="P107" s="629">
        <f ca="1">SUMIFS($N:$N,$G:$G,G107,$I:$I,H107)</f>
        <v>0</v>
      </c>
      <c r="Q107" s="291" t="str">
        <f ca="1">IFERROR(P107/R104,"-")</f>
        <v>-</v>
      </c>
      <c r="R107" s="584"/>
      <c r="S107" s="630">
        <f ca="1">SUMIFS('Water Use Calcs'!$W:$W,'Water Use Calcs'!$D:$D,'End Uses'!D107,'Water Use Calcs'!$G:$G,'End Uses'!G107,'Water Use Calcs'!$I:$I,'End Uses'!I107,'Water Use Calcs'!$J:$J,'End Uses'!J107)</f>
        <v>0</v>
      </c>
      <c r="T107" s="631">
        <f t="shared" ca="1" si="7"/>
        <v>0</v>
      </c>
      <c r="U107" s="628" t="str">
        <f ca="1">IFERROR(T107/X104,"-")</f>
        <v>-</v>
      </c>
      <c r="V107" s="629">
        <f ca="1">SUMIFS($T:$T,$G:$G,G107,$I:$I,H107)</f>
        <v>0</v>
      </c>
      <c r="W107" s="291" t="str">
        <f ca="1">IFERROR(V107/X104,"-")</f>
        <v>-</v>
      </c>
      <c r="X107" s="584"/>
    </row>
    <row r="108" spans="3:24" x14ac:dyDescent="0.3">
      <c r="C108" s="576"/>
      <c r="D108" s="521" t="s">
        <v>412</v>
      </c>
      <c r="E108" s="521"/>
      <c r="F108" s="621"/>
      <c r="G108" s="494" t="s">
        <v>385</v>
      </c>
      <c r="H108" s="622" t="str">
        <f>I108</f>
        <v>Landscaping</v>
      </c>
      <c r="I108" s="623" t="s">
        <v>39</v>
      </c>
      <c r="J108" s="624" t="s">
        <v>42</v>
      </c>
      <c r="K108" s="20" t="s">
        <v>120</v>
      </c>
      <c r="L108" s="496">
        <f>SUMIFS('Airport Statistics'!$G:$G,'Airport Statistics'!$D:$D,G108,'Airport Statistics'!$F:$F,K108)</f>
        <v>0</v>
      </c>
      <c r="M108" s="626">
        <f ca="1">SUMIFS('Water Use Calcs'!$V:$V,'Water Use Calcs'!$D:$D,'End Uses'!D108,'Water Use Calcs'!$G:$G,'End Uses'!G108,'Water Use Calcs'!$I:$I,'End Uses'!I108,'Water Use Calcs'!$J:$J,'End Uses'!J108)</f>
        <v>0</v>
      </c>
      <c r="N108" s="627">
        <f t="shared" ca="1" si="9"/>
        <v>0</v>
      </c>
      <c r="O108" s="628" t="str">
        <f ca="1">IFERROR(N108/R104,"-")</f>
        <v>-</v>
      </c>
      <c r="P108" s="629">
        <f ca="1">SUMIFS($N:$N,$G:$G,G108,$I:$I,H108)</f>
        <v>0</v>
      </c>
      <c r="Q108" s="291" t="str">
        <f ca="1">IFERROR(P108/R104,"-")</f>
        <v>-</v>
      </c>
      <c r="R108" s="584"/>
      <c r="S108" s="630">
        <f ca="1">SUMIFS('Water Use Calcs'!$W:$W,'Water Use Calcs'!$D:$D,'End Uses'!D108,'Water Use Calcs'!$G:$G,'End Uses'!G108,'Water Use Calcs'!$I:$I,'End Uses'!I108,'Water Use Calcs'!$J:$J,'End Uses'!J108)</f>
        <v>0</v>
      </c>
      <c r="T108" s="631">
        <f t="shared" ca="1" si="7"/>
        <v>0</v>
      </c>
      <c r="U108" s="628" t="str">
        <f ca="1">IFERROR(T108/X104,"-")</f>
        <v>-</v>
      </c>
      <c r="V108" s="629">
        <f ca="1">SUMIFS($T:$T,$G:$G,G108,$I:$I,H108)</f>
        <v>0</v>
      </c>
      <c r="W108" s="291" t="str">
        <f ca="1">IFERROR(V108/X104,"-")</f>
        <v>-</v>
      </c>
      <c r="X108" s="584"/>
    </row>
    <row r="109" spans="3:24" x14ac:dyDescent="0.3">
      <c r="C109" s="576"/>
      <c r="D109" s="521" t="s">
        <v>412</v>
      </c>
      <c r="E109" s="521"/>
      <c r="F109" s="621"/>
      <c r="G109" s="494" t="s">
        <v>385</v>
      </c>
      <c r="H109" s="588" t="str">
        <f>I109</f>
        <v>Maintenance</v>
      </c>
      <c r="I109" s="455" t="s">
        <v>43</v>
      </c>
      <c r="J109" s="17" t="s">
        <v>111</v>
      </c>
      <c r="K109" s="599" t="s">
        <v>424</v>
      </c>
      <c r="L109" s="591">
        <f>SUMIFS('Airport Statistics'!$G:$G,'Airport Statistics'!$D:$D,G109,'Airport Statistics'!$F:$F,K109)</f>
        <v>0</v>
      </c>
      <c r="M109" s="592">
        <f ca="1">SUMIFS('Water Use Calcs'!$V:$V,'Water Use Calcs'!$D:$D,'End Uses'!D109,'Water Use Calcs'!$G:$G,'End Uses'!G109,'Water Use Calcs'!$I:$I,'End Uses'!I109,'Water Use Calcs'!$J:$J,'End Uses'!J109)</f>
        <v>0</v>
      </c>
      <c r="N109" s="593">
        <f t="shared" ca="1" si="9"/>
        <v>0</v>
      </c>
      <c r="O109" s="594" t="str">
        <f ca="1">IFERROR(N109/R104,"-")</f>
        <v>-</v>
      </c>
      <c r="P109" s="595">
        <f ca="1">SUMIFS($N:$N,$G:$G,G109,$I:$I,H109)</f>
        <v>0</v>
      </c>
      <c r="Q109" s="547" t="str">
        <f ca="1">IFERROR(P109/R104,"-")</f>
        <v>-</v>
      </c>
      <c r="R109" s="584"/>
      <c r="S109" s="596">
        <f ca="1">SUMIFS('Water Use Calcs'!$W:$W,'Water Use Calcs'!$D:$D,'End Uses'!D109,'Water Use Calcs'!$G:$G,'End Uses'!G109,'Water Use Calcs'!$I:$I,'End Uses'!I109,'Water Use Calcs'!$J:$J,'End Uses'!J109)</f>
        <v>0</v>
      </c>
      <c r="T109" s="597">
        <f t="shared" ca="1" si="7"/>
        <v>0</v>
      </c>
      <c r="U109" s="594" t="str">
        <f ca="1">IFERROR(T109/X104,"-")</f>
        <v>-</v>
      </c>
      <c r="V109" s="595">
        <f ca="1">SUMIFS($T:$T,$G:$G,G109,$I:$I,H109)</f>
        <v>0</v>
      </c>
      <c r="W109" s="547" t="str">
        <f ca="1">IFERROR(V109/X104,"-")</f>
        <v>-</v>
      </c>
      <c r="X109" s="584"/>
    </row>
    <row r="110" spans="3:24" x14ac:dyDescent="0.3">
      <c r="C110" s="576"/>
      <c r="D110" s="521" t="s">
        <v>412</v>
      </c>
      <c r="E110" s="521"/>
      <c r="F110" s="621"/>
      <c r="G110" s="494" t="s">
        <v>385</v>
      </c>
      <c r="H110" s="577"/>
      <c r="I110" s="450" t="s">
        <v>43</v>
      </c>
      <c r="J110" s="18" t="s">
        <v>7</v>
      </c>
      <c r="K110" s="183" t="s">
        <v>365</v>
      </c>
      <c r="L110" s="600"/>
      <c r="M110" s="601">
        <f ca="1">SUMIFS('Water Use Calcs'!$V:$V,'Water Use Calcs'!$D:$D,'End Uses'!D110,'Water Use Calcs'!$G:$G,'End Uses'!G110,'Water Use Calcs'!$I:$I,'End Uses'!I110,'Water Use Calcs'!$J:$J,'End Uses'!J110)</f>
        <v>0</v>
      </c>
      <c r="N110" s="580">
        <f ca="1">M110</f>
        <v>0</v>
      </c>
      <c r="O110" s="581" t="str">
        <f ca="1">IFERROR(N110/R104,"-")</f>
        <v>-</v>
      </c>
      <c r="P110" s="404"/>
      <c r="Q110" s="548"/>
      <c r="R110" s="584"/>
      <c r="S110" s="585">
        <f ca="1">SUMIFS('Water Use Calcs'!$W:$W,'Water Use Calcs'!$D:$D,'End Uses'!D110,'Water Use Calcs'!$G:$G,'End Uses'!G110,'Water Use Calcs'!$I:$I,'End Uses'!I110,'Water Use Calcs'!$J:$J,'End Uses'!J110)</f>
        <v>0</v>
      </c>
      <c r="T110" s="586">
        <f ca="1">S110</f>
        <v>0</v>
      </c>
      <c r="U110" s="581" t="str">
        <f ca="1">IFERROR(T110/X104,"-")</f>
        <v>-</v>
      </c>
      <c r="V110" s="404"/>
      <c r="W110" s="548"/>
      <c r="X110" s="584"/>
    </row>
    <row r="111" spans="3:24" x14ac:dyDescent="0.3">
      <c r="C111" s="576"/>
      <c r="D111" s="521" t="s">
        <v>412</v>
      </c>
      <c r="E111" s="521"/>
      <c r="F111" s="621"/>
      <c r="G111" s="494" t="s">
        <v>385</v>
      </c>
      <c r="H111" s="588" t="str">
        <f>I111</f>
        <v>Other</v>
      </c>
      <c r="I111" s="455" t="s">
        <v>8</v>
      </c>
      <c r="J111" s="589" t="s">
        <v>52</v>
      </c>
      <c r="K111" s="602" t="s">
        <v>362</v>
      </c>
      <c r="L111" s="591">
        <f>SUMIFS('Airport Statistics'!$G:$G,'Airport Statistics'!$D:$D,G111,'Airport Statistics'!$F:$F,K111)</f>
        <v>0</v>
      </c>
      <c r="M111" s="592">
        <f ca="1">SUMIFS('Water Use Calcs'!$V:$V,'Water Use Calcs'!$D:$D,'End Uses'!D111,'Water Use Calcs'!$G:$G,'End Uses'!G111,'Water Use Calcs'!$I:$I,'End Uses'!I111,'Water Use Calcs'!$J:$J,'End Uses'!J111)</f>
        <v>0</v>
      </c>
      <c r="N111" s="593">
        <f t="shared" ca="1" si="9"/>
        <v>0</v>
      </c>
      <c r="O111" s="594" t="str">
        <f ca="1">IFERROR(N111/R104,"-")</f>
        <v>-</v>
      </c>
      <c r="P111" s="595">
        <f ca="1">SUMIFS($N:$N,$G:$G,G111,$I:$I,H111)</f>
        <v>0</v>
      </c>
      <c r="Q111" s="547" t="str">
        <f ca="1">IFERROR(P111/R104,"-")</f>
        <v>-</v>
      </c>
      <c r="R111" s="584"/>
      <c r="S111" s="596">
        <f ca="1">SUMIFS('Water Use Calcs'!$W:$W,'Water Use Calcs'!$D:$D,'End Uses'!D111,'Water Use Calcs'!$G:$G,'End Uses'!G111,'Water Use Calcs'!$I:$I,'End Uses'!I111,'Water Use Calcs'!$J:$J,'End Uses'!J111)</f>
        <v>0</v>
      </c>
      <c r="T111" s="597">
        <f t="shared" ca="1" si="7"/>
        <v>0</v>
      </c>
      <c r="U111" s="594" t="str">
        <f ca="1">IFERROR(T111/X104,"-")</f>
        <v>-</v>
      </c>
      <c r="V111" s="595">
        <f ca="1">SUMIFS($T:$T,$G:$G,G111,$I:$I,H111)</f>
        <v>0</v>
      </c>
      <c r="W111" s="547" t="str">
        <f ca="1">IFERROR(V111/X104,"-")</f>
        <v>-</v>
      </c>
      <c r="X111" s="584"/>
    </row>
    <row r="112" spans="3:24" s="45" customFormat="1" ht="13.2" customHeight="1" x14ac:dyDescent="0.3">
      <c r="C112" s="576"/>
      <c r="D112" s="521" t="s">
        <v>412</v>
      </c>
      <c r="E112" s="521"/>
      <c r="F112" s="621"/>
      <c r="G112" s="494" t="s">
        <v>385</v>
      </c>
      <c r="H112" s="577"/>
      <c r="I112" s="450" t="s">
        <v>8</v>
      </c>
      <c r="J112" s="577" t="s">
        <v>53</v>
      </c>
      <c r="K112" s="439" t="s">
        <v>363</v>
      </c>
      <c r="L112" s="578">
        <f>SUMIFS('Airport Statistics'!$G:$G,'Airport Statistics'!$D:$D,G112,'Airport Statistics'!$F:$F,K112)</f>
        <v>0</v>
      </c>
      <c r="M112" s="579">
        <f ca="1">SUMIFS('Water Use Calcs'!$V:$V,'Water Use Calcs'!$D:$D,'End Uses'!D112,'Water Use Calcs'!$G:$G,'End Uses'!G112,'Water Use Calcs'!$I:$I,'End Uses'!I112,'Water Use Calcs'!$J:$J,'End Uses'!J112)</f>
        <v>0</v>
      </c>
      <c r="N112" s="580">
        <f t="shared" ca="1" si="9"/>
        <v>0</v>
      </c>
      <c r="O112" s="581" t="str">
        <f ca="1">IFERROR(N112/R104,"-")</f>
        <v>-</v>
      </c>
      <c r="P112" s="404"/>
      <c r="Q112" s="548"/>
      <c r="R112" s="584"/>
      <c r="S112" s="585">
        <f ca="1">SUMIFS('Water Use Calcs'!$W:$W,'Water Use Calcs'!$D:$D,'End Uses'!D112,'Water Use Calcs'!$G:$G,'End Uses'!G112,'Water Use Calcs'!$I:$I,'End Uses'!I112,'Water Use Calcs'!$J:$J,'End Uses'!J112)</f>
        <v>0</v>
      </c>
      <c r="T112" s="586">
        <f t="shared" ca="1" si="7"/>
        <v>0</v>
      </c>
      <c r="U112" s="581" t="str">
        <f ca="1">IFERROR(T112/X104,"-")</f>
        <v>-</v>
      </c>
      <c r="V112" s="404"/>
      <c r="W112" s="548"/>
      <c r="X112" s="584"/>
    </row>
    <row r="113" spans="3:24" s="45" customFormat="1" ht="13.2" customHeight="1" thickBot="1" x14ac:dyDescent="0.35">
      <c r="C113" s="576"/>
      <c r="D113" s="521" t="s">
        <v>412</v>
      </c>
      <c r="E113" s="521"/>
      <c r="F113" s="621"/>
      <c r="G113" s="494" t="s">
        <v>385</v>
      </c>
      <c r="H113" s="116"/>
      <c r="I113" s="451" t="s">
        <v>8</v>
      </c>
      <c r="J113" s="116" t="s">
        <v>54</v>
      </c>
      <c r="K113" s="606" t="s">
        <v>364</v>
      </c>
      <c r="L113" s="607">
        <f>SUMIFS('Airport Statistics'!$G:$G,'Airport Statistics'!$D:$D,G113,'Airport Statistics'!$F:$F,K113)</f>
        <v>0</v>
      </c>
      <c r="M113" s="608">
        <f ca="1">SUMIFS('Water Use Calcs'!$V:$V,'Water Use Calcs'!$D:$D,'End Uses'!D113,'Water Use Calcs'!$G:$G,'End Uses'!G113,'Water Use Calcs'!$I:$I,'End Uses'!I113,'Water Use Calcs'!$J:$J,'End Uses'!J113)</f>
        <v>0</v>
      </c>
      <c r="N113" s="609">
        <f t="shared" ca="1" si="9"/>
        <v>0</v>
      </c>
      <c r="O113" s="616" t="str">
        <f ca="1">IFERROR(N113/R104,"-")</f>
        <v>-</v>
      </c>
      <c r="P113" s="550"/>
      <c r="Q113" s="550"/>
      <c r="R113" s="613"/>
      <c r="S113" s="614">
        <f ca="1">SUMIFS('Water Use Calcs'!$W:$W,'Water Use Calcs'!$D:$D,'End Uses'!D113,'Water Use Calcs'!$G:$G,'End Uses'!G113,'Water Use Calcs'!$I:$I,'End Uses'!I113,'Water Use Calcs'!$J:$J,'End Uses'!J113)</f>
        <v>0</v>
      </c>
      <c r="T113" s="615">
        <f t="shared" ca="1" si="7"/>
        <v>0</v>
      </c>
      <c r="U113" s="616" t="str">
        <f ca="1">IFERROR(T113/X104,"-")</f>
        <v>-</v>
      </c>
      <c r="V113" s="550"/>
      <c r="W113" s="550"/>
      <c r="X113" s="613"/>
    </row>
    <row r="114" spans="3:24" s="45" customFormat="1" ht="13.2" customHeight="1" x14ac:dyDescent="0.3">
      <c r="C114" s="576"/>
      <c r="D114" s="521" t="s">
        <v>412</v>
      </c>
      <c r="E114" s="617" t="str">
        <f>G114</f>
        <v>Office Building D</v>
      </c>
      <c r="F114" s="565" t="str">
        <f>VLOOKUP(E114,'Airport Mapping'!$C$5:$D$39,2,FALSE)</f>
        <v xml:space="preserve"> </v>
      </c>
      <c r="G114" s="566" t="s">
        <v>386</v>
      </c>
      <c r="H114" s="564" t="str">
        <f>I114</f>
        <v>Restrooms</v>
      </c>
      <c r="I114" s="454" t="s">
        <v>37</v>
      </c>
      <c r="J114" s="567" t="s">
        <v>2</v>
      </c>
      <c r="K114" s="620" t="s">
        <v>6</v>
      </c>
      <c r="L114" s="568">
        <f>SUMIFS('Airport Statistics'!$G:$G,'Airport Statistics'!$D:$D,G114,'Airport Statistics'!$F:$F,K114)</f>
        <v>0</v>
      </c>
      <c r="M114" s="569">
        <f ca="1">SUMIFS('Water Use Calcs'!$V:$V,'Water Use Calcs'!$D:$D,'End Uses'!D114,'Water Use Calcs'!$G:$G,'End Uses'!G114,'Water Use Calcs'!$I:$I,'End Uses'!I114,'Water Use Calcs'!$J:$J,'End Uses'!J114)</f>
        <v>0</v>
      </c>
      <c r="N114" s="570">
        <f t="shared" ref="N114:N123" ca="1" si="10">L114*M114</f>
        <v>0</v>
      </c>
      <c r="O114" s="571" t="str">
        <f ca="1">IFERROR(N114/R114,"-")</f>
        <v>-</v>
      </c>
      <c r="P114" s="572">
        <f ca="1">SUMIFS($N:$N,$G:$G,G114,$I:$I,H114)</f>
        <v>0</v>
      </c>
      <c r="Q114" s="546" t="str">
        <f ca="1">IFERROR(P114/R114,"-")</f>
        <v>-</v>
      </c>
      <c r="R114" s="573">
        <f ca="1">SUMIFS($N:$N,$G:$G,G114)</f>
        <v>0</v>
      </c>
      <c r="S114" s="574">
        <f ca="1">SUMIFS('Water Use Calcs'!$W:$W,'Water Use Calcs'!$D:$D,'End Uses'!D114,'Water Use Calcs'!$G:$G,'End Uses'!G114,'Water Use Calcs'!$I:$I,'End Uses'!I114,'Water Use Calcs'!$J:$J,'End Uses'!J114)</f>
        <v>0</v>
      </c>
      <c r="T114" s="575">
        <f t="shared" ca="1" si="7"/>
        <v>0</v>
      </c>
      <c r="U114" s="571" t="str">
        <f ca="1">IFERROR(T114/X114,"-")</f>
        <v>-</v>
      </c>
      <c r="V114" s="572">
        <f ca="1">SUMIFS($T:$T,$G:$G,G114,$I:$I,H114)</f>
        <v>0</v>
      </c>
      <c r="W114" s="546" t="str">
        <f ca="1">IFERROR(V114/X114,"-")</f>
        <v>-</v>
      </c>
      <c r="X114" s="573">
        <f ca="1">SUMIFS($T:$T,$G:$G,G114)</f>
        <v>0</v>
      </c>
    </row>
    <row r="115" spans="3:24" x14ac:dyDescent="0.3">
      <c r="C115" s="576"/>
      <c r="D115" s="521" t="s">
        <v>412</v>
      </c>
      <c r="E115" s="521"/>
      <c r="F115" s="621"/>
      <c r="G115" s="494" t="s">
        <v>386</v>
      </c>
      <c r="H115" s="577"/>
      <c r="I115" s="450" t="s">
        <v>37</v>
      </c>
      <c r="J115" s="577" t="s">
        <v>4</v>
      </c>
      <c r="K115" s="598" t="s">
        <v>6</v>
      </c>
      <c r="L115" s="578">
        <f>SUMIFS('Airport Statistics'!$G:$G,'Airport Statistics'!$D:$D,G115,'Airport Statistics'!$F:$F,K115)</f>
        <v>0</v>
      </c>
      <c r="M115" s="579">
        <f ca="1">SUMIFS('Water Use Calcs'!$V:$V,'Water Use Calcs'!$D:$D,'End Uses'!D115,'Water Use Calcs'!$G:$G,'End Uses'!G115,'Water Use Calcs'!$I:$I,'End Uses'!I115,'Water Use Calcs'!$J:$J,'End Uses'!J115)</f>
        <v>0</v>
      </c>
      <c r="N115" s="580">
        <f t="shared" ca="1" si="10"/>
        <v>0</v>
      </c>
      <c r="O115" s="581" t="str">
        <f ca="1">IFERROR(N115/R114,"-")</f>
        <v>-</v>
      </c>
      <c r="P115" s="582"/>
      <c r="Q115" s="583"/>
      <c r="R115" s="584"/>
      <c r="S115" s="585">
        <f ca="1">SUMIFS('Water Use Calcs'!$W:$W,'Water Use Calcs'!$D:$D,'End Uses'!D115,'Water Use Calcs'!$G:$G,'End Uses'!G115,'Water Use Calcs'!$I:$I,'End Uses'!I115,'Water Use Calcs'!$J:$J,'End Uses'!J115)</f>
        <v>0</v>
      </c>
      <c r="T115" s="586">
        <f t="shared" ca="1" si="7"/>
        <v>0</v>
      </c>
      <c r="U115" s="581" t="str">
        <f ca="1">IFERROR(T115/X114,"-")</f>
        <v>-</v>
      </c>
      <c r="V115" s="582"/>
      <c r="W115" s="583"/>
      <c r="X115" s="584"/>
    </row>
    <row r="116" spans="3:24" x14ac:dyDescent="0.3">
      <c r="C116" s="576"/>
      <c r="D116" s="521" t="s">
        <v>412</v>
      </c>
      <c r="E116" s="521"/>
      <c r="F116" s="621"/>
      <c r="G116" s="494" t="s">
        <v>386</v>
      </c>
      <c r="H116" s="577"/>
      <c r="I116" s="450" t="s">
        <v>37</v>
      </c>
      <c r="J116" s="577" t="s">
        <v>33</v>
      </c>
      <c r="K116" s="598" t="s">
        <v>6</v>
      </c>
      <c r="L116" s="578">
        <f>SUMIFS('Airport Statistics'!$G:$G,'Airport Statistics'!$D:$D,G116,'Airport Statistics'!$F:$F,K116)</f>
        <v>0</v>
      </c>
      <c r="M116" s="579">
        <f ca="1">SUMIFS('Water Use Calcs'!$V:$V,'Water Use Calcs'!$D:$D,'End Uses'!D116,'Water Use Calcs'!$G:$G,'End Uses'!G116,'Water Use Calcs'!$I:$I,'End Uses'!I116,'Water Use Calcs'!$J:$J,'End Uses'!J116)</f>
        <v>0</v>
      </c>
      <c r="N116" s="580">
        <f t="shared" ca="1" si="10"/>
        <v>0</v>
      </c>
      <c r="O116" s="581" t="str">
        <f ca="1">IFERROR(N116/R114,"-")</f>
        <v>-</v>
      </c>
      <c r="P116" s="582"/>
      <c r="Q116" s="583"/>
      <c r="R116" s="584"/>
      <c r="S116" s="585">
        <f ca="1">SUMIFS('Water Use Calcs'!$W:$W,'Water Use Calcs'!$D:$D,'End Uses'!D116,'Water Use Calcs'!$G:$G,'End Uses'!G116,'Water Use Calcs'!$I:$I,'End Uses'!I116,'Water Use Calcs'!$J:$J,'End Uses'!J116)</f>
        <v>0</v>
      </c>
      <c r="T116" s="586">
        <f t="shared" ca="1" si="7"/>
        <v>0</v>
      </c>
      <c r="U116" s="581" t="str">
        <f ca="1">IFERROR(T116/X114,"-")</f>
        <v>-</v>
      </c>
      <c r="V116" s="582"/>
      <c r="W116" s="583"/>
      <c r="X116" s="584"/>
    </row>
    <row r="117" spans="3:24" x14ac:dyDescent="0.3">
      <c r="C117" s="576"/>
      <c r="D117" s="521" t="s">
        <v>412</v>
      </c>
      <c r="E117" s="521"/>
      <c r="F117" s="621"/>
      <c r="G117" s="494" t="s">
        <v>386</v>
      </c>
      <c r="H117" s="622" t="str">
        <f>I117</f>
        <v>Break rooms</v>
      </c>
      <c r="I117" s="623" t="s">
        <v>5</v>
      </c>
      <c r="J117" s="624" t="s">
        <v>33</v>
      </c>
      <c r="K117" s="625" t="s">
        <v>6</v>
      </c>
      <c r="L117" s="496">
        <f>SUMIFS('Airport Statistics'!$G:$G,'Airport Statistics'!$D:$D,G117,'Airport Statistics'!$F:$F,K117)</f>
        <v>0</v>
      </c>
      <c r="M117" s="626">
        <f ca="1">SUMIFS('Water Use Calcs'!$V:$V,'Water Use Calcs'!$D:$D,'End Uses'!D117,'Water Use Calcs'!$G:$G,'End Uses'!G117,'Water Use Calcs'!$I:$I,'End Uses'!I117,'Water Use Calcs'!$J:$J,'End Uses'!J117)</f>
        <v>0</v>
      </c>
      <c r="N117" s="627">
        <f t="shared" ca="1" si="10"/>
        <v>0</v>
      </c>
      <c r="O117" s="628" t="str">
        <f ca="1">IFERROR(N117/R114,"-")</f>
        <v>-</v>
      </c>
      <c r="P117" s="629">
        <f ca="1">SUMIFS($N:$N,$G:$G,G117,$I:$I,H117)</f>
        <v>0</v>
      </c>
      <c r="Q117" s="291" t="str">
        <f ca="1">IFERROR(P117/R114,"-")</f>
        <v>-</v>
      </c>
      <c r="R117" s="584"/>
      <c r="S117" s="630">
        <f ca="1">SUMIFS('Water Use Calcs'!$W:$W,'Water Use Calcs'!$D:$D,'End Uses'!D117,'Water Use Calcs'!$G:$G,'End Uses'!G117,'Water Use Calcs'!$I:$I,'End Uses'!I117,'Water Use Calcs'!$J:$J,'End Uses'!J117)</f>
        <v>0</v>
      </c>
      <c r="T117" s="631">
        <f t="shared" ca="1" si="7"/>
        <v>0</v>
      </c>
      <c r="U117" s="628" t="str">
        <f ca="1">IFERROR(T117/X114,"-")</f>
        <v>-</v>
      </c>
      <c r="V117" s="629">
        <f ca="1">SUMIFS($T:$T,$G:$G,G117,$I:$I,H117)</f>
        <v>0</v>
      </c>
      <c r="W117" s="291" t="str">
        <f ca="1">IFERROR(V117/X114,"-")</f>
        <v>-</v>
      </c>
      <c r="X117" s="584"/>
    </row>
    <row r="118" spans="3:24" x14ac:dyDescent="0.3">
      <c r="C118" s="576"/>
      <c r="D118" s="521" t="s">
        <v>412</v>
      </c>
      <c r="E118" s="521"/>
      <c r="F118" s="621"/>
      <c r="G118" s="494" t="s">
        <v>386</v>
      </c>
      <c r="H118" s="622" t="str">
        <f>I118</f>
        <v>Landscaping</v>
      </c>
      <c r="I118" s="623" t="s">
        <v>39</v>
      </c>
      <c r="J118" s="624" t="s">
        <v>42</v>
      </c>
      <c r="K118" s="20" t="s">
        <v>120</v>
      </c>
      <c r="L118" s="496">
        <f>SUMIFS('Airport Statistics'!$G:$G,'Airport Statistics'!$D:$D,G118,'Airport Statistics'!$F:$F,K118)</f>
        <v>0</v>
      </c>
      <c r="M118" s="626">
        <f ca="1">SUMIFS('Water Use Calcs'!$V:$V,'Water Use Calcs'!$D:$D,'End Uses'!D118,'Water Use Calcs'!$G:$G,'End Uses'!G118,'Water Use Calcs'!$I:$I,'End Uses'!I118,'Water Use Calcs'!$J:$J,'End Uses'!J118)</f>
        <v>0</v>
      </c>
      <c r="N118" s="627">
        <f t="shared" ca="1" si="10"/>
        <v>0</v>
      </c>
      <c r="O118" s="628" t="str">
        <f ca="1">IFERROR(N118/R114,"-")</f>
        <v>-</v>
      </c>
      <c r="P118" s="629">
        <f ca="1">SUMIFS($N:$N,$G:$G,G118,$I:$I,H118)</f>
        <v>0</v>
      </c>
      <c r="Q118" s="291" t="str">
        <f ca="1">IFERROR(P118/R114,"-")</f>
        <v>-</v>
      </c>
      <c r="R118" s="584"/>
      <c r="S118" s="630">
        <f ca="1">SUMIFS('Water Use Calcs'!$W:$W,'Water Use Calcs'!$D:$D,'End Uses'!D118,'Water Use Calcs'!$G:$G,'End Uses'!G118,'Water Use Calcs'!$I:$I,'End Uses'!I118,'Water Use Calcs'!$J:$J,'End Uses'!J118)</f>
        <v>0</v>
      </c>
      <c r="T118" s="631">
        <f t="shared" ca="1" si="7"/>
        <v>0</v>
      </c>
      <c r="U118" s="628" t="str">
        <f ca="1">IFERROR(T118/X114,"-")</f>
        <v>-</v>
      </c>
      <c r="V118" s="629">
        <f ca="1">SUMIFS($T:$T,$G:$G,G118,$I:$I,H118)</f>
        <v>0</v>
      </c>
      <c r="W118" s="291" t="str">
        <f ca="1">IFERROR(V118/X114,"-")</f>
        <v>-</v>
      </c>
      <c r="X118" s="584"/>
    </row>
    <row r="119" spans="3:24" x14ac:dyDescent="0.3">
      <c r="C119" s="576"/>
      <c r="D119" s="521" t="s">
        <v>412</v>
      </c>
      <c r="E119" s="521"/>
      <c r="F119" s="621"/>
      <c r="G119" s="494" t="s">
        <v>386</v>
      </c>
      <c r="H119" s="588" t="str">
        <f>I119</f>
        <v>Maintenance</v>
      </c>
      <c r="I119" s="455" t="s">
        <v>43</v>
      </c>
      <c r="J119" s="17" t="s">
        <v>111</v>
      </c>
      <c r="K119" s="599" t="s">
        <v>424</v>
      </c>
      <c r="L119" s="591">
        <f>SUMIFS('Airport Statistics'!$G:$G,'Airport Statistics'!$D:$D,G119,'Airport Statistics'!$F:$F,K119)</f>
        <v>0</v>
      </c>
      <c r="M119" s="592">
        <f ca="1">SUMIFS('Water Use Calcs'!$V:$V,'Water Use Calcs'!$D:$D,'End Uses'!D119,'Water Use Calcs'!$G:$G,'End Uses'!G119,'Water Use Calcs'!$I:$I,'End Uses'!I119,'Water Use Calcs'!$J:$J,'End Uses'!J119)</f>
        <v>0</v>
      </c>
      <c r="N119" s="593">
        <f t="shared" ca="1" si="10"/>
        <v>0</v>
      </c>
      <c r="O119" s="594" t="str">
        <f ca="1">IFERROR(N119/R114,"-")</f>
        <v>-</v>
      </c>
      <c r="P119" s="595">
        <f ca="1">SUMIFS($N:$N,$G:$G,G119,$I:$I,H119)</f>
        <v>0</v>
      </c>
      <c r="Q119" s="547" t="str">
        <f ca="1">IFERROR(P119/R114,"-")</f>
        <v>-</v>
      </c>
      <c r="R119" s="584"/>
      <c r="S119" s="596">
        <f ca="1">SUMIFS('Water Use Calcs'!$W:$W,'Water Use Calcs'!$D:$D,'End Uses'!D119,'Water Use Calcs'!$G:$G,'End Uses'!G119,'Water Use Calcs'!$I:$I,'End Uses'!I119,'Water Use Calcs'!$J:$J,'End Uses'!J119)</f>
        <v>0</v>
      </c>
      <c r="T119" s="597">
        <f t="shared" ca="1" si="7"/>
        <v>0</v>
      </c>
      <c r="U119" s="594" t="str">
        <f ca="1">IFERROR(T119/X114,"-")</f>
        <v>-</v>
      </c>
      <c r="V119" s="595">
        <f ca="1">SUMIFS($T:$T,$G:$G,G119,$I:$I,H119)</f>
        <v>0</v>
      </c>
      <c r="W119" s="547" t="str">
        <f ca="1">IFERROR(V119/X114,"-")</f>
        <v>-</v>
      </c>
      <c r="X119" s="584"/>
    </row>
    <row r="120" spans="3:24" x14ac:dyDescent="0.3">
      <c r="C120" s="576"/>
      <c r="D120" s="521" t="s">
        <v>412</v>
      </c>
      <c r="E120" s="521"/>
      <c r="F120" s="621"/>
      <c r="G120" s="494" t="s">
        <v>386</v>
      </c>
      <c r="H120" s="577"/>
      <c r="I120" s="450" t="s">
        <v>43</v>
      </c>
      <c r="J120" s="18" t="s">
        <v>7</v>
      </c>
      <c r="K120" s="183" t="s">
        <v>365</v>
      </c>
      <c r="L120" s="600"/>
      <c r="M120" s="601">
        <f ca="1">SUMIFS('Water Use Calcs'!$V:$V,'Water Use Calcs'!$D:$D,'End Uses'!D120,'Water Use Calcs'!$G:$G,'End Uses'!G120,'Water Use Calcs'!$I:$I,'End Uses'!I120,'Water Use Calcs'!$J:$J,'End Uses'!J120)</f>
        <v>0</v>
      </c>
      <c r="N120" s="580">
        <f ca="1">M120</f>
        <v>0</v>
      </c>
      <c r="O120" s="581" t="str">
        <f ca="1">IFERROR(N120/R114,"-")</f>
        <v>-</v>
      </c>
      <c r="P120" s="404"/>
      <c r="Q120" s="548"/>
      <c r="R120" s="584"/>
      <c r="S120" s="585">
        <f ca="1">SUMIFS('Water Use Calcs'!$W:$W,'Water Use Calcs'!$D:$D,'End Uses'!D120,'Water Use Calcs'!$G:$G,'End Uses'!G120,'Water Use Calcs'!$I:$I,'End Uses'!I120,'Water Use Calcs'!$J:$J,'End Uses'!J120)</f>
        <v>0</v>
      </c>
      <c r="T120" s="586">
        <f ca="1">S120</f>
        <v>0</v>
      </c>
      <c r="U120" s="581" t="str">
        <f ca="1">IFERROR(T120/X114,"-")</f>
        <v>-</v>
      </c>
      <c r="V120" s="404"/>
      <c r="W120" s="548"/>
      <c r="X120" s="584"/>
    </row>
    <row r="121" spans="3:24" x14ac:dyDescent="0.3">
      <c r="C121" s="576"/>
      <c r="D121" s="521" t="s">
        <v>412</v>
      </c>
      <c r="E121" s="521"/>
      <c r="F121" s="621"/>
      <c r="G121" s="494" t="s">
        <v>386</v>
      </c>
      <c r="H121" s="588" t="str">
        <f>I121</f>
        <v>Other</v>
      </c>
      <c r="I121" s="455" t="s">
        <v>8</v>
      </c>
      <c r="J121" s="589" t="s">
        <v>52</v>
      </c>
      <c r="K121" s="602" t="s">
        <v>362</v>
      </c>
      <c r="L121" s="591">
        <f>SUMIFS('Airport Statistics'!$G:$G,'Airport Statistics'!$D:$D,G121,'Airport Statistics'!$F:$F,K121)</f>
        <v>0</v>
      </c>
      <c r="M121" s="592">
        <f ca="1">SUMIFS('Water Use Calcs'!$V:$V,'Water Use Calcs'!$D:$D,'End Uses'!D121,'Water Use Calcs'!$G:$G,'End Uses'!G121,'Water Use Calcs'!$I:$I,'End Uses'!I121,'Water Use Calcs'!$J:$J,'End Uses'!J121)</f>
        <v>0</v>
      </c>
      <c r="N121" s="593">
        <f t="shared" ca="1" si="10"/>
        <v>0</v>
      </c>
      <c r="O121" s="594" t="str">
        <f ca="1">IFERROR(N121/R114,"-")</f>
        <v>-</v>
      </c>
      <c r="P121" s="595">
        <f ca="1">SUMIFS($N:$N,$G:$G,G121,$I:$I,H121)</f>
        <v>0</v>
      </c>
      <c r="Q121" s="547" t="str">
        <f ca="1">IFERROR(P121/R114,"-")</f>
        <v>-</v>
      </c>
      <c r="R121" s="584"/>
      <c r="S121" s="596">
        <f ca="1">SUMIFS('Water Use Calcs'!$W:$W,'Water Use Calcs'!$D:$D,'End Uses'!D121,'Water Use Calcs'!$G:$G,'End Uses'!G121,'Water Use Calcs'!$I:$I,'End Uses'!I121,'Water Use Calcs'!$J:$J,'End Uses'!J121)</f>
        <v>0</v>
      </c>
      <c r="T121" s="597">
        <f t="shared" ca="1" si="7"/>
        <v>0</v>
      </c>
      <c r="U121" s="594" t="str">
        <f ca="1">IFERROR(T121/X114,"-")</f>
        <v>-</v>
      </c>
      <c r="V121" s="595">
        <f ca="1">SUMIFS($T:$T,$G:$G,G121,$I:$I,H121)</f>
        <v>0</v>
      </c>
      <c r="W121" s="547" t="str">
        <f ca="1">IFERROR(V121/X114,"-")</f>
        <v>-</v>
      </c>
      <c r="X121" s="584"/>
    </row>
    <row r="122" spans="3:24" s="45" customFormat="1" ht="13.2" customHeight="1" x14ac:dyDescent="0.3">
      <c r="C122" s="576"/>
      <c r="D122" s="521" t="s">
        <v>412</v>
      </c>
      <c r="E122" s="521"/>
      <c r="F122" s="621"/>
      <c r="G122" s="494" t="s">
        <v>386</v>
      </c>
      <c r="H122" s="577"/>
      <c r="I122" s="450" t="s">
        <v>8</v>
      </c>
      <c r="J122" s="577" t="s">
        <v>53</v>
      </c>
      <c r="K122" s="439" t="s">
        <v>363</v>
      </c>
      <c r="L122" s="578">
        <f>SUMIFS('Airport Statistics'!$G:$G,'Airport Statistics'!$D:$D,G122,'Airport Statistics'!$F:$F,K122)</f>
        <v>0</v>
      </c>
      <c r="M122" s="579">
        <f ca="1">SUMIFS('Water Use Calcs'!$V:$V,'Water Use Calcs'!$D:$D,'End Uses'!D122,'Water Use Calcs'!$G:$G,'End Uses'!G122,'Water Use Calcs'!$I:$I,'End Uses'!I122,'Water Use Calcs'!$J:$J,'End Uses'!J122)</f>
        <v>0</v>
      </c>
      <c r="N122" s="580">
        <f t="shared" ca="1" si="10"/>
        <v>0</v>
      </c>
      <c r="O122" s="581" t="str">
        <f ca="1">IFERROR(N122/R114,"-")</f>
        <v>-</v>
      </c>
      <c r="P122" s="404"/>
      <c r="Q122" s="548"/>
      <c r="R122" s="584"/>
      <c r="S122" s="585">
        <f ca="1">SUMIFS('Water Use Calcs'!$W:$W,'Water Use Calcs'!$D:$D,'End Uses'!D122,'Water Use Calcs'!$G:$G,'End Uses'!G122,'Water Use Calcs'!$I:$I,'End Uses'!I122,'Water Use Calcs'!$J:$J,'End Uses'!J122)</f>
        <v>0</v>
      </c>
      <c r="T122" s="586">
        <f t="shared" ca="1" si="7"/>
        <v>0</v>
      </c>
      <c r="U122" s="581" t="str">
        <f ca="1">IFERROR(T122/X114,"-")</f>
        <v>-</v>
      </c>
      <c r="V122" s="404"/>
      <c r="W122" s="548"/>
      <c r="X122" s="584"/>
    </row>
    <row r="123" spans="3:24" s="45" customFormat="1" ht="13.2" customHeight="1" thickBot="1" x14ac:dyDescent="0.35">
      <c r="C123" s="576"/>
      <c r="D123" s="521" t="s">
        <v>412</v>
      </c>
      <c r="E123" s="618"/>
      <c r="F123" s="621"/>
      <c r="G123" s="494" t="s">
        <v>386</v>
      </c>
      <c r="H123" s="116"/>
      <c r="I123" s="451" t="s">
        <v>8</v>
      </c>
      <c r="J123" s="116" t="s">
        <v>54</v>
      </c>
      <c r="K123" s="606" t="s">
        <v>364</v>
      </c>
      <c r="L123" s="607">
        <f>SUMIFS('Airport Statistics'!$G:$G,'Airport Statistics'!$D:$D,G123,'Airport Statistics'!$F:$F,K123)</f>
        <v>0</v>
      </c>
      <c r="M123" s="608">
        <f ca="1">SUMIFS('Water Use Calcs'!$V:$V,'Water Use Calcs'!$D:$D,'End Uses'!D123,'Water Use Calcs'!$G:$G,'End Uses'!G123,'Water Use Calcs'!$I:$I,'End Uses'!I123,'Water Use Calcs'!$J:$J,'End Uses'!J123)</f>
        <v>0</v>
      </c>
      <c r="N123" s="609">
        <f t="shared" ca="1" si="10"/>
        <v>0</v>
      </c>
      <c r="O123" s="616" t="str">
        <f ca="1">IFERROR(N123/R114,"-")</f>
        <v>-</v>
      </c>
      <c r="P123" s="550"/>
      <c r="Q123" s="550"/>
      <c r="R123" s="613"/>
      <c r="S123" s="614">
        <f ca="1">SUMIFS('Water Use Calcs'!$W:$W,'Water Use Calcs'!$D:$D,'End Uses'!D123,'Water Use Calcs'!$G:$G,'End Uses'!G123,'Water Use Calcs'!$I:$I,'End Uses'!I123,'Water Use Calcs'!$J:$J,'End Uses'!J123)</f>
        <v>0</v>
      </c>
      <c r="T123" s="615">
        <f t="shared" ca="1" si="7"/>
        <v>0</v>
      </c>
      <c r="U123" s="616" t="str">
        <f ca="1">IFERROR(T123/X114,"-")</f>
        <v>-</v>
      </c>
      <c r="V123" s="550"/>
      <c r="W123" s="550"/>
      <c r="X123" s="613"/>
    </row>
    <row r="124" spans="3:24" s="45" customFormat="1" ht="13.2" customHeight="1" x14ac:dyDescent="0.3">
      <c r="C124" s="576"/>
      <c r="D124" s="521" t="s">
        <v>412</v>
      </c>
      <c r="E124" s="494" t="str">
        <f>G124</f>
        <v>Office Building E</v>
      </c>
      <c r="F124" s="565" t="str">
        <f>VLOOKUP(E124,'Airport Mapping'!$C$5:$D$39,2,FALSE)</f>
        <v xml:space="preserve"> </v>
      </c>
      <c r="G124" s="566" t="s">
        <v>387</v>
      </c>
      <c r="H124" s="564" t="str">
        <f>I124</f>
        <v>Restrooms</v>
      </c>
      <c r="I124" s="454" t="s">
        <v>37</v>
      </c>
      <c r="J124" s="567" t="s">
        <v>2</v>
      </c>
      <c r="K124" s="620" t="s">
        <v>6</v>
      </c>
      <c r="L124" s="568">
        <f>SUMIFS('Airport Statistics'!$G:$G,'Airport Statistics'!$D:$D,G124,'Airport Statistics'!$F:$F,K124)</f>
        <v>0</v>
      </c>
      <c r="M124" s="569">
        <f ca="1">SUMIFS('Water Use Calcs'!$V:$V,'Water Use Calcs'!$D:$D,'End Uses'!D124,'Water Use Calcs'!$G:$G,'End Uses'!G124,'Water Use Calcs'!$I:$I,'End Uses'!I124,'Water Use Calcs'!$J:$J,'End Uses'!J124)</f>
        <v>0</v>
      </c>
      <c r="N124" s="570">
        <f t="shared" ca="1" si="2"/>
        <v>0</v>
      </c>
      <c r="O124" s="571" t="str">
        <f ca="1">IFERROR(N124/R124,"-")</f>
        <v>-</v>
      </c>
      <c r="P124" s="572">
        <f ca="1">SUMIFS($N:$N,$G:$G,G124,$I:$I,H124)</f>
        <v>0</v>
      </c>
      <c r="Q124" s="546" t="str">
        <f ca="1">IFERROR(P124/R124,"-")</f>
        <v>-</v>
      </c>
      <c r="R124" s="573">
        <f ca="1">SUMIFS($N:$N,$G:$G,G124)</f>
        <v>0</v>
      </c>
      <c r="S124" s="574">
        <f ca="1">SUMIFS('Water Use Calcs'!$W:$W,'Water Use Calcs'!$D:$D,'End Uses'!D124,'Water Use Calcs'!$G:$G,'End Uses'!G124,'Water Use Calcs'!$I:$I,'End Uses'!I124,'Water Use Calcs'!$J:$J,'End Uses'!J124)</f>
        <v>0</v>
      </c>
      <c r="T124" s="575">
        <f t="shared" ca="1" si="7"/>
        <v>0</v>
      </c>
      <c r="U124" s="571" t="str">
        <f ca="1">IFERROR(T124/X124,"-")</f>
        <v>-</v>
      </c>
      <c r="V124" s="572">
        <f ca="1">SUMIFS($T:$T,$G:$G,G124,$I:$I,H124)</f>
        <v>0</v>
      </c>
      <c r="W124" s="546" t="str">
        <f ca="1">IFERROR(V124/X124,"-")</f>
        <v>-</v>
      </c>
      <c r="X124" s="573">
        <f ca="1">SUMIFS($T:$T,$G:$G,G124)</f>
        <v>0</v>
      </c>
    </row>
    <row r="125" spans="3:24" x14ac:dyDescent="0.3">
      <c r="C125" s="576"/>
      <c r="D125" s="521" t="s">
        <v>412</v>
      </c>
      <c r="E125" s="521"/>
      <c r="F125" s="621"/>
      <c r="G125" s="494" t="s">
        <v>387</v>
      </c>
      <c r="H125" s="577"/>
      <c r="I125" s="450" t="s">
        <v>37</v>
      </c>
      <c r="J125" s="577" t="s">
        <v>4</v>
      </c>
      <c r="K125" s="598" t="s">
        <v>6</v>
      </c>
      <c r="L125" s="578">
        <f>SUMIFS('Airport Statistics'!$G:$G,'Airport Statistics'!$D:$D,G125,'Airport Statistics'!$F:$F,K125)</f>
        <v>0</v>
      </c>
      <c r="M125" s="579">
        <f ca="1">SUMIFS('Water Use Calcs'!$V:$V,'Water Use Calcs'!$D:$D,'End Uses'!D125,'Water Use Calcs'!$G:$G,'End Uses'!G125,'Water Use Calcs'!$I:$I,'End Uses'!I125,'Water Use Calcs'!$J:$J,'End Uses'!J125)</f>
        <v>0</v>
      </c>
      <c r="N125" s="580">
        <f t="shared" ca="1" si="2"/>
        <v>0</v>
      </c>
      <c r="O125" s="581" t="str">
        <f ca="1">IFERROR(N125/R124,"-")</f>
        <v>-</v>
      </c>
      <c r="P125" s="582"/>
      <c r="Q125" s="583"/>
      <c r="R125" s="584"/>
      <c r="S125" s="585">
        <f ca="1">SUMIFS('Water Use Calcs'!$W:$W,'Water Use Calcs'!$D:$D,'End Uses'!D125,'Water Use Calcs'!$G:$G,'End Uses'!G125,'Water Use Calcs'!$I:$I,'End Uses'!I125,'Water Use Calcs'!$J:$J,'End Uses'!J125)</f>
        <v>0</v>
      </c>
      <c r="T125" s="586">
        <f t="shared" ca="1" si="7"/>
        <v>0</v>
      </c>
      <c r="U125" s="581" t="str">
        <f ca="1">IFERROR(T125/X124,"-")</f>
        <v>-</v>
      </c>
      <c r="V125" s="582"/>
      <c r="W125" s="583"/>
      <c r="X125" s="584"/>
    </row>
    <row r="126" spans="3:24" x14ac:dyDescent="0.3">
      <c r="C126" s="576"/>
      <c r="D126" s="521" t="s">
        <v>412</v>
      </c>
      <c r="E126" s="521"/>
      <c r="F126" s="621"/>
      <c r="G126" s="494" t="s">
        <v>387</v>
      </c>
      <c r="H126" s="577"/>
      <c r="I126" s="450" t="s">
        <v>37</v>
      </c>
      <c r="J126" s="577" t="s">
        <v>33</v>
      </c>
      <c r="K126" s="598" t="s">
        <v>6</v>
      </c>
      <c r="L126" s="578">
        <f>SUMIFS('Airport Statistics'!$G:$G,'Airport Statistics'!$D:$D,G126,'Airport Statistics'!$F:$F,K126)</f>
        <v>0</v>
      </c>
      <c r="M126" s="579">
        <f ca="1">SUMIFS('Water Use Calcs'!$V:$V,'Water Use Calcs'!$D:$D,'End Uses'!D126,'Water Use Calcs'!$G:$G,'End Uses'!G126,'Water Use Calcs'!$I:$I,'End Uses'!I126,'Water Use Calcs'!$J:$J,'End Uses'!J126)</f>
        <v>0</v>
      </c>
      <c r="N126" s="580">
        <f t="shared" ca="1" si="2"/>
        <v>0</v>
      </c>
      <c r="O126" s="581" t="str">
        <f ca="1">IFERROR(N126/R124,"-")</f>
        <v>-</v>
      </c>
      <c r="P126" s="582"/>
      <c r="Q126" s="583"/>
      <c r="R126" s="584"/>
      <c r="S126" s="585">
        <f ca="1">SUMIFS('Water Use Calcs'!$W:$W,'Water Use Calcs'!$D:$D,'End Uses'!D126,'Water Use Calcs'!$G:$G,'End Uses'!G126,'Water Use Calcs'!$I:$I,'End Uses'!I126,'Water Use Calcs'!$J:$J,'End Uses'!J126)</f>
        <v>0</v>
      </c>
      <c r="T126" s="586">
        <f t="shared" ca="1" si="7"/>
        <v>0</v>
      </c>
      <c r="U126" s="581" t="str">
        <f ca="1">IFERROR(T126/X124,"-")</f>
        <v>-</v>
      </c>
      <c r="V126" s="582"/>
      <c r="W126" s="583"/>
      <c r="X126" s="584"/>
    </row>
    <row r="127" spans="3:24" x14ac:dyDescent="0.3">
      <c r="C127" s="576"/>
      <c r="D127" s="521" t="s">
        <v>412</v>
      </c>
      <c r="E127" s="521"/>
      <c r="F127" s="621"/>
      <c r="G127" s="494" t="s">
        <v>387</v>
      </c>
      <c r="H127" s="622" t="str">
        <f>I127</f>
        <v>Break rooms</v>
      </c>
      <c r="I127" s="623" t="s">
        <v>5</v>
      </c>
      <c r="J127" s="624" t="s">
        <v>33</v>
      </c>
      <c r="K127" s="625" t="s">
        <v>6</v>
      </c>
      <c r="L127" s="496">
        <f>SUMIFS('Airport Statistics'!$G:$G,'Airport Statistics'!$D:$D,G127,'Airport Statistics'!$F:$F,K127)</f>
        <v>0</v>
      </c>
      <c r="M127" s="626">
        <f ca="1">SUMIFS('Water Use Calcs'!$V:$V,'Water Use Calcs'!$D:$D,'End Uses'!D127,'Water Use Calcs'!$G:$G,'End Uses'!G127,'Water Use Calcs'!$I:$I,'End Uses'!I127,'Water Use Calcs'!$J:$J,'End Uses'!J127)</f>
        <v>0</v>
      </c>
      <c r="N127" s="627">
        <f t="shared" ca="1" si="2"/>
        <v>0</v>
      </c>
      <c r="O127" s="628" t="str">
        <f ca="1">IFERROR(N127/R124,"-")</f>
        <v>-</v>
      </c>
      <c r="P127" s="629">
        <f ca="1">SUMIFS($N:$N,$G:$G,G127,$I:$I,H127)</f>
        <v>0</v>
      </c>
      <c r="Q127" s="291" t="str">
        <f ca="1">IFERROR(P127/R124,"-")</f>
        <v>-</v>
      </c>
      <c r="R127" s="584"/>
      <c r="S127" s="630">
        <f ca="1">SUMIFS('Water Use Calcs'!$W:$W,'Water Use Calcs'!$D:$D,'End Uses'!D127,'Water Use Calcs'!$G:$G,'End Uses'!G127,'Water Use Calcs'!$I:$I,'End Uses'!I127,'Water Use Calcs'!$J:$J,'End Uses'!J127)</f>
        <v>0</v>
      </c>
      <c r="T127" s="631">
        <f t="shared" ca="1" si="7"/>
        <v>0</v>
      </c>
      <c r="U127" s="628" t="str">
        <f ca="1">IFERROR(T127/X124,"-")</f>
        <v>-</v>
      </c>
      <c r="V127" s="629">
        <f ca="1">SUMIFS($T:$T,$G:$G,G127,$I:$I,H127)</f>
        <v>0</v>
      </c>
      <c r="W127" s="291" t="str">
        <f ca="1">IFERROR(V127/X124,"-")</f>
        <v>-</v>
      </c>
      <c r="X127" s="584"/>
    </row>
    <row r="128" spans="3:24" x14ac:dyDescent="0.3">
      <c r="C128" s="576"/>
      <c r="D128" s="521" t="s">
        <v>412</v>
      </c>
      <c r="E128" s="521"/>
      <c r="F128" s="621"/>
      <c r="G128" s="494" t="s">
        <v>387</v>
      </c>
      <c r="H128" s="622" t="str">
        <f>I128</f>
        <v>Landscaping</v>
      </c>
      <c r="I128" s="623" t="s">
        <v>39</v>
      </c>
      <c r="J128" s="624" t="s">
        <v>42</v>
      </c>
      <c r="K128" s="20" t="s">
        <v>120</v>
      </c>
      <c r="L128" s="496">
        <f>SUMIFS('Airport Statistics'!$G:$G,'Airport Statistics'!$D:$D,G128,'Airport Statistics'!$F:$F,K128)</f>
        <v>0</v>
      </c>
      <c r="M128" s="626">
        <f ca="1">SUMIFS('Water Use Calcs'!$V:$V,'Water Use Calcs'!$D:$D,'End Uses'!D128,'Water Use Calcs'!$G:$G,'End Uses'!G128,'Water Use Calcs'!$I:$I,'End Uses'!I128,'Water Use Calcs'!$J:$J,'End Uses'!J128)</f>
        <v>0</v>
      </c>
      <c r="N128" s="627">
        <f t="shared" ca="1" si="2"/>
        <v>0</v>
      </c>
      <c r="O128" s="628" t="str">
        <f ca="1">IFERROR(N128/R124,"-")</f>
        <v>-</v>
      </c>
      <c r="P128" s="629">
        <f ca="1">SUMIFS($N:$N,$G:$G,G128,$I:$I,H128)</f>
        <v>0</v>
      </c>
      <c r="Q128" s="291" t="str">
        <f ca="1">IFERROR(P128/R124,"-")</f>
        <v>-</v>
      </c>
      <c r="R128" s="584"/>
      <c r="S128" s="630">
        <f ca="1">SUMIFS('Water Use Calcs'!$W:$W,'Water Use Calcs'!$D:$D,'End Uses'!D128,'Water Use Calcs'!$G:$G,'End Uses'!G128,'Water Use Calcs'!$I:$I,'End Uses'!I128,'Water Use Calcs'!$J:$J,'End Uses'!J128)</f>
        <v>0</v>
      </c>
      <c r="T128" s="631">
        <f t="shared" ca="1" si="7"/>
        <v>0</v>
      </c>
      <c r="U128" s="628" t="str">
        <f ca="1">IFERROR(T128/X124,"-")</f>
        <v>-</v>
      </c>
      <c r="V128" s="629">
        <f ca="1">SUMIFS($T:$T,$G:$G,G128,$I:$I,H128)</f>
        <v>0</v>
      </c>
      <c r="W128" s="291" t="str">
        <f ca="1">IFERROR(V128/X124,"-")</f>
        <v>-</v>
      </c>
      <c r="X128" s="584"/>
    </row>
    <row r="129" spans="3:24" x14ac:dyDescent="0.3">
      <c r="C129" s="576"/>
      <c r="D129" s="521" t="s">
        <v>412</v>
      </c>
      <c r="E129" s="521"/>
      <c r="F129" s="621"/>
      <c r="G129" s="494" t="s">
        <v>387</v>
      </c>
      <c r="H129" s="588" t="str">
        <f>I129</f>
        <v>Maintenance</v>
      </c>
      <c r="I129" s="455" t="s">
        <v>43</v>
      </c>
      <c r="J129" s="17" t="s">
        <v>111</v>
      </c>
      <c r="K129" s="599" t="s">
        <v>424</v>
      </c>
      <c r="L129" s="591">
        <f>SUMIFS('Airport Statistics'!$G:$G,'Airport Statistics'!$D:$D,G129,'Airport Statistics'!$F:$F,K129)</f>
        <v>0</v>
      </c>
      <c r="M129" s="592">
        <f ca="1">SUMIFS('Water Use Calcs'!$V:$V,'Water Use Calcs'!$D:$D,'End Uses'!D129,'Water Use Calcs'!$G:$G,'End Uses'!G129,'Water Use Calcs'!$I:$I,'End Uses'!I129,'Water Use Calcs'!$J:$J,'End Uses'!J129)</f>
        <v>0</v>
      </c>
      <c r="N129" s="593">
        <f t="shared" ca="1" si="2"/>
        <v>0</v>
      </c>
      <c r="O129" s="594" t="str">
        <f ca="1">IFERROR(N129/R124,"-")</f>
        <v>-</v>
      </c>
      <c r="P129" s="595">
        <f ca="1">SUMIFS($N:$N,$G:$G,G129,$I:$I,H129)</f>
        <v>0</v>
      </c>
      <c r="Q129" s="547" t="str">
        <f ca="1">IFERROR(P129/R124,"-")</f>
        <v>-</v>
      </c>
      <c r="R129" s="584"/>
      <c r="S129" s="596">
        <f ca="1">SUMIFS('Water Use Calcs'!$W:$W,'Water Use Calcs'!$D:$D,'End Uses'!D129,'Water Use Calcs'!$G:$G,'End Uses'!G129,'Water Use Calcs'!$I:$I,'End Uses'!I129,'Water Use Calcs'!$J:$J,'End Uses'!J129)</f>
        <v>0</v>
      </c>
      <c r="T129" s="597">
        <f t="shared" ca="1" si="7"/>
        <v>0</v>
      </c>
      <c r="U129" s="594" t="str">
        <f ca="1">IFERROR(T129/X124,"-")</f>
        <v>-</v>
      </c>
      <c r="V129" s="595">
        <f ca="1">SUMIFS($T:$T,$G:$G,G129,$I:$I,H129)</f>
        <v>0</v>
      </c>
      <c r="W129" s="547" t="str">
        <f ca="1">IFERROR(V129/X124,"-")</f>
        <v>-</v>
      </c>
      <c r="X129" s="584"/>
    </row>
    <row r="130" spans="3:24" x14ac:dyDescent="0.3">
      <c r="C130" s="576"/>
      <c r="D130" s="521" t="s">
        <v>412</v>
      </c>
      <c r="E130" s="521"/>
      <c r="F130" s="621"/>
      <c r="G130" s="494" t="s">
        <v>387</v>
      </c>
      <c r="H130" s="577"/>
      <c r="I130" s="450" t="s">
        <v>43</v>
      </c>
      <c r="J130" s="18" t="s">
        <v>7</v>
      </c>
      <c r="K130" s="183" t="s">
        <v>365</v>
      </c>
      <c r="L130" s="600"/>
      <c r="M130" s="601">
        <f ca="1">SUMIFS('Water Use Calcs'!$V:$V,'Water Use Calcs'!$D:$D,'End Uses'!D130,'Water Use Calcs'!$G:$G,'End Uses'!G130,'Water Use Calcs'!$I:$I,'End Uses'!I130,'Water Use Calcs'!$J:$J,'End Uses'!J130)</f>
        <v>0</v>
      </c>
      <c r="N130" s="580">
        <f ca="1">M130</f>
        <v>0</v>
      </c>
      <c r="O130" s="581" t="str">
        <f ca="1">IFERROR(N130/R124,"-")</f>
        <v>-</v>
      </c>
      <c r="P130" s="404"/>
      <c r="Q130" s="548"/>
      <c r="R130" s="584"/>
      <c r="S130" s="585">
        <f ca="1">SUMIFS('Water Use Calcs'!$W:$W,'Water Use Calcs'!$D:$D,'End Uses'!D130,'Water Use Calcs'!$G:$G,'End Uses'!G130,'Water Use Calcs'!$I:$I,'End Uses'!I130,'Water Use Calcs'!$J:$J,'End Uses'!J130)</f>
        <v>0</v>
      </c>
      <c r="T130" s="586">
        <f ca="1">S130</f>
        <v>0</v>
      </c>
      <c r="U130" s="581" t="str">
        <f ca="1">IFERROR(T130/X124,"-")</f>
        <v>-</v>
      </c>
      <c r="V130" s="404"/>
      <c r="W130" s="548"/>
      <c r="X130" s="584"/>
    </row>
    <row r="131" spans="3:24" x14ac:dyDescent="0.3">
      <c r="C131" s="576"/>
      <c r="D131" s="521" t="s">
        <v>412</v>
      </c>
      <c r="E131" s="521"/>
      <c r="F131" s="621"/>
      <c r="G131" s="494" t="s">
        <v>387</v>
      </c>
      <c r="H131" s="588" t="str">
        <f>I131</f>
        <v>Other</v>
      </c>
      <c r="I131" s="455" t="s">
        <v>8</v>
      </c>
      <c r="J131" s="589" t="s">
        <v>52</v>
      </c>
      <c r="K131" s="602" t="s">
        <v>362</v>
      </c>
      <c r="L131" s="591">
        <f>SUMIFS('Airport Statistics'!$G:$G,'Airport Statistics'!$D:$D,G131,'Airport Statistics'!$F:$F,K131)</f>
        <v>0</v>
      </c>
      <c r="M131" s="592">
        <f ca="1">SUMIFS('Water Use Calcs'!$V:$V,'Water Use Calcs'!$D:$D,'End Uses'!D131,'Water Use Calcs'!$G:$G,'End Uses'!G131,'Water Use Calcs'!$I:$I,'End Uses'!I131,'Water Use Calcs'!$J:$J,'End Uses'!J131)</f>
        <v>0</v>
      </c>
      <c r="N131" s="593">
        <f t="shared" ref="N131:N133" ca="1" si="11">L131*M131</f>
        <v>0</v>
      </c>
      <c r="O131" s="594" t="str">
        <f ca="1">IFERROR(N131/R124,"-")</f>
        <v>-</v>
      </c>
      <c r="P131" s="595">
        <f ca="1">SUMIFS($N:$N,$G:$G,G131,$I:$I,H131)</f>
        <v>0</v>
      </c>
      <c r="Q131" s="547" t="str">
        <f ca="1">IFERROR(P131/R124,"-")</f>
        <v>-</v>
      </c>
      <c r="R131" s="584"/>
      <c r="S131" s="596">
        <f ca="1">SUMIFS('Water Use Calcs'!$W:$W,'Water Use Calcs'!$D:$D,'End Uses'!D131,'Water Use Calcs'!$G:$G,'End Uses'!G131,'Water Use Calcs'!$I:$I,'End Uses'!I131,'Water Use Calcs'!$J:$J,'End Uses'!J131)</f>
        <v>0</v>
      </c>
      <c r="T131" s="597">
        <f t="shared" ca="1" si="7"/>
        <v>0</v>
      </c>
      <c r="U131" s="594" t="str">
        <f ca="1">IFERROR(T131/X124,"-")</f>
        <v>-</v>
      </c>
      <c r="V131" s="595">
        <f ca="1">SUMIFS($T:$T,$G:$G,G131,$I:$I,H131)</f>
        <v>0</v>
      </c>
      <c r="W131" s="547" t="str">
        <f ca="1">IFERROR(V131/X124,"-")</f>
        <v>-</v>
      </c>
      <c r="X131" s="584"/>
    </row>
    <row r="132" spans="3:24" s="45" customFormat="1" ht="13.2" customHeight="1" x14ac:dyDescent="0.3">
      <c r="C132" s="576"/>
      <c r="D132" s="521" t="s">
        <v>412</v>
      </c>
      <c r="E132" s="521"/>
      <c r="F132" s="621"/>
      <c r="G132" s="494" t="s">
        <v>387</v>
      </c>
      <c r="H132" s="577"/>
      <c r="I132" s="450" t="s">
        <v>8</v>
      </c>
      <c r="J132" s="577" t="s">
        <v>53</v>
      </c>
      <c r="K132" s="439" t="s">
        <v>363</v>
      </c>
      <c r="L132" s="578">
        <f>SUMIFS('Airport Statistics'!$G:$G,'Airport Statistics'!$D:$D,G132,'Airport Statistics'!$F:$F,K132)</f>
        <v>0</v>
      </c>
      <c r="M132" s="579">
        <f ca="1">SUMIFS('Water Use Calcs'!$V:$V,'Water Use Calcs'!$D:$D,'End Uses'!D132,'Water Use Calcs'!$G:$G,'End Uses'!G132,'Water Use Calcs'!$I:$I,'End Uses'!I132,'Water Use Calcs'!$J:$J,'End Uses'!J132)</f>
        <v>0</v>
      </c>
      <c r="N132" s="580">
        <f t="shared" ca="1" si="11"/>
        <v>0</v>
      </c>
      <c r="O132" s="581" t="str">
        <f ca="1">IFERROR(N132/R124,"-")</f>
        <v>-</v>
      </c>
      <c r="P132" s="404"/>
      <c r="Q132" s="548"/>
      <c r="R132" s="584"/>
      <c r="S132" s="585">
        <f ca="1">SUMIFS('Water Use Calcs'!$W:$W,'Water Use Calcs'!$D:$D,'End Uses'!D132,'Water Use Calcs'!$G:$G,'End Uses'!G132,'Water Use Calcs'!$I:$I,'End Uses'!I132,'Water Use Calcs'!$J:$J,'End Uses'!J132)</f>
        <v>0</v>
      </c>
      <c r="T132" s="586">
        <f t="shared" ca="1" si="7"/>
        <v>0</v>
      </c>
      <c r="U132" s="581" t="str">
        <f ca="1">IFERROR(T132/X124,"-")</f>
        <v>-</v>
      </c>
      <c r="V132" s="404"/>
      <c r="W132" s="548"/>
      <c r="X132" s="584"/>
    </row>
    <row r="133" spans="3:24" s="45" customFormat="1" ht="13.2" customHeight="1" thickBot="1" x14ac:dyDescent="0.35">
      <c r="C133" s="576"/>
      <c r="D133" s="632" t="s">
        <v>412</v>
      </c>
      <c r="E133" s="618"/>
      <c r="F133" s="621"/>
      <c r="G133" s="494" t="s">
        <v>387</v>
      </c>
      <c r="H133" s="116"/>
      <c r="I133" s="451" t="s">
        <v>8</v>
      </c>
      <c r="J133" s="116" t="s">
        <v>54</v>
      </c>
      <c r="K133" s="606" t="s">
        <v>364</v>
      </c>
      <c r="L133" s="607">
        <f>SUMIFS('Airport Statistics'!$G:$G,'Airport Statistics'!$D:$D,G133,'Airport Statistics'!$F:$F,K133)</f>
        <v>0</v>
      </c>
      <c r="M133" s="608">
        <f ca="1">SUMIFS('Water Use Calcs'!$V:$V,'Water Use Calcs'!$D:$D,'End Uses'!D133,'Water Use Calcs'!$G:$G,'End Uses'!G133,'Water Use Calcs'!$I:$I,'End Uses'!I133,'Water Use Calcs'!$J:$J,'End Uses'!J133)</f>
        <v>0</v>
      </c>
      <c r="N133" s="609">
        <f t="shared" ca="1" si="11"/>
        <v>0</v>
      </c>
      <c r="O133" s="616" t="str">
        <f ca="1">IFERROR(N133/R124,"-")</f>
        <v>-</v>
      </c>
      <c r="P133" s="550"/>
      <c r="Q133" s="550"/>
      <c r="R133" s="613"/>
      <c r="S133" s="614">
        <f ca="1">SUMIFS('Water Use Calcs'!$W:$W,'Water Use Calcs'!$D:$D,'End Uses'!D133,'Water Use Calcs'!$G:$G,'End Uses'!G133,'Water Use Calcs'!$I:$I,'End Uses'!I133,'Water Use Calcs'!$J:$J,'End Uses'!J133)</f>
        <v>0</v>
      </c>
      <c r="T133" s="615">
        <f t="shared" ca="1" si="7"/>
        <v>0</v>
      </c>
      <c r="U133" s="616" t="str">
        <f ca="1">IFERROR(T133/X124,"-")</f>
        <v>-</v>
      </c>
      <c r="V133" s="550"/>
      <c r="W133" s="550"/>
      <c r="X133" s="613"/>
    </row>
    <row r="134" spans="3:24" s="45" customFormat="1" ht="13.2" customHeight="1" x14ac:dyDescent="0.3">
      <c r="C134" s="564" t="str">
        <f>D134</f>
        <v>Rental Car Center</v>
      </c>
      <c r="D134" s="493" t="s">
        <v>11</v>
      </c>
      <c r="E134" s="617" t="str">
        <f>G134</f>
        <v>Rental Car Center A</v>
      </c>
      <c r="F134" s="565" t="str">
        <f>VLOOKUP(E134,'Airport Mapping'!$C$5:$D$39,2,FALSE)</f>
        <v xml:space="preserve"> </v>
      </c>
      <c r="G134" s="566" t="s">
        <v>89</v>
      </c>
      <c r="H134" s="564" t="str">
        <f>I134</f>
        <v>Restrooms</v>
      </c>
      <c r="I134" s="454" t="s">
        <v>37</v>
      </c>
      <c r="J134" s="567" t="s">
        <v>2</v>
      </c>
      <c r="K134" s="633" t="s">
        <v>6</v>
      </c>
      <c r="L134" s="568">
        <f>SUMIFS('Airport Statistics'!$G:$G,'Airport Statistics'!$D:$D,G134,'Airport Statistics'!$F:$F,K134)</f>
        <v>0</v>
      </c>
      <c r="M134" s="569">
        <f ca="1">SUMIFS('Water Use Calcs'!$V:$V,'Water Use Calcs'!$D:$D,'End Uses'!D134,'Water Use Calcs'!$G:$G,'End Uses'!G134,'Water Use Calcs'!$I:$I,'End Uses'!I134,'Water Use Calcs'!$J:$J,'End Uses'!J134)</f>
        <v>0</v>
      </c>
      <c r="N134" s="570">
        <f t="shared" ca="1" si="2"/>
        <v>0</v>
      </c>
      <c r="O134" s="571" t="str">
        <f ca="1">IFERROR(N134/R134,"-")</f>
        <v>-</v>
      </c>
      <c r="P134" s="572">
        <f ca="1">SUMIFS($N:$N,$G:$G,G134,$I:$I,H134)</f>
        <v>0</v>
      </c>
      <c r="Q134" s="546" t="str">
        <f ca="1">IFERROR(P134/R134,"-")</f>
        <v>-</v>
      </c>
      <c r="R134" s="573">
        <f ca="1">SUMIFS($N:$N,$G:$G,G134)</f>
        <v>0</v>
      </c>
      <c r="S134" s="574">
        <f ca="1">SUMIFS('Water Use Calcs'!$W:$W,'Water Use Calcs'!$D:$D,'End Uses'!D134,'Water Use Calcs'!$G:$G,'End Uses'!G134,'Water Use Calcs'!$I:$I,'End Uses'!I134,'Water Use Calcs'!$J:$J,'End Uses'!J134)</f>
        <v>0</v>
      </c>
      <c r="T134" s="575">
        <f t="shared" ca="1" si="7"/>
        <v>0</v>
      </c>
      <c r="U134" s="571" t="str">
        <f ca="1">IFERROR(T134/X134,"-")</f>
        <v>-</v>
      </c>
      <c r="V134" s="572">
        <f ca="1">SUMIFS($T:$T,$G:$G,G134,$I:$I,H134)</f>
        <v>0</v>
      </c>
      <c r="W134" s="546" t="str">
        <f ca="1">IFERROR(V134/X134,"-")</f>
        <v>-</v>
      </c>
      <c r="X134" s="573">
        <f ca="1">SUMIFS($T:$T,$G:$G,G134)</f>
        <v>0</v>
      </c>
    </row>
    <row r="135" spans="3:24" x14ac:dyDescent="0.3">
      <c r="C135" s="576"/>
      <c r="D135" s="493" t="s">
        <v>11</v>
      </c>
      <c r="E135" s="494"/>
      <c r="F135" s="577"/>
      <c r="G135" s="494" t="s">
        <v>89</v>
      </c>
      <c r="H135" s="577"/>
      <c r="I135" s="450" t="s">
        <v>37</v>
      </c>
      <c r="J135" s="577" t="s">
        <v>4</v>
      </c>
      <c r="K135" s="634" t="s">
        <v>6</v>
      </c>
      <c r="L135" s="578">
        <f>SUMIFS('Airport Statistics'!$G:$G,'Airport Statistics'!$D:$D,G135,'Airport Statistics'!$F:$F,K135)</f>
        <v>0</v>
      </c>
      <c r="M135" s="579">
        <f ca="1">SUMIFS('Water Use Calcs'!$V:$V,'Water Use Calcs'!$D:$D,'End Uses'!D135,'Water Use Calcs'!$G:$G,'End Uses'!G135,'Water Use Calcs'!$I:$I,'End Uses'!I135,'Water Use Calcs'!$J:$J,'End Uses'!J135)</f>
        <v>0</v>
      </c>
      <c r="N135" s="580">
        <f t="shared" ca="1" si="2"/>
        <v>0</v>
      </c>
      <c r="O135" s="581" t="str">
        <f ca="1">IFERROR(N135/R134,"-")</f>
        <v>-</v>
      </c>
      <c r="P135" s="582"/>
      <c r="Q135" s="583"/>
      <c r="R135" s="584"/>
      <c r="S135" s="585">
        <f ca="1">SUMIFS('Water Use Calcs'!$W:$W,'Water Use Calcs'!$D:$D,'End Uses'!D135,'Water Use Calcs'!$G:$G,'End Uses'!G135,'Water Use Calcs'!$I:$I,'End Uses'!I135,'Water Use Calcs'!$J:$J,'End Uses'!J135)</f>
        <v>0</v>
      </c>
      <c r="T135" s="586">
        <f t="shared" ca="1" si="7"/>
        <v>0</v>
      </c>
      <c r="U135" s="581" t="str">
        <f ca="1">IFERROR(T135/X134,"-")</f>
        <v>-</v>
      </c>
      <c r="V135" s="582"/>
      <c r="W135" s="583"/>
      <c r="X135" s="584"/>
    </row>
    <row r="136" spans="3:24" x14ac:dyDescent="0.3">
      <c r="C136" s="576"/>
      <c r="D136" s="493" t="s">
        <v>11</v>
      </c>
      <c r="E136" s="494"/>
      <c r="F136" s="577"/>
      <c r="G136" s="494" t="s">
        <v>89</v>
      </c>
      <c r="H136" s="577"/>
      <c r="I136" s="450" t="s">
        <v>37</v>
      </c>
      <c r="J136" s="577" t="s">
        <v>33</v>
      </c>
      <c r="K136" s="634" t="s">
        <v>6</v>
      </c>
      <c r="L136" s="578">
        <f>SUMIFS('Airport Statistics'!$G:$G,'Airport Statistics'!$D:$D,G136,'Airport Statistics'!$F:$F,K136)</f>
        <v>0</v>
      </c>
      <c r="M136" s="579">
        <f ca="1">SUMIFS('Water Use Calcs'!$V:$V,'Water Use Calcs'!$D:$D,'End Uses'!D136,'Water Use Calcs'!$G:$G,'End Uses'!G136,'Water Use Calcs'!$I:$I,'End Uses'!I136,'Water Use Calcs'!$J:$J,'End Uses'!J136)</f>
        <v>0</v>
      </c>
      <c r="N136" s="580">
        <f t="shared" ca="1" si="2"/>
        <v>0</v>
      </c>
      <c r="O136" s="581" t="str">
        <f ca="1">IFERROR(N136/R134,"-")</f>
        <v>-</v>
      </c>
      <c r="P136" s="582"/>
      <c r="Q136" s="583"/>
      <c r="R136" s="584"/>
      <c r="S136" s="585">
        <f ca="1">SUMIFS('Water Use Calcs'!$W:$W,'Water Use Calcs'!$D:$D,'End Uses'!D136,'Water Use Calcs'!$G:$G,'End Uses'!G136,'Water Use Calcs'!$I:$I,'End Uses'!I136,'Water Use Calcs'!$J:$J,'End Uses'!J136)</f>
        <v>0</v>
      </c>
      <c r="T136" s="586">
        <f t="shared" ca="1" si="7"/>
        <v>0</v>
      </c>
      <c r="U136" s="581" t="str">
        <f ca="1">IFERROR(T136/X134,"-")</f>
        <v>-</v>
      </c>
      <c r="V136" s="582"/>
      <c r="W136" s="583"/>
      <c r="X136" s="584"/>
    </row>
    <row r="137" spans="3:24" x14ac:dyDescent="0.3">
      <c r="C137" s="576"/>
      <c r="D137" s="493" t="s">
        <v>11</v>
      </c>
      <c r="E137" s="494"/>
      <c r="F137" s="577"/>
      <c r="G137" s="494" t="s">
        <v>89</v>
      </c>
      <c r="H137" s="622" t="str">
        <f>I137</f>
        <v>Break rooms</v>
      </c>
      <c r="I137" s="623" t="s">
        <v>5</v>
      </c>
      <c r="J137" s="624" t="s">
        <v>33</v>
      </c>
      <c r="K137" s="625" t="s">
        <v>6</v>
      </c>
      <c r="L137" s="496">
        <f>SUMIFS('Airport Statistics'!$G:$G,'Airport Statistics'!$D:$D,G137,'Airport Statistics'!$F:$F,K137)</f>
        <v>0</v>
      </c>
      <c r="M137" s="626">
        <f ca="1">SUMIFS('Water Use Calcs'!$V:$V,'Water Use Calcs'!$D:$D,'End Uses'!D137,'Water Use Calcs'!$G:$G,'End Uses'!G137,'Water Use Calcs'!$I:$I,'End Uses'!I137,'Water Use Calcs'!$J:$J,'End Uses'!J137)</f>
        <v>0</v>
      </c>
      <c r="N137" s="627">
        <f t="shared" ca="1" si="2"/>
        <v>0</v>
      </c>
      <c r="O137" s="628" t="str">
        <f ca="1">IFERROR(N137/R134,"-")</f>
        <v>-</v>
      </c>
      <c r="P137" s="629">
        <f ca="1">SUMIFS($N:$N,$G:$G,G137,$I:$I,H137)</f>
        <v>0</v>
      </c>
      <c r="Q137" s="291" t="str">
        <f ca="1">IFERROR(P137/R134,"-")</f>
        <v>-</v>
      </c>
      <c r="R137" s="584"/>
      <c r="S137" s="630">
        <f ca="1">SUMIFS('Water Use Calcs'!$W:$W,'Water Use Calcs'!$D:$D,'End Uses'!D137,'Water Use Calcs'!$G:$G,'End Uses'!G137,'Water Use Calcs'!$I:$I,'End Uses'!I137,'Water Use Calcs'!$J:$J,'End Uses'!J137)</f>
        <v>0</v>
      </c>
      <c r="T137" s="631">
        <f t="shared" ca="1" si="7"/>
        <v>0</v>
      </c>
      <c r="U137" s="628" t="str">
        <f ca="1">IFERROR(T137/X134,"-")</f>
        <v>-</v>
      </c>
      <c r="V137" s="629">
        <f ca="1">SUMIFS($T:$T,$G:$G,G137,$I:$I,H137)</f>
        <v>0</v>
      </c>
      <c r="W137" s="291" t="str">
        <f ca="1">IFERROR(V137/X134,"-")</f>
        <v>-</v>
      </c>
      <c r="X137" s="584"/>
    </row>
    <row r="138" spans="3:24" x14ac:dyDescent="0.3">
      <c r="C138" s="576"/>
      <c r="D138" s="493" t="s">
        <v>11</v>
      </c>
      <c r="E138" s="494"/>
      <c r="F138" s="577"/>
      <c r="G138" s="494" t="s">
        <v>89</v>
      </c>
      <c r="H138" s="622" t="str">
        <f>I138</f>
        <v>Landscaping</v>
      </c>
      <c r="I138" s="623" t="s">
        <v>39</v>
      </c>
      <c r="J138" s="624" t="s">
        <v>42</v>
      </c>
      <c r="K138" s="20" t="s">
        <v>120</v>
      </c>
      <c r="L138" s="496">
        <f>SUMIFS('Airport Statistics'!$G:$G,'Airport Statistics'!$D:$D,G138,'Airport Statistics'!$F:$F,K138)</f>
        <v>0</v>
      </c>
      <c r="M138" s="626">
        <f ca="1">SUMIFS('Water Use Calcs'!$V:$V,'Water Use Calcs'!$D:$D,'End Uses'!D138,'Water Use Calcs'!$G:$G,'End Uses'!G138,'Water Use Calcs'!$I:$I,'End Uses'!I138,'Water Use Calcs'!$J:$J,'End Uses'!J138)</f>
        <v>0</v>
      </c>
      <c r="N138" s="627">
        <f t="shared" ca="1" si="2"/>
        <v>0</v>
      </c>
      <c r="O138" s="628" t="str">
        <f ca="1">IFERROR(N138/R134,"-")</f>
        <v>-</v>
      </c>
      <c r="P138" s="629">
        <f ca="1">SUMIFS($N:$N,$G:$G,G138,$I:$I,H138)</f>
        <v>0</v>
      </c>
      <c r="Q138" s="291" t="str">
        <f ca="1">IFERROR(P138/R134,"-")</f>
        <v>-</v>
      </c>
      <c r="R138" s="584"/>
      <c r="S138" s="630">
        <f ca="1">SUMIFS('Water Use Calcs'!$W:$W,'Water Use Calcs'!$D:$D,'End Uses'!D138,'Water Use Calcs'!$G:$G,'End Uses'!G138,'Water Use Calcs'!$I:$I,'End Uses'!I138,'Water Use Calcs'!$J:$J,'End Uses'!J138)</f>
        <v>0</v>
      </c>
      <c r="T138" s="631">
        <f t="shared" ref="T138:T237" ca="1" si="12">L138*S138</f>
        <v>0</v>
      </c>
      <c r="U138" s="628" t="str">
        <f ca="1">IFERROR(T138/X134,"-")</f>
        <v>-</v>
      </c>
      <c r="V138" s="629">
        <f ca="1">SUMIFS($T:$T,$G:$G,G138,$I:$I,H138)</f>
        <v>0</v>
      </c>
      <c r="W138" s="291" t="str">
        <f ca="1">IFERROR(V138/X134,"-")</f>
        <v>-</v>
      </c>
      <c r="X138" s="584"/>
    </row>
    <row r="139" spans="3:24" x14ac:dyDescent="0.3">
      <c r="C139" s="576"/>
      <c r="D139" s="493" t="s">
        <v>11</v>
      </c>
      <c r="E139" s="494"/>
      <c r="F139" s="577"/>
      <c r="G139" s="494" t="s">
        <v>89</v>
      </c>
      <c r="H139" s="588" t="str">
        <f>I139</f>
        <v>Maintenance</v>
      </c>
      <c r="I139" s="455" t="s">
        <v>43</v>
      </c>
      <c r="J139" s="17" t="s">
        <v>111</v>
      </c>
      <c r="K139" s="599" t="s">
        <v>424</v>
      </c>
      <c r="L139" s="591">
        <f>SUMIFS('Airport Statistics'!$G:$G,'Airport Statistics'!$D:$D,G139,'Airport Statistics'!$F:$F,K139)</f>
        <v>0</v>
      </c>
      <c r="M139" s="592">
        <f ca="1">SUMIFS('Water Use Calcs'!$V:$V,'Water Use Calcs'!$D:$D,'End Uses'!D139,'Water Use Calcs'!$G:$G,'End Uses'!G139,'Water Use Calcs'!$I:$I,'End Uses'!I139,'Water Use Calcs'!$J:$J,'End Uses'!J139)</f>
        <v>0</v>
      </c>
      <c r="N139" s="593">
        <f t="shared" ca="1" si="2"/>
        <v>0</v>
      </c>
      <c r="O139" s="594" t="str">
        <f ca="1">IFERROR(N139/R134,"-")</f>
        <v>-</v>
      </c>
      <c r="P139" s="595">
        <f ca="1">SUMIFS($N:$N,$G:$G,G139,$I:$I,H139)</f>
        <v>0</v>
      </c>
      <c r="Q139" s="547" t="str">
        <f ca="1">IFERROR(P139/R134,"-")</f>
        <v>-</v>
      </c>
      <c r="R139" s="584"/>
      <c r="S139" s="596">
        <f ca="1">SUMIFS('Water Use Calcs'!$W:$W,'Water Use Calcs'!$D:$D,'End Uses'!D139,'Water Use Calcs'!$G:$G,'End Uses'!G139,'Water Use Calcs'!$I:$I,'End Uses'!I139,'Water Use Calcs'!$J:$J,'End Uses'!J139)</f>
        <v>0</v>
      </c>
      <c r="T139" s="597">
        <f t="shared" ca="1" si="12"/>
        <v>0</v>
      </c>
      <c r="U139" s="594" t="str">
        <f ca="1">IFERROR(T139/X134,"-")</f>
        <v>-</v>
      </c>
      <c r="V139" s="595">
        <f ca="1">SUMIFS($T:$T,$G:$G,G139,$I:$I,H139)</f>
        <v>0</v>
      </c>
      <c r="W139" s="547" t="str">
        <f ca="1">IFERROR(V139/X134,"-")</f>
        <v>-</v>
      </c>
      <c r="X139" s="584"/>
    </row>
    <row r="140" spans="3:24" x14ac:dyDescent="0.3">
      <c r="C140" s="576"/>
      <c r="D140" s="493" t="s">
        <v>11</v>
      </c>
      <c r="E140" s="494"/>
      <c r="F140" s="577"/>
      <c r="G140" s="494" t="s">
        <v>89</v>
      </c>
      <c r="H140" s="577"/>
      <c r="I140" s="450" t="s">
        <v>43</v>
      </c>
      <c r="J140" s="18" t="s">
        <v>7</v>
      </c>
      <c r="K140" s="183" t="s">
        <v>365</v>
      </c>
      <c r="L140" s="600"/>
      <c r="M140" s="601">
        <f ca="1">SUMIFS('Water Use Calcs'!$V:$V,'Water Use Calcs'!$D:$D,'End Uses'!D140,'Water Use Calcs'!$G:$G,'End Uses'!G140,'Water Use Calcs'!$I:$I,'End Uses'!I140,'Water Use Calcs'!$J:$J,'End Uses'!J140)</f>
        <v>0</v>
      </c>
      <c r="N140" s="580">
        <f ca="1">M140</f>
        <v>0</v>
      </c>
      <c r="O140" s="581" t="str">
        <f ca="1">IFERROR(N140/R134,"-")</f>
        <v>-</v>
      </c>
      <c r="P140" s="404"/>
      <c r="Q140" s="548"/>
      <c r="R140" s="584"/>
      <c r="S140" s="585">
        <f ca="1">SUMIFS('Water Use Calcs'!$W:$W,'Water Use Calcs'!$D:$D,'End Uses'!D140,'Water Use Calcs'!$G:$G,'End Uses'!G140,'Water Use Calcs'!$I:$I,'End Uses'!I140,'Water Use Calcs'!$J:$J,'End Uses'!J140)</f>
        <v>0</v>
      </c>
      <c r="T140" s="586">
        <f ca="1">S140</f>
        <v>0</v>
      </c>
      <c r="U140" s="581" t="str">
        <f ca="1">IFERROR(T140/X134,"-")</f>
        <v>-</v>
      </c>
      <c r="V140" s="404"/>
      <c r="W140" s="548"/>
      <c r="X140" s="584"/>
    </row>
    <row r="141" spans="3:24" x14ac:dyDescent="0.3">
      <c r="C141" s="576"/>
      <c r="D141" s="493" t="s">
        <v>11</v>
      </c>
      <c r="E141" s="494"/>
      <c r="F141" s="577"/>
      <c r="G141" s="494" t="s">
        <v>89</v>
      </c>
      <c r="H141" s="577"/>
      <c r="I141" s="450" t="s">
        <v>43</v>
      </c>
      <c r="J141" s="577" t="s">
        <v>9</v>
      </c>
      <c r="K141" s="635" t="s">
        <v>73</v>
      </c>
      <c r="L141" s="578">
        <f>SUMIFS('Airport Statistics'!$G:$G,'Airport Statistics'!$D:$D,G141,'Airport Statistics'!$F:$F,K141)</f>
        <v>0</v>
      </c>
      <c r="M141" s="579">
        <f ca="1">SUMIFS('Water Use Calcs'!$V:$V,'Water Use Calcs'!$D:$D,'End Uses'!D141,'Water Use Calcs'!$G:$G,'End Uses'!G141,'Water Use Calcs'!$I:$I,'End Uses'!I141,'Water Use Calcs'!$J:$J,'End Uses'!J141)</f>
        <v>0</v>
      </c>
      <c r="N141" s="580">
        <f t="shared" ca="1" si="2"/>
        <v>0</v>
      </c>
      <c r="O141" s="581" t="str">
        <f ca="1">IFERROR(N141/R134,"-")</f>
        <v>-</v>
      </c>
      <c r="P141" s="582"/>
      <c r="Q141" s="548"/>
      <c r="R141" s="584"/>
      <c r="S141" s="585">
        <f ca="1">SUMIFS('Water Use Calcs'!$W:$W,'Water Use Calcs'!$D:$D,'End Uses'!D141,'Water Use Calcs'!$G:$G,'End Uses'!G141,'Water Use Calcs'!$I:$I,'End Uses'!I141,'Water Use Calcs'!$J:$J,'End Uses'!J141)</f>
        <v>0</v>
      </c>
      <c r="T141" s="586">
        <f t="shared" ca="1" si="12"/>
        <v>0</v>
      </c>
      <c r="U141" s="581" t="str">
        <f ca="1">IFERROR(T141/X134,"-")</f>
        <v>-</v>
      </c>
      <c r="V141" s="582"/>
      <c r="W141" s="548"/>
      <c r="X141" s="584"/>
    </row>
    <row r="142" spans="3:24" x14ac:dyDescent="0.3">
      <c r="C142" s="576"/>
      <c r="D142" s="493" t="s">
        <v>11</v>
      </c>
      <c r="E142" s="494"/>
      <c r="F142" s="577"/>
      <c r="G142" s="494" t="s">
        <v>89</v>
      </c>
      <c r="H142" s="577"/>
      <c r="I142" s="450" t="s">
        <v>43</v>
      </c>
      <c r="J142" s="577" t="s">
        <v>426</v>
      </c>
      <c r="K142" s="635" t="s">
        <v>73</v>
      </c>
      <c r="L142" s="578">
        <f>SUMIFS('Airport Statistics'!$G:$G,'Airport Statistics'!$D:$D,G142,'Airport Statistics'!$F:$F,K142)</f>
        <v>0</v>
      </c>
      <c r="M142" s="579">
        <f ca="1">SUMIFS('Water Use Calcs'!$V:$V,'Water Use Calcs'!$D:$D,'End Uses'!D142,'Water Use Calcs'!$G:$G,'End Uses'!G142,'Water Use Calcs'!$I:$I,'End Uses'!I142,'Water Use Calcs'!$J:$J,'End Uses'!J142)</f>
        <v>0</v>
      </c>
      <c r="N142" s="580">
        <f t="shared" ca="1" si="2"/>
        <v>0</v>
      </c>
      <c r="O142" s="581" t="str">
        <f ca="1">IFERROR(N142/R134,"-")</f>
        <v>-</v>
      </c>
      <c r="P142" s="404"/>
      <c r="Q142" s="548"/>
      <c r="R142" s="584"/>
      <c r="S142" s="585">
        <f ca="1">SUMIFS('Water Use Calcs'!$W:$W,'Water Use Calcs'!$D:$D,'End Uses'!D142,'Water Use Calcs'!$G:$G,'End Uses'!G142,'Water Use Calcs'!$I:$I,'End Uses'!I142,'Water Use Calcs'!$J:$J,'End Uses'!J142)</f>
        <v>0</v>
      </c>
      <c r="T142" s="586">
        <f t="shared" ca="1" si="12"/>
        <v>0</v>
      </c>
      <c r="U142" s="581" t="str">
        <f ca="1">IFERROR(T142/X134,"-")</f>
        <v>-</v>
      </c>
      <c r="V142" s="404"/>
      <c r="W142" s="548"/>
      <c r="X142" s="584"/>
    </row>
    <row r="143" spans="3:24" x14ac:dyDescent="0.3">
      <c r="C143" s="576"/>
      <c r="D143" s="493" t="s">
        <v>11</v>
      </c>
      <c r="E143" s="494"/>
      <c r="F143" s="577"/>
      <c r="G143" s="494" t="s">
        <v>89</v>
      </c>
      <c r="H143" s="588" t="str">
        <f>I143</f>
        <v>Other</v>
      </c>
      <c r="I143" s="455" t="s">
        <v>8</v>
      </c>
      <c r="J143" s="589" t="s">
        <v>52</v>
      </c>
      <c r="K143" s="602" t="s">
        <v>362</v>
      </c>
      <c r="L143" s="591">
        <f>SUMIFS('Airport Statistics'!$G:$G,'Airport Statistics'!$D:$D,G143,'Airport Statistics'!$F:$F,K143)</f>
        <v>0</v>
      </c>
      <c r="M143" s="592">
        <f ca="1">SUMIFS('Water Use Calcs'!$V:$V,'Water Use Calcs'!$D:$D,'End Uses'!D143,'Water Use Calcs'!$G:$G,'End Uses'!G143,'Water Use Calcs'!$I:$I,'End Uses'!I143,'Water Use Calcs'!$J:$J,'End Uses'!J143)</f>
        <v>0</v>
      </c>
      <c r="N143" s="593">
        <f t="shared" ca="1" si="2"/>
        <v>0</v>
      </c>
      <c r="O143" s="594" t="str">
        <f ca="1">IFERROR(N143/R134,"-")</f>
        <v>-</v>
      </c>
      <c r="P143" s="595">
        <f ca="1">SUMIFS($N:$N,$G:$G,G143,$I:$I,H143)</f>
        <v>0</v>
      </c>
      <c r="Q143" s="547" t="str">
        <f ca="1">IFERROR(P143/R134,"-")</f>
        <v>-</v>
      </c>
      <c r="R143" s="584"/>
      <c r="S143" s="596">
        <f ca="1">SUMIFS('Water Use Calcs'!$W:$W,'Water Use Calcs'!$D:$D,'End Uses'!D143,'Water Use Calcs'!$G:$G,'End Uses'!G143,'Water Use Calcs'!$I:$I,'End Uses'!I143,'Water Use Calcs'!$J:$J,'End Uses'!J143)</f>
        <v>0</v>
      </c>
      <c r="T143" s="597">
        <f t="shared" ca="1" si="12"/>
        <v>0</v>
      </c>
      <c r="U143" s="594" t="str">
        <f ca="1">IFERROR(T143/X134,"-")</f>
        <v>-</v>
      </c>
      <c r="V143" s="595">
        <f ca="1">SUMIFS($T:$T,$G:$G,G143,$I:$I,H143)</f>
        <v>0</v>
      </c>
      <c r="W143" s="547" t="str">
        <f ca="1">IFERROR(V143/X134,"-")</f>
        <v>-</v>
      </c>
      <c r="X143" s="584"/>
    </row>
    <row r="144" spans="3:24" s="45" customFormat="1" ht="13.2" customHeight="1" x14ac:dyDescent="0.3">
      <c r="C144" s="576"/>
      <c r="D144" s="493" t="s">
        <v>11</v>
      </c>
      <c r="E144" s="494"/>
      <c r="F144" s="577"/>
      <c r="G144" s="494" t="s">
        <v>89</v>
      </c>
      <c r="H144" s="577"/>
      <c r="I144" s="450" t="s">
        <v>8</v>
      </c>
      <c r="J144" s="577" t="s">
        <v>53</v>
      </c>
      <c r="K144" s="439" t="s">
        <v>363</v>
      </c>
      <c r="L144" s="578">
        <f>SUMIFS('Airport Statistics'!$G:$G,'Airport Statistics'!$D:$D,G144,'Airport Statistics'!$F:$F,K144)</f>
        <v>0</v>
      </c>
      <c r="M144" s="579">
        <f ca="1">SUMIFS('Water Use Calcs'!$V:$V,'Water Use Calcs'!$D:$D,'End Uses'!D144,'Water Use Calcs'!$G:$G,'End Uses'!G144,'Water Use Calcs'!$I:$I,'End Uses'!I144,'Water Use Calcs'!$J:$J,'End Uses'!J144)</f>
        <v>0</v>
      </c>
      <c r="N144" s="580">
        <f t="shared" ca="1" si="2"/>
        <v>0</v>
      </c>
      <c r="O144" s="581" t="str">
        <f ca="1">IFERROR(N144/R134,"-")</f>
        <v>-</v>
      </c>
      <c r="P144" s="404"/>
      <c r="Q144" s="404"/>
      <c r="R144" s="584"/>
      <c r="S144" s="585">
        <f ca="1">SUMIFS('Water Use Calcs'!$W:$W,'Water Use Calcs'!$D:$D,'End Uses'!D144,'Water Use Calcs'!$G:$G,'End Uses'!G144,'Water Use Calcs'!$I:$I,'End Uses'!I144,'Water Use Calcs'!$J:$J,'End Uses'!J144)</f>
        <v>0</v>
      </c>
      <c r="T144" s="586">
        <f t="shared" ca="1" si="12"/>
        <v>0</v>
      </c>
      <c r="U144" s="581" t="str">
        <f ca="1">IFERROR(T144/X134,"-")</f>
        <v>-</v>
      </c>
      <c r="V144" s="404"/>
      <c r="W144" s="404"/>
      <c r="X144" s="584"/>
    </row>
    <row r="145" spans="3:24" s="45" customFormat="1" ht="13.2" customHeight="1" thickBot="1" x14ac:dyDescent="0.35">
      <c r="C145" s="576"/>
      <c r="D145" s="493" t="s">
        <v>11</v>
      </c>
      <c r="E145" s="494"/>
      <c r="F145" s="577"/>
      <c r="G145" s="501" t="s">
        <v>89</v>
      </c>
      <c r="H145" s="116"/>
      <c r="I145" s="451" t="s">
        <v>8</v>
      </c>
      <c r="J145" s="116" t="s">
        <v>54</v>
      </c>
      <c r="K145" s="606" t="s">
        <v>364</v>
      </c>
      <c r="L145" s="607">
        <f>SUMIFS('Airport Statistics'!$G:$G,'Airport Statistics'!$D:$D,G145,'Airport Statistics'!$F:$F,K145)</f>
        <v>0</v>
      </c>
      <c r="M145" s="608">
        <f ca="1">SUMIFS('Water Use Calcs'!$V:$V,'Water Use Calcs'!$D:$D,'End Uses'!D145,'Water Use Calcs'!$G:$G,'End Uses'!G145,'Water Use Calcs'!$I:$I,'End Uses'!I145,'Water Use Calcs'!$J:$J,'End Uses'!J145)</f>
        <v>0</v>
      </c>
      <c r="N145" s="609">
        <f t="shared" ca="1" si="2"/>
        <v>0</v>
      </c>
      <c r="O145" s="616" t="str">
        <f ca="1">IFERROR(N145/R134,"-")</f>
        <v>-</v>
      </c>
      <c r="P145" s="611"/>
      <c r="Q145" s="611"/>
      <c r="R145" s="613"/>
      <c r="S145" s="614">
        <f ca="1">SUMIFS('Water Use Calcs'!$W:$W,'Water Use Calcs'!$D:$D,'End Uses'!D145,'Water Use Calcs'!$G:$G,'End Uses'!G145,'Water Use Calcs'!$I:$I,'End Uses'!I145,'Water Use Calcs'!$J:$J,'End Uses'!J145)</f>
        <v>0</v>
      </c>
      <c r="T145" s="615">
        <f t="shared" ca="1" si="12"/>
        <v>0</v>
      </c>
      <c r="U145" s="616" t="str">
        <f ca="1">IFERROR(T145/X134,"-")</f>
        <v>-</v>
      </c>
      <c r="V145" s="611"/>
      <c r="W145" s="611"/>
      <c r="X145" s="613"/>
    </row>
    <row r="146" spans="3:24" s="45" customFormat="1" ht="13.2" customHeight="1" x14ac:dyDescent="0.3">
      <c r="C146" s="576"/>
      <c r="D146" s="493" t="s">
        <v>11</v>
      </c>
      <c r="E146" s="617" t="str">
        <f>G146</f>
        <v>Rental Car Center B</v>
      </c>
      <c r="F146" s="565" t="str">
        <f>VLOOKUP(E146,'Airport Mapping'!$C$5:$D$39,2,FALSE)</f>
        <v xml:space="preserve"> </v>
      </c>
      <c r="G146" s="566" t="s">
        <v>90</v>
      </c>
      <c r="H146" s="564" t="str">
        <f>I146</f>
        <v>Restrooms</v>
      </c>
      <c r="I146" s="454" t="s">
        <v>37</v>
      </c>
      <c r="J146" s="567" t="s">
        <v>2</v>
      </c>
      <c r="K146" s="633" t="s">
        <v>6</v>
      </c>
      <c r="L146" s="568">
        <f>SUMIFS('Airport Statistics'!$G:$G,'Airport Statistics'!$D:$D,G146,'Airport Statistics'!$F:$F,K146)</f>
        <v>0</v>
      </c>
      <c r="M146" s="569">
        <f ca="1">SUMIFS('Water Use Calcs'!$V:$V,'Water Use Calcs'!$D:$D,'End Uses'!D146,'Water Use Calcs'!$G:$G,'End Uses'!G146,'Water Use Calcs'!$I:$I,'End Uses'!I146,'Water Use Calcs'!$J:$J,'End Uses'!J146)</f>
        <v>0</v>
      </c>
      <c r="N146" s="570">
        <f t="shared" ca="1" si="2"/>
        <v>0</v>
      </c>
      <c r="O146" s="571" t="str">
        <f ca="1">IFERROR(N146/R146,"-")</f>
        <v>-</v>
      </c>
      <c r="P146" s="572">
        <f ca="1">SUMIFS($N:$N,$G:$G,G146,$I:$I,H146)</f>
        <v>0</v>
      </c>
      <c r="Q146" s="546" t="str">
        <f ca="1">IFERROR(P146/R146,"-")</f>
        <v>-</v>
      </c>
      <c r="R146" s="573">
        <f ca="1">SUMIFS($N:$N,$G:$G,G146)</f>
        <v>0</v>
      </c>
      <c r="S146" s="574">
        <f ca="1">SUMIFS('Water Use Calcs'!$W:$W,'Water Use Calcs'!$D:$D,'End Uses'!D146,'Water Use Calcs'!$G:$G,'End Uses'!G146,'Water Use Calcs'!$I:$I,'End Uses'!I146,'Water Use Calcs'!$J:$J,'End Uses'!J146)</f>
        <v>0</v>
      </c>
      <c r="T146" s="575">
        <f t="shared" ref="T146:T151" ca="1" si="13">L146*S146</f>
        <v>0</v>
      </c>
      <c r="U146" s="571" t="str">
        <f ca="1">IFERROR(T146/X146,"-")</f>
        <v>-</v>
      </c>
      <c r="V146" s="572">
        <f ca="1">SUMIFS($T:$T,$G:$G,G146,$I:$I,H146)</f>
        <v>0</v>
      </c>
      <c r="W146" s="546" t="str">
        <f ca="1">IFERROR(V146/X146,"-")</f>
        <v>-</v>
      </c>
      <c r="X146" s="573">
        <f ca="1">SUMIFS($T:$T,$G:$G,G146)</f>
        <v>0</v>
      </c>
    </row>
    <row r="147" spans="3:24" s="45" customFormat="1" ht="13.2" customHeight="1" x14ac:dyDescent="0.3">
      <c r="C147" s="576"/>
      <c r="D147" s="493" t="s">
        <v>11</v>
      </c>
      <c r="E147" s="494"/>
      <c r="F147" s="577"/>
      <c r="G147" s="494" t="s">
        <v>90</v>
      </c>
      <c r="H147" s="577"/>
      <c r="I147" s="450" t="s">
        <v>37</v>
      </c>
      <c r="J147" s="577" t="s">
        <v>4</v>
      </c>
      <c r="K147" s="634" t="s">
        <v>6</v>
      </c>
      <c r="L147" s="578">
        <f>SUMIFS('Airport Statistics'!$G:$G,'Airport Statistics'!$D:$D,G147,'Airport Statistics'!$F:$F,K147)</f>
        <v>0</v>
      </c>
      <c r="M147" s="579">
        <f ca="1">SUMIFS('Water Use Calcs'!$V:$V,'Water Use Calcs'!$D:$D,'End Uses'!D147,'Water Use Calcs'!$G:$G,'End Uses'!G147,'Water Use Calcs'!$I:$I,'End Uses'!I147,'Water Use Calcs'!$J:$J,'End Uses'!J147)</f>
        <v>0</v>
      </c>
      <c r="N147" s="580">
        <f t="shared" ca="1" si="2"/>
        <v>0</v>
      </c>
      <c r="O147" s="581" t="str">
        <f ca="1">IFERROR(N147/R146,"-")</f>
        <v>-</v>
      </c>
      <c r="P147" s="582"/>
      <c r="Q147" s="583"/>
      <c r="R147" s="584"/>
      <c r="S147" s="585">
        <f ca="1">SUMIFS('Water Use Calcs'!$W:$W,'Water Use Calcs'!$D:$D,'End Uses'!D147,'Water Use Calcs'!$G:$G,'End Uses'!G147,'Water Use Calcs'!$I:$I,'End Uses'!I147,'Water Use Calcs'!$J:$J,'End Uses'!J147)</f>
        <v>0</v>
      </c>
      <c r="T147" s="586">
        <f t="shared" ca="1" si="13"/>
        <v>0</v>
      </c>
      <c r="U147" s="581" t="str">
        <f ca="1">IFERROR(T147/X146,"-")</f>
        <v>-</v>
      </c>
      <c r="V147" s="582"/>
      <c r="W147" s="583"/>
      <c r="X147" s="584"/>
    </row>
    <row r="148" spans="3:24" s="45" customFormat="1" ht="13.2" customHeight="1" x14ac:dyDescent="0.3">
      <c r="C148" s="576"/>
      <c r="D148" s="493" t="s">
        <v>11</v>
      </c>
      <c r="E148" s="494"/>
      <c r="F148" s="577"/>
      <c r="G148" s="494" t="s">
        <v>90</v>
      </c>
      <c r="H148" s="577"/>
      <c r="I148" s="450" t="s">
        <v>37</v>
      </c>
      <c r="J148" s="577" t="s">
        <v>33</v>
      </c>
      <c r="K148" s="634" t="s">
        <v>6</v>
      </c>
      <c r="L148" s="578">
        <f>SUMIFS('Airport Statistics'!$G:$G,'Airport Statistics'!$D:$D,G148,'Airport Statistics'!$F:$F,K148)</f>
        <v>0</v>
      </c>
      <c r="M148" s="579">
        <f ca="1">SUMIFS('Water Use Calcs'!$V:$V,'Water Use Calcs'!$D:$D,'End Uses'!D148,'Water Use Calcs'!$G:$G,'End Uses'!G148,'Water Use Calcs'!$I:$I,'End Uses'!I148,'Water Use Calcs'!$J:$J,'End Uses'!J148)</f>
        <v>0</v>
      </c>
      <c r="N148" s="580">
        <f t="shared" ca="1" si="2"/>
        <v>0</v>
      </c>
      <c r="O148" s="581" t="str">
        <f ca="1">IFERROR(N148/R146,"-")</f>
        <v>-</v>
      </c>
      <c r="P148" s="582"/>
      <c r="Q148" s="583"/>
      <c r="R148" s="584"/>
      <c r="S148" s="585">
        <f ca="1">SUMIFS('Water Use Calcs'!$W:$W,'Water Use Calcs'!$D:$D,'End Uses'!D148,'Water Use Calcs'!$G:$G,'End Uses'!G148,'Water Use Calcs'!$I:$I,'End Uses'!I148,'Water Use Calcs'!$J:$J,'End Uses'!J148)</f>
        <v>0</v>
      </c>
      <c r="T148" s="586">
        <f t="shared" ca="1" si="13"/>
        <v>0</v>
      </c>
      <c r="U148" s="581" t="str">
        <f ca="1">IFERROR(T148/X146,"-")</f>
        <v>-</v>
      </c>
      <c r="V148" s="582"/>
      <c r="W148" s="583"/>
      <c r="X148" s="584"/>
    </row>
    <row r="149" spans="3:24" s="45" customFormat="1" ht="13.2" customHeight="1" x14ac:dyDescent="0.3">
      <c r="C149" s="576"/>
      <c r="D149" s="493" t="s">
        <v>11</v>
      </c>
      <c r="E149" s="494"/>
      <c r="F149" s="577"/>
      <c r="G149" s="494" t="s">
        <v>90</v>
      </c>
      <c r="H149" s="622" t="str">
        <f>I149</f>
        <v>Break rooms</v>
      </c>
      <c r="I149" s="623" t="s">
        <v>5</v>
      </c>
      <c r="J149" s="624" t="s">
        <v>33</v>
      </c>
      <c r="K149" s="625" t="s">
        <v>6</v>
      </c>
      <c r="L149" s="496">
        <f>SUMIFS('Airport Statistics'!$G:$G,'Airport Statistics'!$D:$D,G149,'Airport Statistics'!$F:$F,K149)</f>
        <v>0</v>
      </c>
      <c r="M149" s="626">
        <f ca="1">SUMIFS('Water Use Calcs'!$V:$V,'Water Use Calcs'!$D:$D,'End Uses'!D149,'Water Use Calcs'!$G:$G,'End Uses'!G149,'Water Use Calcs'!$I:$I,'End Uses'!I149,'Water Use Calcs'!$J:$J,'End Uses'!J149)</f>
        <v>0</v>
      </c>
      <c r="N149" s="627">
        <f t="shared" ca="1" si="2"/>
        <v>0</v>
      </c>
      <c r="O149" s="628" t="str">
        <f ca="1">IFERROR(N149/R146,"-")</f>
        <v>-</v>
      </c>
      <c r="P149" s="629">
        <f ca="1">SUMIFS($N:$N,$G:$G,G149,$I:$I,H149)</f>
        <v>0</v>
      </c>
      <c r="Q149" s="291" t="str">
        <f ca="1">IFERROR(P149/R146,"-")</f>
        <v>-</v>
      </c>
      <c r="R149" s="584"/>
      <c r="S149" s="630">
        <f ca="1">SUMIFS('Water Use Calcs'!$W:$W,'Water Use Calcs'!$D:$D,'End Uses'!D149,'Water Use Calcs'!$G:$G,'End Uses'!G149,'Water Use Calcs'!$I:$I,'End Uses'!I149,'Water Use Calcs'!$J:$J,'End Uses'!J149)</f>
        <v>0</v>
      </c>
      <c r="T149" s="631">
        <f t="shared" ca="1" si="13"/>
        <v>0</v>
      </c>
      <c r="U149" s="628" t="str">
        <f ca="1">IFERROR(T149/X146,"-")</f>
        <v>-</v>
      </c>
      <c r="V149" s="629">
        <f ca="1">SUMIFS($T:$T,$G:$G,G149,$I:$I,H149)</f>
        <v>0</v>
      </c>
      <c r="W149" s="291" t="str">
        <f ca="1">IFERROR(V149/X146,"-")</f>
        <v>-</v>
      </c>
      <c r="X149" s="584"/>
    </row>
    <row r="150" spans="3:24" s="45" customFormat="1" ht="13.2" customHeight="1" x14ac:dyDescent="0.3">
      <c r="C150" s="576"/>
      <c r="D150" s="493" t="s">
        <v>11</v>
      </c>
      <c r="E150" s="494"/>
      <c r="F150" s="577"/>
      <c r="G150" s="494" t="s">
        <v>90</v>
      </c>
      <c r="H150" s="622" t="str">
        <f>I150</f>
        <v>Landscaping</v>
      </c>
      <c r="I150" s="623" t="s">
        <v>39</v>
      </c>
      <c r="J150" s="624" t="s">
        <v>42</v>
      </c>
      <c r="K150" s="20" t="s">
        <v>120</v>
      </c>
      <c r="L150" s="496">
        <f>SUMIFS('Airport Statistics'!$G:$G,'Airport Statistics'!$D:$D,G150,'Airport Statistics'!$F:$F,K150)</f>
        <v>0</v>
      </c>
      <c r="M150" s="626">
        <f ca="1">SUMIFS('Water Use Calcs'!$V:$V,'Water Use Calcs'!$D:$D,'End Uses'!D150,'Water Use Calcs'!$G:$G,'End Uses'!G150,'Water Use Calcs'!$I:$I,'End Uses'!I150,'Water Use Calcs'!$J:$J,'End Uses'!J150)</f>
        <v>0</v>
      </c>
      <c r="N150" s="627">
        <f t="shared" ca="1" si="2"/>
        <v>0</v>
      </c>
      <c r="O150" s="628" t="str">
        <f ca="1">IFERROR(N150/R146,"-")</f>
        <v>-</v>
      </c>
      <c r="P150" s="629">
        <f ca="1">SUMIFS($N:$N,$G:$G,G150,$I:$I,H150)</f>
        <v>0</v>
      </c>
      <c r="Q150" s="291" t="str">
        <f ca="1">IFERROR(P150/R146,"-")</f>
        <v>-</v>
      </c>
      <c r="R150" s="584"/>
      <c r="S150" s="630">
        <f ca="1">SUMIFS('Water Use Calcs'!$W:$W,'Water Use Calcs'!$D:$D,'End Uses'!D150,'Water Use Calcs'!$G:$G,'End Uses'!G150,'Water Use Calcs'!$I:$I,'End Uses'!I150,'Water Use Calcs'!$J:$J,'End Uses'!J150)</f>
        <v>0</v>
      </c>
      <c r="T150" s="631">
        <f t="shared" ca="1" si="13"/>
        <v>0</v>
      </c>
      <c r="U150" s="628" t="str">
        <f ca="1">IFERROR(T150/X146,"-")</f>
        <v>-</v>
      </c>
      <c r="V150" s="629">
        <f ca="1">SUMIFS($T:$T,$G:$G,G150,$I:$I,H150)</f>
        <v>0</v>
      </c>
      <c r="W150" s="291" t="str">
        <f ca="1">IFERROR(V150/X146,"-")</f>
        <v>-</v>
      </c>
      <c r="X150" s="584"/>
    </row>
    <row r="151" spans="3:24" s="45" customFormat="1" ht="13.2" customHeight="1" x14ac:dyDescent="0.3">
      <c r="C151" s="576"/>
      <c r="D151" s="493" t="s">
        <v>11</v>
      </c>
      <c r="E151" s="494"/>
      <c r="F151" s="577"/>
      <c r="G151" s="494" t="s">
        <v>90</v>
      </c>
      <c r="H151" s="588" t="str">
        <f>I151</f>
        <v>Maintenance</v>
      </c>
      <c r="I151" s="455" t="s">
        <v>43</v>
      </c>
      <c r="J151" s="17" t="s">
        <v>111</v>
      </c>
      <c r="K151" s="599" t="s">
        <v>424</v>
      </c>
      <c r="L151" s="591">
        <f>SUMIFS('Airport Statistics'!$G:$G,'Airport Statistics'!$D:$D,G151,'Airport Statistics'!$F:$F,K151)</f>
        <v>0</v>
      </c>
      <c r="M151" s="592">
        <f ca="1">SUMIFS('Water Use Calcs'!$V:$V,'Water Use Calcs'!$D:$D,'End Uses'!D151,'Water Use Calcs'!$G:$G,'End Uses'!G151,'Water Use Calcs'!$I:$I,'End Uses'!I151,'Water Use Calcs'!$J:$J,'End Uses'!J151)</f>
        <v>0</v>
      </c>
      <c r="N151" s="593">
        <f t="shared" ca="1" si="2"/>
        <v>0</v>
      </c>
      <c r="O151" s="594" t="str">
        <f ca="1">IFERROR(N151/R146,"-")</f>
        <v>-</v>
      </c>
      <c r="P151" s="595">
        <f ca="1">SUMIFS($N:$N,$G:$G,G151,$I:$I,H151)</f>
        <v>0</v>
      </c>
      <c r="Q151" s="547" t="str">
        <f ca="1">IFERROR(P151/R146,"-")</f>
        <v>-</v>
      </c>
      <c r="R151" s="584"/>
      <c r="S151" s="596">
        <f ca="1">SUMIFS('Water Use Calcs'!$W:$W,'Water Use Calcs'!$D:$D,'End Uses'!D151,'Water Use Calcs'!$G:$G,'End Uses'!G151,'Water Use Calcs'!$I:$I,'End Uses'!I151,'Water Use Calcs'!$J:$J,'End Uses'!J151)</f>
        <v>0</v>
      </c>
      <c r="T151" s="597">
        <f t="shared" ca="1" si="13"/>
        <v>0</v>
      </c>
      <c r="U151" s="594" t="str">
        <f ca="1">IFERROR(T151/X146,"-")</f>
        <v>-</v>
      </c>
      <c r="V151" s="595">
        <f ca="1">SUMIFS($T:$T,$G:$G,G151,$I:$I,H151)</f>
        <v>0</v>
      </c>
      <c r="W151" s="547" t="str">
        <f ca="1">IFERROR(V151/X146,"-")</f>
        <v>-</v>
      </c>
      <c r="X151" s="584"/>
    </row>
    <row r="152" spans="3:24" s="45" customFormat="1" ht="13.2" customHeight="1" x14ac:dyDescent="0.3">
      <c r="C152" s="576"/>
      <c r="D152" s="493" t="s">
        <v>11</v>
      </c>
      <c r="E152" s="494"/>
      <c r="F152" s="577"/>
      <c r="G152" s="494" t="s">
        <v>90</v>
      </c>
      <c r="H152" s="577"/>
      <c r="I152" s="450" t="s">
        <v>43</v>
      </c>
      <c r="J152" s="18" t="s">
        <v>7</v>
      </c>
      <c r="K152" s="183" t="s">
        <v>365</v>
      </c>
      <c r="L152" s="600"/>
      <c r="M152" s="601">
        <f ca="1">SUMIFS('Water Use Calcs'!$V:$V,'Water Use Calcs'!$D:$D,'End Uses'!D152,'Water Use Calcs'!$G:$G,'End Uses'!G152,'Water Use Calcs'!$I:$I,'End Uses'!I152,'Water Use Calcs'!$J:$J,'End Uses'!J152)</f>
        <v>0</v>
      </c>
      <c r="N152" s="580">
        <f ca="1">M152</f>
        <v>0</v>
      </c>
      <c r="O152" s="581" t="str">
        <f ca="1">IFERROR(N152/R146,"-")</f>
        <v>-</v>
      </c>
      <c r="P152" s="404"/>
      <c r="Q152" s="548"/>
      <c r="R152" s="584"/>
      <c r="S152" s="585">
        <f ca="1">SUMIFS('Water Use Calcs'!$W:$W,'Water Use Calcs'!$D:$D,'End Uses'!D152,'Water Use Calcs'!$G:$G,'End Uses'!G152,'Water Use Calcs'!$I:$I,'End Uses'!I152,'Water Use Calcs'!$J:$J,'End Uses'!J152)</f>
        <v>0</v>
      </c>
      <c r="T152" s="586">
        <f ca="1">S152</f>
        <v>0</v>
      </c>
      <c r="U152" s="581" t="str">
        <f ca="1">IFERROR(T152/X146,"-")</f>
        <v>-</v>
      </c>
      <c r="V152" s="404"/>
      <c r="W152" s="548"/>
      <c r="X152" s="584"/>
    </row>
    <row r="153" spans="3:24" s="45" customFormat="1" ht="13.2" customHeight="1" x14ac:dyDescent="0.3">
      <c r="C153" s="576"/>
      <c r="D153" s="493" t="s">
        <v>11</v>
      </c>
      <c r="E153" s="494"/>
      <c r="F153" s="577"/>
      <c r="G153" s="494" t="s">
        <v>90</v>
      </c>
      <c r="H153" s="577"/>
      <c r="I153" s="450" t="s">
        <v>43</v>
      </c>
      <c r="J153" s="577" t="s">
        <v>9</v>
      </c>
      <c r="K153" s="635" t="s">
        <v>73</v>
      </c>
      <c r="L153" s="578">
        <f>SUMIFS('Airport Statistics'!$G:$G,'Airport Statistics'!$D:$D,G153,'Airport Statistics'!$F:$F,K153)</f>
        <v>0</v>
      </c>
      <c r="M153" s="579">
        <f ca="1">SUMIFS('Water Use Calcs'!$V:$V,'Water Use Calcs'!$D:$D,'End Uses'!D153,'Water Use Calcs'!$G:$G,'End Uses'!G153,'Water Use Calcs'!$I:$I,'End Uses'!I153,'Water Use Calcs'!$J:$J,'End Uses'!J153)</f>
        <v>0</v>
      </c>
      <c r="N153" s="580">
        <f t="shared" ref="N153:N163" ca="1" si="14">L153*M153</f>
        <v>0</v>
      </c>
      <c r="O153" s="581" t="str">
        <f ca="1">IFERROR(N153/R146,"-")</f>
        <v>-</v>
      </c>
      <c r="P153" s="582"/>
      <c r="Q153" s="548"/>
      <c r="R153" s="584"/>
      <c r="S153" s="585">
        <f ca="1">SUMIFS('Water Use Calcs'!$W:$W,'Water Use Calcs'!$D:$D,'End Uses'!D153,'Water Use Calcs'!$G:$G,'End Uses'!G153,'Water Use Calcs'!$I:$I,'End Uses'!I153,'Water Use Calcs'!$J:$J,'End Uses'!J153)</f>
        <v>0</v>
      </c>
      <c r="T153" s="586">
        <f t="shared" ref="T153:T163" ca="1" si="15">L153*S153</f>
        <v>0</v>
      </c>
      <c r="U153" s="581" t="str">
        <f ca="1">IFERROR(T153/X146,"-")</f>
        <v>-</v>
      </c>
      <c r="V153" s="582"/>
      <c r="W153" s="548"/>
      <c r="X153" s="584"/>
    </row>
    <row r="154" spans="3:24" s="45" customFormat="1" ht="13.2" customHeight="1" x14ac:dyDescent="0.3">
      <c r="C154" s="576"/>
      <c r="D154" s="493" t="s">
        <v>11</v>
      </c>
      <c r="E154" s="494"/>
      <c r="F154" s="577"/>
      <c r="G154" s="494" t="s">
        <v>90</v>
      </c>
      <c r="H154" s="577"/>
      <c r="I154" s="450" t="s">
        <v>43</v>
      </c>
      <c r="J154" s="577" t="s">
        <v>426</v>
      </c>
      <c r="K154" s="635" t="s">
        <v>73</v>
      </c>
      <c r="L154" s="578">
        <f>SUMIFS('Airport Statistics'!$G:$G,'Airport Statistics'!$D:$D,G154,'Airport Statistics'!$F:$F,K154)</f>
        <v>0</v>
      </c>
      <c r="M154" s="579">
        <f ca="1">SUMIFS('Water Use Calcs'!$V:$V,'Water Use Calcs'!$D:$D,'End Uses'!D154,'Water Use Calcs'!$G:$G,'End Uses'!G154,'Water Use Calcs'!$I:$I,'End Uses'!I154,'Water Use Calcs'!$J:$J,'End Uses'!J154)</f>
        <v>0</v>
      </c>
      <c r="N154" s="580">
        <f t="shared" ca="1" si="14"/>
        <v>0</v>
      </c>
      <c r="O154" s="581" t="str">
        <f ca="1">IFERROR(N154/R146,"-")</f>
        <v>-</v>
      </c>
      <c r="P154" s="404"/>
      <c r="Q154" s="548"/>
      <c r="R154" s="584"/>
      <c r="S154" s="585">
        <f ca="1">SUMIFS('Water Use Calcs'!$W:$W,'Water Use Calcs'!$D:$D,'End Uses'!D154,'Water Use Calcs'!$G:$G,'End Uses'!G154,'Water Use Calcs'!$I:$I,'End Uses'!I154,'Water Use Calcs'!$J:$J,'End Uses'!J154)</f>
        <v>0</v>
      </c>
      <c r="T154" s="586">
        <f t="shared" ca="1" si="15"/>
        <v>0</v>
      </c>
      <c r="U154" s="581" t="str">
        <f ca="1">IFERROR(T154/X146,"-")</f>
        <v>-</v>
      </c>
      <c r="V154" s="404"/>
      <c r="W154" s="548"/>
      <c r="X154" s="584"/>
    </row>
    <row r="155" spans="3:24" s="45" customFormat="1" ht="13.2" customHeight="1" x14ac:dyDescent="0.3">
      <c r="C155" s="576"/>
      <c r="D155" s="493" t="s">
        <v>11</v>
      </c>
      <c r="E155" s="494"/>
      <c r="F155" s="577"/>
      <c r="G155" s="494" t="s">
        <v>90</v>
      </c>
      <c r="H155" s="588" t="str">
        <f>I155</f>
        <v>Other</v>
      </c>
      <c r="I155" s="455" t="s">
        <v>8</v>
      </c>
      <c r="J155" s="589" t="s">
        <v>52</v>
      </c>
      <c r="K155" s="602" t="s">
        <v>362</v>
      </c>
      <c r="L155" s="591">
        <f>SUMIFS('Airport Statistics'!$G:$G,'Airport Statistics'!$D:$D,G155,'Airport Statistics'!$F:$F,K155)</f>
        <v>0</v>
      </c>
      <c r="M155" s="592">
        <f ca="1">SUMIFS('Water Use Calcs'!$V:$V,'Water Use Calcs'!$D:$D,'End Uses'!D155,'Water Use Calcs'!$G:$G,'End Uses'!G155,'Water Use Calcs'!$I:$I,'End Uses'!I155,'Water Use Calcs'!$J:$J,'End Uses'!J155)</f>
        <v>0</v>
      </c>
      <c r="N155" s="593">
        <f t="shared" ca="1" si="14"/>
        <v>0</v>
      </c>
      <c r="O155" s="594" t="str">
        <f ca="1">IFERROR(N155/R146,"-")</f>
        <v>-</v>
      </c>
      <c r="P155" s="595">
        <f ca="1">SUMIFS($N:$N,$G:$G,G155,$I:$I,H155)</f>
        <v>0</v>
      </c>
      <c r="Q155" s="547" t="str">
        <f ca="1">IFERROR(P155/R146,"-")</f>
        <v>-</v>
      </c>
      <c r="R155" s="584"/>
      <c r="S155" s="596">
        <f ca="1">SUMIFS('Water Use Calcs'!$W:$W,'Water Use Calcs'!$D:$D,'End Uses'!D155,'Water Use Calcs'!$G:$G,'End Uses'!G155,'Water Use Calcs'!$I:$I,'End Uses'!I155,'Water Use Calcs'!$J:$J,'End Uses'!J155)</f>
        <v>0</v>
      </c>
      <c r="T155" s="597">
        <f t="shared" ca="1" si="15"/>
        <v>0</v>
      </c>
      <c r="U155" s="594" t="str">
        <f ca="1">IFERROR(T155/X146,"-")</f>
        <v>-</v>
      </c>
      <c r="V155" s="595">
        <f ca="1">SUMIFS($T:$T,$G:$G,G155,$I:$I,H155)</f>
        <v>0</v>
      </c>
      <c r="W155" s="547" t="str">
        <f ca="1">IFERROR(V155/X146,"-")</f>
        <v>-</v>
      </c>
      <c r="X155" s="584"/>
    </row>
    <row r="156" spans="3:24" s="45" customFormat="1" ht="13.2" customHeight="1" x14ac:dyDescent="0.3">
      <c r="C156" s="576"/>
      <c r="D156" s="493" t="s">
        <v>11</v>
      </c>
      <c r="E156" s="494"/>
      <c r="F156" s="577"/>
      <c r="G156" s="494" t="s">
        <v>90</v>
      </c>
      <c r="H156" s="577"/>
      <c r="I156" s="450" t="s">
        <v>8</v>
      </c>
      <c r="J156" s="577" t="s">
        <v>53</v>
      </c>
      <c r="K156" s="439" t="s">
        <v>363</v>
      </c>
      <c r="L156" s="578">
        <f>SUMIFS('Airport Statistics'!$G:$G,'Airport Statistics'!$D:$D,G156,'Airport Statistics'!$F:$F,K156)</f>
        <v>0</v>
      </c>
      <c r="M156" s="579">
        <f ca="1">SUMIFS('Water Use Calcs'!$V:$V,'Water Use Calcs'!$D:$D,'End Uses'!D156,'Water Use Calcs'!$G:$G,'End Uses'!G156,'Water Use Calcs'!$I:$I,'End Uses'!I156,'Water Use Calcs'!$J:$J,'End Uses'!J156)</f>
        <v>0</v>
      </c>
      <c r="N156" s="580">
        <f t="shared" ca="1" si="14"/>
        <v>0</v>
      </c>
      <c r="O156" s="581" t="str">
        <f ca="1">IFERROR(N156/R146,"-")</f>
        <v>-</v>
      </c>
      <c r="P156" s="404"/>
      <c r="Q156" s="404"/>
      <c r="R156" s="584"/>
      <c r="S156" s="585">
        <f ca="1">SUMIFS('Water Use Calcs'!$W:$W,'Water Use Calcs'!$D:$D,'End Uses'!D156,'Water Use Calcs'!$G:$G,'End Uses'!G156,'Water Use Calcs'!$I:$I,'End Uses'!I156,'Water Use Calcs'!$J:$J,'End Uses'!J156)</f>
        <v>0</v>
      </c>
      <c r="T156" s="586">
        <f t="shared" ca="1" si="15"/>
        <v>0</v>
      </c>
      <c r="U156" s="581" t="str">
        <f ca="1">IFERROR(T156/X146,"-")</f>
        <v>-</v>
      </c>
      <c r="V156" s="404"/>
      <c r="W156" s="404"/>
      <c r="X156" s="584"/>
    </row>
    <row r="157" spans="3:24" s="45" customFormat="1" ht="13.2" customHeight="1" thickBot="1" x14ac:dyDescent="0.35">
      <c r="C157" s="576"/>
      <c r="D157" s="493" t="s">
        <v>11</v>
      </c>
      <c r="E157" s="501"/>
      <c r="F157" s="577"/>
      <c r="G157" s="501" t="s">
        <v>90</v>
      </c>
      <c r="H157" s="116"/>
      <c r="I157" s="451" t="s">
        <v>8</v>
      </c>
      <c r="J157" s="116" t="s">
        <v>54</v>
      </c>
      <c r="K157" s="606" t="s">
        <v>364</v>
      </c>
      <c r="L157" s="607">
        <f>SUMIFS('Airport Statistics'!$G:$G,'Airport Statistics'!$D:$D,G157,'Airport Statistics'!$F:$F,K157)</f>
        <v>0</v>
      </c>
      <c r="M157" s="608">
        <f ca="1">SUMIFS('Water Use Calcs'!$V:$V,'Water Use Calcs'!$D:$D,'End Uses'!D157,'Water Use Calcs'!$G:$G,'End Uses'!G157,'Water Use Calcs'!$I:$I,'End Uses'!I157,'Water Use Calcs'!$J:$J,'End Uses'!J157)</f>
        <v>0</v>
      </c>
      <c r="N157" s="609">
        <f t="shared" ca="1" si="14"/>
        <v>0</v>
      </c>
      <c r="O157" s="616" t="str">
        <f ca="1">IFERROR(N157/R146,"-")</f>
        <v>-</v>
      </c>
      <c r="P157" s="611"/>
      <c r="Q157" s="611"/>
      <c r="R157" s="613"/>
      <c r="S157" s="614">
        <f ca="1">SUMIFS('Water Use Calcs'!$W:$W,'Water Use Calcs'!$D:$D,'End Uses'!D157,'Water Use Calcs'!$G:$G,'End Uses'!G157,'Water Use Calcs'!$I:$I,'End Uses'!I157,'Water Use Calcs'!$J:$J,'End Uses'!J157)</f>
        <v>0</v>
      </c>
      <c r="T157" s="615">
        <f t="shared" ca="1" si="15"/>
        <v>0</v>
      </c>
      <c r="U157" s="616" t="str">
        <f ca="1">IFERROR(T157/X146,"-")</f>
        <v>-</v>
      </c>
      <c r="V157" s="611"/>
      <c r="W157" s="611"/>
      <c r="X157" s="613"/>
    </row>
    <row r="158" spans="3:24" s="45" customFormat="1" ht="13.2" customHeight="1" x14ac:dyDescent="0.3">
      <c r="C158" s="576"/>
      <c r="D158" s="493" t="s">
        <v>11</v>
      </c>
      <c r="E158" s="617" t="str">
        <f>G158</f>
        <v>Rental Car Center C</v>
      </c>
      <c r="F158" s="565" t="str">
        <f>VLOOKUP(E158,'Airport Mapping'!$C$5:$D$39,2,FALSE)</f>
        <v xml:space="preserve"> </v>
      </c>
      <c r="G158" s="566" t="s">
        <v>766</v>
      </c>
      <c r="H158" s="564" t="str">
        <f>I158</f>
        <v>Restrooms</v>
      </c>
      <c r="I158" s="454" t="s">
        <v>37</v>
      </c>
      <c r="J158" s="567" t="s">
        <v>2</v>
      </c>
      <c r="K158" s="633" t="s">
        <v>6</v>
      </c>
      <c r="L158" s="568">
        <f>SUMIFS('Airport Statistics'!$G:$G,'Airport Statistics'!$D:$D,G158,'Airport Statistics'!$F:$F,K158)</f>
        <v>0</v>
      </c>
      <c r="M158" s="569">
        <f ca="1">SUMIFS('Water Use Calcs'!$V:$V,'Water Use Calcs'!$D:$D,'End Uses'!D158,'Water Use Calcs'!$G:$G,'End Uses'!G158,'Water Use Calcs'!$I:$I,'End Uses'!I158,'Water Use Calcs'!$J:$J,'End Uses'!J158)</f>
        <v>0</v>
      </c>
      <c r="N158" s="570">
        <f t="shared" ca="1" si="14"/>
        <v>0</v>
      </c>
      <c r="O158" s="571" t="str">
        <f ca="1">IFERROR(N158/R158,"-")</f>
        <v>-</v>
      </c>
      <c r="P158" s="572">
        <f ca="1">SUMIFS($N:$N,$G:$G,G158,$I:$I,H158)</f>
        <v>0</v>
      </c>
      <c r="Q158" s="546" t="str">
        <f ca="1">IFERROR(P158/R158,"-")</f>
        <v>-</v>
      </c>
      <c r="R158" s="573">
        <f ca="1">SUMIFS($N:$N,$G:$G,G158)</f>
        <v>0</v>
      </c>
      <c r="S158" s="574">
        <f ca="1">SUMIFS('Water Use Calcs'!$W:$W,'Water Use Calcs'!$D:$D,'End Uses'!D158,'Water Use Calcs'!$G:$G,'End Uses'!G158,'Water Use Calcs'!$I:$I,'End Uses'!I158,'Water Use Calcs'!$J:$J,'End Uses'!J158)</f>
        <v>0</v>
      </c>
      <c r="T158" s="575">
        <f t="shared" ca="1" si="15"/>
        <v>0</v>
      </c>
      <c r="U158" s="571" t="str">
        <f ca="1">IFERROR(T158/X158,"-")</f>
        <v>-</v>
      </c>
      <c r="V158" s="572">
        <f ca="1">SUMIFS($T:$T,$G:$G,G158,$I:$I,H158)</f>
        <v>0</v>
      </c>
      <c r="W158" s="546" t="str">
        <f ca="1">IFERROR(V158/X158,"-")</f>
        <v>-</v>
      </c>
      <c r="X158" s="573">
        <f ca="1">SUMIFS($T:$T,$G:$G,G158)</f>
        <v>0</v>
      </c>
    </row>
    <row r="159" spans="3:24" s="45" customFormat="1" ht="13.2" customHeight="1" x14ac:dyDescent="0.3">
      <c r="C159" s="576"/>
      <c r="D159" s="493" t="s">
        <v>11</v>
      </c>
      <c r="E159" s="494"/>
      <c r="F159" s="577"/>
      <c r="G159" s="494" t="s">
        <v>766</v>
      </c>
      <c r="H159" s="577"/>
      <c r="I159" s="450" t="s">
        <v>37</v>
      </c>
      <c r="J159" s="577" t="s">
        <v>4</v>
      </c>
      <c r="K159" s="634" t="s">
        <v>6</v>
      </c>
      <c r="L159" s="578">
        <f>SUMIFS('Airport Statistics'!$G:$G,'Airport Statistics'!$D:$D,G159,'Airport Statistics'!$F:$F,K159)</f>
        <v>0</v>
      </c>
      <c r="M159" s="579">
        <f ca="1">SUMIFS('Water Use Calcs'!$V:$V,'Water Use Calcs'!$D:$D,'End Uses'!D159,'Water Use Calcs'!$G:$G,'End Uses'!G159,'Water Use Calcs'!$I:$I,'End Uses'!I159,'Water Use Calcs'!$J:$J,'End Uses'!J159)</f>
        <v>0</v>
      </c>
      <c r="N159" s="580">
        <f t="shared" ca="1" si="14"/>
        <v>0</v>
      </c>
      <c r="O159" s="581" t="str">
        <f ca="1">IFERROR(N159/R158,"-")</f>
        <v>-</v>
      </c>
      <c r="P159" s="582"/>
      <c r="Q159" s="583"/>
      <c r="R159" s="584"/>
      <c r="S159" s="585">
        <f ca="1">SUMIFS('Water Use Calcs'!$W:$W,'Water Use Calcs'!$D:$D,'End Uses'!D159,'Water Use Calcs'!$G:$G,'End Uses'!G159,'Water Use Calcs'!$I:$I,'End Uses'!I159,'Water Use Calcs'!$J:$J,'End Uses'!J159)</f>
        <v>0</v>
      </c>
      <c r="T159" s="586">
        <f t="shared" ca="1" si="15"/>
        <v>0</v>
      </c>
      <c r="U159" s="581" t="str">
        <f ca="1">IFERROR(T159/X158,"-")</f>
        <v>-</v>
      </c>
      <c r="V159" s="582"/>
      <c r="W159" s="583"/>
      <c r="X159" s="584"/>
    </row>
    <row r="160" spans="3:24" s="45" customFormat="1" ht="13.2" customHeight="1" x14ac:dyDescent="0.3">
      <c r="C160" s="576"/>
      <c r="D160" s="493" t="s">
        <v>11</v>
      </c>
      <c r="E160" s="494"/>
      <c r="F160" s="577"/>
      <c r="G160" s="494" t="s">
        <v>766</v>
      </c>
      <c r="H160" s="577"/>
      <c r="I160" s="450" t="s">
        <v>37</v>
      </c>
      <c r="J160" s="577" t="s">
        <v>33</v>
      </c>
      <c r="K160" s="634" t="s">
        <v>6</v>
      </c>
      <c r="L160" s="578">
        <f>SUMIFS('Airport Statistics'!$G:$G,'Airport Statistics'!$D:$D,G160,'Airport Statistics'!$F:$F,K160)</f>
        <v>0</v>
      </c>
      <c r="M160" s="579">
        <f ca="1">SUMIFS('Water Use Calcs'!$V:$V,'Water Use Calcs'!$D:$D,'End Uses'!D160,'Water Use Calcs'!$G:$G,'End Uses'!G160,'Water Use Calcs'!$I:$I,'End Uses'!I160,'Water Use Calcs'!$J:$J,'End Uses'!J160)</f>
        <v>0</v>
      </c>
      <c r="N160" s="580">
        <f t="shared" ca="1" si="14"/>
        <v>0</v>
      </c>
      <c r="O160" s="581" t="str">
        <f ca="1">IFERROR(N160/R158,"-")</f>
        <v>-</v>
      </c>
      <c r="P160" s="582"/>
      <c r="Q160" s="583"/>
      <c r="R160" s="584"/>
      <c r="S160" s="585">
        <f ca="1">SUMIFS('Water Use Calcs'!$W:$W,'Water Use Calcs'!$D:$D,'End Uses'!D160,'Water Use Calcs'!$G:$G,'End Uses'!G160,'Water Use Calcs'!$I:$I,'End Uses'!I160,'Water Use Calcs'!$J:$J,'End Uses'!J160)</f>
        <v>0</v>
      </c>
      <c r="T160" s="586">
        <f t="shared" ca="1" si="15"/>
        <v>0</v>
      </c>
      <c r="U160" s="581" t="str">
        <f ca="1">IFERROR(T160/X158,"-")</f>
        <v>-</v>
      </c>
      <c r="V160" s="582"/>
      <c r="W160" s="583"/>
      <c r="X160" s="584"/>
    </row>
    <row r="161" spans="3:24" s="45" customFormat="1" ht="13.2" customHeight="1" x14ac:dyDescent="0.3">
      <c r="C161" s="576"/>
      <c r="D161" s="493" t="s">
        <v>11</v>
      </c>
      <c r="E161" s="494"/>
      <c r="F161" s="577"/>
      <c r="G161" s="494" t="s">
        <v>766</v>
      </c>
      <c r="H161" s="622" t="str">
        <f>I161</f>
        <v>Break rooms</v>
      </c>
      <c r="I161" s="623" t="s">
        <v>5</v>
      </c>
      <c r="J161" s="624" t="s">
        <v>33</v>
      </c>
      <c r="K161" s="625" t="s">
        <v>6</v>
      </c>
      <c r="L161" s="496">
        <f>SUMIFS('Airport Statistics'!$G:$G,'Airport Statistics'!$D:$D,G161,'Airport Statistics'!$F:$F,K161)</f>
        <v>0</v>
      </c>
      <c r="M161" s="626">
        <f ca="1">SUMIFS('Water Use Calcs'!$V:$V,'Water Use Calcs'!$D:$D,'End Uses'!D161,'Water Use Calcs'!$G:$G,'End Uses'!G161,'Water Use Calcs'!$I:$I,'End Uses'!I161,'Water Use Calcs'!$J:$J,'End Uses'!J161)</f>
        <v>0</v>
      </c>
      <c r="N161" s="627">
        <f t="shared" ca="1" si="14"/>
        <v>0</v>
      </c>
      <c r="O161" s="628" t="str">
        <f ca="1">IFERROR(N161/R158,"-")</f>
        <v>-</v>
      </c>
      <c r="P161" s="629">
        <f ca="1">SUMIFS($N:$N,$G:$G,G161,$I:$I,H161)</f>
        <v>0</v>
      </c>
      <c r="Q161" s="291" t="str">
        <f ca="1">IFERROR(P161/R158,"-")</f>
        <v>-</v>
      </c>
      <c r="R161" s="584"/>
      <c r="S161" s="630">
        <f ca="1">SUMIFS('Water Use Calcs'!$W:$W,'Water Use Calcs'!$D:$D,'End Uses'!D161,'Water Use Calcs'!$G:$G,'End Uses'!G161,'Water Use Calcs'!$I:$I,'End Uses'!I161,'Water Use Calcs'!$J:$J,'End Uses'!J161)</f>
        <v>0</v>
      </c>
      <c r="T161" s="631">
        <f t="shared" ca="1" si="15"/>
        <v>0</v>
      </c>
      <c r="U161" s="628" t="str">
        <f ca="1">IFERROR(T161/X158,"-")</f>
        <v>-</v>
      </c>
      <c r="V161" s="629">
        <f ca="1">SUMIFS($T:$T,$G:$G,G161,$I:$I,H161)</f>
        <v>0</v>
      </c>
      <c r="W161" s="291" t="str">
        <f ca="1">IFERROR(V161/X158,"-")</f>
        <v>-</v>
      </c>
      <c r="X161" s="584"/>
    </row>
    <row r="162" spans="3:24" s="45" customFormat="1" ht="13.2" customHeight="1" x14ac:dyDescent="0.3">
      <c r="C162" s="576"/>
      <c r="D162" s="493" t="s">
        <v>11</v>
      </c>
      <c r="E162" s="494"/>
      <c r="F162" s="577"/>
      <c r="G162" s="494" t="s">
        <v>766</v>
      </c>
      <c r="H162" s="622" t="str">
        <f>I162</f>
        <v>Landscaping</v>
      </c>
      <c r="I162" s="623" t="s">
        <v>39</v>
      </c>
      <c r="J162" s="624" t="s">
        <v>42</v>
      </c>
      <c r="K162" s="20" t="s">
        <v>120</v>
      </c>
      <c r="L162" s="496">
        <f>SUMIFS('Airport Statistics'!$G:$G,'Airport Statistics'!$D:$D,G162,'Airport Statistics'!$F:$F,K162)</f>
        <v>0</v>
      </c>
      <c r="M162" s="626">
        <f ca="1">SUMIFS('Water Use Calcs'!$V:$V,'Water Use Calcs'!$D:$D,'End Uses'!D162,'Water Use Calcs'!$G:$G,'End Uses'!G162,'Water Use Calcs'!$I:$I,'End Uses'!I162,'Water Use Calcs'!$J:$J,'End Uses'!J162)</f>
        <v>0</v>
      </c>
      <c r="N162" s="627">
        <f t="shared" ca="1" si="14"/>
        <v>0</v>
      </c>
      <c r="O162" s="628" t="str">
        <f ca="1">IFERROR(N162/R158,"-")</f>
        <v>-</v>
      </c>
      <c r="P162" s="629">
        <f ca="1">SUMIFS($N:$N,$G:$G,G162,$I:$I,H162)</f>
        <v>0</v>
      </c>
      <c r="Q162" s="291" t="str">
        <f ca="1">IFERROR(P162/R158,"-")</f>
        <v>-</v>
      </c>
      <c r="R162" s="584"/>
      <c r="S162" s="630">
        <f ca="1">SUMIFS('Water Use Calcs'!$W:$W,'Water Use Calcs'!$D:$D,'End Uses'!D162,'Water Use Calcs'!$G:$G,'End Uses'!G162,'Water Use Calcs'!$I:$I,'End Uses'!I162,'Water Use Calcs'!$J:$J,'End Uses'!J162)</f>
        <v>0</v>
      </c>
      <c r="T162" s="631">
        <f t="shared" ca="1" si="15"/>
        <v>0</v>
      </c>
      <c r="U162" s="628" t="str">
        <f ca="1">IFERROR(T162/X158,"-")</f>
        <v>-</v>
      </c>
      <c r="V162" s="629">
        <f ca="1">SUMIFS($T:$T,$G:$G,G162,$I:$I,H162)</f>
        <v>0</v>
      </c>
      <c r="W162" s="291" t="str">
        <f ca="1">IFERROR(V162/X158,"-")</f>
        <v>-</v>
      </c>
      <c r="X162" s="584"/>
    </row>
    <row r="163" spans="3:24" s="45" customFormat="1" ht="13.2" customHeight="1" x14ac:dyDescent="0.3">
      <c r="C163" s="576"/>
      <c r="D163" s="493" t="s">
        <v>11</v>
      </c>
      <c r="E163" s="494"/>
      <c r="F163" s="577"/>
      <c r="G163" s="494" t="s">
        <v>766</v>
      </c>
      <c r="H163" s="588" t="str">
        <f>I163</f>
        <v>Maintenance</v>
      </c>
      <c r="I163" s="455" t="s">
        <v>43</v>
      </c>
      <c r="J163" s="17" t="s">
        <v>111</v>
      </c>
      <c r="K163" s="599" t="s">
        <v>424</v>
      </c>
      <c r="L163" s="591">
        <f>SUMIFS('Airport Statistics'!$G:$G,'Airport Statistics'!$D:$D,G163,'Airport Statistics'!$F:$F,K163)</f>
        <v>0</v>
      </c>
      <c r="M163" s="592">
        <f ca="1">SUMIFS('Water Use Calcs'!$V:$V,'Water Use Calcs'!$D:$D,'End Uses'!D163,'Water Use Calcs'!$G:$G,'End Uses'!G163,'Water Use Calcs'!$I:$I,'End Uses'!I163,'Water Use Calcs'!$J:$J,'End Uses'!J163)</f>
        <v>0</v>
      </c>
      <c r="N163" s="593">
        <f t="shared" ca="1" si="14"/>
        <v>0</v>
      </c>
      <c r="O163" s="594" t="str">
        <f ca="1">IFERROR(N163/R158,"-")</f>
        <v>-</v>
      </c>
      <c r="P163" s="595">
        <f ca="1">SUMIFS($N:$N,$G:$G,G163,$I:$I,H163)</f>
        <v>0</v>
      </c>
      <c r="Q163" s="547" t="str">
        <f ca="1">IFERROR(P163/R158,"-")</f>
        <v>-</v>
      </c>
      <c r="R163" s="584"/>
      <c r="S163" s="596">
        <f ca="1">SUMIFS('Water Use Calcs'!$W:$W,'Water Use Calcs'!$D:$D,'End Uses'!D163,'Water Use Calcs'!$G:$G,'End Uses'!G163,'Water Use Calcs'!$I:$I,'End Uses'!I163,'Water Use Calcs'!$J:$J,'End Uses'!J163)</f>
        <v>0</v>
      </c>
      <c r="T163" s="597">
        <f t="shared" ca="1" si="15"/>
        <v>0</v>
      </c>
      <c r="U163" s="594" t="str">
        <f ca="1">IFERROR(T163/X158,"-")</f>
        <v>-</v>
      </c>
      <c r="V163" s="595">
        <f ca="1">SUMIFS($T:$T,$G:$G,G163,$I:$I,H163)</f>
        <v>0</v>
      </c>
      <c r="W163" s="547" t="str">
        <f ca="1">IFERROR(V163/X158,"-")</f>
        <v>-</v>
      </c>
      <c r="X163" s="584"/>
    </row>
    <row r="164" spans="3:24" s="45" customFormat="1" ht="13.2" customHeight="1" x14ac:dyDescent="0.3">
      <c r="C164" s="576"/>
      <c r="D164" s="493" t="s">
        <v>11</v>
      </c>
      <c r="E164" s="494"/>
      <c r="F164" s="577"/>
      <c r="G164" s="494" t="s">
        <v>766</v>
      </c>
      <c r="H164" s="577"/>
      <c r="I164" s="450" t="s">
        <v>43</v>
      </c>
      <c r="J164" s="18" t="s">
        <v>7</v>
      </c>
      <c r="K164" s="183" t="s">
        <v>365</v>
      </c>
      <c r="L164" s="600"/>
      <c r="M164" s="601">
        <f ca="1">SUMIFS('Water Use Calcs'!$V:$V,'Water Use Calcs'!$D:$D,'End Uses'!D164,'Water Use Calcs'!$G:$G,'End Uses'!G164,'Water Use Calcs'!$I:$I,'End Uses'!I164,'Water Use Calcs'!$J:$J,'End Uses'!J164)</f>
        <v>0</v>
      </c>
      <c r="N164" s="580">
        <f ca="1">M164</f>
        <v>0</v>
      </c>
      <c r="O164" s="581" t="str">
        <f ca="1">IFERROR(N164/R158,"-")</f>
        <v>-</v>
      </c>
      <c r="P164" s="404"/>
      <c r="Q164" s="548"/>
      <c r="R164" s="584"/>
      <c r="S164" s="585">
        <f ca="1">SUMIFS('Water Use Calcs'!$W:$W,'Water Use Calcs'!$D:$D,'End Uses'!D164,'Water Use Calcs'!$G:$G,'End Uses'!G164,'Water Use Calcs'!$I:$I,'End Uses'!I164,'Water Use Calcs'!$J:$J,'End Uses'!J164)</f>
        <v>0</v>
      </c>
      <c r="T164" s="586">
        <f ca="1">S164</f>
        <v>0</v>
      </c>
      <c r="U164" s="581" t="str">
        <f ca="1">IFERROR(T164/X158,"-")</f>
        <v>-</v>
      </c>
      <c r="V164" s="404"/>
      <c r="W164" s="548"/>
      <c r="X164" s="584"/>
    </row>
    <row r="165" spans="3:24" s="45" customFormat="1" ht="13.2" customHeight="1" x14ac:dyDescent="0.3">
      <c r="C165" s="576"/>
      <c r="D165" s="493" t="s">
        <v>11</v>
      </c>
      <c r="E165" s="494"/>
      <c r="F165" s="577"/>
      <c r="G165" s="494" t="s">
        <v>766</v>
      </c>
      <c r="H165" s="577"/>
      <c r="I165" s="450" t="s">
        <v>43</v>
      </c>
      <c r="J165" s="577" t="s">
        <v>9</v>
      </c>
      <c r="K165" s="635" t="s">
        <v>73</v>
      </c>
      <c r="L165" s="578">
        <f>SUMIFS('Airport Statistics'!$G:$G,'Airport Statistics'!$D:$D,G165,'Airport Statistics'!$F:$F,K165)</f>
        <v>0</v>
      </c>
      <c r="M165" s="579">
        <f ca="1">SUMIFS('Water Use Calcs'!$V:$V,'Water Use Calcs'!$D:$D,'End Uses'!D165,'Water Use Calcs'!$G:$G,'End Uses'!G165,'Water Use Calcs'!$I:$I,'End Uses'!I165,'Water Use Calcs'!$J:$J,'End Uses'!J165)</f>
        <v>0</v>
      </c>
      <c r="N165" s="580">
        <f t="shared" ref="N165:N175" ca="1" si="16">L165*M165</f>
        <v>0</v>
      </c>
      <c r="O165" s="581" t="str">
        <f ca="1">IFERROR(N165/R158,"-")</f>
        <v>-</v>
      </c>
      <c r="P165" s="582"/>
      <c r="Q165" s="548"/>
      <c r="R165" s="584"/>
      <c r="S165" s="585">
        <f ca="1">SUMIFS('Water Use Calcs'!$W:$W,'Water Use Calcs'!$D:$D,'End Uses'!D165,'Water Use Calcs'!$G:$G,'End Uses'!G165,'Water Use Calcs'!$I:$I,'End Uses'!I165,'Water Use Calcs'!$J:$J,'End Uses'!J165)</f>
        <v>0</v>
      </c>
      <c r="T165" s="586">
        <f t="shared" ref="T165:T175" ca="1" si="17">L165*S165</f>
        <v>0</v>
      </c>
      <c r="U165" s="581" t="str">
        <f ca="1">IFERROR(T165/X158,"-")</f>
        <v>-</v>
      </c>
      <c r="V165" s="582"/>
      <c r="W165" s="548"/>
      <c r="X165" s="584"/>
    </row>
    <row r="166" spans="3:24" s="45" customFormat="1" ht="13.2" customHeight="1" x14ac:dyDescent="0.3">
      <c r="C166" s="576"/>
      <c r="D166" s="493" t="s">
        <v>11</v>
      </c>
      <c r="E166" s="494"/>
      <c r="F166" s="577"/>
      <c r="G166" s="494" t="s">
        <v>766</v>
      </c>
      <c r="H166" s="577"/>
      <c r="I166" s="450" t="s">
        <v>43</v>
      </c>
      <c r="J166" s="577" t="s">
        <v>426</v>
      </c>
      <c r="K166" s="635" t="s">
        <v>73</v>
      </c>
      <c r="L166" s="578">
        <f>SUMIFS('Airport Statistics'!$G:$G,'Airport Statistics'!$D:$D,G166,'Airport Statistics'!$F:$F,K166)</f>
        <v>0</v>
      </c>
      <c r="M166" s="579">
        <f ca="1">SUMIFS('Water Use Calcs'!$V:$V,'Water Use Calcs'!$D:$D,'End Uses'!D166,'Water Use Calcs'!$G:$G,'End Uses'!G166,'Water Use Calcs'!$I:$I,'End Uses'!I166,'Water Use Calcs'!$J:$J,'End Uses'!J166)</f>
        <v>0</v>
      </c>
      <c r="N166" s="580">
        <f t="shared" ca="1" si="16"/>
        <v>0</v>
      </c>
      <c r="O166" s="581" t="str">
        <f ca="1">IFERROR(N166/R158,"-")</f>
        <v>-</v>
      </c>
      <c r="P166" s="404"/>
      <c r="Q166" s="548"/>
      <c r="R166" s="584"/>
      <c r="S166" s="585">
        <f ca="1">SUMIFS('Water Use Calcs'!$W:$W,'Water Use Calcs'!$D:$D,'End Uses'!D166,'Water Use Calcs'!$G:$G,'End Uses'!G166,'Water Use Calcs'!$I:$I,'End Uses'!I166,'Water Use Calcs'!$J:$J,'End Uses'!J166)</f>
        <v>0</v>
      </c>
      <c r="T166" s="586">
        <f t="shared" ca="1" si="17"/>
        <v>0</v>
      </c>
      <c r="U166" s="581" t="str">
        <f ca="1">IFERROR(T166/X158,"-")</f>
        <v>-</v>
      </c>
      <c r="V166" s="404"/>
      <c r="W166" s="548"/>
      <c r="X166" s="584"/>
    </row>
    <row r="167" spans="3:24" s="45" customFormat="1" ht="13.2" customHeight="1" x14ac:dyDescent="0.3">
      <c r="C167" s="576"/>
      <c r="D167" s="493" t="s">
        <v>11</v>
      </c>
      <c r="E167" s="494"/>
      <c r="F167" s="577"/>
      <c r="G167" s="494" t="s">
        <v>766</v>
      </c>
      <c r="H167" s="588" t="str">
        <f>I167</f>
        <v>Other</v>
      </c>
      <c r="I167" s="455" t="s">
        <v>8</v>
      </c>
      <c r="J167" s="589" t="s">
        <v>52</v>
      </c>
      <c r="K167" s="602" t="s">
        <v>362</v>
      </c>
      <c r="L167" s="591">
        <f>SUMIFS('Airport Statistics'!$G:$G,'Airport Statistics'!$D:$D,G167,'Airport Statistics'!$F:$F,K167)</f>
        <v>0</v>
      </c>
      <c r="M167" s="592">
        <f ca="1">SUMIFS('Water Use Calcs'!$V:$V,'Water Use Calcs'!$D:$D,'End Uses'!D167,'Water Use Calcs'!$G:$G,'End Uses'!G167,'Water Use Calcs'!$I:$I,'End Uses'!I167,'Water Use Calcs'!$J:$J,'End Uses'!J167)</f>
        <v>0</v>
      </c>
      <c r="N167" s="593">
        <f t="shared" ca="1" si="16"/>
        <v>0</v>
      </c>
      <c r="O167" s="594" t="str">
        <f ca="1">IFERROR(N167/R158,"-")</f>
        <v>-</v>
      </c>
      <c r="P167" s="595">
        <f ca="1">SUMIFS($N:$N,$G:$G,G167,$I:$I,H167)</f>
        <v>0</v>
      </c>
      <c r="Q167" s="547" t="str">
        <f ca="1">IFERROR(P167/R158,"-")</f>
        <v>-</v>
      </c>
      <c r="R167" s="584"/>
      <c r="S167" s="596">
        <f ca="1">SUMIFS('Water Use Calcs'!$W:$W,'Water Use Calcs'!$D:$D,'End Uses'!D167,'Water Use Calcs'!$G:$G,'End Uses'!G167,'Water Use Calcs'!$I:$I,'End Uses'!I167,'Water Use Calcs'!$J:$J,'End Uses'!J167)</f>
        <v>0</v>
      </c>
      <c r="T167" s="597">
        <f t="shared" ca="1" si="17"/>
        <v>0</v>
      </c>
      <c r="U167" s="594" t="str">
        <f ca="1">IFERROR(T167/X158,"-")</f>
        <v>-</v>
      </c>
      <c r="V167" s="595">
        <f ca="1">SUMIFS($T:$T,$G:$G,G167,$I:$I,H167)</f>
        <v>0</v>
      </c>
      <c r="W167" s="547" t="str">
        <f ca="1">IFERROR(V167/X158,"-")</f>
        <v>-</v>
      </c>
      <c r="X167" s="584"/>
    </row>
    <row r="168" spans="3:24" s="45" customFormat="1" ht="13.2" customHeight="1" x14ac:dyDescent="0.3">
      <c r="C168" s="576"/>
      <c r="D168" s="493" t="s">
        <v>11</v>
      </c>
      <c r="E168" s="494"/>
      <c r="F168" s="577"/>
      <c r="G168" s="494" t="s">
        <v>766</v>
      </c>
      <c r="H168" s="577"/>
      <c r="I168" s="450" t="s">
        <v>8</v>
      </c>
      <c r="J168" s="577" t="s">
        <v>53</v>
      </c>
      <c r="K168" s="439" t="s">
        <v>363</v>
      </c>
      <c r="L168" s="578">
        <f>SUMIFS('Airport Statistics'!$G:$G,'Airport Statistics'!$D:$D,G168,'Airport Statistics'!$F:$F,K168)</f>
        <v>0</v>
      </c>
      <c r="M168" s="579">
        <f ca="1">SUMIFS('Water Use Calcs'!$V:$V,'Water Use Calcs'!$D:$D,'End Uses'!D168,'Water Use Calcs'!$G:$G,'End Uses'!G168,'Water Use Calcs'!$I:$I,'End Uses'!I168,'Water Use Calcs'!$J:$J,'End Uses'!J168)</f>
        <v>0</v>
      </c>
      <c r="N168" s="580">
        <f t="shared" ca="1" si="16"/>
        <v>0</v>
      </c>
      <c r="O168" s="581" t="str">
        <f ca="1">IFERROR(N168/R158,"-")</f>
        <v>-</v>
      </c>
      <c r="P168" s="404"/>
      <c r="Q168" s="404"/>
      <c r="R168" s="584"/>
      <c r="S168" s="585">
        <f ca="1">SUMIFS('Water Use Calcs'!$W:$W,'Water Use Calcs'!$D:$D,'End Uses'!D168,'Water Use Calcs'!$G:$G,'End Uses'!G168,'Water Use Calcs'!$I:$I,'End Uses'!I168,'Water Use Calcs'!$J:$J,'End Uses'!J168)</f>
        <v>0</v>
      </c>
      <c r="T168" s="586">
        <f t="shared" ca="1" si="17"/>
        <v>0</v>
      </c>
      <c r="U168" s="581" t="str">
        <f ca="1">IFERROR(T168/X158,"-")</f>
        <v>-</v>
      </c>
      <c r="V168" s="404"/>
      <c r="W168" s="404"/>
      <c r="X168" s="584"/>
    </row>
    <row r="169" spans="3:24" s="45" customFormat="1" ht="13.2" customHeight="1" thickBot="1" x14ac:dyDescent="0.35">
      <c r="C169" s="576"/>
      <c r="D169" s="493" t="s">
        <v>11</v>
      </c>
      <c r="E169" s="501"/>
      <c r="F169" s="577"/>
      <c r="G169" s="501" t="s">
        <v>766</v>
      </c>
      <c r="H169" s="116"/>
      <c r="I169" s="451" t="s">
        <v>8</v>
      </c>
      <c r="J169" s="116" t="s">
        <v>54</v>
      </c>
      <c r="K169" s="606" t="s">
        <v>364</v>
      </c>
      <c r="L169" s="607">
        <f>SUMIFS('Airport Statistics'!$G:$G,'Airport Statistics'!$D:$D,G169,'Airport Statistics'!$F:$F,K169)</f>
        <v>0</v>
      </c>
      <c r="M169" s="608">
        <f ca="1">SUMIFS('Water Use Calcs'!$V:$V,'Water Use Calcs'!$D:$D,'End Uses'!D169,'Water Use Calcs'!$G:$G,'End Uses'!G169,'Water Use Calcs'!$I:$I,'End Uses'!I169,'Water Use Calcs'!$J:$J,'End Uses'!J169)</f>
        <v>0</v>
      </c>
      <c r="N169" s="609">
        <f t="shared" ca="1" si="16"/>
        <v>0</v>
      </c>
      <c r="O169" s="616" t="str">
        <f ca="1">IFERROR(N169/R158,"-")</f>
        <v>-</v>
      </c>
      <c r="P169" s="611"/>
      <c r="Q169" s="611"/>
      <c r="R169" s="613"/>
      <c r="S169" s="614">
        <f ca="1">SUMIFS('Water Use Calcs'!$W:$W,'Water Use Calcs'!$D:$D,'End Uses'!D169,'Water Use Calcs'!$G:$G,'End Uses'!G169,'Water Use Calcs'!$I:$I,'End Uses'!I169,'Water Use Calcs'!$J:$J,'End Uses'!J169)</f>
        <v>0</v>
      </c>
      <c r="T169" s="615">
        <f t="shared" ca="1" si="17"/>
        <v>0</v>
      </c>
      <c r="U169" s="616" t="str">
        <f ca="1">IFERROR(T169/X158,"-")</f>
        <v>-</v>
      </c>
      <c r="V169" s="611"/>
      <c r="W169" s="611"/>
      <c r="X169" s="613"/>
    </row>
    <row r="170" spans="3:24" s="45" customFormat="1" ht="13.2" customHeight="1" x14ac:dyDescent="0.3">
      <c r="C170" s="576"/>
      <c r="D170" s="493" t="s">
        <v>11</v>
      </c>
      <c r="E170" s="617" t="str">
        <f>G170</f>
        <v>Rental Car Center D</v>
      </c>
      <c r="F170" s="565" t="str">
        <f>VLOOKUP(E170,'Airport Mapping'!$C$5:$D$39,2,FALSE)</f>
        <v xml:space="preserve"> </v>
      </c>
      <c r="G170" s="566" t="s">
        <v>767</v>
      </c>
      <c r="H170" s="564" t="str">
        <f>I170</f>
        <v>Restrooms</v>
      </c>
      <c r="I170" s="454" t="s">
        <v>37</v>
      </c>
      <c r="J170" s="567" t="s">
        <v>2</v>
      </c>
      <c r="K170" s="633" t="s">
        <v>6</v>
      </c>
      <c r="L170" s="568">
        <f>SUMIFS('Airport Statistics'!$G:$G,'Airport Statistics'!$D:$D,G170,'Airport Statistics'!$F:$F,K170)</f>
        <v>0</v>
      </c>
      <c r="M170" s="569">
        <f ca="1">SUMIFS('Water Use Calcs'!$V:$V,'Water Use Calcs'!$D:$D,'End Uses'!D170,'Water Use Calcs'!$G:$G,'End Uses'!G170,'Water Use Calcs'!$I:$I,'End Uses'!I170,'Water Use Calcs'!$J:$J,'End Uses'!J170)</f>
        <v>0</v>
      </c>
      <c r="N170" s="570">
        <f t="shared" ca="1" si="16"/>
        <v>0</v>
      </c>
      <c r="O170" s="571" t="str">
        <f ca="1">IFERROR(N170/R170,"-")</f>
        <v>-</v>
      </c>
      <c r="P170" s="572">
        <f ca="1">SUMIFS($N:$N,$G:$G,G170,$I:$I,H170)</f>
        <v>0</v>
      </c>
      <c r="Q170" s="546" t="str">
        <f ca="1">IFERROR(P170/R170,"-")</f>
        <v>-</v>
      </c>
      <c r="R170" s="573">
        <f ca="1">SUMIFS($N:$N,$G:$G,G170)</f>
        <v>0</v>
      </c>
      <c r="S170" s="574">
        <f ca="1">SUMIFS('Water Use Calcs'!$W:$W,'Water Use Calcs'!$D:$D,'End Uses'!D170,'Water Use Calcs'!$G:$G,'End Uses'!G170,'Water Use Calcs'!$I:$I,'End Uses'!I170,'Water Use Calcs'!$J:$J,'End Uses'!J170)</f>
        <v>0</v>
      </c>
      <c r="T170" s="575">
        <f t="shared" ca="1" si="17"/>
        <v>0</v>
      </c>
      <c r="U170" s="571" t="str">
        <f ca="1">IFERROR(T170/X170,"-")</f>
        <v>-</v>
      </c>
      <c r="V170" s="572">
        <f ca="1">SUMIFS($T:$T,$G:$G,G170,$I:$I,H170)</f>
        <v>0</v>
      </c>
      <c r="W170" s="546" t="str">
        <f ca="1">IFERROR(V170/X170,"-")</f>
        <v>-</v>
      </c>
      <c r="X170" s="573">
        <f ca="1">SUMIFS($T:$T,$G:$G,G170)</f>
        <v>0</v>
      </c>
    </row>
    <row r="171" spans="3:24" s="45" customFormat="1" ht="13.2" customHeight="1" x14ac:dyDescent="0.3">
      <c r="C171" s="576"/>
      <c r="D171" s="493" t="s">
        <v>11</v>
      </c>
      <c r="E171" s="494"/>
      <c r="F171" s="577"/>
      <c r="G171" s="494" t="s">
        <v>767</v>
      </c>
      <c r="H171" s="577"/>
      <c r="I171" s="450" t="s">
        <v>37</v>
      </c>
      <c r="J171" s="577" t="s">
        <v>4</v>
      </c>
      <c r="K171" s="634" t="s">
        <v>6</v>
      </c>
      <c r="L171" s="578">
        <f>SUMIFS('Airport Statistics'!$G:$G,'Airport Statistics'!$D:$D,G171,'Airport Statistics'!$F:$F,K171)</f>
        <v>0</v>
      </c>
      <c r="M171" s="579">
        <f ca="1">SUMIFS('Water Use Calcs'!$V:$V,'Water Use Calcs'!$D:$D,'End Uses'!D171,'Water Use Calcs'!$G:$G,'End Uses'!G171,'Water Use Calcs'!$I:$I,'End Uses'!I171,'Water Use Calcs'!$J:$J,'End Uses'!J171)</f>
        <v>0</v>
      </c>
      <c r="N171" s="580">
        <f t="shared" ca="1" si="16"/>
        <v>0</v>
      </c>
      <c r="O171" s="581" t="str">
        <f ca="1">IFERROR(N171/R170,"-")</f>
        <v>-</v>
      </c>
      <c r="P171" s="582"/>
      <c r="Q171" s="583"/>
      <c r="R171" s="584"/>
      <c r="S171" s="585">
        <f ca="1">SUMIFS('Water Use Calcs'!$W:$W,'Water Use Calcs'!$D:$D,'End Uses'!D171,'Water Use Calcs'!$G:$G,'End Uses'!G171,'Water Use Calcs'!$I:$I,'End Uses'!I171,'Water Use Calcs'!$J:$J,'End Uses'!J171)</f>
        <v>0</v>
      </c>
      <c r="T171" s="586">
        <f t="shared" ca="1" si="17"/>
        <v>0</v>
      </c>
      <c r="U171" s="581" t="str">
        <f ca="1">IFERROR(T171/X170,"-")</f>
        <v>-</v>
      </c>
      <c r="V171" s="582"/>
      <c r="W171" s="583"/>
      <c r="X171" s="584"/>
    </row>
    <row r="172" spans="3:24" s="45" customFormat="1" ht="13.2" customHeight="1" x14ac:dyDescent="0.3">
      <c r="C172" s="576"/>
      <c r="D172" s="493" t="s">
        <v>11</v>
      </c>
      <c r="E172" s="494"/>
      <c r="F172" s="577"/>
      <c r="G172" s="494" t="s">
        <v>767</v>
      </c>
      <c r="H172" s="577"/>
      <c r="I172" s="450" t="s">
        <v>37</v>
      </c>
      <c r="J172" s="577" t="s">
        <v>33</v>
      </c>
      <c r="K172" s="634" t="s">
        <v>6</v>
      </c>
      <c r="L172" s="578">
        <f>SUMIFS('Airport Statistics'!$G:$G,'Airport Statistics'!$D:$D,G172,'Airport Statistics'!$F:$F,K172)</f>
        <v>0</v>
      </c>
      <c r="M172" s="579">
        <f ca="1">SUMIFS('Water Use Calcs'!$V:$V,'Water Use Calcs'!$D:$D,'End Uses'!D172,'Water Use Calcs'!$G:$G,'End Uses'!G172,'Water Use Calcs'!$I:$I,'End Uses'!I172,'Water Use Calcs'!$J:$J,'End Uses'!J172)</f>
        <v>0</v>
      </c>
      <c r="N172" s="580">
        <f t="shared" ca="1" si="16"/>
        <v>0</v>
      </c>
      <c r="O172" s="581" t="str">
        <f ca="1">IFERROR(N172/R170,"-")</f>
        <v>-</v>
      </c>
      <c r="P172" s="582"/>
      <c r="Q172" s="583"/>
      <c r="R172" s="584"/>
      <c r="S172" s="585">
        <f ca="1">SUMIFS('Water Use Calcs'!$W:$W,'Water Use Calcs'!$D:$D,'End Uses'!D172,'Water Use Calcs'!$G:$G,'End Uses'!G172,'Water Use Calcs'!$I:$I,'End Uses'!I172,'Water Use Calcs'!$J:$J,'End Uses'!J172)</f>
        <v>0</v>
      </c>
      <c r="T172" s="586">
        <f t="shared" ca="1" si="17"/>
        <v>0</v>
      </c>
      <c r="U172" s="581" t="str">
        <f ca="1">IFERROR(T172/X170,"-")</f>
        <v>-</v>
      </c>
      <c r="V172" s="582"/>
      <c r="W172" s="583"/>
      <c r="X172" s="584"/>
    </row>
    <row r="173" spans="3:24" s="45" customFormat="1" ht="13.2" customHeight="1" x14ac:dyDescent="0.3">
      <c r="C173" s="576"/>
      <c r="D173" s="493" t="s">
        <v>11</v>
      </c>
      <c r="E173" s="494"/>
      <c r="F173" s="577"/>
      <c r="G173" s="494" t="s">
        <v>767</v>
      </c>
      <c r="H173" s="622" t="str">
        <f>I173</f>
        <v>Break rooms</v>
      </c>
      <c r="I173" s="623" t="s">
        <v>5</v>
      </c>
      <c r="J173" s="624" t="s">
        <v>33</v>
      </c>
      <c r="K173" s="625" t="s">
        <v>6</v>
      </c>
      <c r="L173" s="496">
        <f>SUMIFS('Airport Statistics'!$G:$G,'Airport Statistics'!$D:$D,G173,'Airport Statistics'!$F:$F,K173)</f>
        <v>0</v>
      </c>
      <c r="M173" s="626">
        <f ca="1">SUMIFS('Water Use Calcs'!$V:$V,'Water Use Calcs'!$D:$D,'End Uses'!D173,'Water Use Calcs'!$G:$G,'End Uses'!G173,'Water Use Calcs'!$I:$I,'End Uses'!I173,'Water Use Calcs'!$J:$J,'End Uses'!J173)</f>
        <v>0</v>
      </c>
      <c r="N173" s="627">
        <f t="shared" ca="1" si="16"/>
        <v>0</v>
      </c>
      <c r="O173" s="628" t="str">
        <f ca="1">IFERROR(N173/R170,"-")</f>
        <v>-</v>
      </c>
      <c r="P173" s="629">
        <f ca="1">SUMIFS($N:$N,$G:$G,G173,$I:$I,H173)</f>
        <v>0</v>
      </c>
      <c r="Q173" s="291" t="str">
        <f ca="1">IFERROR(P173/R170,"-")</f>
        <v>-</v>
      </c>
      <c r="R173" s="584"/>
      <c r="S173" s="630">
        <f ca="1">SUMIFS('Water Use Calcs'!$W:$W,'Water Use Calcs'!$D:$D,'End Uses'!D173,'Water Use Calcs'!$G:$G,'End Uses'!G173,'Water Use Calcs'!$I:$I,'End Uses'!I173,'Water Use Calcs'!$J:$J,'End Uses'!J173)</f>
        <v>0</v>
      </c>
      <c r="T173" s="631">
        <f t="shared" ca="1" si="17"/>
        <v>0</v>
      </c>
      <c r="U173" s="628" t="str">
        <f ca="1">IFERROR(T173/X170,"-")</f>
        <v>-</v>
      </c>
      <c r="V173" s="629">
        <f ca="1">SUMIFS($T:$T,$G:$G,G173,$I:$I,H173)</f>
        <v>0</v>
      </c>
      <c r="W173" s="291" t="str">
        <f ca="1">IFERROR(V173/X170,"-")</f>
        <v>-</v>
      </c>
      <c r="X173" s="584"/>
    </row>
    <row r="174" spans="3:24" s="45" customFormat="1" ht="13.2" customHeight="1" x14ac:dyDescent="0.3">
      <c r="C174" s="576"/>
      <c r="D174" s="493" t="s">
        <v>11</v>
      </c>
      <c r="E174" s="494"/>
      <c r="F174" s="577"/>
      <c r="G174" s="494" t="s">
        <v>767</v>
      </c>
      <c r="H174" s="622" t="str">
        <f>I174</f>
        <v>Landscaping</v>
      </c>
      <c r="I174" s="623" t="s">
        <v>39</v>
      </c>
      <c r="J174" s="624" t="s">
        <v>42</v>
      </c>
      <c r="K174" s="20" t="s">
        <v>120</v>
      </c>
      <c r="L174" s="496">
        <f>SUMIFS('Airport Statistics'!$G:$G,'Airport Statistics'!$D:$D,G174,'Airport Statistics'!$F:$F,K174)</f>
        <v>0</v>
      </c>
      <c r="M174" s="626">
        <f ca="1">SUMIFS('Water Use Calcs'!$V:$V,'Water Use Calcs'!$D:$D,'End Uses'!D174,'Water Use Calcs'!$G:$G,'End Uses'!G174,'Water Use Calcs'!$I:$I,'End Uses'!I174,'Water Use Calcs'!$J:$J,'End Uses'!J174)</f>
        <v>0</v>
      </c>
      <c r="N174" s="627">
        <f t="shared" ca="1" si="16"/>
        <v>0</v>
      </c>
      <c r="O174" s="628" t="str">
        <f ca="1">IFERROR(N174/R170,"-")</f>
        <v>-</v>
      </c>
      <c r="P174" s="629">
        <f ca="1">SUMIFS($N:$N,$G:$G,G174,$I:$I,H174)</f>
        <v>0</v>
      </c>
      <c r="Q174" s="291" t="str">
        <f ca="1">IFERROR(P174/R170,"-")</f>
        <v>-</v>
      </c>
      <c r="R174" s="584"/>
      <c r="S174" s="630">
        <f ca="1">SUMIFS('Water Use Calcs'!$W:$W,'Water Use Calcs'!$D:$D,'End Uses'!D174,'Water Use Calcs'!$G:$G,'End Uses'!G174,'Water Use Calcs'!$I:$I,'End Uses'!I174,'Water Use Calcs'!$J:$J,'End Uses'!J174)</f>
        <v>0</v>
      </c>
      <c r="T174" s="631">
        <f t="shared" ca="1" si="17"/>
        <v>0</v>
      </c>
      <c r="U174" s="628" t="str">
        <f ca="1">IFERROR(T174/X170,"-")</f>
        <v>-</v>
      </c>
      <c r="V174" s="629">
        <f ca="1">SUMIFS($T:$T,$G:$G,G174,$I:$I,H174)</f>
        <v>0</v>
      </c>
      <c r="W174" s="291" t="str">
        <f ca="1">IFERROR(V174/X170,"-")</f>
        <v>-</v>
      </c>
      <c r="X174" s="584"/>
    </row>
    <row r="175" spans="3:24" s="45" customFormat="1" ht="13.2" customHeight="1" x14ac:dyDescent="0.3">
      <c r="C175" s="576"/>
      <c r="D175" s="493" t="s">
        <v>11</v>
      </c>
      <c r="E175" s="494"/>
      <c r="F175" s="577"/>
      <c r="G175" s="494" t="s">
        <v>767</v>
      </c>
      <c r="H175" s="588" t="str">
        <f>I175</f>
        <v>Maintenance</v>
      </c>
      <c r="I175" s="455" t="s">
        <v>43</v>
      </c>
      <c r="J175" s="17" t="s">
        <v>111</v>
      </c>
      <c r="K175" s="599" t="s">
        <v>424</v>
      </c>
      <c r="L175" s="591">
        <f>SUMIFS('Airport Statistics'!$G:$G,'Airport Statistics'!$D:$D,G175,'Airport Statistics'!$F:$F,K175)</f>
        <v>0</v>
      </c>
      <c r="M175" s="592">
        <f ca="1">SUMIFS('Water Use Calcs'!$V:$V,'Water Use Calcs'!$D:$D,'End Uses'!D175,'Water Use Calcs'!$G:$G,'End Uses'!G175,'Water Use Calcs'!$I:$I,'End Uses'!I175,'Water Use Calcs'!$J:$J,'End Uses'!J175)</f>
        <v>0</v>
      </c>
      <c r="N175" s="593">
        <f t="shared" ca="1" si="16"/>
        <v>0</v>
      </c>
      <c r="O175" s="594" t="str">
        <f ca="1">IFERROR(N175/R170,"-")</f>
        <v>-</v>
      </c>
      <c r="P175" s="595">
        <f ca="1">SUMIFS($N:$N,$G:$G,G175,$I:$I,H175)</f>
        <v>0</v>
      </c>
      <c r="Q175" s="547" t="str">
        <f ca="1">IFERROR(P175/R170,"-")</f>
        <v>-</v>
      </c>
      <c r="R175" s="584"/>
      <c r="S175" s="596">
        <f ca="1">SUMIFS('Water Use Calcs'!$W:$W,'Water Use Calcs'!$D:$D,'End Uses'!D175,'Water Use Calcs'!$G:$G,'End Uses'!G175,'Water Use Calcs'!$I:$I,'End Uses'!I175,'Water Use Calcs'!$J:$J,'End Uses'!J175)</f>
        <v>0</v>
      </c>
      <c r="T175" s="597">
        <f t="shared" ca="1" si="17"/>
        <v>0</v>
      </c>
      <c r="U175" s="594" t="str">
        <f ca="1">IFERROR(T175/X170,"-")</f>
        <v>-</v>
      </c>
      <c r="V175" s="595">
        <f ca="1">SUMIFS($T:$T,$G:$G,G175,$I:$I,H175)</f>
        <v>0</v>
      </c>
      <c r="W175" s="547" t="str">
        <f ca="1">IFERROR(V175/X170,"-")</f>
        <v>-</v>
      </c>
      <c r="X175" s="584"/>
    </row>
    <row r="176" spans="3:24" s="45" customFormat="1" ht="13.2" customHeight="1" x14ac:dyDescent="0.3">
      <c r="C176" s="576"/>
      <c r="D176" s="493" t="s">
        <v>11</v>
      </c>
      <c r="E176" s="494"/>
      <c r="F176" s="577"/>
      <c r="G176" s="494" t="s">
        <v>767</v>
      </c>
      <c r="H176" s="577"/>
      <c r="I176" s="450" t="s">
        <v>43</v>
      </c>
      <c r="J176" s="18" t="s">
        <v>7</v>
      </c>
      <c r="K176" s="183" t="s">
        <v>365</v>
      </c>
      <c r="L176" s="600"/>
      <c r="M176" s="601">
        <f ca="1">SUMIFS('Water Use Calcs'!$V:$V,'Water Use Calcs'!$D:$D,'End Uses'!D176,'Water Use Calcs'!$G:$G,'End Uses'!G176,'Water Use Calcs'!$I:$I,'End Uses'!I176,'Water Use Calcs'!$J:$J,'End Uses'!J176)</f>
        <v>0</v>
      </c>
      <c r="N176" s="580">
        <f ca="1">M176</f>
        <v>0</v>
      </c>
      <c r="O176" s="581" t="str">
        <f ca="1">IFERROR(N176/R170,"-")</f>
        <v>-</v>
      </c>
      <c r="P176" s="404"/>
      <c r="Q176" s="548"/>
      <c r="R176" s="584"/>
      <c r="S176" s="585">
        <f ca="1">SUMIFS('Water Use Calcs'!$W:$W,'Water Use Calcs'!$D:$D,'End Uses'!D176,'Water Use Calcs'!$G:$G,'End Uses'!G176,'Water Use Calcs'!$I:$I,'End Uses'!I176,'Water Use Calcs'!$J:$J,'End Uses'!J176)</f>
        <v>0</v>
      </c>
      <c r="T176" s="586">
        <f ca="1">S176</f>
        <v>0</v>
      </c>
      <c r="U176" s="581" t="str">
        <f ca="1">IFERROR(T176/X170,"-")</f>
        <v>-</v>
      </c>
      <c r="V176" s="404"/>
      <c r="W176" s="548"/>
      <c r="X176" s="584"/>
    </row>
    <row r="177" spans="3:24" s="45" customFormat="1" ht="13.2" customHeight="1" x14ac:dyDescent="0.3">
      <c r="C177" s="576"/>
      <c r="D177" s="493" t="s">
        <v>11</v>
      </c>
      <c r="E177" s="494"/>
      <c r="F177" s="577"/>
      <c r="G177" s="494" t="s">
        <v>767</v>
      </c>
      <c r="H177" s="577"/>
      <c r="I177" s="450" t="s">
        <v>43</v>
      </c>
      <c r="J177" s="577" t="s">
        <v>9</v>
      </c>
      <c r="K177" s="635" t="s">
        <v>73</v>
      </c>
      <c r="L177" s="578">
        <f>SUMIFS('Airport Statistics'!$G:$G,'Airport Statistics'!$D:$D,G177,'Airport Statistics'!$F:$F,K177)</f>
        <v>0</v>
      </c>
      <c r="M177" s="579">
        <f ca="1">SUMIFS('Water Use Calcs'!$V:$V,'Water Use Calcs'!$D:$D,'End Uses'!D177,'Water Use Calcs'!$G:$G,'End Uses'!G177,'Water Use Calcs'!$I:$I,'End Uses'!I177,'Water Use Calcs'!$J:$J,'End Uses'!J177)</f>
        <v>0</v>
      </c>
      <c r="N177" s="580">
        <f t="shared" ref="N177:N181" ca="1" si="18">L177*M177</f>
        <v>0</v>
      </c>
      <c r="O177" s="581" t="str">
        <f ca="1">IFERROR(N177/R170,"-")</f>
        <v>-</v>
      </c>
      <c r="P177" s="582"/>
      <c r="Q177" s="548"/>
      <c r="R177" s="584"/>
      <c r="S177" s="585">
        <f ca="1">SUMIFS('Water Use Calcs'!$W:$W,'Water Use Calcs'!$D:$D,'End Uses'!D177,'Water Use Calcs'!$G:$G,'End Uses'!G177,'Water Use Calcs'!$I:$I,'End Uses'!I177,'Water Use Calcs'!$J:$J,'End Uses'!J177)</f>
        <v>0</v>
      </c>
      <c r="T177" s="586">
        <f t="shared" ref="T177:T181" ca="1" si="19">L177*S177</f>
        <v>0</v>
      </c>
      <c r="U177" s="581" t="str">
        <f ca="1">IFERROR(T177/X170,"-")</f>
        <v>-</v>
      </c>
      <c r="V177" s="582"/>
      <c r="W177" s="548"/>
      <c r="X177" s="584"/>
    </row>
    <row r="178" spans="3:24" s="45" customFormat="1" ht="13.2" customHeight="1" x14ac:dyDescent="0.3">
      <c r="C178" s="576"/>
      <c r="D178" s="493" t="s">
        <v>11</v>
      </c>
      <c r="E178" s="494"/>
      <c r="F178" s="577"/>
      <c r="G178" s="494" t="s">
        <v>767</v>
      </c>
      <c r="H178" s="577"/>
      <c r="I178" s="450" t="s">
        <v>43</v>
      </c>
      <c r="J178" s="577" t="s">
        <v>426</v>
      </c>
      <c r="K178" s="635" t="s">
        <v>73</v>
      </c>
      <c r="L178" s="578">
        <f>SUMIFS('Airport Statistics'!$G:$G,'Airport Statistics'!$D:$D,G178,'Airport Statistics'!$F:$F,K178)</f>
        <v>0</v>
      </c>
      <c r="M178" s="579">
        <f ca="1">SUMIFS('Water Use Calcs'!$V:$V,'Water Use Calcs'!$D:$D,'End Uses'!D178,'Water Use Calcs'!$G:$G,'End Uses'!G178,'Water Use Calcs'!$I:$I,'End Uses'!I178,'Water Use Calcs'!$J:$J,'End Uses'!J178)</f>
        <v>0</v>
      </c>
      <c r="N178" s="580">
        <f t="shared" ca="1" si="18"/>
        <v>0</v>
      </c>
      <c r="O178" s="581" t="str">
        <f ca="1">IFERROR(N178/R170,"-")</f>
        <v>-</v>
      </c>
      <c r="P178" s="404"/>
      <c r="Q178" s="548"/>
      <c r="R178" s="584"/>
      <c r="S178" s="585">
        <f ca="1">SUMIFS('Water Use Calcs'!$W:$W,'Water Use Calcs'!$D:$D,'End Uses'!D178,'Water Use Calcs'!$G:$G,'End Uses'!G178,'Water Use Calcs'!$I:$I,'End Uses'!I178,'Water Use Calcs'!$J:$J,'End Uses'!J178)</f>
        <v>0</v>
      </c>
      <c r="T178" s="586">
        <f t="shared" ca="1" si="19"/>
        <v>0</v>
      </c>
      <c r="U178" s="581" t="str">
        <f ca="1">IFERROR(T178/X170,"-")</f>
        <v>-</v>
      </c>
      <c r="V178" s="404"/>
      <c r="W178" s="548"/>
      <c r="X178" s="584"/>
    </row>
    <row r="179" spans="3:24" s="45" customFormat="1" ht="13.2" customHeight="1" x14ac:dyDescent="0.3">
      <c r="C179" s="576"/>
      <c r="D179" s="493" t="s">
        <v>11</v>
      </c>
      <c r="E179" s="494"/>
      <c r="F179" s="577"/>
      <c r="G179" s="494" t="s">
        <v>767</v>
      </c>
      <c r="H179" s="588" t="str">
        <f>I179</f>
        <v>Other</v>
      </c>
      <c r="I179" s="455" t="s">
        <v>8</v>
      </c>
      <c r="J179" s="589" t="s">
        <v>52</v>
      </c>
      <c r="K179" s="602" t="s">
        <v>362</v>
      </c>
      <c r="L179" s="591">
        <f>SUMIFS('Airport Statistics'!$G:$G,'Airport Statistics'!$D:$D,G179,'Airport Statistics'!$F:$F,K179)</f>
        <v>0</v>
      </c>
      <c r="M179" s="592">
        <f ca="1">SUMIFS('Water Use Calcs'!$V:$V,'Water Use Calcs'!$D:$D,'End Uses'!D179,'Water Use Calcs'!$G:$G,'End Uses'!G179,'Water Use Calcs'!$I:$I,'End Uses'!I179,'Water Use Calcs'!$J:$J,'End Uses'!J179)</f>
        <v>0</v>
      </c>
      <c r="N179" s="593">
        <f t="shared" ca="1" si="18"/>
        <v>0</v>
      </c>
      <c r="O179" s="594" t="str">
        <f ca="1">IFERROR(N179/R170,"-")</f>
        <v>-</v>
      </c>
      <c r="P179" s="595">
        <f ca="1">SUMIFS($N:$N,$G:$G,G179,$I:$I,H179)</f>
        <v>0</v>
      </c>
      <c r="Q179" s="547" t="str">
        <f ca="1">IFERROR(P179/R170,"-")</f>
        <v>-</v>
      </c>
      <c r="R179" s="584"/>
      <c r="S179" s="596">
        <f ca="1">SUMIFS('Water Use Calcs'!$W:$W,'Water Use Calcs'!$D:$D,'End Uses'!D179,'Water Use Calcs'!$G:$G,'End Uses'!G179,'Water Use Calcs'!$I:$I,'End Uses'!I179,'Water Use Calcs'!$J:$J,'End Uses'!J179)</f>
        <v>0</v>
      </c>
      <c r="T179" s="597">
        <f t="shared" ca="1" si="19"/>
        <v>0</v>
      </c>
      <c r="U179" s="594" t="str">
        <f ca="1">IFERROR(T179/X170,"-")</f>
        <v>-</v>
      </c>
      <c r="V179" s="595">
        <f ca="1">SUMIFS($T:$T,$G:$G,G179,$I:$I,H179)</f>
        <v>0</v>
      </c>
      <c r="W179" s="547" t="str">
        <f ca="1">IFERROR(V179/X170,"-")</f>
        <v>-</v>
      </c>
      <c r="X179" s="584"/>
    </row>
    <row r="180" spans="3:24" s="45" customFormat="1" ht="13.2" customHeight="1" x14ac:dyDescent="0.3">
      <c r="C180" s="576"/>
      <c r="D180" s="493" t="s">
        <v>11</v>
      </c>
      <c r="E180" s="494"/>
      <c r="F180" s="577"/>
      <c r="G180" s="494" t="s">
        <v>767</v>
      </c>
      <c r="H180" s="577"/>
      <c r="I180" s="450" t="s">
        <v>8</v>
      </c>
      <c r="J180" s="577" t="s">
        <v>53</v>
      </c>
      <c r="K180" s="439" t="s">
        <v>363</v>
      </c>
      <c r="L180" s="578">
        <f>SUMIFS('Airport Statistics'!$G:$G,'Airport Statistics'!$D:$D,G180,'Airport Statistics'!$F:$F,K180)</f>
        <v>0</v>
      </c>
      <c r="M180" s="579">
        <f ca="1">SUMIFS('Water Use Calcs'!$V:$V,'Water Use Calcs'!$D:$D,'End Uses'!D180,'Water Use Calcs'!$G:$G,'End Uses'!G180,'Water Use Calcs'!$I:$I,'End Uses'!I180,'Water Use Calcs'!$J:$J,'End Uses'!J180)</f>
        <v>0</v>
      </c>
      <c r="N180" s="580">
        <f t="shared" ca="1" si="18"/>
        <v>0</v>
      </c>
      <c r="O180" s="581" t="str">
        <f ca="1">IFERROR(N180/R170,"-")</f>
        <v>-</v>
      </c>
      <c r="P180" s="404"/>
      <c r="Q180" s="404"/>
      <c r="R180" s="584"/>
      <c r="S180" s="585">
        <f ca="1">SUMIFS('Water Use Calcs'!$W:$W,'Water Use Calcs'!$D:$D,'End Uses'!D180,'Water Use Calcs'!$G:$G,'End Uses'!G180,'Water Use Calcs'!$I:$I,'End Uses'!I180,'Water Use Calcs'!$J:$J,'End Uses'!J180)</f>
        <v>0</v>
      </c>
      <c r="T180" s="586">
        <f t="shared" ca="1" si="19"/>
        <v>0</v>
      </c>
      <c r="U180" s="581" t="str">
        <f ca="1">IFERROR(T180/X170,"-")</f>
        <v>-</v>
      </c>
      <c r="V180" s="404"/>
      <c r="W180" s="404"/>
      <c r="X180" s="584"/>
    </row>
    <row r="181" spans="3:24" s="45" customFormat="1" ht="13.2" customHeight="1" thickBot="1" x14ac:dyDescent="0.35">
      <c r="C181" s="576"/>
      <c r="D181" s="493" t="s">
        <v>11</v>
      </c>
      <c r="E181" s="501"/>
      <c r="F181" s="577"/>
      <c r="G181" s="501" t="s">
        <v>767</v>
      </c>
      <c r="H181" s="116"/>
      <c r="I181" s="451" t="s">
        <v>8</v>
      </c>
      <c r="J181" s="116" t="s">
        <v>54</v>
      </c>
      <c r="K181" s="606" t="s">
        <v>364</v>
      </c>
      <c r="L181" s="607">
        <f>SUMIFS('Airport Statistics'!$G:$G,'Airport Statistics'!$D:$D,G181,'Airport Statistics'!$F:$F,K181)</f>
        <v>0</v>
      </c>
      <c r="M181" s="608">
        <f ca="1">SUMIFS('Water Use Calcs'!$V:$V,'Water Use Calcs'!$D:$D,'End Uses'!D181,'Water Use Calcs'!$G:$G,'End Uses'!G181,'Water Use Calcs'!$I:$I,'End Uses'!I181,'Water Use Calcs'!$J:$J,'End Uses'!J181)</f>
        <v>0</v>
      </c>
      <c r="N181" s="609">
        <f t="shared" ca="1" si="18"/>
        <v>0</v>
      </c>
      <c r="O181" s="616" t="str">
        <f ca="1">IFERROR(N181/R170,"-")</f>
        <v>-</v>
      </c>
      <c r="P181" s="611"/>
      <c r="Q181" s="611"/>
      <c r="R181" s="613"/>
      <c r="S181" s="614">
        <f ca="1">SUMIFS('Water Use Calcs'!$W:$W,'Water Use Calcs'!$D:$D,'End Uses'!D181,'Water Use Calcs'!$G:$G,'End Uses'!G181,'Water Use Calcs'!$I:$I,'End Uses'!I181,'Water Use Calcs'!$J:$J,'End Uses'!J181)</f>
        <v>0</v>
      </c>
      <c r="T181" s="615">
        <f t="shared" ca="1" si="19"/>
        <v>0</v>
      </c>
      <c r="U181" s="616" t="str">
        <f ca="1">IFERROR(T181/X170,"-")</f>
        <v>-</v>
      </c>
      <c r="V181" s="611"/>
      <c r="W181" s="611"/>
      <c r="X181" s="613"/>
    </row>
    <row r="182" spans="3:24" s="45" customFormat="1" ht="13.2" customHeight="1" x14ac:dyDescent="0.3">
      <c r="C182" s="576"/>
      <c r="D182" s="493" t="s">
        <v>11</v>
      </c>
      <c r="E182" s="617" t="str">
        <f>G182</f>
        <v>Rental Car Center E</v>
      </c>
      <c r="F182" s="565" t="str">
        <f>VLOOKUP(E182,'Airport Mapping'!$C$5:$D$39,2,FALSE)</f>
        <v xml:space="preserve"> </v>
      </c>
      <c r="G182" s="566" t="s">
        <v>765</v>
      </c>
      <c r="H182" s="564" t="str">
        <f>I182</f>
        <v>Restrooms</v>
      </c>
      <c r="I182" s="454" t="s">
        <v>37</v>
      </c>
      <c r="J182" s="567" t="s">
        <v>2</v>
      </c>
      <c r="K182" s="633" t="s">
        <v>6</v>
      </c>
      <c r="L182" s="568">
        <f>SUMIFS('Airport Statistics'!$G:$G,'Airport Statistics'!$D:$D,G182,'Airport Statistics'!$F:$F,K182)</f>
        <v>0</v>
      </c>
      <c r="M182" s="569">
        <f ca="1">SUMIFS('Water Use Calcs'!$V:$V,'Water Use Calcs'!$D:$D,'End Uses'!D182,'Water Use Calcs'!$G:$G,'End Uses'!G182,'Water Use Calcs'!$I:$I,'End Uses'!I182,'Water Use Calcs'!$J:$J,'End Uses'!J182)</f>
        <v>0</v>
      </c>
      <c r="N182" s="570">
        <f t="shared" ref="N182:N205" ca="1" si="20">L182*M182</f>
        <v>0</v>
      </c>
      <c r="O182" s="571" t="str">
        <f ca="1">IFERROR(N182/R182,"-")</f>
        <v>-</v>
      </c>
      <c r="P182" s="572">
        <f ca="1">SUMIFS($N:$N,$G:$G,G182,$I:$I,H182)</f>
        <v>0</v>
      </c>
      <c r="Q182" s="546" t="str">
        <f ca="1">IFERROR(P182/R182,"-")</f>
        <v>-</v>
      </c>
      <c r="R182" s="573">
        <f ca="1">SUMIFS($N:$N,$G:$G,G182)</f>
        <v>0</v>
      </c>
      <c r="S182" s="574">
        <f ca="1">SUMIFS('Water Use Calcs'!$W:$W,'Water Use Calcs'!$D:$D,'End Uses'!D182,'Water Use Calcs'!$G:$G,'End Uses'!G182,'Water Use Calcs'!$I:$I,'End Uses'!I182,'Water Use Calcs'!$J:$J,'End Uses'!J182)</f>
        <v>0</v>
      </c>
      <c r="T182" s="575">
        <f t="shared" ca="1" si="12"/>
        <v>0</v>
      </c>
      <c r="U182" s="571" t="str">
        <f ca="1">IFERROR(T182/X182,"-")</f>
        <v>-</v>
      </c>
      <c r="V182" s="572">
        <f ca="1">SUMIFS($T:$T,$G:$G,G182,$I:$I,H182)</f>
        <v>0</v>
      </c>
      <c r="W182" s="546" t="str">
        <f ca="1">IFERROR(V182/X182,"-")</f>
        <v>-</v>
      </c>
      <c r="X182" s="573">
        <f ca="1">SUMIFS($T:$T,$G:$G,G182)</f>
        <v>0</v>
      </c>
    </row>
    <row r="183" spans="3:24" x14ac:dyDescent="0.3">
      <c r="C183" s="576"/>
      <c r="D183" s="493" t="s">
        <v>11</v>
      </c>
      <c r="E183" s="494"/>
      <c r="F183" s="577"/>
      <c r="G183" s="494" t="s">
        <v>765</v>
      </c>
      <c r="H183" s="577"/>
      <c r="I183" s="450" t="s">
        <v>37</v>
      </c>
      <c r="J183" s="577" t="s">
        <v>4</v>
      </c>
      <c r="K183" s="634" t="s">
        <v>6</v>
      </c>
      <c r="L183" s="578">
        <f>SUMIFS('Airport Statistics'!$G:$G,'Airport Statistics'!$D:$D,G183,'Airport Statistics'!$F:$F,K183)</f>
        <v>0</v>
      </c>
      <c r="M183" s="579">
        <f ca="1">SUMIFS('Water Use Calcs'!$V:$V,'Water Use Calcs'!$D:$D,'End Uses'!D183,'Water Use Calcs'!$G:$G,'End Uses'!G183,'Water Use Calcs'!$I:$I,'End Uses'!I183,'Water Use Calcs'!$J:$J,'End Uses'!J183)</f>
        <v>0</v>
      </c>
      <c r="N183" s="580">
        <f t="shared" ca="1" si="20"/>
        <v>0</v>
      </c>
      <c r="O183" s="581" t="str">
        <f ca="1">IFERROR(N183/R182,"-")</f>
        <v>-</v>
      </c>
      <c r="P183" s="582"/>
      <c r="Q183" s="583"/>
      <c r="R183" s="584"/>
      <c r="S183" s="585">
        <f ca="1">SUMIFS('Water Use Calcs'!$W:$W,'Water Use Calcs'!$D:$D,'End Uses'!D183,'Water Use Calcs'!$G:$G,'End Uses'!G183,'Water Use Calcs'!$I:$I,'End Uses'!I183,'Water Use Calcs'!$J:$J,'End Uses'!J183)</f>
        <v>0</v>
      </c>
      <c r="T183" s="586">
        <f t="shared" ca="1" si="12"/>
        <v>0</v>
      </c>
      <c r="U183" s="581" t="str">
        <f ca="1">IFERROR(T183/X182,"-")</f>
        <v>-</v>
      </c>
      <c r="V183" s="582"/>
      <c r="W183" s="583"/>
      <c r="X183" s="584"/>
    </row>
    <row r="184" spans="3:24" x14ac:dyDescent="0.3">
      <c r="C184" s="576"/>
      <c r="D184" s="493" t="s">
        <v>11</v>
      </c>
      <c r="E184" s="494"/>
      <c r="F184" s="577"/>
      <c r="G184" s="494" t="s">
        <v>765</v>
      </c>
      <c r="H184" s="577"/>
      <c r="I184" s="450" t="s">
        <v>37</v>
      </c>
      <c r="J184" s="577" t="s">
        <v>33</v>
      </c>
      <c r="K184" s="634" t="s">
        <v>6</v>
      </c>
      <c r="L184" s="578">
        <f>SUMIFS('Airport Statistics'!$G:$G,'Airport Statistics'!$D:$D,G184,'Airport Statistics'!$F:$F,K184)</f>
        <v>0</v>
      </c>
      <c r="M184" s="579">
        <f ca="1">SUMIFS('Water Use Calcs'!$V:$V,'Water Use Calcs'!$D:$D,'End Uses'!D184,'Water Use Calcs'!$G:$G,'End Uses'!G184,'Water Use Calcs'!$I:$I,'End Uses'!I184,'Water Use Calcs'!$J:$J,'End Uses'!J184)</f>
        <v>0</v>
      </c>
      <c r="N184" s="580">
        <f t="shared" ca="1" si="20"/>
        <v>0</v>
      </c>
      <c r="O184" s="581" t="str">
        <f ca="1">IFERROR(N184/R182,"-")</f>
        <v>-</v>
      </c>
      <c r="P184" s="582"/>
      <c r="Q184" s="583"/>
      <c r="R184" s="584"/>
      <c r="S184" s="585">
        <f ca="1">SUMIFS('Water Use Calcs'!$W:$W,'Water Use Calcs'!$D:$D,'End Uses'!D184,'Water Use Calcs'!$G:$G,'End Uses'!G184,'Water Use Calcs'!$I:$I,'End Uses'!I184,'Water Use Calcs'!$J:$J,'End Uses'!J184)</f>
        <v>0</v>
      </c>
      <c r="T184" s="586">
        <f t="shared" ca="1" si="12"/>
        <v>0</v>
      </c>
      <c r="U184" s="581" t="str">
        <f ca="1">IFERROR(T184/X182,"-")</f>
        <v>-</v>
      </c>
      <c r="V184" s="582"/>
      <c r="W184" s="583"/>
      <c r="X184" s="584"/>
    </row>
    <row r="185" spans="3:24" x14ac:dyDescent="0.3">
      <c r="C185" s="576"/>
      <c r="D185" s="493" t="s">
        <v>11</v>
      </c>
      <c r="E185" s="494"/>
      <c r="F185" s="577"/>
      <c r="G185" s="494" t="s">
        <v>765</v>
      </c>
      <c r="H185" s="622" t="str">
        <f>I185</f>
        <v>Break rooms</v>
      </c>
      <c r="I185" s="623" t="s">
        <v>5</v>
      </c>
      <c r="J185" s="624" t="s">
        <v>33</v>
      </c>
      <c r="K185" s="625" t="s">
        <v>6</v>
      </c>
      <c r="L185" s="496">
        <f>SUMIFS('Airport Statistics'!$G:$G,'Airport Statistics'!$D:$D,G185,'Airport Statistics'!$F:$F,K185)</f>
        <v>0</v>
      </c>
      <c r="M185" s="626">
        <f ca="1">SUMIFS('Water Use Calcs'!$V:$V,'Water Use Calcs'!$D:$D,'End Uses'!D185,'Water Use Calcs'!$G:$G,'End Uses'!G185,'Water Use Calcs'!$I:$I,'End Uses'!I185,'Water Use Calcs'!$J:$J,'End Uses'!J185)</f>
        <v>0</v>
      </c>
      <c r="N185" s="627">
        <f t="shared" ca="1" si="20"/>
        <v>0</v>
      </c>
      <c r="O185" s="628" t="str">
        <f ca="1">IFERROR(N185/R182,"-")</f>
        <v>-</v>
      </c>
      <c r="P185" s="629">
        <f ca="1">SUMIFS($N:$N,$G:$G,G185,$I:$I,H185)</f>
        <v>0</v>
      </c>
      <c r="Q185" s="291" t="str">
        <f ca="1">IFERROR(P185/R182,"-")</f>
        <v>-</v>
      </c>
      <c r="R185" s="584"/>
      <c r="S185" s="630">
        <f ca="1">SUMIFS('Water Use Calcs'!$W:$W,'Water Use Calcs'!$D:$D,'End Uses'!D185,'Water Use Calcs'!$G:$G,'End Uses'!G185,'Water Use Calcs'!$I:$I,'End Uses'!I185,'Water Use Calcs'!$J:$J,'End Uses'!J185)</f>
        <v>0</v>
      </c>
      <c r="T185" s="631">
        <f t="shared" ca="1" si="12"/>
        <v>0</v>
      </c>
      <c r="U185" s="628" t="str">
        <f ca="1">IFERROR(T185/X182,"-")</f>
        <v>-</v>
      </c>
      <c r="V185" s="629">
        <f ca="1">SUMIFS($T:$T,$G:$G,G185,$I:$I,H185)</f>
        <v>0</v>
      </c>
      <c r="W185" s="291" t="str">
        <f ca="1">IFERROR(V185/X182,"-")</f>
        <v>-</v>
      </c>
      <c r="X185" s="584"/>
    </row>
    <row r="186" spans="3:24" x14ac:dyDescent="0.3">
      <c r="C186" s="576"/>
      <c r="D186" s="493" t="s">
        <v>11</v>
      </c>
      <c r="E186" s="494"/>
      <c r="F186" s="577"/>
      <c r="G186" s="494" t="s">
        <v>765</v>
      </c>
      <c r="H186" s="622" t="str">
        <f>I186</f>
        <v>Landscaping</v>
      </c>
      <c r="I186" s="623" t="s">
        <v>39</v>
      </c>
      <c r="J186" s="624" t="s">
        <v>42</v>
      </c>
      <c r="K186" s="20" t="s">
        <v>120</v>
      </c>
      <c r="L186" s="496">
        <f>SUMIFS('Airport Statistics'!$G:$G,'Airport Statistics'!$D:$D,G186,'Airport Statistics'!$F:$F,K186)</f>
        <v>0</v>
      </c>
      <c r="M186" s="626">
        <f ca="1">SUMIFS('Water Use Calcs'!$V:$V,'Water Use Calcs'!$D:$D,'End Uses'!D186,'Water Use Calcs'!$G:$G,'End Uses'!G186,'Water Use Calcs'!$I:$I,'End Uses'!I186,'Water Use Calcs'!$J:$J,'End Uses'!J186)</f>
        <v>0</v>
      </c>
      <c r="N186" s="627">
        <f t="shared" ca="1" si="20"/>
        <v>0</v>
      </c>
      <c r="O186" s="628" t="str">
        <f ca="1">IFERROR(N186/R182,"-")</f>
        <v>-</v>
      </c>
      <c r="P186" s="629">
        <f ca="1">SUMIFS($N:$N,$G:$G,G186,$I:$I,H186)</f>
        <v>0</v>
      </c>
      <c r="Q186" s="291" t="str">
        <f ca="1">IFERROR(P186/R182,"-")</f>
        <v>-</v>
      </c>
      <c r="R186" s="584"/>
      <c r="S186" s="630">
        <f ca="1">SUMIFS('Water Use Calcs'!$W:$W,'Water Use Calcs'!$D:$D,'End Uses'!D186,'Water Use Calcs'!$G:$G,'End Uses'!G186,'Water Use Calcs'!$I:$I,'End Uses'!I186,'Water Use Calcs'!$J:$J,'End Uses'!J186)</f>
        <v>0</v>
      </c>
      <c r="T186" s="631">
        <f t="shared" ca="1" si="12"/>
        <v>0</v>
      </c>
      <c r="U186" s="628" t="str">
        <f ca="1">IFERROR(T186/X182,"-")</f>
        <v>-</v>
      </c>
      <c r="V186" s="629">
        <f ca="1">SUMIFS($T:$T,$G:$G,G186,$I:$I,H186)</f>
        <v>0</v>
      </c>
      <c r="W186" s="291" t="str">
        <f ca="1">IFERROR(V186/X182,"-")</f>
        <v>-</v>
      </c>
      <c r="X186" s="584"/>
    </row>
    <row r="187" spans="3:24" x14ac:dyDescent="0.3">
      <c r="C187" s="576"/>
      <c r="D187" s="493" t="s">
        <v>11</v>
      </c>
      <c r="E187" s="494"/>
      <c r="F187" s="577"/>
      <c r="G187" s="494" t="s">
        <v>765</v>
      </c>
      <c r="H187" s="588" t="str">
        <f>I187</f>
        <v>Maintenance</v>
      </c>
      <c r="I187" s="455" t="s">
        <v>43</v>
      </c>
      <c r="J187" s="17" t="s">
        <v>111</v>
      </c>
      <c r="K187" s="599" t="s">
        <v>424</v>
      </c>
      <c r="L187" s="591">
        <f>SUMIFS('Airport Statistics'!$G:$G,'Airport Statistics'!$D:$D,G187,'Airport Statistics'!$F:$F,K187)</f>
        <v>0</v>
      </c>
      <c r="M187" s="592">
        <f ca="1">SUMIFS('Water Use Calcs'!$V:$V,'Water Use Calcs'!$D:$D,'End Uses'!D187,'Water Use Calcs'!$G:$G,'End Uses'!G187,'Water Use Calcs'!$I:$I,'End Uses'!I187,'Water Use Calcs'!$J:$J,'End Uses'!J187)</f>
        <v>0</v>
      </c>
      <c r="N187" s="593">
        <f t="shared" ca="1" si="20"/>
        <v>0</v>
      </c>
      <c r="O187" s="594" t="str">
        <f ca="1">IFERROR(N187/R182,"-")</f>
        <v>-</v>
      </c>
      <c r="P187" s="595">
        <f ca="1">SUMIFS($N:$N,$G:$G,G187,$I:$I,H187)</f>
        <v>0</v>
      </c>
      <c r="Q187" s="547" t="str">
        <f ca="1">IFERROR(P187/R182,"-")</f>
        <v>-</v>
      </c>
      <c r="R187" s="584"/>
      <c r="S187" s="596">
        <f ca="1">SUMIFS('Water Use Calcs'!$W:$W,'Water Use Calcs'!$D:$D,'End Uses'!D187,'Water Use Calcs'!$G:$G,'End Uses'!G187,'Water Use Calcs'!$I:$I,'End Uses'!I187,'Water Use Calcs'!$J:$J,'End Uses'!J187)</f>
        <v>0</v>
      </c>
      <c r="T187" s="597">
        <f t="shared" ca="1" si="12"/>
        <v>0</v>
      </c>
      <c r="U187" s="594" t="str">
        <f ca="1">IFERROR(T187/X182,"-")</f>
        <v>-</v>
      </c>
      <c r="V187" s="595">
        <f ca="1">SUMIFS($T:$T,$G:$G,G187,$I:$I,H187)</f>
        <v>0</v>
      </c>
      <c r="W187" s="547" t="str">
        <f ca="1">IFERROR(V187/X182,"-")</f>
        <v>-</v>
      </c>
      <c r="X187" s="584"/>
    </row>
    <row r="188" spans="3:24" x14ac:dyDescent="0.3">
      <c r="C188" s="576"/>
      <c r="D188" s="493" t="s">
        <v>11</v>
      </c>
      <c r="E188" s="494"/>
      <c r="F188" s="577"/>
      <c r="G188" s="494" t="s">
        <v>765</v>
      </c>
      <c r="H188" s="577"/>
      <c r="I188" s="450" t="s">
        <v>43</v>
      </c>
      <c r="J188" s="18" t="s">
        <v>7</v>
      </c>
      <c r="K188" s="183" t="s">
        <v>365</v>
      </c>
      <c r="L188" s="600"/>
      <c r="M188" s="601">
        <f ca="1">SUMIFS('Water Use Calcs'!$V:$V,'Water Use Calcs'!$D:$D,'End Uses'!D188,'Water Use Calcs'!$G:$G,'End Uses'!G188,'Water Use Calcs'!$I:$I,'End Uses'!I188,'Water Use Calcs'!$J:$J,'End Uses'!J188)</f>
        <v>0</v>
      </c>
      <c r="N188" s="580">
        <f ca="1">M188</f>
        <v>0</v>
      </c>
      <c r="O188" s="581" t="str">
        <f ca="1">IFERROR(N188/R182,"-")</f>
        <v>-</v>
      </c>
      <c r="P188" s="404"/>
      <c r="Q188" s="548"/>
      <c r="R188" s="584"/>
      <c r="S188" s="585">
        <f ca="1">SUMIFS('Water Use Calcs'!$W:$W,'Water Use Calcs'!$D:$D,'End Uses'!D188,'Water Use Calcs'!$G:$G,'End Uses'!G188,'Water Use Calcs'!$I:$I,'End Uses'!I188,'Water Use Calcs'!$J:$J,'End Uses'!J188)</f>
        <v>0</v>
      </c>
      <c r="T188" s="586">
        <f ca="1">S188</f>
        <v>0</v>
      </c>
      <c r="U188" s="581" t="str">
        <f ca="1">IFERROR(T188/X182,"-")</f>
        <v>-</v>
      </c>
      <c r="V188" s="404"/>
      <c r="W188" s="548"/>
      <c r="X188" s="584"/>
    </row>
    <row r="189" spans="3:24" x14ac:dyDescent="0.3">
      <c r="C189" s="576"/>
      <c r="D189" s="493" t="s">
        <v>11</v>
      </c>
      <c r="E189" s="494"/>
      <c r="F189" s="577"/>
      <c r="G189" s="494" t="s">
        <v>765</v>
      </c>
      <c r="H189" s="577"/>
      <c r="I189" s="450" t="s">
        <v>43</v>
      </c>
      <c r="J189" s="577" t="s">
        <v>9</v>
      </c>
      <c r="K189" s="635" t="s">
        <v>73</v>
      </c>
      <c r="L189" s="578">
        <f>SUMIFS('Airport Statistics'!$G:$G,'Airport Statistics'!$D:$D,G189,'Airport Statistics'!$F:$F,K189)</f>
        <v>0</v>
      </c>
      <c r="M189" s="579">
        <f ca="1">SUMIFS('Water Use Calcs'!$V:$V,'Water Use Calcs'!$D:$D,'End Uses'!D189,'Water Use Calcs'!$G:$G,'End Uses'!G189,'Water Use Calcs'!$I:$I,'End Uses'!I189,'Water Use Calcs'!$J:$J,'End Uses'!J189)</f>
        <v>0</v>
      </c>
      <c r="N189" s="580">
        <f t="shared" ca="1" si="20"/>
        <v>0</v>
      </c>
      <c r="O189" s="581" t="str">
        <f ca="1">IFERROR(N189/R182,"-")</f>
        <v>-</v>
      </c>
      <c r="P189" s="582"/>
      <c r="Q189" s="548"/>
      <c r="R189" s="584"/>
      <c r="S189" s="585">
        <f ca="1">SUMIFS('Water Use Calcs'!$W:$W,'Water Use Calcs'!$D:$D,'End Uses'!D189,'Water Use Calcs'!$G:$G,'End Uses'!G189,'Water Use Calcs'!$I:$I,'End Uses'!I189,'Water Use Calcs'!$J:$J,'End Uses'!J189)</f>
        <v>0</v>
      </c>
      <c r="T189" s="586">
        <f t="shared" ca="1" si="12"/>
        <v>0</v>
      </c>
      <c r="U189" s="581" t="str">
        <f ca="1">IFERROR(T189/X182,"-")</f>
        <v>-</v>
      </c>
      <c r="V189" s="582"/>
      <c r="W189" s="548"/>
      <c r="X189" s="584"/>
    </row>
    <row r="190" spans="3:24" x14ac:dyDescent="0.3">
      <c r="C190" s="576"/>
      <c r="D190" s="493" t="s">
        <v>11</v>
      </c>
      <c r="E190" s="494"/>
      <c r="F190" s="577"/>
      <c r="G190" s="494" t="s">
        <v>765</v>
      </c>
      <c r="H190" s="577"/>
      <c r="I190" s="450" t="s">
        <v>43</v>
      </c>
      <c r="J190" s="577" t="s">
        <v>426</v>
      </c>
      <c r="K190" s="635" t="s">
        <v>73</v>
      </c>
      <c r="L190" s="578">
        <f>SUMIFS('Airport Statistics'!$G:$G,'Airport Statistics'!$D:$D,G190,'Airport Statistics'!$F:$F,K190)</f>
        <v>0</v>
      </c>
      <c r="M190" s="579">
        <f ca="1">SUMIFS('Water Use Calcs'!$V:$V,'Water Use Calcs'!$D:$D,'End Uses'!D190,'Water Use Calcs'!$G:$G,'End Uses'!G190,'Water Use Calcs'!$I:$I,'End Uses'!I190,'Water Use Calcs'!$J:$J,'End Uses'!J190)</f>
        <v>0</v>
      </c>
      <c r="N190" s="580">
        <f t="shared" ca="1" si="20"/>
        <v>0</v>
      </c>
      <c r="O190" s="581" t="str">
        <f ca="1">IFERROR(N190/R182,"-")</f>
        <v>-</v>
      </c>
      <c r="P190" s="404"/>
      <c r="Q190" s="548"/>
      <c r="R190" s="584"/>
      <c r="S190" s="585">
        <f ca="1">SUMIFS('Water Use Calcs'!$W:$W,'Water Use Calcs'!$D:$D,'End Uses'!D190,'Water Use Calcs'!$G:$G,'End Uses'!G190,'Water Use Calcs'!$I:$I,'End Uses'!I190,'Water Use Calcs'!$J:$J,'End Uses'!J190)</f>
        <v>0</v>
      </c>
      <c r="T190" s="586">
        <f t="shared" ca="1" si="12"/>
        <v>0</v>
      </c>
      <c r="U190" s="581" t="str">
        <f ca="1">IFERROR(T190/X182,"-")</f>
        <v>-</v>
      </c>
      <c r="V190" s="404"/>
      <c r="W190" s="548"/>
      <c r="X190" s="584"/>
    </row>
    <row r="191" spans="3:24" x14ac:dyDescent="0.3">
      <c r="C191" s="576"/>
      <c r="D191" s="493" t="s">
        <v>11</v>
      </c>
      <c r="E191" s="494"/>
      <c r="F191" s="577"/>
      <c r="G191" s="494" t="s">
        <v>765</v>
      </c>
      <c r="H191" s="588" t="str">
        <f>I191</f>
        <v>Other</v>
      </c>
      <c r="I191" s="455" t="s">
        <v>8</v>
      </c>
      <c r="J191" s="589" t="s">
        <v>52</v>
      </c>
      <c r="K191" s="602" t="s">
        <v>362</v>
      </c>
      <c r="L191" s="591">
        <f>SUMIFS('Airport Statistics'!$G:$G,'Airport Statistics'!$D:$D,G191,'Airport Statistics'!$F:$F,K191)</f>
        <v>0</v>
      </c>
      <c r="M191" s="592">
        <f ca="1">SUMIFS('Water Use Calcs'!$V:$V,'Water Use Calcs'!$D:$D,'End Uses'!D191,'Water Use Calcs'!$G:$G,'End Uses'!G191,'Water Use Calcs'!$I:$I,'End Uses'!I191,'Water Use Calcs'!$J:$J,'End Uses'!J191)</f>
        <v>0</v>
      </c>
      <c r="N191" s="593">
        <f t="shared" ca="1" si="20"/>
        <v>0</v>
      </c>
      <c r="O191" s="594" t="str">
        <f ca="1">IFERROR(N191/R182,"-")</f>
        <v>-</v>
      </c>
      <c r="P191" s="595">
        <f ca="1">SUMIFS($N:$N,$G:$G,G191,$I:$I,H191)</f>
        <v>0</v>
      </c>
      <c r="Q191" s="547" t="str">
        <f ca="1">IFERROR(P191/R182,"-")</f>
        <v>-</v>
      </c>
      <c r="R191" s="584"/>
      <c r="S191" s="596">
        <f ca="1">SUMIFS('Water Use Calcs'!$W:$W,'Water Use Calcs'!$D:$D,'End Uses'!D191,'Water Use Calcs'!$G:$G,'End Uses'!G191,'Water Use Calcs'!$I:$I,'End Uses'!I191,'Water Use Calcs'!$J:$J,'End Uses'!J191)</f>
        <v>0</v>
      </c>
      <c r="T191" s="597">
        <f t="shared" ca="1" si="12"/>
        <v>0</v>
      </c>
      <c r="U191" s="594" t="str">
        <f ca="1">IFERROR(T191/X182,"-")</f>
        <v>-</v>
      </c>
      <c r="V191" s="595">
        <f ca="1">SUMIFS($T:$T,$G:$G,G191,$I:$I,H191)</f>
        <v>0</v>
      </c>
      <c r="W191" s="547" t="str">
        <f ca="1">IFERROR(V191/X182,"-")</f>
        <v>-</v>
      </c>
      <c r="X191" s="584"/>
    </row>
    <row r="192" spans="3:24" s="45" customFormat="1" ht="13.2" customHeight="1" x14ac:dyDescent="0.3">
      <c r="C192" s="576"/>
      <c r="D192" s="493" t="s">
        <v>11</v>
      </c>
      <c r="E192" s="494"/>
      <c r="F192" s="577"/>
      <c r="G192" s="494" t="s">
        <v>765</v>
      </c>
      <c r="H192" s="577"/>
      <c r="I192" s="450" t="s">
        <v>8</v>
      </c>
      <c r="J192" s="577" t="s">
        <v>53</v>
      </c>
      <c r="K192" s="439" t="s">
        <v>363</v>
      </c>
      <c r="L192" s="578">
        <f>SUMIFS('Airport Statistics'!$G:$G,'Airport Statistics'!$D:$D,G192,'Airport Statistics'!$F:$F,K192)</f>
        <v>0</v>
      </c>
      <c r="M192" s="579">
        <f ca="1">SUMIFS('Water Use Calcs'!$V:$V,'Water Use Calcs'!$D:$D,'End Uses'!D192,'Water Use Calcs'!$G:$G,'End Uses'!G192,'Water Use Calcs'!$I:$I,'End Uses'!I192,'Water Use Calcs'!$J:$J,'End Uses'!J192)</f>
        <v>0</v>
      </c>
      <c r="N192" s="580">
        <f t="shared" ca="1" si="20"/>
        <v>0</v>
      </c>
      <c r="O192" s="581" t="str">
        <f ca="1">IFERROR(N192/R182,"-")</f>
        <v>-</v>
      </c>
      <c r="P192" s="404"/>
      <c r="Q192" s="404"/>
      <c r="R192" s="584"/>
      <c r="S192" s="585">
        <f ca="1">SUMIFS('Water Use Calcs'!$W:$W,'Water Use Calcs'!$D:$D,'End Uses'!D192,'Water Use Calcs'!$G:$G,'End Uses'!G192,'Water Use Calcs'!$I:$I,'End Uses'!I192,'Water Use Calcs'!$J:$J,'End Uses'!J192)</f>
        <v>0</v>
      </c>
      <c r="T192" s="586">
        <f t="shared" ca="1" si="12"/>
        <v>0</v>
      </c>
      <c r="U192" s="581" t="str">
        <f ca="1">IFERROR(T192/X182,"-")</f>
        <v>-</v>
      </c>
      <c r="V192" s="404"/>
      <c r="W192" s="404"/>
      <c r="X192" s="584"/>
    </row>
    <row r="193" spans="3:24" s="45" customFormat="1" ht="13.2" customHeight="1" thickBot="1" x14ac:dyDescent="0.35">
      <c r="C193" s="576"/>
      <c r="D193" s="493" t="s">
        <v>11</v>
      </c>
      <c r="E193" s="501"/>
      <c r="F193" s="577"/>
      <c r="G193" s="501" t="s">
        <v>765</v>
      </c>
      <c r="H193" s="116"/>
      <c r="I193" s="451" t="s">
        <v>8</v>
      </c>
      <c r="J193" s="116" t="s">
        <v>54</v>
      </c>
      <c r="K193" s="606" t="s">
        <v>364</v>
      </c>
      <c r="L193" s="607">
        <f>SUMIFS('Airport Statistics'!$G:$G,'Airport Statistics'!$D:$D,G193,'Airport Statistics'!$F:$F,K193)</f>
        <v>0</v>
      </c>
      <c r="M193" s="608">
        <f ca="1">SUMIFS('Water Use Calcs'!$V:$V,'Water Use Calcs'!$D:$D,'End Uses'!D193,'Water Use Calcs'!$G:$G,'End Uses'!G193,'Water Use Calcs'!$I:$I,'End Uses'!I193,'Water Use Calcs'!$J:$J,'End Uses'!J193)</f>
        <v>0</v>
      </c>
      <c r="N193" s="609">
        <f t="shared" ca="1" si="20"/>
        <v>0</v>
      </c>
      <c r="O193" s="616" t="str">
        <f ca="1">IFERROR(N193/R182,"-")</f>
        <v>-</v>
      </c>
      <c r="P193" s="611"/>
      <c r="Q193" s="611"/>
      <c r="R193" s="613"/>
      <c r="S193" s="614">
        <f ca="1">SUMIFS('Water Use Calcs'!$W:$W,'Water Use Calcs'!$D:$D,'End Uses'!D193,'Water Use Calcs'!$G:$G,'End Uses'!G193,'Water Use Calcs'!$I:$I,'End Uses'!I193,'Water Use Calcs'!$J:$J,'End Uses'!J193)</f>
        <v>0</v>
      </c>
      <c r="T193" s="615">
        <f t="shared" ca="1" si="12"/>
        <v>0</v>
      </c>
      <c r="U193" s="616" t="str">
        <f ca="1">IFERROR(T193/X182,"-")</f>
        <v>-</v>
      </c>
      <c r="V193" s="611"/>
      <c r="W193" s="611"/>
      <c r="X193" s="613"/>
    </row>
    <row r="194" spans="3:24" s="45" customFormat="1" ht="13.2" customHeight="1" x14ac:dyDescent="0.3">
      <c r="C194" s="564" t="str">
        <f>D194</f>
        <v>Ground Transportation</v>
      </c>
      <c r="D194" s="566" t="s">
        <v>420</v>
      </c>
      <c r="E194" s="494" t="str">
        <f>G194</f>
        <v>Ground Transportation A</v>
      </c>
      <c r="F194" s="565" t="str">
        <f>VLOOKUP(E194,'Airport Mapping'!$C$5:$D$39,2,FALSE)</f>
        <v xml:space="preserve"> </v>
      </c>
      <c r="G194" s="566" t="s">
        <v>421</v>
      </c>
      <c r="H194" s="564" t="str">
        <f>I194</f>
        <v>Restrooms</v>
      </c>
      <c r="I194" s="454" t="s">
        <v>37</v>
      </c>
      <c r="J194" s="567" t="s">
        <v>2</v>
      </c>
      <c r="K194" s="633" t="s">
        <v>117</v>
      </c>
      <c r="L194" s="568">
        <f>SUMIFS('Airport Statistics'!$G:$G,'Airport Statistics'!$D:$D,G194,'Airport Statistics'!$F:$F,K194)</f>
        <v>0</v>
      </c>
      <c r="M194" s="569">
        <f ca="1">SUMIFS('Water Use Calcs'!$V:$V,'Water Use Calcs'!$D:$D,'End Uses'!D194,'Water Use Calcs'!$G:$G,'End Uses'!G194,'Water Use Calcs'!$I:$I,'End Uses'!I194,'Water Use Calcs'!$J:$J,'End Uses'!J194)</f>
        <v>0</v>
      </c>
      <c r="N194" s="570">
        <f t="shared" ca="1" si="20"/>
        <v>0</v>
      </c>
      <c r="O194" s="571" t="str">
        <f ca="1">IFERROR(N194/R194,"-")</f>
        <v>-</v>
      </c>
      <c r="P194" s="572">
        <f ca="1">SUMIFS($N:$N,$G:$G,G194,$I:$I,H194)</f>
        <v>0</v>
      </c>
      <c r="Q194" s="546" t="str">
        <f ca="1">IFERROR(P194/R194,"-")</f>
        <v>-</v>
      </c>
      <c r="R194" s="573">
        <f ca="1">SUMIFS($N:$N,$G:$G,G194)</f>
        <v>0</v>
      </c>
      <c r="S194" s="574">
        <f ca="1">SUMIFS('Water Use Calcs'!$W:$W,'Water Use Calcs'!$D:$D,'End Uses'!D194,'Water Use Calcs'!$G:$G,'End Uses'!G194,'Water Use Calcs'!$I:$I,'End Uses'!I194,'Water Use Calcs'!$J:$J,'End Uses'!J194)</f>
        <v>0</v>
      </c>
      <c r="T194" s="575">
        <f t="shared" ca="1" si="12"/>
        <v>0</v>
      </c>
      <c r="U194" s="571" t="str">
        <f ca="1">IFERROR(T194/X194,"-")</f>
        <v>-</v>
      </c>
      <c r="V194" s="572">
        <f ca="1">SUMIFS($T:$T,$G:$G,G194,$I:$I,H194)</f>
        <v>0</v>
      </c>
      <c r="W194" s="546" t="str">
        <f ca="1">IFERROR(V194/X194,"-")</f>
        <v>-</v>
      </c>
      <c r="X194" s="573">
        <f ca="1">SUMIFS($T:$T,$G:$G,G194)</f>
        <v>0</v>
      </c>
    </row>
    <row r="195" spans="3:24" x14ac:dyDescent="0.3">
      <c r="C195" s="576"/>
      <c r="D195" s="494" t="s">
        <v>420</v>
      </c>
      <c r="E195" s="494"/>
      <c r="F195" s="577"/>
      <c r="G195" s="494" t="s">
        <v>421</v>
      </c>
      <c r="H195" s="577"/>
      <c r="I195" s="450" t="s">
        <v>37</v>
      </c>
      <c r="J195" s="577" t="s">
        <v>4</v>
      </c>
      <c r="K195" s="634" t="s">
        <v>117</v>
      </c>
      <c r="L195" s="578">
        <f>SUMIFS('Airport Statistics'!$G:$G,'Airport Statistics'!$D:$D,G195,'Airport Statistics'!$F:$F,K195)</f>
        <v>0</v>
      </c>
      <c r="M195" s="579">
        <f ca="1">SUMIFS('Water Use Calcs'!$V:$V,'Water Use Calcs'!$D:$D,'End Uses'!D195,'Water Use Calcs'!$G:$G,'End Uses'!G195,'Water Use Calcs'!$I:$I,'End Uses'!I195,'Water Use Calcs'!$J:$J,'End Uses'!J195)</f>
        <v>0</v>
      </c>
      <c r="N195" s="580">
        <f t="shared" ca="1" si="20"/>
        <v>0</v>
      </c>
      <c r="O195" s="581" t="str">
        <f ca="1">IFERROR(N195/R194,"-")</f>
        <v>-</v>
      </c>
      <c r="P195" s="582"/>
      <c r="Q195" s="583"/>
      <c r="R195" s="584"/>
      <c r="S195" s="585">
        <f ca="1">SUMIFS('Water Use Calcs'!$W:$W,'Water Use Calcs'!$D:$D,'End Uses'!D195,'Water Use Calcs'!$G:$G,'End Uses'!G195,'Water Use Calcs'!$I:$I,'End Uses'!I195,'Water Use Calcs'!$J:$J,'End Uses'!J195)</f>
        <v>0</v>
      </c>
      <c r="T195" s="586">
        <f t="shared" ca="1" si="12"/>
        <v>0</v>
      </c>
      <c r="U195" s="581" t="str">
        <f ca="1">IFERROR(T195/X194,"-")</f>
        <v>-</v>
      </c>
      <c r="V195" s="582"/>
      <c r="W195" s="583"/>
      <c r="X195" s="584"/>
    </row>
    <row r="196" spans="3:24" x14ac:dyDescent="0.3">
      <c r="C196" s="576"/>
      <c r="D196" s="494" t="s">
        <v>420</v>
      </c>
      <c r="E196" s="494"/>
      <c r="F196" s="577"/>
      <c r="G196" s="494" t="s">
        <v>421</v>
      </c>
      <c r="H196" s="577"/>
      <c r="I196" s="450" t="s">
        <v>37</v>
      </c>
      <c r="J196" s="577" t="s">
        <v>33</v>
      </c>
      <c r="K196" s="634" t="s">
        <v>117</v>
      </c>
      <c r="L196" s="578">
        <f>SUMIFS('Airport Statistics'!$G:$G,'Airport Statistics'!$D:$D,G196,'Airport Statistics'!$F:$F,K196)</f>
        <v>0</v>
      </c>
      <c r="M196" s="579">
        <f ca="1">SUMIFS('Water Use Calcs'!$V:$V,'Water Use Calcs'!$D:$D,'End Uses'!D196,'Water Use Calcs'!$G:$G,'End Uses'!G196,'Water Use Calcs'!$I:$I,'End Uses'!I196,'Water Use Calcs'!$J:$J,'End Uses'!J196)</f>
        <v>0</v>
      </c>
      <c r="N196" s="580">
        <f t="shared" ca="1" si="20"/>
        <v>0</v>
      </c>
      <c r="O196" s="581" t="str">
        <f ca="1">IFERROR(N196/R194,"-")</f>
        <v>-</v>
      </c>
      <c r="P196" s="582"/>
      <c r="Q196" s="583"/>
      <c r="R196" s="584"/>
      <c r="S196" s="585">
        <f ca="1">SUMIFS('Water Use Calcs'!$W:$W,'Water Use Calcs'!$D:$D,'End Uses'!D196,'Water Use Calcs'!$G:$G,'End Uses'!G196,'Water Use Calcs'!$I:$I,'End Uses'!I196,'Water Use Calcs'!$J:$J,'End Uses'!J196)</f>
        <v>0</v>
      </c>
      <c r="T196" s="586">
        <f t="shared" ca="1" si="12"/>
        <v>0</v>
      </c>
      <c r="U196" s="581" t="str">
        <f ca="1">IFERROR(T196/X194,"-")</f>
        <v>-</v>
      </c>
      <c r="V196" s="582"/>
      <c r="W196" s="583"/>
      <c r="X196" s="584"/>
    </row>
    <row r="197" spans="3:24" x14ac:dyDescent="0.3">
      <c r="C197" s="576"/>
      <c r="D197" s="494" t="s">
        <v>420</v>
      </c>
      <c r="E197" s="494"/>
      <c r="F197" s="577"/>
      <c r="G197" s="494" t="s">
        <v>421</v>
      </c>
      <c r="H197" s="622" t="str">
        <f>I197</f>
        <v>Break rooms</v>
      </c>
      <c r="I197" s="623" t="s">
        <v>5</v>
      </c>
      <c r="J197" s="624" t="s">
        <v>33</v>
      </c>
      <c r="K197" s="625" t="s">
        <v>6</v>
      </c>
      <c r="L197" s="496">
        <f>SUMIFS('Airport Statistics'!$G:$G,'Airport Statistics'!$D:$D,G197,'Airport Statistics'!$F:$F,K197)</f>
        <v>0</v>
      </c>
      <c r="M197" s="626">
        <f ca="1">SUMIFS('Water Use Calcs'!$V:$V,'Water Use Calcs'!$D:$D,'End Uses'!D197,'Water Use Calcs'!$G:$G,'End Uses'!G197,'Water Use Calcs'!$I:$I,'End Uses'!I197,'Water Use Calcs'!$J:$J,'End Uses'!J197)</f>
        <v>0</v>
      </c>
      <c r="N197" s="627">
        <f t="shared" ca="1" si="20"/>
        <v>0</v>
      </c>
      <c r="O197" s="628" t="str">
        <f ca="1">IFERROR(N197/R194,"-")</f>
        <v>-</v>
      </c>
      <c r="P197" s="629">
        <f ca="1">SUMIFS($N:$N,$G:$G,G197,$I:$I,H197)</f>
        <v>0</v>
      </c>
      <c r="Q197" s="291" t="str">
        <f ca="1">IFERROR(P197/R194,"-")</f>
        <v>-</v>
      </c>
      <c r="R197" s="584"/>
      <c r="S197" s="630">
        <f ca="1">SUMIFS('Water Use Calcs'!$W:$W,'Water Use Calcs'!$D:$D,'End Uses'!D197,'Water Use Calcs'!$G:$G,'End Uses'!G197,'Water Use Calcs'!$I:$I,'End Uses'!I197,'Water Use Calcs'!$J:$J,'End Uses'!J197)</f>
        <v>0</v>
      </c>
      <c r="T197" s="631">
        <f t="shared" ca="1" si="12"/>
        <v>0</v>
      </c>
      <c r="U197" s="628" t="str">
        <f ca="1">IFERROR(T197/X194,"-")</f>
        <v>-</v>
      </c>
      <c r="V197" s="629">
        <f ca="1">SUMIFS($T:$T,$G:$G,G197,$I:$I,H197)</f>
        <v>0</v>
      </c>
      <c r="W197" s="291" t="str">
        <f ca="1">IFERROR(V197/X194,"-")</f>
        <v>-</v>
      </c>
      <c r="X197" s="584"/>
    </row>
    <row r="198" spans="3:24" x14ac:dyDescent="0.3">
      <c r="C198" s="576"/>
      <c r="D198" s="494" t="s">
        <v>420</v>
      </c>
      <c r="E198" s="494"/>
      <c r="F198" s="577"/>
      <c r="G198" s="494" t="s">
        <v>421</v>
      </c>
      <c r="H198" s="622" t="str">
        <f>I198</f>
        <v>Landscaping</v>
      </c>
      <c r="I198" s="623" t="s">
        <v>39</v>
      </c>
      <c r="J198" s="624" t="s">
        <v>42</v>
      </c>
      <c r="K198" s="20" t="s">
        <v>120</v>
      </c>
      <c r="L198" s="496">
        <f>SUMIFS('Airport Statistics'!$G:$G,'Airport Statistics'!$D:$D,G198,'Airport Statistics'!$F:$F,K198)</f>
        <v>0</v>
      </c>
      <c r="M198" s="626">
        <f ca="1">SUMIFS('Water Use Calcs'!$V:$V,'Water Use Calcs'!$D:$D,'End Uses'!D198,'Water Use Calcs'!$G:$G,'End Uses'!G198,'Water Use Calcs'!$I:$I,'End Uses'!I198,'Water Use Calcs'!$J:$J,'End Uses'!J198)</f>
        <v>0</v>
      </c>
      <c r="N198" s="627">
        <f t="shared" ca="1" si="20"/>
        <v>0</v>
      </c>
      <c r="O198" s="628" t="str">
        <f ca="1">IFERROR(N198/R194,"-")</f>
        <v>-</v>
      </c>
      <c r="P198" s="629">
        <f ca="1">SUMIFS($N:$N,$G:$G,G198,$I:$I,H198)</f>
        <v>0</v>
      </c>
      <c r="Q198" s="291" t="str">
        <f ca="1">IFERROR(P198/R194,"-")</f>
        <v>-</v>
      </c>
      <c r="R198" s="584"/>
      <c r="S198" s="630">
        <f ca="1">SUMIFS('Water Use Calcs'!$W:$W,'Water Use Calcs'!$D:$D,'End Uses'!D198,'Water Use Calcs'!$G:$G,'End Uses'!G198,'Water Use Calcs'!$I:$I,'End Uses'!I198,'Water Use Calcs'!$J:$J,'End Uses'!J198)</f>
        <v>0</v>
      </c>
      <c r="T198" s="631">
        <f t="shared" ca="1" si="12"/>
        <v>0</v>
      </c>
      <c r="U198" s="628" t="str">
        <f ca="1">IFERROR(T198/X194,"-")</f>
        <v>-</v>
      </c>
      <c r="V198" s="629">
        <f ca="1">SUMIFS($T:$T,$G:$G,G198,$I:$I,H198)</f>
        <v>0</v>
      </c>
      <c r="W198" s="291" t="str">
        <f ca="1">IFERROR(V198/X194,"-")</f>
        <v>-</v>
      </c>
      <c r="X198" s="584"/>
    </row>
    <row r="199" spans="3:24" x14ac:dyDescent="0.3">
      <c r="C199" s="576"/>
      <c r="D199" s="494" t="s">
        <v>420</v>
      </c>
      <c r="E199" s="494"/>
      <c r="F199" s="577"/>
      <c r="G199" s="494" t="s">
        <v>421</v>
      </c>
      <c r="H199" s="588" t="str">
        <f>I199</f>
        <v>Maintenance</v>
      </c>
      <c r="I199" s="455" t="s">
        <v>43</v>
      </c>
      <c r="J199" s="17" t="s">
        <v>111</v>
      </c>
      <c r="K199" s="599" t="s">
        <v>424</v>
      </c>
      <c r="L199" s="591">
        <f>SUMIFS('Airport Statistics'!$G:$G,'Airport Statistics'!$D:$D,G199,'Airport Statistics'!$F:$F,K199)</f>
        <v>0</v>
      </c>
      <c r="M199" s="592">
        <f ca="1">SUMIFS('Water Use Calcs'!$V:$V,'Water Use Calcs'!$D:$D,'End Uses'!D199,'Water Use Calcs'!$G:$G,'End Uses'!G199,'Water Use Calcs'!$I:$I,'End Uses'!I199,'Water Use Calcs'!$J:$J,'End Uses'!J199)</f>
        <v>0</v>
      </c>
      <c r="N199" s="593">
        <f t="shared" ca="1" si="20"/>
        <v>0</v>
      </c>
      <c r="O199" s="594" t="str">
        <f ca="1">IFERROR(N199/R194,"-")</f>
        <v>-</v>
      </c>
      <c r="P199" s="595">
        <f ca="1">SUMIFS($N:$N,$G:$G,G199,$I:$I,H199)</f>
        <v>0</v>
      </c>
      <c r="Q199" s="547" t="str">
        <f ca="1">IFERROR(P199/R194,"-")</f>
        <v>-</v>
      </c>
      <c r="R199" s="584"/>
      <c r="S199" s="596">
        <f ca="1">SUMIFS('Water Use Calcs'!$W:$W,'Water Use Calcs'!$D:$D,'End Uses'!D199,'Water Use Calcs'!$G:$G,'End Uses'!G199,'Water Use Calcs'!$I:$I,'End Uses'!I199,'Water Use Calcs'!$J:$J,'End Uses'!J199)</f>
        <v>0</v>
      </c>
      <c r="T199" s="597">
        <f t="shared" ca="1" si="12"/>
        <v>0</v>
      </c>
      <c r="U199" s="594" t="str">
        <f ca="1">IFERROR(T199/X194,"-")</f>
        <v>-</v>
      </c>
      <c r="V199" s="595">
        <f ca="1">SUMIFS($T:$T,$G:$G,G199,$I:$I,H199)</f>
        <v>0</v>
      </c>
      <c r="W199" s="547" t="str">
        <f ca="1">IFERROR(V199/X194,"-")</f>
        <v>-</v>
      </c>
      <c r="X199" s="584"/>
    </row>
    <row r="200" spans="3:24" x14ac:dyDescent="0.3">
      <c r="C200" s="576"/>
      <c r="D200" s="494" t="s">
        <v>420</v>
      </c>
      <c r="E200" s="494"/>
      <c r="F200" s="577"/>
      <c r="G200" s="494" t="s">
        <v>421</v>
      </c>
      <c r="H200" s="577"/>
      <c r="I200" s="450" t="s">
        <v>43</v>
      </c>
      <c r="J200" s="18" t="s">
        <v>7</v>
      </c>
      <c r="K200" s="183" t="s">
        <v>365</v>
      </c>
      <c r="L200" s="600"/>
      <c r="M200" s="601">
        <f ca="1">SUMIFS('Water Use Calcs'!$V:$V,'Water Use Calcs'!$D:$D,'End Uses'!D200,'Water Use Calcs'!$G:$G,'End Uses'!G200,'Water Use Calcs'!$I:$I,'End Uses'!I200,'Water Use Calcs'!$J:$J,'End Uses'!J200)</f>
        <v>0</v>
      </c>
      <c r="N200" s="580">
        <f ca="1">M200</f>
        <v>0</v>
      </c>
      <c r="O200" s="581" t="str">
        <f ca="1">IFERROR(N200/R194,"-")</f>
        <v>-</v>
      </c>
      <c r="P200" s="404"/>
      <c r="Q200" s="548"/>
      <c r="R200" s="584"/>
      <c r="S200" s="585">
        <f ca="1">SUMIFS('Water Use Calcs'!$W:$W,'Water Use Calcs'!$D:$D,'End Uses'!D200,'Water Use Calcs'!$G:$G,'End Uses'!G200,'Water Use Calcs'!$I:$I,'End Uses'!I200,'Water Use Calcs'!$J:$J,'End Uses'!J200)</f>
        <v>0</v>
      </c>
      <c r="T200" s="586">
        <f ca="1">S200</f>
        <v>0</v>
      </c>
      <c r="U200" s="581" t="str">
        <f ca="1">IFERROR(T200/X194,"-")</f>
        <v>-</v>
      </c>
      <c r="V200" s="404"/>
      <c r="W200" s="548"/>
      <c r="X200" s="584"/>
    </row>
    <row r="201" spans="3:24" x14ac:dyDescent="0.3">
      <c r="C201" s="576"/>
      <c r="D201" s="494" t="s">
        <v>420</v>
      </c>
      <c r="E201" s="494"/>
      <c r="F201" s="577"/>
      <c r="G201" s="494" t="s">
        <v>421</v>
      </c>
      <c r="H201" s="577"/>
      <c r="I201" s="450" t="s">
        <v>43</v>
      </c>
      <c r="J201" s="577" t="s">
        <v>9</v>
      </c>
      <c r="K201" s="635" t="s">
        <v>117</v>
      </c>
      <c r="L201" s="578">
        <f>SUMIFS('Airport Statistics'!$G:$G,'Airport Statistics'!$D:$D,G201,'Airport Statistics'!$F:$F,K201)</f>
        <v>0</v>
      </c>
      <c r="M201" s="579">
        <f ca="1">SUMIFS('Water Use Calcs'!$V:$V,'Water Use Calcs'!$D:$D,'End Uses'!D201,'Water Use Calcs'!$G:$G,'End Uses'!G201,'Water Use Calcs'!$I:$I,'End Uses'!I201,'Water Use Calcs'!$J:$J,'End Uses'!J201)</f>
        <v>0</v>
      </c>
      <c r="N201" s="580">
        <f t="shared" ca="1" si="20"/>
        <v>0</v>
      </c>
      <c r="O201" s="581" t="str">
        <f ca="1">IFERROR(N201/R194,"-")</f>
        <v>-</v>
      </c>
      <c r="P201" s="582"/>
      <c r="Q201" s="548"/>
      <c r="R201" s="584"/>
      <c r="S201" s="585">
        <f ca="1">SUMIFS('Water Use Calcs'!$W:$W,'Water Use Calcs'!$D:$D,'End Uses'!D201,'Water Use Calcs'!$G:$G,'End Uses'!G201,'Water Use Calcs'!$I:$I,'End Uses'!I201,'Water Use Calcs'!$J:$J,'End Uses'!J201)</f>
        <v>0</v>
      </c>
      <c r="T201" s="586">
        <f t="shared" ca="1" si="12"/>
        <v>0</v>
      </c>
      <c r="U201" s="581" t="str">
        <f ca="1">IFERROR(T201/X194,"-")</f>
        <v>-</v>
      </c>
      <c r="V201" s="582"/>
      <c r="W201" s="548"/>
      <c r="X201" s="584"/>
    </row>
    <row r="202" spans="3:24" x14ac:dyDescent="0.3">
      <c r="C202" s="576"/>
      <c r="D202" s="494" t="s">
        <v>420</v>
      </c>
      <c r="E202" s="494"/>
      <c r="F202" s="577"/>
      <c r="G202" s="494" t="s">
        <v>421</v>
      </c>
      <c r="H202" s="577"/>
      <c r="I202" s="450" t="s">
        <v>43</v>
      </c>
      <c r="J202" s="577" t="s">
        <v>426</v>
      </c>
      <c r="K202" s="635" t="s">
        <v>117</v>
      </c>
      <c r="L202" s="578">
        <f>SUMIFS('Airport Statistics'!$G:$G,'Airport Statistics'!$D:$D,G202,'Airport Statistics'!$F:$F,K202)</f>
        <v>0</v>
      </c>
      <c r="M202" s="579">
        <f ca="1">SUMIFS('Water Use Calcs'!$V:$V,'Water Use Calcs'!$D:$D,'End Uses'!D202,'Water Use Calcs'!$G:$G,'End Uses'!G202,'Water Use Calcs'!$I:$I,'End Uses'!I202,'Water Use Calcs'!$J:$J,'End Uses'!J202)</f>
        <v>0</v>
      </c>
      <c r="N202" s="580">
        <f t="shared" ca="1" si="20"/>
        <v>0</v>
      </c>
      <c r="O202" s="581" t="str">
        <f ca="1">IFERROR(N202/R194,"-")</f>
        <v>-</v>
      </c>
      <c r="P202" s="404"/>
      <c r="Q202" s="548"/>
      <c r="R202" s="584"/>
      <c r="S202" s="585">
        <f ca="1">SUMIFS('Water Use Calcs'!$W:$W,'Water Use Calcs'!$D:$D,'End Uses'!D202,'Water Use Calcs'!$G:$G,'End Uses'!G202,'Water Use Calcs'!$I:$I,'End Uses'!I202,'Water Use Calcs'!$J:$J,'End Uses'!J202)</f>
        <v>0</v>
      </c>
      <c r="T202" s="586">
        <f t="shared" ca="1" si="12"/>
        <v>0</v>
      </c>
      <c r="U202" s="581" t="str">
        <f ca="1">IFERROR(T202/X194,"-")</f>
        <v>-</v>
      </c>
      <c r="V202" s="404"/>
      <c r="W202" s="548"/>
      <c r="X202" s="584"/>
    </row>
    <row r="203" spans="3:24" x14ac:dyDescent="0.3">
      <c r="C203" s="576"/>
      <c r="D203" s="494" t="s">
        <v>420</v>
      </c>
      <c r="E203" s="494"/>
      <c r="F203" s="577"/>
      <c r="G203" s="494" t="s">
        <v>421</v>
      </c>
      <c r="H203" s="588" t="str">
        <f>I203</f>
        <v>Other</v>
      </c>
      <c r="I203" s="455" t="s">
        <v>8</v>
      </c>
      <c r="J203" s="589" t="s">
        <v>52</v>
      </c>
      <c r="K203" s="602" t="s">
        <v>362</v>
      </c>
      <c r="L203" s="591">
        <f>SUMIFS('Airport Statistics'!$G:$G,'Airport Statistics'!$D:$D,G203,'Airport Statistics'!$F:$F,K203)</f>
        <v>0</v>
      </c>
      <c r="M203" s="592">
        <f ca="1">SUMIFS('Water Use Calcs'!$V:$V,'Water Use Calcs'!$D:$D,'End Uses'!D203,'Water Use Calcs'!$G:$G,'End Uses'!G203,'Water Use Calcs'!$I:$I,'End Uses'!I203,'Water Use Calcs'!$J:$J,'End Uses'!J203)</f>
        <v>0</v>
      </c>
      <c r="N203" s="593">
        <f t="shared" ca="1" si="20"/>
        <v>0</v>
      </c>
      <c r="O203" s="594" t="str">
        <f ca="1">IFERROR(N203/R194,"-")</f>
        <v>-</v>
      </c>
      <c r="P203" s="595">
        <f ca="1">SUMIFS($N:$N,$G:$G,G203,$I:$I,H203)</f>
        <v>0</v>
      </c>
      <c r="Q203" s="547" t="str">
        <f ca="1">IFERROR(P203/R194,"-")</f>
        <v>-</v>
      </c>
      <c r="R203" s="584"/>
      <c r="S203" s="596">
        <f ca="1">SUMIFS('Water Use Calcs'!$W:$W,'Water Use Calcs'!$D:$D,'End Uses'!D203,'Water Use Calcs'!$G:$G,'End Uses'!G203,'Water Use Calcs'!$I:$I,'End Uses'!I203,'Water Use Calcs'!$J:$J,'End Uses'!J203)</f>
        <v>0</v>
      </c>
      <c r="T203" s="597">
        <f t="shared" ca="1" si="12"/>
        <v>0</v>
      </c>
      <c r="U203" s="594" t="str">
        <f ca="1">IFERROR(T203/X194,"-")</f>
        <v>-</v>
      </c>
      <c r="V203" s="595">
        <f ca="1">SUMIFS($T:$T,$G:$G,G203,$I:$I,H203)</f>
        <v>0</v>
      </c>
      <c r="W203" s="547" t="str">
        <f ca="1">IFERROR(V203/X194,"-")</f>
        <v>-</v>
      </c>
      <c r="X203" s="584"/>
    </row>
    <row r="204" spans="3:24" s="45" customFormat="1" ht="13.2" customHeight="1" x14ac:dyDescent="0.3">
      <c r="C204" s="576"/>
      <c r="D204" s="494" t="s">
        <v>420</v>
      </c>
      <c r="E204" s="494"/>
      <c r="F204" s="577"/>
      <c r="G204" s="494" t="s">
        <v>421</v>
      </c>
      <c r="H204" s="577"/>
      <c r="I204" s="450" t="s">
        <v>8</v>
      </c>
      <c r="J204" s="577" t="s">
        <v>53</v>
      </c>
      <c r="K204" s="439" t="s">
        <v>363</v>
      </c>
      <c r="L204" s="578">
        <f>SUMIFS('Airport Statistics'!$G:$G,'Airport Statistics'!$D:$D,G204,'Airport Statistics'!$F:$F,K204)</f>
        <v>0</v>
      </c>
      <c r="M204" s="579">
        <f ca="1">SUMIFS('Water Use Calcs'!$V:$V,'Water Use Calcs'!$D:$D,'End Uses'!D204,'Water Use Calcs'!$G:$G,'End Uses'!G204,'Water Use Calcs'!$I:$I,'End Uses'!I204,'Water Use Calcs'!$J:$J,'End Uses'!J204)</f>
        <v>0</v>
      </c>
      <c r="N204" s="580">
        <f t="shared" ca="1" si="20"/>
        <v>0</v>
      </c>
      <c r="O204" s="581" t="str">
        <f ca="1">IFERROR(N204/R194,"-")</f>
        <v>-</v>
      </c>
      <c r="P204" s="404"/>
      <c r="Q204" s="404"/>
      <c r="R204" s="584"/>
      <c r="S204" s="585">
        <f ca="1">SUMIFS('Water Use Calcs'!$W:$W,'Water Use Calcs'!$D:$D,'End Uses'!D204,'Water Use Calcs'!$G:$G,'End Uses'!G204,'Water Use Calcs'!$I:$I,'End Uses'!I204,'Water Use Calcs'!$J:$J,'End Uses'!J204)</f>
        <v>0</v>
      </c>
      <c r="T204" s="586">
        <f t="shared" ca="1" si="12"/>
        <v>0</v>
      </c>
      <c r="U204" s="581" t="str">
        <f ca="1">IFERROR(T204/X194,"-")</f>
        <v>-</v>
      </c>
      <c r="V204" s="404"/>
      <c r="W204" s="404"/>
      <c r="X204" s="584"/>
    </row>
    <row r="205" spans="3:24" s="45" customFormat="1" ht="13.2" customHeight="1" thickBot="1" x14ac:dyDescent="0.35">
      <c r="C205" s="576"/>
      <c r="D205" s="494" t="s">
        <v>420</v>
      </c>
      <c r="E205" s="501"/>
      <c r="F205" s="577"/>
      <c r="G205" s="501" t="s">
        <v>421</v>
      </c>
      <c r="H205" s="116"/>
      <c r="I205" s="451" t="s">
        <v>8</v>
      </c>
      <c r="J205" s="116" t="s">
        <v>54</v>
      </c>
      <c r="K205" s="606" t="s">
        <v>364</v>
      </c>
      <c r="L205" s="607">
        <f>SUMIFS('Airport Statistics'!$G:$G,'Airport Statistics'!$D:$D,G205,'Airport Statistics'!$F:$F,K205)</f>
        <v>0</v>
      </c>
      <c r="M205" s="608">
        <f ca="1">SUMIFS('Water Use Calcs'!$V:$V,'Water Use Calcs'!$D:$D,'End Uses'!D205,'Water Use Calcs'!$G:$G,'End Uses'!G205,'Water Use Calcs'!$I:$I,'End Uses'!I205,'Water Use Calcs'!$J:$J,'End Uses'!J205)</f>
        <v>0</v>
      </c>
      <c r="N205" s="609">
        <f t="shared" ca="1" si="20"/>
        <v>0</v>
      </c>
      <c r="O205" s="616" t="str">
        <f ca="1">IFERROR(N205/R194,"-")</f>
        <v>-</v>
      </c>
      <c r="P205" s="611"/>
      <c r="Q205" s="611"/>
      <c r="R205" s="613"/>
      <c r="S205" s="614">
        <f ca="1">SUMIFS('Water Use Calcs'!$W:$W,'Water Use Calcs'!$D:$D,'End Uses'!D205,'Water Use Calcs'!$G:$G,'End Uses'!G205,'Water Use Calcs'!$I:$I,'End Uses'!I205,'Water Use Calcs'!$J:$J,'End Uses'!J205)</f>
        <v>0</v>
      </c>
      <c r="T205" s="615">
        <f t="shared" ca="1" si="12"/>
        <v>0</v>
      </c>
      <c r="U205" s="616" t="str">
        <f ca="1">IFERROR(T205/X194,"-")</f>
        <v>-</v>
      </c>
      <c r="V205" s="611"/>
      <c r="W205" s="611"/>
      <c r="X205" s="613"/>
    </row>
    <row r="206" spans="3:24" s="45" customFormat="1" ht="13.2" customHeight="1" x14ac:dyDescent="0.3">
      <c r="C206" s="576"/>
      <c r="D206" s="494" t="s">
        <v>420</v>
      </c>
      <c r="E206" s="494" t="str">
        <f>G206</f>
        <v>Ground Transportation B</v>
      </c>
      <c r="F206" s="565" t="str">
        <f>VLOOKUP(E206,'Airport Mapping'!$C$5:$D$39,2,FALSE)</f>
        <v xml:space="preserve"> </v>
      </c>
      <c r="G206" s="566" t="s">
        <v>422</v>
      </c>
      <c r="H206" s="564" t="str">
        <f>I206</f>
        <v>Restrooms</v>
      </c>
      <c r="I206" s="454" t="s">
        <v>37</v>
      </c>
      <c r="J206" s="567" t="s">
        <v>2</v>
      </c>
      <c r="K206" s="633" t="s">
        <v>117</v>
      </c>
      <c r="L206" s="568">
        <f>SUMIFS('Airport Statistics'!$G:$G,'Airport Statistics'!$D:$D,G206,'Airport Statistics'!$F:$F,K206)</f>
        <v>0</v>
      </c>
      <c r="M206" s="569">
        <f ca="1">SUMIFS('Water Use Calcs'!$V:$V,'Water Use Calcs'!$D:$D,'End Uses'!D206,'Water Use Calcs'!$G:$G,'End Uses'!G206,'Water Use Calcs'!$I:$I,'End Uses'!I206,'Water Use Calcs'!$J:$J,'End Uses'!J206)</f>
        <v>0</v>
      </c>
      <c r="N206" s="570">
        <f t="shared" ca="1" si="2"/>
        <v>0</v>
      </c>
      <c r="O206" s="571" t="str">
        <f ca="1">IFERROR(N206/R206,"-")</f>
        <v>-</v>
      </c>
      <c r="P206" s="572">
        <f ca="1">SUMIFS($N:$N,$G:$G,G206,$I:$I,H206)</f>
        <v>0</v>
      </c>
      <c r="Q206" s="546" t="str">
        <f ca="1">IFERROR(P206/R206,"-")</f>
        <v>-</v>
      </c>
      <c r="R206" s="573">
        <f ca="1">SUMIFS($N:$N,$G:$G,G206)</f>
        <v>0</v>
      </c>
      <c r="S206" s="574">
        <f ca="1">SUMIFS('Water Use Calcs'!$W:$W,'Water Use Calcs'!$D:$D,'End Uses'!D206,'Water Use Calcs'!$G:$G,'End Uses'!G206,'Water Use Calcs'!$I:$I,'End Uses'!I206,'Water Use Calcs'!$J:$J,'End Uses'!J206)</f>
        <v>0</v>
      </c>
      <c r="T206" s="575">
        <f t="shared" ca="1" si="12"/>
        <v>0</v>
      </c>
      <c r="U206" s="571" t="str">
        <f ca="1">IFERROR(T206/X206,"-")</f>
        <v>-</v>
      </c>
      <c r="V206" s="572">
        <f ca="1">SUMIFS($T:$T,$G:$G,G206,$I:$I,H206)</f>
        <v>0</v>
      </c>
      <c r="W206" s="546" t="str">
        <f ca="1">IFERROR(V206/X206,"-")</f>
        <v>-</v>
      </c>
      <c r="X206" s="573">
        <f ca="1">SUMIFS($T:$T,$G:$G,G206)</f>
        <v>0</v>
      </c>
    </row>
    <row r="207" spans="3:24" x14ac:dyDescent="0.3">
      <c r="C207" s="576"/>
      <c r="D207" s="494" t="s">
        <v>420</v>
      </c>
      <c r="E207" s="494"/>
      <c r="F207" s="577"/>
      <c r="G207" s="494" t="s">
        <v>422</v>
      </c>
      <c r="H207" s="577"/>
      <c r="I207" s="450" t="s">
        <v>37</v>
      </c>
      <c r="J207" s="577" t="s">
        <v>4</v>
      </c>
      <c r="K207" s="634" t="s">
        <v>117</v>
      </c>
      <c r="L207" s="578">
        <f>SUMIFS('Airport Statistics'!$G:$G,'Airport Statistics'!$D:$D,G207,'Airport Statistics'!$F:$F,K207)</f>
        <v>0</v>
      </c>
      <c r="M207" s="579">
        <f ca="1">SUMIFS('Water Use Calcs'!$V:$V,'Water Use Calcs'!$D:$D,'End Uses'!D207,'Water Use Calcs'!$G:$G,'End Uses'!G207,'Water Use Calcs'!$I:$I,'End Uses'!I207,'Water Use Calcs'!$J:$J,'End Uses'!J207)</f>
        <v>0</v>
      </c>
      <c r="N207" s="580">
        <f t="shared" ca="1" si="2"/>
        <v>0</v>
      </c>
      <c r="O207" s="581" t="str">
        <f ca="1">IFERROR(N207/R206,"-")</f>
        <v>-</v>
      </c>
      <c r="P207" s="582"/>
      <c r="Q207" s="583"/>
      <c r="R207" s="584"/>
      <c r="S207" s="585">
        <f ca="1">SUMIFS('Water Use Calcs'!$W:$W,'Water Use Calcs'!$D:$D,'End Uses'!D207,'Water Use Calcs'!$G:$G,'End Uses'!G207,'Water Use Calcs'!$I:$I,'End Uses'!I207,'Water Use Calcs'!$J:$J,'End Uses'!J207)</f>
        <v>0</v>
      </c>
      <c r="T207" s="586">
        <f t="shared" ca="1" si="12"/>
        <v>0</v>
      </c>
      <c r="U207" s="581" t="str">
        <f ca="1">IFERROR(T207/X206,"-")</f>
        <v>-</v>
      </c>
      <c r="V207" s="582"/>
      <c r="W207" s="583"/>
      <c r="X207" s="584"/>
    </row>
    <row r="208" spans="3:24" x14ac:dyDescent="0.3">
      <c r="C208" s="576"/>
      <c r="D208" s="494" t="s">
        <v>420</v>
      </c>
      <c r="E208" s="494"/>
      <c r="F208" s="577"/>
      <c r="G208" s="494" t="s">
        <v>422</v>
      </c>
      <c r="H208" s="577"/>
      <c r="I208" s="450" t="s">
        <v>37</v>
      </c>
      <c r="J208" s="577" t="s">
        <v>33</v>
      </c>
      <c r="K208" s="634" t="s">
        <v>117</v>
      </c>
      <c r="L208" s="578">
        <f>SUMIFS('Airport Statistics'!$G:$G,'Airport Statistics'!$D:$D,G208,'Airport Statistics'!$F:$F,K208)</f>
        <v>0</v>
      </c>
      <c r="M208" s="579">
        <f ca="1">SUMIFS('Water Use Calcs'!$V:$V,'Water Use Calcs'!$D:$D,'End Uses'!D208,'Water Use Calcs'!$G:$G,'End Uses'!G208,'Water Use Calcs'!$I:$I,'End Uses'!I208,'Water Use Calcs'!$J:$J,'End Uses'!J208)</f>
        <v>0</v>
      </c>
      <c r="N208" s="580">
        <f t="shared" ca="1" si="2"/>
        <v>0</v>
      </c>
      <c r="O208" s="581" t="str">
        <f ca="1">IFERROR(N208/R206,"-")</f>
        <v>-</v>
      </c>
      <c r="P208" s="582"/>
      <c r="Q208" s="583"/>
      <c r="R208" s="584"/>
      <c r="S208" s="585">
        <f ca="1">SUMIFS('Water Use Calcs'!$W:$W,'Water Use Calcs'!$D:$D,'End Uses'!D208,'Water Use Calcs'!$G:$G,'End Uses'!G208,'Water Use Calcs'!$I:$I,'End Uses'!I208,'Water Use Calcs'!$J:$J,'End Uses'!J208)</f>
        <v>0</v>
      </c>
      <c r="T208" s="586">
        <f t="shared" ca="1" si="12"/>
        <v>0</v>
      </c>
      <c r="U208" s="581" t="str">
        <f ca="1">IFERROR(T208/X206,"-")</f>
        <v>-</v>
      </c>
      <c r="V208" s="582"/>
      <c r="W208" s="583"/>
      <c r="X208" s="584"/>
    </row>
    <row r="209" spans="3:24" x14ac:dyDescent="0.3">
      <c r="C209" s="576"/>
      <c r="D209" s="494" t="s">
        <v>420</v>
      </c>
      <c r="E209" s="494"/>
      <c r="F209" s="577"/>
      <c r="G209" s="494" t="s">
        <v>422</v>
      </c>
      <c r="H209" s="622" t="str">
        <f>I209</f>
        <v>Break rooms</v>
      </c>
      <c r="I209" s="623" t="s">
        <v>5</v>
      </c>
      <c r="J209" s="624" t="s">
        <v>33</v>
      </c>
      <c r="K209" s="625" t="s">
        <v>6</v>
      </c>
      <c r="L209" s="496">
        <f>SUMIFS('Airport Statistics'!$G:$G,'Airport Statistics'!$D:$D,G209,'Airport Statistics'!$F:$F,K209)</f>
        <v>0</v>
      </c>
      <c r="M209" s="626">
        <f ca="1">SUMIFS('Water Use Calcs'!$V:$V,'Water Use Calcs'!$D:$D,'End Uses'!D209,'Water Use Calcs'!$G:$G,'End Uses'!G209,'Water Use Calcs'!$I:$I,'End Uses'!I209,'Water Use Calcs'!$J:$J,'End Uses'!J209)</f>
        <v>0</v>
      </c>
      <c r="N209" s="627">
        <f t="shared" ca="1" si="2"/>
        <v>0</v>
      </c>
      <c r="O209" s="628" t="str">
        <f ca="1">IFERROR(N209/R206,"-")</f>
        <v>-</v>
      </c>
      <c r="P209" s="629">
        <f ca="1">SUMIFS($N:$N,$G:$G,G209,$I:$I,H209)</f>
        <v>0</v>
      </c>
      <c r="Q209" s="291" t="str">
        <f ca="1">IFERROR(P209/R206,"-")</f>
        <v>-</v>
      </c>
      <c r="R209" s="584"/>
      <c r="S209" s="630">
        <f ca="1">SUMIFS('Water Use Calcs'!$W:$W,'Water Use Calcs'!$D:$D,'End Uses'!D209,'Water Use Calcs'!$G:$G,'End Uses'!G209,'Water Use Calcs'!$I:$I,'End Uses'!I209,'Water Use Calcs'!$J:$J,'End Uses'!J209)</f>
        <v>0</v>
      </c>
      <c r="T209" s="631">
        <f t="shared" ca="1" si="12"/>
        <v>0</v>
      </c>
      <c r="U209" s="628" t="str">
        <f ca="1">IFERROR(T209/X206,"-")</f>
        <v>-</v>
      </c>
      <c r="V209" s="629">
        <f ca="1">SUMIFS($T:$T,$G:$G,G209,$I:$I,H209)</f>
        <v>0</v>
      </c>
      <c r="W209" s="291" t="str">
        <f ca="1">IFERROR(V209/X206,"-")</f>
        <v>-</v>
      </c>
      <c r="X209" s="584"/>
    </row>
    <row r="210" spans="3:24" x14ac:dyDescent="0.3">
      <c r="C210" s="576"/>
      <c r="D210" s="494" t="s">
        <v>420</v>
      </c>
      <c r="E210" s="494"/>
      <c r="F210" s="577"/>
      <c r="G210" s="494" t="s">
        <v>422</v>
      </c>
      <c r="H210" s="622" t="str">
        <f>I210</f>
        <v>Landscaping</v>
      </c>
      <c r="I210" s="623" t="s">
        <v>39</v>
      </c>
      <c r="J210" s="624" t="s">
        <v>42</v>
      </c>
      <c r="K210" s="20" t="s">
        <v>120</v>
      </c>
      <c r="L210" s="496">
        <f>SUMIFS('Airport Statistics'!$G:$G,'Airport Statistics'!$D:$D,G210,'Airport Statistics'!$F:$F,K210)</f>
        <v>0</v>
      </c>
      <c r="M210" s="626">
        <f ca="1">SUMIFS('Water Use Calcs'!$V:$V,'Water Use Calcs'!$D:$D,'End Uses'!D210,'Water Use Calcs'!$G:$G,'End Uses'!G210,'Water Use Calcs'!$I:$I,'End Uses'!I210,'Water Use Calcs'!$J:$J,'End Uses'!J210)</f>
        <v>0</v>
      </c>
      <c r="N210" s="627">
        <f t="shared" ca="1" si="2"/>
        <v>0</v>
      </c>
      <c r="O210" s="628" t="str">
        <f ca="1">IFERROR(N210/R206,"-")</f>
        <v>-</v>
      </c>
      <c r="P210" s="629">
        <f ca="1">SUMIFS($N:$N,$G:$G,G210,$I:$I,H210)</f>
        <v>0</v>
      </c>
      <c r="Q210" s="291" t="str">
        <f ca="1">IFERROR(P210/R206,"-")</f>
        <v>-</v>
      </c>
      <c r="R210" s="584"/>
      <c r="S210" s="630">
        <f ca="1">SUMIFS('Water Use Calcs'!$W:$W,'Water Use Calcs'!$D:$D,'End Uses'!D210,'Water Use Calcs'!$G:$G,'End Uses'!G210,'Water Use Calcs'!$I:$I,'End Uses'!I210,'Water Use Calcs'!$J:$J,'End Uses'!J210)</f>
        <v>0</v>
      </c>
      <c r="T210" s="631">
        <f t="shared" ca="1" si="12"/>
        <v>0</v>
      </c>
      <c r="U210" s="628" t="str">
        <f ca="1">IFERROR(T210/X206,"-")</f>
        <v>-</v>
      </c>
      <c r="V210" s="629">
        <f ca="1">SUMIFS($T:$T,$G:$G,G210,$I:$I,H210)</f>
        <v>0</v>
      </c>
      <c r="W210" s="291" t="str">
        <f ca="1">IFERROR(V210/X206,"-")</f>
        <v>-</v>
      </c>
      <c r="X210" s="584"/>
    </row>
    <row r="211" spans="3:24" x14ac:dyDescent="0.3">
      <c r="C211" s="576"/>
      <c r="D211" s="494" t="s">
        <v>420</v>
      </c>
      <c r="E211" s="494"/>
      <c r="F211" s="577"/>
      <c r="G211" s="494" t="s">
        <v>422</v>
      </c>
      <c r="H211" s="588" t="str">
        <f>I211</f>
        <v>Maintenance</v>
      </c>
      <c r="I211" s="455" t="s">
        <v>43</v>
      </c>
      <c r="J211" s="17" t="s">
        <v>111</v>
      </c>
      <c r="K211" s="599" t="s">
        <v>424</v>
      </c>
      <c r="L211" s="591">
        <f>SUMIFS('Airport Statistics'!$G:$G,'Airport Statistics'!$D:$D,G211,'Airport Statistics'!$F:$F,K211)</f>
        <v>0</v>
      </c>
      <c r="M211" s="592">
        <f ca="1">SUMIFS('Water Use Calcs'!$V:$V,'Water Use Calcs'!$D:$D,'End Uses'!D211,'Water Use Calcs'!$G:$G,'End Uses'!G211,'Water Use Calcs'!$I:$I,'End Uses'!I211,'Water Use Calcs'!$J:$J,'End Uses'!J211)</f>
        <v>0</v>
      </c>
      <c r="N211" s="593">
        <f t="shared" ca="1" si="2"/>
        <v>0</v>
      </c>
      <c r="O211" s="594" t="str">
        <f ca="1">IFERROR(N211/R206,"-")</f>
        <v>-</v>
      </c>
      <c r="P211" s="595">
        <f ca="1">SUMIFS($N:$N,$G:$G,G211,$I:$I,H211)</f>
        <v>0</v>
      </c>
      <c r="Q211" s="547" t="str">
        <f ca="1">IFERROR(P211/R206,"-")</f>
        <v>-</v>
      </c>
      <c r="R211" s="584"/>
      <c r="S211" s="596">
        <f ca="1">SUMIFS('Water Use Calcs'!$W:$W,'Water Use Calcs'!$D:$D,'End Uses'!D211,'Water Use Calcs'!$G:$G,'End Uses'!G211,'Water Use Calcs'!$I:$I,'End Uses'!I211,'Water Use Calcs'!$J:$J,'End Uses'!J211)</f>
        <v>0</v>
      </c>
      <c r="T211" s="597">
        <f t="shared" ca="1" si="12"/>
        <v>0</v>
      </c>
      <c r="U211" s="594" t="str">
        <f ca="1">IFERROR(T211/X206,"-")</f>
        <v>-</v>
      </c>
      <c r="V211" s="595">
        <f ca="1">SUMIFS($T:$T,$G:$G,G211,$I:$I,H211)</f>
        <v>0</v>
      </c>
      <c r="W211" s="547" t="str">
        <f ca="1">IFERROR(V211/X206,"-")</f>
        <v>-</v>
      </c>
      <c r="X211" s="584"/>
    </row>
    <row r="212" spans="3:24" x14ac:dyDescent="0.3">
      <c r="C212" s="576"/>
      <c r="D212" s="494" t="s">
        <v>420</v>
      </c>
      <c r="E212" s="494"/>
      <c r="F212" s="577"/>
      <c r="G212" s="494" t="s">
        <v>422</v>
      </c>
      <c r="H212" s="577"/>
      <c r="I212" s="450" t="s">
        <v>43</v>
      </c>
      <c r="J212" s="18" t="s">
        <v>7</v>
      </c>
      <c r="K212" s="183" t="s">
        <v>365</v>
      </c>
      <c r="L212" s="600"/>
      <c r="M212" s="601">
        <f ca="1">SUMIFS('Water Use Calcs'!$V:$V,'Water Use Calcs'!$D:$D,'End Uses'!D212,'Water Use Calcs'!$G:$G,'End Uses'!G212,'Water Use Calcs'!$I:$I,'End Uses'!I212,'Water Use Calcs'!$J:$J,'End Uses'!J212)</f>
        <v>0</v>
      </c>
      <c r="N212" s="580">
        <f ca="1">M212</f>
        <v>0</v>
      </c>
      <c r="O212" s="581" t="str">
        <f ca="1">IFERROR(N212/R206,"-")</f>
        <v>-</v>
      </c>
      <c r="P212" s="404"/>
      <c r="Q212" s="548"/>
      <c r="R212" s="584"/>
      <c r="S212" s="585">
        <f ca="1">SUMIFS('Water Use Calcs'!$W:$W,'Water Use Calcs'!$D:$D,'End Uses'!D212,'Water Use Calcs'!$G:$G,'End Uses'!G212,'Water Use Calcs'!$I:$I,'End Uses'!I212,'Water Use Calcs'!$J:$J,'End Uses'!J212)</f>
        <v>0</v>
      </c>
      <c r="T212" s="586">
        <f ca="1">S212</f>
        <v>0</v>
      </c>
      <c r="U212" s="581" t="str">
        <f ca="1">IFERROR(T212/X206,"-")</f>
        <v>-</v>
      </c>
      <c r="V212" s="404"/>
      <c r="W212" s="548"/>
      <c r="X212" s="584"/>
    </row>
    <row r="213" spans="3:24" x14ac:dyDescent="0.3">
      <c r="C213" s="576"/>
      <c r="D213" s="494" t="s">
        <v>420</v>
      </c>
      <c r="E213" s="494"/>
      <c r="F213" s="577"/>
      <c r="G213" s="494" t="s">
        <v>422</v>
      </c>
      <c r="H213" s="577"/>
      <c r="I213" s="450" t="s">
        <v>43</v>
      </c>
      <c r="J213" s="577" t="s">
        <v>9</v>
      </c>
      <c r="K213" s="635" t="s">
        <v>117</v>
      </c>
      <c r="L213" s="578">
        <f>SUMIFS('Airport Statistics'!$G:$G,'Airport Statistics'!$D:$D,G213,'Airport Statistics'!$F:$F,K213)</f>
        <v>0</v>
      </c>
      <c r="M213" s="579">
        <f ca="1">SUMIFS('Water Use Calcs'!$V:$V,'Water Use Calcs'!$D:$D,'End Uses'!D213,'Water Use Calcs'!$G:$G,'End Uses'!G213,'Water Use Calcs'!$I:$I,'End Uses'!I213,'Water Use Calcs'!$J:$J,'End Uses'!J213)</f>
        <v>0</v>
      </c>
      <c r="N213" s="580">
        <f t="shared" ca="1" si="2"/>
        <v>0</v>
      </c>
      <c r="O213" s="581" t="str">
        <f ca="1">IFERROR(N213/R206,"-")</f>
        <v>-</v>
      </c>
      <c r="P213" s="582"/>
      <c r="Q213" s="548"/>
      <c r="R213" s="584"/>
      <c r="S213" s="585">
        <f ca="1">SUMIFS('Water Use Calcs'!$W:$W,'Water Use Calcs'!$D:$D,'End Uses'!D213,'Water Use Calcs'!$G:$G,'End Uses'!G213,'Water Use Calcs'!$I:$I,'End Uses'!I213,'Water Use Calcs'!$J:$J,'End Uses'!J213)</f>
        <v>0</v>
      </c>
      <c r="T213" s="586">
        <f t="shared" ca="1" si="12"/>
        <v>0</v>
      </c>
      <c r="U213" s="581" t="str">
        <f ca="1">IFERROR(T213/X206,"-")</f>
        <v>-</v>
      </c>
      <c r="V213" s="582"/>
      <c r="W213" s="548"/>
      <c r="X213" s="584"/>
    </row>
    <row r="214" spans="3:24" x14ac:dyDescent="0.3">
      <c r="C214" s="576"/>
      <c r="D214" s="494" t="s">
        <v>420</v>
      </c>
      <c r="E214" s="494"/>
      <c r="F214" s="577"/>
      <c r="G214" s="494" t="s">
        <v>422</v>
      </c>
      <c r="H214" s="577"/>
      <c r="I214" s="450" t="s">
        <v>43</v>
      </c>
      <c r="J214" s="577" t="s">
        <v>426</v>
      </c>
      <c r="K214" s="635" t="s">
        <v>117</v>
      </c>
      <c r="L214" s="578">
        <f>SUMIFS('Airport Statistics'!$G:$G,'Airport Statistics'!$D:$D,G214,'Airport Statistics'!$F:$F,K214)</f>
        <v>0</v>
      </c>
      <c r="M214" s="579">
        <f ca="1">SUMIFS('Water Use Calcs'!$V:$V,'Water Use Calcs'!$D:$D,'End Uses'!D214,'Water Use Calcs'!$G:$G,'End Uses'!G214,'Water Use Calcs'!$I:$I,'End Uses'!I214,'Water Use Calcs'!$J:$J,'End Uses'!J214)</f>
        <v>0</v>
      </c>
      <c r="N214" s="580">
        <f t="shared" ca="1" si="2"/>
        <v>0</v>
      </c>
      <c r="O214" s="581" t="str">
        <f ca="1">IFERROR(N214/R206,"-")</f>
        <v>-</v>
      </c>
      <c r="P214" s="404"/>
      <c r="Q214" s="548"/>
      <c r="R214" s="584"/>
      <c r="S214" s="585">
        <f ca="1">SUMIFS('Water Use Calcs'!$W:$W,'Water Use Calcs'!$D:$D,'End Uses'!D214,'Water Use Calcs'!$G:$G,'End Uses'!G214,'Water Use Calcs'!$I:$I,'End Uses'!I214,'Water Use Calcs'!$J:$J,'End Uses'!J214)</f>
        <v>0</v>
      </c>
      <c r="T214" s="586">
        <f t="shared" ca="1" si="12"/>
        <v>0</v>
      </c>
      <c r="U214" s="581" t="str">
        <f ca="1">IFERROR(T214/X206,"-")</f>
        <v>-</v>
      </c>
      <c r="V214" s="404"/>
      <c r="W214" s="548"/>
      <c r="X214" s="584"/>
    </row>
    <row r="215" spans="3:24" x14ac:dyDescent="0.3">
      <c r="C215" s="576"/>
      <c r="D215" s="494" t="s">
        <v>420</v>
      </c>
      <c r="E215" s="494"/>
      <c r="F215" s="577"/>
      <c r="G215" s="494" t="s">
        <v>422</v>
      </c>
      <c r="H215" s="588" t="str">
        <f>I215</f>
        <v>Other</v>
      </c>
      <c r="I215" s="455" t="s">
        <v>8</v>
      </c>
      <c r="J215" s="589" t="s">
        <v>52</v>
      </c>
      <c r="K215" s="602" t="s">
        <v>362</v>
      </c>
      <c r="L215" s="591">
        <f>SUMIFS('Airport Statistics'!$G:$G,'Airport Statistics'!$D:$D,G215,'Airport Statistics'!$F:$F,K215)</f>
        <v>0</v>
      </c>
      <c r="M215" s="592">
        <f ca="1">SUMIFS('Water Use Calcs'!$V:$V,'Water Use Calcs'!$D:$D,'End Uses'!D215,'Water Use Calcs'!$G:$G,'End Uses'!G215,'Water Use Calcs'!$I:$I,'End Uses'!I215,'Water Use Calcs'!$J:$J,'End Uses'!J215)</f>
        <v>0</v>
      </c>
      <c r="N215" s="593">
        <f t="shared" ref="N215:N217" ca="1" si="21">L215*M215</f>
        <v>0</v>
      </c>
      <c r="O215" s="594" t="str">
        <f ca="1">IFERROR(N215/R206,"-")</f>
        <v>-</v>
      </c>
      <c r="P215" s="595">
        <f ca="1">SUMIFS($N:$N,$G:$G,G215,$I:$I,H215)</f>
        <v>0</v>
      </c>
      <c r="Q215" s="547" t="str">
        <f ca="1">IFERROR(P215/R206,"-")</f>
        <v>-</v>
      </c>
      <c r="R215" s="584"/>
      <c r="S215" s="596">
        <f ca="1">SUMIFS('Water Use Calcs'!$W:$W,'Water Use Calcs'!$D:$D,'End Uses'!D215,'Water Use Calcs'!$G:$G,'End Uses'!G215,'Water Use Calcs'!$I:$I,'End Uses'!I215,'Water Use Calcs'!$J:$J,'End Uses'!J215)</f>
        <v>0</v>
      </c>
      <c r="T215" s="597">
        <f t="shared" ca="1" si="12"/>
        <v>0</v>
      </c>
      <c r="U215" s="594" t="str">
        <f ca="1">IFERROR(T215/X206,"-")</f>
        <v>-</v>
      </c>
      <c r="V215" s="595">
        <f ca="1">SUMIFS($T:$T,$G:$G,G215,$I:$I,H215)</f>
        <v>0</v>
      </c>
      <c r="W215" s="547" t="str">
        <f ca="1">IFERROR(V215/X206,"-")</f>
        <v>-</v>
      </c>
      <c r="X215" s="584"/>
    </row>
    <row r="216" spans="3:24" s="45" customFormat="1" ht="13.2" customHeight="1" x14ac:dyDescent="0.3">
      <c r="C216" s="576"/>
      <c r="D216" s="494" t="s">
        <v>420</v>
      </c>
      <c r="E216" s="494"/>
      <c r="F216" s="577"/>
      <c r="G216" s="494" t="s">
        <v>422</v>
      </c>
      <c r="H216" s="577"/>
      <c r="I216" s="450" t="s">
        <v>8</v>
      </c>
      <c r="J216" s="577" t="s">
        <v>53</v>
      </c>
      <c r="K216" s="439" t="s">
        <v>363</v>
      </c>
      <c r="L216" s="578">
        <f>SUMIFS('Airport Statistics'!$G:$G,'Airport Statistics'!$D:$D,G216,'Airport Statistics'!$F:$F,K216)</f>
        <v>0</v>
      </c>
      <c r="M216" s="579">
        <f ca="1">SUMIFS('Water Use Calcs'!$V:$V,'Water Use Calcs'!$D:$D,'End Uses'!D216,'Water Use Calcs'!$G:$G,'End Uses'!G216,'Water Use Calcs'!$I:$I,'End Uses'!I216,'Water Use Calcs'!$J:$J,'End Uses'!J216)</f>
        <v>0</v>
      </c>
      <c r="N216" s="580">
        <f t="shared" ca="1" si="21"/>
        <v>0</v>
      </c>
      <c r="O216" s="581" t="str">
        <f ca="1">IFERROR(N216/R206,"-")</f>
        <v>-</v>
      </c>
      <c r="P216" s="404"/>
      <c r="Q216" s="404"/>
      <c r="R216" s="584"/>
      <c r="S216" s="585">
        <f ca="1">SUMIFS('Water Use Calcs'!$W:$W,'Water Use Calcs'!$D:$D,'End Uses'!D216,'Water Use Calcs'!$G:$G,'End Uses'!G216,'Water Use Calcs'!$I:$I,'End Uses'!I216,'Water Use Calcs'!$J:$J,'End Uses'!J216)</f>
        <v>0</v>
      </c>
      <c r="T216" s="586">
        <f t="shared" ca="1" si="12"/>
        <v>0</v>
      </c>
      <c r="U216" s="581" t="str">
        <f ca="1">IFERROR(T216/X206,"-")</f>
        <v>-</v>
      </c>
      <c r="V216" s="404"/>
      <c r="W216" s="404"/>
      <c r="X216" s="584"/>
    </row>
    <row r="217" spans="3:24" s="45" customFormat="1" ht="13.2" customHeight="1" thickBot="1" x14ac:dyDescent="0.35">
      <c r="C217" s="576"/>
      <c r="D217" s="501" t="s">
        <v>420</v>
      </c>
      <c r="E217" s="501"/>
      <c r="F217" s="577"/>
      <c r="G217" s="501" t="s">
        <v>422</v>
      </c>
      <c r="H217" s="116"/>
      <c r="I217" s="451" t="s">
        <v>8</v>
      </c>
      <c r="J217" s="116" t="s">
        <v>54</v>
      </c>
      <c r="K217" s="606" t="s">
        <v>364</v>
      </c>
      <c r="L217" s="607">
        <f>SUMIFS('Airport Statistics'!$G:$G,'Airport Statistics'!$D:$D,G217,'Airport Statistics'!$F:$F,K217)</f>
        <v>0</v>
      </c>
      <c r="M217" s="608">
        <f ca="1">SUMIFS('Water Use Calcs'!$V:$V,'Water Use Calcs'!$D:$D,'End Uses'!D217,'Water Use Calcs'!$G:$G,'End Uses'!G217,'Water Use Calcs'!$I:$I,'End Uses'!I217,'Water Use Calcs'!$J:$J,'End Uses'!J217)</f>
        <v>0</v>
      </c>
      <c r="N217" s="609">
        <f t="shared" ca="1" si="21"/>
        <v>0</v>
      </c>
      <c r="O217" s="616" t="str">
        <f ca="1">IFERROR(N217/R206,"-")</f>
        <v>-</v>
      </c>
      <c r="P217" s="611"/>
      <c r="Q217" s="611"/>
      <c r="R217" s="613"/>
      <c r="S217" s="614">
        <f ca="1">SUMIFS('Water Use Calcs'!$W:$W,'Water Use Calcs'!$D:$D,'End Uses'!D217,'Water Use Calcs'!$G:$G,'End Uses'!G217,'Water Use Calcs'!$I:$I,'End Uses'!I217,'Water Use Calcs'!$J:$J,'End Uses'!J217)</f>
        <v>0</v>
      </c>
      <c r="T217" s="615">
        <f t="shared" ca="1" si="12"/>
        <v>0</v>
      </c>
      <c r="U217" s="616" t="str">
        <f ca="1">IFERROR(T217/X206,"-")</f>
        <v>-</v>
      </c>
      <c r="V217" s="611"/>
      <c r="W217" s="611"/>
      <c r="X217" s="613"/>
    </row>
    <row r="218" spans="3:24" s="45" customFormat="1" ht="13.2" customHeight="1" x14ac:dyDescent="0.3">
      <c r="C218" s="564" t="str">
        <f>D218</f>
        <v>Parking</v>
      </c>
      <c r="D218" s="493" t="s">
        <v>13</v>
      </c>
      <c r="E218" s="494" t="str">
        <f>G218</f>
        <v>Parking A</v>
      </c>
      <c r="F218" s="565" t="str">
        <f>VLOOKUP(E218,'Airport Mapping'!$C$5:$D$39,2,FALSE)</f>
        <v xml:space="preserve"> </v>
      </c>
      <c r="G218" s="566" t="s">
        <v>91</v>
      </c>
      <c r="H218" s="564" t="str">
        <f>I218</f>
        <v>Landscaping</v>
      </c>
      <c r="I218" s="454" t="s">
        <v>39</v>
      </c>
      <c r="J218" s="567" t="s">
        <v>42</v>
      </c>
      <c r="K218" s="52" t="s">
        <v>120</v>
      </c>
      <c r="L218" s="568">
        <f>SUMIFS('Airport Statistics'!$G:$G,'Airport Statistics'!$D:$D,G218,'Airport Statistics'!$F:$F,K218)</f>
        <v>0</v>
      </c>
      <c r="M218" s="569">
        <f ca="1">SUMIFS('Water Use Calcs'!$V:$V,'Water Use Calcs'!$D:$D,'End Uses'!D218,'Water Use Calcs'!$G:$G,'End Uses'!G218,'Water Use Calcs'!$I:$I,'End Uses'!I218,'Water Use Calcs'!$J:$J,'End Uses'!J218)</f>
        <v>0</v>
      </c>
      <c r="N218" s="570">
        <f t="shared" ca="1" si="2"/>
        <v>0</v>
      </c>
      <c r="O218" s="571" t="str">
        <f ca="1">IFERROR(N218/R218,"-")</f>
        <v>-</v>
      </c>
      <c r="P218" s="572">
        <f ca="1">SUMIFS($N:$N,$G:$G,G218,$I:$I,H218)</f>
        <v>0</v>
      </c>
      <c r="Q218" s="546" t="str">
        <f ca="1">IFERROR(P218/R218,"-")</f>
        <v>-</v>
      </c>
      <c r="R218" s="573">
        <f ca="1">SUMIFS($N:$N,$G:$G,G218)</f>
        <v>0</v>
      </c>
      <c r="S218" s="574">
        <f ca="1">SUMIFS('Water Use Calcs'!$W:$W,'Water Use Calcs'!$D:$D,'End Uses'!D218,'Water Use Calcs'!$G:$G,'End Uses'!G218,'Water Use Calcs'!$I:$I,'End Uses'!I218,'Water Use Calcs'!$J:$J,'End Uses'!J218)</f>
        <v>0</v>
      </c>
      <c r="T218" s="575">
        <f t="shared" ca="1" si="12"/>
        <v>0</v>
      </c>
      <c r="U218" s="571" t="str">
        <f ca="1">IFERROR(T218/X218,"-")</f>
        <v>-</v>
      </c>
      <c r="V218" s="572">
        <f ca="1">SUMIFS($T:$T,$G:$G,G218,$I:$I,H218)</f>
        <v>0</v>
      </c>
      <c r="W218" s="546" t="str">
        <f ca="1">IFERROR(V218/X218,"-")</f>
        <v>-</v>
      </c>
      <c r="X218" s="573">
        <f ca="1">SUMIFS($T:$T,$G:$G,G218)</f>
        <v>0</v>
      </c>
    </row>
    <row r="219" spans="3:24" x14ac:dyDescent="0.3">
      <c r="C219" s="576"/>
      <c r="D219" s="493" t="s">
        <v>13</v>
      </c>
      <c r="E219" s="494"/>
      <c r="F219" s="636"/>
      <c r="G219" s="494" t="s">
        <v>91</v>
      </c>
      <c r="H219" s="588" t="str">
        <f>I219</f>
        <v>Maintenance</v>
      </c>
      <c r="I219" s="455" t="s">
        <v>43</v>
      </c>
      <c r="J219" s="589" t="s">
        <v>9</v>
      </c>
      <c r="K219" s="19" t="s">
        <v>123</v>
      </c>
      <c r="L219" s="591">
        <f>SUMIFS('Airport Statistics'!$G:$G,'Airport Statistics'!$D:$D,G219,'Airport Statistics'!$F:$F,K219)</f>
        <v>0</v>
      </c>
      <c r="M219" s="592">
        <f ca="1">SUMIFS('Water Use Calcs'!$V:$V,'Water Use Calcs'!$D:$D,'End Uses'!D219,'Water Use Calcs'!$G:$G,'End Uses'!G219,'Water Use Calcs'!$I:$I,'End Uses'!I219,'Water Use Calcs'!$J:$J,'End Uses'!J219)</f>
        <v>0</v>
      </c>
      <c r="N219" s="593">
        <f t="shared" ca="1" si="2"/>
        <v>0</v>
      </c>
      <c r="O219" s="594" t="str">
        <f ca="1">IFERROR(N219/R218,"-")</f>
        <v>-</v>
      </c>
      <c r="P219" s="595">
        <f ca="1">SUMIFS($N:$N,$G:$G,G219,$I:$I,H219)</f>
        <v>0</v>
      </c>
      <c r="Q219" s="547" t="str">
        <f ca="1">IFERROR(P219/R218,"-")</f>
        <v>-</v>
      </c>
      <c r="R219" s="584"/>
      <c r="S219" s="596">
        <f ca="1">SUMIFS('Water Use Calcs'!$W:$W,'Water Use Calcs'!$D:$D,'End Uses'!D219,'Water Use Calcs'!$G:$G,'End Uses'!G219,'Water Use Calcs'!$I:$I,'End Uses'!I219,'Water Use Calcs'!$J:$J,'End Uses'!J219)</f>
        <v>0</v>
      </c>
      <c r="T219" s="597">
        <f t="shared" ca="1" si="12"/>
        <v>0</v>
      </c>
      <c r="U219" s="594" t="str">
        <f ca="1">IFERROR(T219/X218,"-")</f>
        <v>-</v>
      </c>
      <c r="V219" s="595">
        <f ca="1">SUMIFS($T:$T,$G:$G,G219,$I:$I,H219)</f>
        <v>0</v>
      </c>
      <c r="W219" s="547" t="str">
        <f ca="1">IFERROR(V219/X218,"-")</f>
        <v>-</v>
      </c>
      <c r="X219" s="584"/>
    </row>
    <row r="220" spans="3:24" x14ac:dyDescent="0.3">
      <c r="C220" s="576"/>
      <c r="D220" s="493" t="s">
        <v>13</v>
      </c>
      <c r="E220" s="494"/>
      <c r="F220" s="636"/>
      <c r="G220" s="494" t="s">
        <v>91</v>
      </c>
      <c r="H220" s="577"/>
      <c r="I220" s="450" t="s">
        <v>43</v>
      </c>
      <c r="J220" s="577" t="s">
        <v>426</v>
      </c>
      <c r="K220" s="635" t="s">
        <v>123</v>
      </c>
      <c r="L220" s="578">
        <f>SUMIFS('Airport Statistics'!$G:$G,'Airport Statistics'!$D:$D,G220,'Airport Statistics'!$F:$F,K220)</f>
        <v>0</v>
      </c>
      <c r="M220" s="579">
        <f ca="1">SUMIFS('Water Use Calcs'!$V:$V,'Water Use Calcs'!$D:$D,'End Uses'!D220,'Water Use Calcs'!$G:$G,'End Uses'!G220,'Water Use Calcs'!$I:$I,'End Uses'!I220,'Water Use Calcs'!$J:$J,'End Uses'!J220)</f>
        <v>0</v>
      </c>
      <c r="N220" s="580">
        <f t="shared" ca="1" si="2"/>
        <v>0</v>
      </c>
      <c r="O220" s="581" t="str">
        <f ca="1">IFERROR(N220/R218,"-")</f>
        <v>-</v>
      </c>
      <c r="P220" s="582"/>
      <c r="Q220" s="583"/>
      <c r="R220" s="584"/>
      <c r="S220" s="585">
        <f ca="1">SUMIFS('Water Use Calcs'!$W:$W,'Water Use Calcs'!$D:$D,'End Uses'!D220,'Water Use Calcs'!$G:$G,'End Uses'!G220,'Water Use Calcs'!$I:$I,'End Uses'!I220,'Water Use Calcs'!$J:$J,'End Uses'!J220)</f>
        <v>0</v>
      </c>
      <c r="T220" s="586">
        <f t="shared" ca="1" si="12"/>
        <v>0</v>
      </c>
      <c r="U220" s="581" t="str">
        <f ca="1">IFERROR(T220/X218,"-")</f>
        <v>-</v>
      </c>
      <c r="V220" s="582"/>
      <c r="W220" s="583"/>
      <c r="X220" s="584"/>
    </row>
    <row r="221" spans="3:24" x14ac:dyDescent="0.3">
      <c r="C221" s="576"/>
      <c r="D221" s="493" t="s">
        <v>13</v>
      </c>
      <c r="E221" s="494"/>
      <c r="F221" s="636"/>
      <c r="G221" s="494" t="s">
        <v>91</v>
      </c>
      <c r="H221" s="588" t="str">
        <f>I221</f>
        <v>Other</v>
      </c>
      <c r="I221" s="455" t="s">
        <v>8</v>
      </c>
      <c r="J221" s="589" t="s">
        <v>52</v>
      </c>
      <c r="K221" s="602" t="s">
        <v>362</v>
      </c>
      <c r="L221" s="591">
        <f>SUMIFS('Airport Statistics'!$G:$G,'Airport Statistics'!$D:$D,G221,'Airport Statistics'!$F:$F,K221)</f>
        <v>0</v>
      </c>
      <c r="M221" s="592">
        <f ca="1">SUMIFS('Water Use Calcs'!$V:$V,'Water Use Calcs'!$D:$D,'End Uses'!D221,'Water Use Calcs'!$G:$G,'End Uses'!G221,'Water Use Calcs'!$I:$I,'End Uses'!I221,'Water Use Calcs'!$J:$J,'End Uses'!J221)</f>
        <v>0</v>
      </c>
      <c r="N221" s="593">
        <f t="shared" ca="1" si="2"/>
        <v>0</v>
      </c>
      <c r="O221" s="594" t="str">
        <f ca="1">IFERROR(N221/R218,"-")</f>
        <v>-</v>
      </c>
      <c r="P221" s="595">
        <f ca="1">SUMIFS($N:$N,$G:$G,G221,$I:$I,H221)</f>
        <v>0</v>
      </c>
      <c r="Q221" s="547" t="str">
        <f ca="1">IFERROR(P221/R218,"-")</f>
        <v>-</v>
      </c>
      <c r="R221" s="584"/>
      <c r="S221" s="596">
        <f ca="1">SUMIFS('Water Use Calcs'!$W:$W,'Water Use Calcs'!$D:$D,'End Uses'!D221,'Water Use Calcs'!$G:$G,'End Uses'!G221,'Water Use Calcs'!$I:$I,'End Uses'!I221,'Water Use Calcs'!$J:$J,'End Uses'!J221)</f>
        <v>0</v>
      </c>
      <c r="T221" s="597">
        <f t="shared" ca="1" si="12"/>
        <v>0</v>
      </c>
      <c r="U221" s="594" t="str">
        <f ca="1">IFERROR(T221/X218,"-")</f>
        <v>-</v>
      </c>
      <c r="V221" s="595">
        <f ca="1">SUMIFS($T:$T,$G:$G,G221,$I:$I,H221)</f>
        <v>0</v>
      </c>
      <c r="W221" s="547" t="str">
        <f ca="1">IFERROR(V221/X218,"-")</f>
        <v>-</v>
      </c>
      <c r="X221" s="584"/>
    </row>
    <row r="222" spans="3:24" s="45" customFormat="1" ht="13.2" customHeight="1" x14ac:dyDescent="0.3">
      <c r="C222" s="576"/>
      <c r="D222" s="493" t="s">
        <v>13</v>
      </c>
      <c r="E222" s="494"/>
      <c r="F222" s="636"/>
      <c r="G222" s="494" t="s">
        <v>91</v>
      </c>
      <c r="H222" s="577"/>
      <c r="I222" s="450" t="s">
        <v>8</v>
      </c>
      <c r="J222" s="577" t="s">
        <v>53</v>
      </c>
      <c r="K222" s="439" t="s">
        <v>363</v>
      </c>
      <c r="L222" s="578">
        <f>SUMIFS('Airport Statistics'!$G:$G,'Airport Statistics'!$D:$D,G222,'Airport Statistics'!$F:$F,K222)</f>
        <v>0</v>
      </c>
      <c r="M222" s="579">
        <f ca="1">SUMIFS('Water Use Calcs'!$V:$V,'Water Use Calcs'!$D:$D,'End Uses'!D222,'Water Use Calcs'!$G:$G,'End Uses'!G222,'Water Use Calcs'!$I:$I,'End Uses'!I222,'Water Use Calcs'!$J:$J,'End Uses'!J222)</f>
        <v>0</v>
      </c>
      <c r="N222" s="580">
        <f t="shared" ca="1" si="2"/>
        <v>0</v>
      </c>
      <c r="O222" s="581" t="str">
        <f ca="1">IFERROR(N222/R218,"-")</f>
        <v>-</v>
      </c>
      <c r="P222" s="582"/>
      <c r="Q222" s="548"/>
      <c r="R222" s="584"/>
      <c r="S222" s="585">
        <f ca="1">SUMIFS('Water Use Calcs'!$W:$W,'Water Use Calcs'!$D:$D,'End Uses'!D222,'Water Use Calcs'!$G:$G,'End Uses'!G222,'Water Use Calcs'!$I:$I,'End Uses'!I222,'Water Use Calcs'!$J:$J,'End Uses'!J222)</f>
        <v>0</v>
      </c>
      <c r="T222" s="586">
        <f t="shared" ca="1" si="12"/>
        <v>0</v>
      </c>
      <c r="U222" s="581" t="str">
        <f ca="1">IFERROR(T222/X218,"-")</f>
        <v>-</v>
      </c>
      <c r="V222" s="582"/>
      <c r="W222" s="548"/>
      <c r="X222" s="584"/>
    </row>
    <row r="223" spans="3:24" s="45" customFormat="1" ht="13.2" customHeight="1" thickBot="1" x14ac:dyDescent="0.35">
      <c r="C223" s="576"/>
      <c r="D223" s="493" t="s">
        <v>13</v>
      </c>
      <c r="E223" s="494"/>
      <c r="F223" s="636"/>
      <c r="G223" s="501" t="s">
        <v>91</v>
      </c>
      <c r="H223" s="116"/>
      <c r="I223" s="451" t="s">
        <v>8</v>
      </c>
      <c r="J223" s="116" t="s">
        <v>54</v>
      </c>
      <c r="K223" s="606" t="s">
        <v>364</v>
      </c>
      <c r="L223" s="607">
        <f>SUMIFS('Airport Statistics'!$G:$G,'Airport Statistics'!$D:$D,G223,'Airport Statistics'!$F:$F,K223)</f>
        <v>0</v>
      </c>
      <c r="M223" s="608">
        <f ca="1">SUMIFS('Water Use Calcs'!$V:$V,'Water Use Calcs'!$D:$D,'End Uses'!D223,'Water Use Calcs'!$G:$G,'End Uses'!G223,'Water Use Calcs'!$I:$I,'End Uses'!I223,'Water Use Calcs'!$J:$J,'End Uses'!J223)</f>
        <v>0</v>
      </c>
      <c r="N223" s="609">
        <f t="shared" ca="1" si="2"/>
        <v>0</v>
      </c>
      <c r="O223" s="616" t="str">
        <f ca="1">IFERROR(N223/R218,"-")</f>
        <v>-</v>
      </c>
      <c r="P223" s="637"/>
      <c r="Q223" s="551"/>
      <c r="R223" s="613"/>
      <c r="S223" s="614">
        <f ca="1">SUMIFS('Water Use Calcs'!$W:$W,'Water Use Calcs'!$D:$D,'End Uses'!D223,'Water Use Calcs'!$G:$G,'End Uses'!G223,'Water Use Calcs'!$I:$I,'End Uses'!I223,'Water Use Calcs'!$J:$J,'End Uses'!J223)</f>
        <v>0</v>
      </c>
      <c r="T223" s="615">
        <f t="shared" ca="1" si="12"/>
        <v>0</v>
      </c>
      <c r="U223" s="616" t="str">
        <f ca="1">IFERROR(T223/X218,"-")</f>
        <v>-</v>
      </c>
      <c r="V223" s="637"/>
      <c r="W223" s="551"/>
      <c r="X223" s="613"/>
    </row>
    <row r="224" spans="3:24" s="45" customFormat="1" ht="13.2" customHeight="1" x14ac:dyDescent="0.3">
      <c r="C224" s="576"/>
      <c r="D224" s="493" t="s">
        <v>13</v>
      </c>
      <c r="E224" s="617" t="str">
        <f>G224</f>
        <v>Parking B</v>
      </c>
      <c r="F224" s="565" t="str">
        <f>VLOOKUP(E224,'Airport Mapping'!$C$5:$D$39,2,FALSE)</f>
        <v xml:space="preserve"> </v>
      </c>
      <c r="G224" s="566" t="s">
        <v>92</v>
      </c>
      <c r="H224" s="564" t="str">
        <f>I224</f>
        <v>Landscaping</v>
      </c>
      <c r="I224" s="454" t="s">
        <v>39</v>
      </c>
      <c r="J224" s="567" t="s">
        <v>42</v>
      </c>
      <c r="K224" s="52" t="s">
        <v>120</v>
      </c>
      <c r="L224" s="568">
        <f>SUMIFS('Airport Statistics'!$G:$G,'Airport Statistics'!$D:$D,G224,'Airport Statistics'!$F:$F,K224)</f>
        <v>0</v>
      </c>
      <c r="M224" s="569">
        <f ca="1">SUMIFS('Water Use Calcs'!$V:$V,'Water Use Calcs'!$D:$D,'End Uses'!D224,'Water Use Calcs'!$G:$G,'End Uses'!G224,'Water Use Calcs'!$I:$I,'End Uses'!I224,'Water Use Calcs'!$J:$J,'End Uses'!J224)</f>
        <v>0</v>
      </c>
      <c r="N224" s="570">
        <f t="shared" ref="N224:N247" ca="1" si="22">L224*M224</f>
        <v>0</v>
      </c>
      <c r="O224" s="571" t="str">
        <f ca="1">IFERROR(N224/R224,"-")</f>
        <v>-</v>
      </c>
      <c r="P224" s="572">
        <f ca="1">SUMIFS($N:$N,$G:$G,G224,$I:$I,H224)</f>
        <v>0</v>
      </c>
      <c r="Q224" s="546" t="str">
        <f ca="1">IFERROR(P224/R224,"-")</f>
        <v>-</v>
      </c>
      <c r="R224" s="573">
        <f ca="1">SUMIFS($N:$N,$G:$G,G224)</f>
        <v>0</v>
      </c>
      <c r="S224" s="574">
        <f ca="1">SUMIFS('Water Use Calcs'!$W:$W,'Water Use Calcs'!$D:$D,'End Uses'!D224,'Water Use Calcs'!$G:$G,'End Uses'!G224,'Water Use Calcs'!$I:$I,'End Uses'!I224,'Water Use Calcs'!$J:$J,'End Uses'!J224)</f>
        <v>0</v>
      </c>
      <c r="T224" s="575">
        <f t="shared" ca="1" si="12"/>
        <v>0</v>
      </c>
      <c r="U224" s="571" t="str">
        <f ca="1">IFERROR(T224/X224,"-")</f>
        <v>-</v>
      </c>
      <c r="V224" s="572">
        <f ca="1">SUMIFS($T:$T,$G:$G,G224,$I:$I,H224)</f>
        <v>0</v>
      </c>
      <c r="W224" s="546" t="str">
        <f ca="1">IFERROR(V224/X224,"-")</f>
        <v>-</v>
      </c>
      <c r="X224" s="573">
        <f ca="1">SUMIFS($T:$T,$G:$G,G224)</f>
        <v>0</v>
      </c>
    </row>
    <row r="225" spans="3:24" x14ac:dyDescent="0.3">
      <c r="C225" s="576"/>
      <c r="D225" s="493" t="s">
        <v>13</v>
      </c>
      <c r="E225" s="494"/>
      <c r="F225" s="636"/>
      <c r="G225" s="494" t="s">
        <v>92</v>
      </c>
      <c r="H225" s="588" t="str">
        <f>I225</f>
        <v>Maintenance</v>
      </c>
      <c r="I225" s="455" t="s">
        <v>43</v>
      </c>
      <c r="J225" s="589" t="s">
        <v>9</v>
      </c>
      <c r="K225" s="19" t="s">
        <v>123</v>
      </c>
      <c r="L225" s="591">
        <f>SUMIFS('Airport Statistics'!$G:$G,'Airport Statistics'!$D:$D,G225,'Airport Statistics'!$F:$F,K225)</f>
        <v>0</v>
      </c>
      <c r="M225" s="592">
        <f ca="1">SUMIFS('Water Use Calcs'!$V:$V,'Water Use Calcs'!$D:$D,'End Uses'!D225,'Water Use Calcs'!$G:$G,'End Uses'!G225,'Water Use Calcs'!$I:$I,'End Uses'!I225,'Water Use Calcs'!$J:$J,'End Uses'!J225)</f>
        <v>0</v>
      </c>
      <c r="N225" s="593">
        <f t="shared" ca="1" si="22"/>
        <v>0</v>
      </c>
      <c r="O225" s="594" t="str">
        <f ca="1">IFERROR(N225/R224,"-")</f>
        <v>-</v>
      </c>
      <c r="P225" s="595">
        <f ca="1">SUMIFS($N:$N,$G:$G,G225,$I:$I,H225)</f>
        <v>0</v>
      </c>
      <c r="Q225" s="547" t="str">
        <f ca="1">IFERROR(P225/R224,"-")</f>
        <v>-</v>
      </c>
      <c r="R225" s="584"/>
      <c r="S225" s="596">
        <f ca="1">SUMIFS('Water Use Calcs'!$W:$W,'Water Use Calcs'!$D:$D,'End Uses'!D225,'Water Use Calcs'!$G:$G,'End Uses'!G225,'Water Use Calcs'!$I:$I,'End Uses'!I225,'Water Use Calcs'!$J:$J,'End Uses'!J225)</f>
        <v>0</v>
      </c>
      <c r="T225" s="597">
        <f t="shared" ca="1" si="12"/>
        <v>0</v>
      </c>
      <c r="U225" s="594" t="str">
        <f ca="1">IFERROR(T225/X224,"-")</f>
        <v>-</v>
      </c>
      <c r="V225" s="595">
        <f ca="1">SUMIFS($T:$T,$G:$G,G225,$I:$I,H225)</f>
        <v>0</v>
      </c>
      <c r="W225" s="547" t="str">
        <f ca="1">IFERROR(V225/X224,"-")</f>
        <v>-</v>
      </c>
      <c r="X225" s="584"/>
    </row>
    <row r="226" spans="3:24" x14ac:dyDescent="0.3">
      <c r="C226" s="576"/>
      <c r="D226" s="493" t="s">
        <v>13</v>
      </c>
      <c r="E226" s="494"/>
      <c r="F226" s="636"/>
      <c r="G226" s="494" t="s">
        <v>92</v>
      </c>
      <c r="H226" s="577"/>
      <c r="I226" s="450" t="s">
        <v>43</v>
      </c>
      <c r="J226" s="577" t="s">
        <v>426</v>
      </c>
      <c r="K226" s="635" t="s">
        <v>123</v>
      </c>
      <c r="L226" s="578">
        <f>SUMIFS('Airport Statistics'!$G:$G,'Airport Statistics'!$D:$D,G226,'Airport Statistics'!$F:$F,K226)</f>
        <v>0</v>
      </c>
      <c r="M226" s="579">
        <f ca="1">SUMIFS('Water Use Calcs'!$V:$V,'Water Use Calcs'!$D:$D,'End Uses'!D226,'Water Use Calcs'!$G:$G,'End Uses'!G226,'Water Use Calcs'!$I:$I,'End Uses'!I226,'Water Use Calcs'!$J:$J,'End Uses'!J226)</f>
        <v>0</v>
      </c>
      <c r="N226" s="580">
        <f t="shared" ca="1" si="22"/>
        <v>0</v>
      </c>
      <c r="O226" s="581" t="str">
        <f ca="1">IFERROR(N226/R224,"-")</f>
        <v>-</v>
      </c>
      <c r="P226" s="582"/>
      <c r="Q226" s="583"/>
      <c r="R226" s="584"/>
      <c r="S226" s="585">
        <f ca="1">SUMIFS('Water Use Calcs'!$W:$W,'Water Use Calcs'!$D:$D,'End Uses'!D226,'Water Use Calcs'!$G:$G,'End Uses'!G226,'Water Use Calcs'!$I:$I,'End Uses'!I226,'Water Use Calcs'!$J:$J,'End Uses'!J226)</f>
        <v>0</v>
      </c>
      <c r="T226" s="586">
        <f t="shared" ca="1" si="12"/>
        <v>0</v>
      </c>
      <c r="U226" s="581" t="str">
        <f ca="1">IFERROR(T226/X224,"-")</f>
        <v>-</v>
      </c>
      <c r="V226" s="582"/>
      <c r="W226" s="583"/>
      <c r="X226" s="584"/>
    </row>
    <row r="227" spans="3:24" x14ac:dyDescent="0.3">
      <c r="C227" s="576"/>
      <c r="D227" s="493" t="s">
        <v>13</v>
      </c>
      <c r="E227" s="494"/>
      <c r="F227" s="636"/>
      <c r="G227" s="494" t="s">
        <v>92</v>
      </c>
      <c r="H227" s="588" t="str">
        <f>I227</f>
        <v>Other</v>
      </c>
      <c r="I227" s="455" t="s">
        <v>8</v>
      </c>
      <c r="J227" s="589" t="s">
        <v>52</v>
      </c>
      <c r="K227" s="602" t="s">
        <v>362</v>
      </c>
      <c r="L227" s="591">
        <f>SUMIFS('Airport Statistics'!$G:$G,'Airport Statistics'!$D:$D,G227,'Airport Statistics'!$F:$F,K227)</f>
        <v>0</v>
      </c>
      <c r="M227" s="592">
        <f ca="1">SUMIFS('Water Use Calcs'!$V:$V,'Water Use Calcs'!$D:$D,'End Uses'!D227,'Water Use Calcs'!$G:$G,'End Uses'!G227,'Water Use Calcs'!$I:$I,'End Uses'!I227,'Water Use Calcs'!$J:$J,'End Uses'!J227)</f>
        <v>0</v>
      </c>
      <c r="N227" s="593">
        <f t="shared" ca="1" si="22"/>
        <v>0</v>
      </c>
      <c r="O227" s="594" t="str">
        <f ca="1">IFERROR(N227/R224,"-")</f>
        <v>-</v>
      </c>
      <c r="P227" s="595">
        <f ca="1">SUMIFS($N:$N,$G:$G,G227,$I:$I,H227)</f>
        <v>0</v>
      </c>
      <c r="Q227" s="547" t="str">
        <f ca="1">IFERROR(P227/R224,"-")</f>
        <v>-</v>
      </c>
      <c r="R227" s="584"/>
      <c r="S227" s="596">
        <f ca="1">SUMIFS('Water Use Calcs'!$W:$W,'Water Use Calcs'!$D:$D,'End Uses'!D227,'Water Use Calcs'!$G:$G,'End Uses'!G227,'Water Use Calcs'!$I:$I,'End Uses'!I227,'Water Use Calcs'!$J:$J,'End Uses'!J227)</f>
        <v>0</v>
      </c>
      <c r="T227" s="597">
        <f t="shared" ca="1" si="12"/>
        <v>0</v>
      </c>
      <c r="U227" s="594" t="str">
        <f ca="1">IFERROR(T227/X224,"-")</f>
        <v>-</v>
      </c>
      <c r="V227" s="595">
        <f ca="1">SUMIFS($T:$T,$G:$G,G227,$I:$I,H227)</f>
        <v>0</v>
      </c>
      <c r="W227" s="547" t="str">
        <f ca="1">IFERROR(V227/X224,"-")</f>
        <v>-</v>
      </c>
      <c r="X227" s="584"/>
    </row>
    <row r="228" spans="3:24" s="45" customFormat="1" ht="13.2" customHeight="1" x14ac:dyDescent="0.3">
      <c r="C228" s="576"/>
      <c r="D228" s="493" t="s">
        <v>13</v>
      </c>
      <c r="E228" s="494"/>
      <c r="F228" s="636"/>
      <c r="G228" s="494" t="s">
        <v>92</v>
      </c>
      <c r="H228" s="577"/>
      <c r="I228" s="450" t="s">
        <v>8</v>
      </c>
      <c r="J228" s="577" t="s">
        <v>53</v>
      </c>
      <c r="K228" s="439" t="s">
        <v>363</v>
      </c>
      <c r="L228" s="578">
        <f>SUMIFS('Airport Statistics'!$G:$G,'Airport Statistics'!$D:$D,G228,'Airport Statistics'!$F:$F,K228)</f>
        <v>0</v>
      </c>
      <c r="M228" s="579">
        <f ca="1">SUMIFS('Water Use Calcs'!$V:$V,'Water Use Calcs'!$D:$D,'End Uses'!D228,'Water Use Calcs'!$G:$G,'End Uses'!G228,'Water Use Calcs'!$I:$I,'End Uses'!I228,'Water Use Calcs'!$J:$J,'End Uses'!J228)</f>
        <v>0</v>
      </c>
      <c r="N228" s="580">
        <f t="shared" ca="1" si="22"/>
        <v>0</v>
      </c>
      <c r="O228" s="581" t="str">
        <f ca="1">IFERROR(N228/R224,"-")</f>
        <v>-</v>
      </c>
      <c r="P228" s="582"/>
      <c r="Q228" s="548"/>
      <c r="R228" s="584"/>
      <c r="S228" s="585">
        <f ca="1">SUMIFS('Water Use Calcs'!$W:$W,'Water Use Calcs'!$D:$D,'End Uses'!D228,'Water Use Calcs'!$G:$G,'End Uses'!G228,'Water Use Calcs'!$I:$I,'End Uses'!I228,'Water Use Calcs'!$J:$J,'End Uses'!J228)</f>
        <v>0</v>
      </c>
      <c r="T228" s="586">
        <f t="shared" ca="1" si="12"/>
        <v>0</v>
      </c>
      <c r="U228" s="581" t="str">
        <f ca="1">IFERROR(T228/X224,"-")</f>
        <v>-</v>
      </c>
      <c r="V228" s="582"/>
      <c r="W228" s="548"/>
      <c r="X228" s="584"/>
    </row>
    <row r="229" spans="3:24" s="45" customFormat="1" ht="13.2" customHeight="1" thickBot="1" x14ac:dyDescent="0.35">
      <c r="C229" s="576"/>
      <c r="D229" s="493" t="s">
        <v>13</v>
      </c>
      <c r="E229" s="494"/>
      <c r="F229" s="636"/>
      <c r="G229" s="501" t="s">
        <v>92</v>
      </c>
      <c r="H229" s="116"/>
      <c r="I229" s="451" t="s">
        <v>8</v>
      </c>
      <c r="J229" s="116" t="s">
        <v>54</v>
      </c>
      <c r="K229" s="606" t="s">
        <v>364</v>
      </c>
      <c r="L229" s="607">
        <f>SUMIFS('Airport Statistics'!$G:$G,'Airport Statistics'!$D:$D,G229,'Airport Statistics'!$F:$F,K229)</f>
        <v>0</v>
      </c>
      <c r="M229" s="608">
        <f ca="1">SUMIFS('Water Use Calcs'!$V:$V,'Water Use Calcs'!$D:$D,'End Uses'!D229,'Water Use Calcs'!$G:$G,'End Uses'!G229,'Water Use Calcs'!$I:$I,'End Uses'!I229,'Water Use Calcs'!$J:$J,'End Uses'!J229)</f>
        <v>0</v>
      </c>
      <c r="N229" s="609">
        <f t="shared" ca="1" si="22"/>
        <v>0</v>
      </c>
      <c r="O229" s="616" t="str">
        <f ca="1">IFERROR(N229/R224,"-")</f>
        <v>-</v>
      </c>
      <c r="P229" s="637"/>
      <c r="Q229" s="551"/>
      <c r="R229" s="613"/>
      <c r="S229" s="614">
        <f ca="1">SUMIFS('Water Use Calcs'!$W:$W,'Water Use Calcs'!$D:$D,'End Uses'!D229,'Water Use Calcs'!$G:$G,'End Uses'!G229,'Water Use Calcs'!$I:$I,'End Uses'!I229,'Water Use Calcs'!$J:$J,'End Uses'!J229)</f>
        <v>0</v>
      </c>
      <c r="T229" s="615">
        <f t="shared" ca="1" si="12"/>
        <v>0</v>
      </c>
      <c r="U229" s="616" t="str">
        <f ca="1">IFERROR(T229/X224,"-")</f>
        <v>-</v>
      </c>
      <c r="V229" s="637"/>
      <c r="W229" s="551"/>
      <c r="X229" s="613"/>
    </row>
    <row r="230" spans="3:24" s="45" customFormat="1" ht="13.2" customHeight="1" x14ac:dyDescent="0.3">
      <c r="C230" s="576"/>
      <c r="D230" s="493" t="s">
        <v>13</v>
      </c>
      <c r="E230" s="617" t="str">
        <f>G230</f>
        <v>Parking C</v>
      </c>
      <c r="F230" s="565" t="str">
        <f>VLOOKUP(E230,'Airport Mapping'!$C$5:$D$39,2,FALSE)</f>
        <v xml:space="preserve"> </v>
      </c>
      <c r="G230" s="566" t="s">
        <v>93</v>
      </c>
      <c r="H230" s="564" t="str">
        <f>I230</f>
        <v>Landscaping</v>
      </c>
      <c r="I230" s="454" t="s">
        <v>39</v>
      </c>
      <c r="J230" s="567" t="s">
        <v>42</v>
      </c>
      <c r="K230" s="52" t="s">
        <v>120</v>
      </c>
      <c r="L230" s="568">
        <f>SUMIFS('Airport Statistics'!$G:$G,'Airport Statistics'!$D:$D,G230,'Airport Statistics'!$F:$F,K230)</f>
        <v>0</v>
      </c>
      <c r="M230" s="569">
        <f ca="1">SUMIFS('Water Use Calcs'!$V:$V,'Water Use Calcs'!$D:$D,'End Uses'!D230,'Water Use Calcs'!$G:$G,'End Uses'!G230,'Water Use Calcs'!$I:$I,'End Uses'!I230,'Water Use Calcs'!$J:$J,'End Uses'!J230)</f>
        <v>0</v>
      </c>
      <c r="N230" s="570">
        <f t="shared" ca="1" si="22"/>
        <v>0</v>
      </c>
      <c r="O230" s="571" t="str">
        <f ca="1">IFERROR(N230/R230,"-")</f>
        <v>-</v>
      </c>
      <c r="P230" s="572">
        <f ca="1">SUMIFS($N:$N,$G:$G,G230,$I:$I,H230)</f>
        <v>0</v>
      </c>
      <c r="Q230" s="546" t="str">
        <f ca="1">IFERROR(P230/R230,"-")</f>
        <v>-</v>
      </c>
      <c r="R230" s="573">
        <f ca="1">SUMIFS($N:$N,$G:$G,G230)</f>
        <v>0</v>
      </c>
      <c r="S230" s="574">
        <f ca="1">SUMIFS('Water Use Calcs'!$W:$W,'Water Use Calcs'!$D:$D,'End Uses'!D230,'Water Use Calcs'!$G:$G,'End Uses'!G230,'Water Use Calcs'!$I:$I,'End Uses'!I230,'Water Use Calcs'!$J:$J,'End Uses'!J230)</f>
        <v>0</v>
      </c>
      <c r="T230" s="575">
        <f t="shared" ca="1" si="12"/>
        <v>0</v>
      </c>
      <c r="U230" s="571" t="str">
        <f ca="1">IFERROR(T230/X230,"-")</f>
        <v>-</v>
      </c>
      <c r="V230" s="572">
        <f ca="1">SUMIFS($T:$T,$G:$G,G230,$I:$I,H230)</f>
        <v>0</v>
      </c>
      <c r="W230" s="546" t="str">
        <f ca="1">IFERROR(V230/X230,"-")</f>
        <v>-</v>
      </c>
      <c r="X230" s="573">
        <f ca="1">SUMIFS($T:$T,$G:$G,G230)</f>
        <v>0</v>
      </c>
    </row>
    <row r="231" spans="3:24" x14ac:dyDescent="0.3">
      <c r="C231" s="576"/>
      <c r="D231" s="493" t="s">
        <v>13</v>
      </c>
      <c r="E231" s="494"/>
      <c r="F231" s="636"/>
      <c r="G231" s="494" t="s">
        <v>93</v>
      </c>
      <c r="H231" s="588" t="str">
        <f>I231</f>
        <v>Maintenance</v>
      </c>
      <c r="I231" s="455" t="s">
        <v>43</v>
      </c>
      <c r="J231" s="589" t="s">
        <v>9</v>
      </c>
      <c r="K231" s="19" t="s">
        <v>123</v>
      </c>
      <c r="L231" s="591">
        <f>SUMIFS('Airport Statistics'!$G:$G,'Airport Statistics'!$D:$D,G231,'Airport Statistics'!$F:$F,K231)</f>
        <v>0</v>
      </c>
      <c r="M231" s="592">
        <f ca="1">SUMIFS('Water Use Calcs'!$V:$V,'Water Use Calcs'!$D:$D,'End Uses'!D231,'Water Use Calcs'!$G:$G,'End Uses'!G231,'Water Use Calcs'!$I:$I,'End Uses'!I231,'Water Use Calcs'!$J:$J,'End Uses'!J231)</f>
        <v>0</v>
      </c>
      <c r="N231" s="593">
        <f t="shared" ca="1" si="22"/>
        <v>0</v>
      </c>
      <c r="O231" s="594" t="str">
        <f ca="1">IFERROR(N231/R230,"-")</f>
        <v>-</v>
      </c>
      <c r="P231" s="595">
        <f ca="1">SUMIFS($N:$N,$G:$G,G231,$I:$I,H231)</f>
        <v>0</v>
      </c>
      <c r="Q231" s="547" t="str">
        <f ca="1">IFERROR(P231/R230,"-")</f>
        <v>-</v>
      </c>
      <c r="R231" s="584"/>
      <c r="S231" s="596">
        <f ca="1">SUMIFS('Water Use Calcs'!$W:$W,'Water Use Calcs'!$D:$D,'End Uses'!D231,'Water Use Calcs'!$G:$G,'End Uses'!G231,'Water Use Calcs'!$I:$I,'End Uses'!I231,'Water Use Calcs'!$J:$J,'End Uses'!J231)</f>
        <v>0</v>
      </c>
      <c r="T231" s="597">
        <f t="shared" ca="1" si="12"/>
        <v>0</v>
      </c>
      <c r="U231" s="594" t="str">
        <f ca="1">IFERROR(T231/X230,"-")</f>
        <v>-</v>
      </c>
      <c r="V231" s="595">
        <f ca="1">SUMIFS($T:$T,$G:$G,G231,$I:$I,H231)</f>
        <v>0</v>
      </c>
      <c r="W231" s="547" t="str">
        <f ca="1">IFERROR(V231/X230,"-")</f>
        <v>-</v>
      </c>
      <c r="X231" s="584"/>
    </row>
    <row r="232" spans="3:24" x14ac:dyDescent="0.3">
      <c r="C232" s="576"/>
      <c r="D232" s="493" t="s">
        <v>13</v>
      </c>
      <c r="E232" s="494"/>
      <c r="F232" s="636"/>
      <c r="G232" s="494" t="s">
        <v>93</v>
      </c>
      <c r="H232" s="577"/>
      <c r="I232" s="450" t="s">
        <v>43</v>
      </c>
      <c r="J232" s="577" t="s">
        <v>426</v>
      </c>
      <c r="K232" s="635" t="s">
        <v>123</v>
      </c>
      <c r="L232" s="578">
        <f>SUMIFS('Airport Statistics'!$G:$G,'Airport Statistics'!$D:$D,G232,'Airport Statistics'!$F:$F,K232)</f>
        <v>0</v>
      </c>
      <c r="M232" s="579">
        <f ca="1">SUMIFS('Water Use Calcs'!$V:$V,'Water Use Calcs'!$D:$D,'End Uses'!D232,'Water Use Calcs'!$G:$G,'End Uses'!G232,'Water Use Calcs'!$I:$I,'End Uses'!I232,'Water Use Calcs'!$J:$J,'End Uses'!J232)</f>
        <v>0</v>
      </c>
      <c r="N232" s="580">
        <f t="shared" ca="1" si="22"/>
        <v>0</v>
      </c>
      <c r="O232" s="581" t="str">
        <f ca="1">IFERROR(N232/R230,"-")</f>
        <v>-</v>
      </c>
      <c r="P232" s="582"/>
      <c r="Q232" s="583"/>
      <c r="R232" s="584"/>
      <c r="S232" s="585">
        <f ca="1">SUMIFS('Water Use Calcs'!$W:$W,'Water Use Calcs'!$D:$D,'End Uses'!D232,'Water Use Calcs'!$G:$G,'End Uses'!G232,'Water Use Calcs'!$I:$I,'End Uses'!I232,'Water Use Calcs'!$J:$J,'End Uses'!J232)</f>
        <v>0</v>
      </c>
      <c r="T232" s="586">
        <f t="shared" ca="1" si="12"/>
        <v>0</v>
      </c>
      <c r="U232" s="581" t="str">
        <f ca="1">IFERROR(T232/X230,"-")</f>
        <v>-</v>
      </c>
      <c r="V232" s="582"/>
      <c r="W232" s="583"/>
      <c r="X232" s="584"/>
    </row>
    <row r="233" spans="3:24" x14ac:dyDescent="0.3">
      <c r="C233" s="576"/>
      <c r="D233" s="493" t="s">
        <v>13</v>
      </c>
      <c r="E233" s="494"/>
      <c r="F233" s="636"/>
      <c r="G233" s="494" t="s">
        <v>93</v>
      </c>
      <c r="H233" s="588" t="str">
        <f>I233</f>
        <v>Other</v>
      </c>
      <c r="I233" s="455" t="s">
        <v>8</v>
      </c>
      <c r="J233" s="589" t="s">
        <v>52</v>
      </c>
      <c r="K233" s="602" t="s">
        <v>362</v>
      </c>
      <c r="L233" s="591">
        <f>SUMIFS('Airport Statistics'!$G:$G,'Airport Statistics'!$D:$D,G233,'Airport Statistics'!$F:$F,K233)</f>
        <v>0</v>
      </c>
      <c r="M233" s="592">
        <f ca="1">SUMIFS('Water Use Calcs'!$V:$V,'Water Use Calcs'!$D:$D,'End Uses'!D233,'Water Use Calcs'!$G:$G,'End Uses'!G233,'Water Use Calcs'!$I:$I,'End Uses'!I233,'Water Use Calcs'!$J:$J,'End Uses'!J233)</f>
        <v>0</v>
      </c>
      <c r="N233" s="593">
        <f t="shared" ca="1" si="22"/>
        <v>0</v>
      </c>
      <c r="O233" s="594" t="str">
        <f ca="1">IFERROR(N233/R230,"-")</f>
        <v>-</v>
      </c>
      <c r="P233" s="595">
        <f ca="1">SUMIFS($N:$N,$G:$G,G233,$I:$I,H233)</f>
        <v>0</v>
      </c>
      <c r="Q233" s="547" t="str">
        <f ca="1">IFERROR(P233/R230,"-")</f>
        <v>-</v>
      </c>
      <c r="R233" s="584"/>
      <c r="S233" s="596">
        <f ca="1">SUMIFS('Water Use Calcs'!$W:$W,'Water Use Calcs'!$D:$D,'End Uses'!D233,'Water Use Calcs'!$G:$G,'End Uses'!G233,'Water Use Calcs'!$I:$I,'End Uses'!I233,'Water Use Calcs'!$J:$J,'End Uses'!J233)</f>
        <v>0</v>
      </c>
      <c r="T233" s="597">
        <f t="shared" ca="1" si="12"/>
        <v>0</v>
      </c>
      <c r="U233" s="594" t="str">
        <f ca="1">IFERROR(T233/X230,"-")</f>
        <v>-</v>
      </c>
      <c r="V233" s="595">
        <f ca="1">SUMIFS($T:$T,$G:$G,G233,$I:$I,H233)</f>
        <v>0</v>
      </c>
      <c r="W233" s="547" t="str">
        <f ca="1">IFERROR(V233/X230,"-")</f>
        <v>-</v>
      </c>
      <c r="X233" s="584"/>
    </row>
    <row r="234" spans="3:24" s="45" customFormat="1" ht="13.2" customHeight="1" x14ac:dyDescent="0.3">
      <c r="C234" s="576"/>
      <c r="D234" s="493" t="s">
        <v>13</v>
      </c>
      <c r="E234" s="494"/>
      <c r="F234" s="636"/>
      <c r="G234" s="494" t="s">
        <v>93</v>
      </c>
      <c r="H234" s="577"/>
      <c r="I234" s="450" t="s">
        <v>8</v>
      </c>
      <c r="J234" s="577" t="s">
        <v>53</v>
      </c>
      <c r="K234" s="439" t="s">
        <v>363</v>
      </c>
      <c r="L234" s="578">
        <f>SUMIFS('Airport Statistics'!$G:$G,'Airport Statistics'!$D:$D,G234,'Airport Statistics'!$F:$F,K234)</f>
        <v>0</v>
      </c>
      <c r="M234" s="579">
        <f ca="1">SUMIFS('Water Use Calcs'!$V:$V,'Water Use Calcs'!$D:$D,'End Uses'!D234,'Water Use Calcs'!$G:$G,'End Uses'!G234,'Water Use Calcs'!$I:$I,'End Uses'!I234,'Water Use Calcs'!$J:$J,'End Uses'!J234)</f>
        <v>0</v>
      </c>
      <c r="N234" s="580">
        <f t="shared" ca="1" si="22"/>
        <v>0</v>
      </c>
      <c r="O234" s="581" t="str">
        <f ca="1">IFERROR(N234/R230,"-")</f>
        <v>-</v>
      </c>
      <c r="P234" s="582"/>
      <c r="Q234" s="548"/>
      <c r="R234" s="584"/>
      <c r="S234" s="585">
        <f ca="1">SUMIFS('Water Use Calcs'!$W:$W,'Water Use Calcs'!$D:$D,'End Uses'!D234,'Water Use Calcs'!$G:$G,'End Uses'!G234,'Water Use Calcs'!$I:$I,'End Uses'!I234,'Water Use Calcs'!$J:$J,'End Uses'!J234)</f>
        <v>0</v>
      </c>
      <c r="T234" s="586">
        <f t="shared" ca="1" si="12"/>
        <v>0</v>
      </c>
      <c r="U234" s="581" t="str">
        <f ca="1">IFERROR(T234/X230,"-")</f>
        <v>-</v>
      </c>
      <c r="V234" s="582"/>
      <c r="W234" s="548"/>
      <c r="X234" s="584"/>
    </row>
    <row r="235" spans="3:24" s="45" customFormat="1" ht="13.2" customHeight="1" thickBot="1" x14ac:dyDescent="0.35">
      <c r="C235" s="576"/>
      <c r="D235" s="493" t="s">
        <v>13</v>
      </c>
      <c r="E235" s="494"/>
      <c r="F235" s="636"/>
      <c r="G235" s="501" t="s">
        <v>93</v>
      </c>
      <c r="H235" s="116"/>
      <c r="I235" s="451" t="s">
        <v>8</v>
      </c>
      <c r="J235" s="116" t="s">
        <v>54</v>
      </c>
      <c r="K235" s="606" t="s">
        <v>364</v>
      </c>
      <c r="L235" s="607">
        <f>SUMIFS('Airport Statistics'!$G:$G,'Airport Statistics'!$D:$D,G235,'Airport Statistics'!$F:$F,K235)</f>
        <v>0</v>
      </c>
      <c r="M235" s="608">
        <f ca="1">SUMIFS('Water Use Calcs'!$V:$V,'Water Use Calcs'!$D:$D,'End Uses'!D235,'Water Use Calcs'!$G:$G,'End Uses'!G235,'Water Use Calcs'!$I:$I,'End Uses'!I235,'Water Use Calcs'!$J:$J,'End Uses'!J235)</f>
        <v>0</v>
      </c>
      <c r="N235" s="609">
        <f t="shared" ca="1" si="22"/>
        <v>0</v>
      </c>
      <c r="O235" s="616" t="str">
        <f ca="1">IFERROR(N235/R230,"-")</f>
        <v>-</v>
      </c>
      <c r="P235" s="637"/>
      <c r="Q235" s="551"/>
      <c r="R235" s="613"/>
      <c r="S235" s="614">
        <f ca="1">SUMIFS('Water Use Calcs'!$W:$W,'Water Use Calcs'!$D:$D,'End Uses'!D235,'Water Use Calcs'!$G:$G,'End Uses'!G235,'Water Use Calcs'!$I:$I,'End Uses'!I235,'Water Use Calcs'!$J:$J,'End Uses'!J235)</f>
        <v>0</v>
      </c>
      <c r="T235" s="615">
        <f t="shared" ca="1" si="12"/>
        <v>0</v>
      </c>
      <c r="U235" s="616" t="str">
        <f ca="1">IFERROR(T235/X230,"-")</f>
        <v>-</v>
      </c>
      <c r="V235" s="637"/>
      <c r="W235" s="551"/>
      <c r="X235" s="613"/>
    </row>
    <row r="236" spans="3:24" s="45" customFormat="1" ht="13.2" customHeight="1" x14ac:dyDescent="0.3">
      <c r="C236" s="576"/>
      <c r="D236" s="493" t="s">
        <v>13</v>
      </c>
      <c r="E236" s="617" t="str">
        <f>G236</f>
        <v>Parking D</v>
      </c>
      <c r="F236" s="565" t="str">
        <f>VLOOKUP(E236,'Airport Mapping'!$C$5:$D$39,2,FALSE)</f>
        <v xml:space="preserve"> </v>
      </c>
      <c r="G236" s="566" t="s">
        <v>94</v>
      </c>
      <c r="H236" s="564" t="str">
        <f>I236</f>
        <v>Landscaping</v>
      </c>
      <c r="I236" s="454" t="s">
        <v>39</v>
      </c>
      <c r="J236" s="567" t="s">
        <v>42</v>
      </c>
      <c r="K236" s="52" t="s">
        <v>120</v>
      </c>
      <c r="L236" s="568">
        <f>SUMIFS('Airport Statistics'!$G:$G,'Airport Statistics'!$D:$D,G236,'Airport Statistics'!$F:$F,K236)</f>
        <v>0</v>
      </c>
      <c r="M236" s="569">
        <f ca="1">SUMIFS('Water Use Calcs'!$V:$V,'Water Use Calcs'!$D:$D,'End Uses'!D236,'Water Use Calcs'!$G:$G,'End Uses'!G236,'Water Use Calcs'!$I:$I,'End Uses'!I236,'Water Use Calcs'!$J:$J,'End Uses'!J236)</f>
        <v>0</v>
      </c>
      <c r="N236" s="570">
        <f t="shared" ca="1" si="22"/>
        <v>0</v>
      </c>
      <c r="O236" s="571" t="str">
        <f ca="1">IFERROR(N236/R236,"-")</f>
        <v>-</v>
      </c>
      <c r="P236" s="572">
        <f ca="1">SUMIFS($N:$N,$G:$G,G236,$I:$I,H236)</f>
        <v>0</v>
      </c>
      <c r="Q236" s="546" t="str">
        <f ca="1">IFERROR(P236/R236,"-")</f>
        <v>-</v>
      </c>
      <c r="R236" s="573">
        <f ca="1">SUMIFS($N:$N,$G:$G,G236)</f>
        <v>0</v>
      </c>
      <c r="S236" s="574">
        <f ca="1">SUMIFS('Water Use Calcs'!$W:$W,'Water Use Calcs'!$D:$D,'End Uses'!D236,'Water Use Calcs'!$G:$G,'End Uses'!G236,'Water Use Calcs'!$I:$I,'End Uses'!I236,'Water Use Calcs'!$J:$J,'End Uses'!J236)</f>
        <v>0</v>
      </c>
      <c r="T236" s="575">
        <f t="shared" ca="1" si="12"/>
        <v>0</v>
      </c>
      <c r="U236" s="571" t="str">
        <f ca="1">IFERROR(T236/X236,"-")</f>
        <v>-</v>
      </c>
      <c r="V236" s="572">
        <f ca="1">SUMIFS($T:$T,$G:$G,G236,$I:$I,H236)</f>
        <v>0</v>
      </c>
      <c r="W236" s="546" t="str">
        <f ca="1">IFERROR(V236/X236,"-")</f>
        <v>-</v>
      </c>
      <c r="X236" s="573">
        <f ca="1">SUMIFS($T:$T,$G:$G,G236)</f>
        <v>0</v>
      </c>
    </row>
    <row r="237" spans="3:24" x14ac:dyDescent="0.3">
      <c r="C237" s="576"/>
      <c r="D237" s="493" t="s">
        <v>13</v>
      </c>
      <c r="E237" s="494"/>
      <c r="F237" s="636"/>
      <c r="G237" s="494" t="s">
        <v>94</v>
      </c>
      <c r="H237" s="588" t="str">
        <f>I237</f>
        <v>Maintenance</v>
      </c>
      <c r="I237" s="455" t="s">
        <v>43</v>
      </c>
      <c r="J237" s="589" t="s">
        <v>9</v>
      </c>
      <c r="K237" s="19" t="s">
        <v>123</v>
      </c>
      <c r="L237" s="591">
        <f>SUMIFS('Airport Statistics'!$G:$G,'Airport Statistics'!$D:$D,G237,'Airport Statistics'!$F:$F,K237)</f>
        <v>0</v>
      </c>
      <c r="M237" s="592">
        <f ca="1">SUMIFS('Water Use Calcs'!$V:$V,'Water Use Calcs'!$D:$D,'End Uses'!D237,'Water Use Calcs'!$G:$G,'End Uses'!G237,'Water Use Calcs'!$I:$I,'End Uses'!I237,'Water Use Calcs'!$J:$J,'End Uses'!J237)</f>
        <v>0</v>
      </c>
      <c r="N237" s="593">
        <f t="shared" ca="1" si="22"/>
        <v>0</v>
      </c>
      <c r="O237" s="594" t="str">
        <f ca="1">IFERROR(N237/R236,"-")</f>
        <v>-</v>
      </c>
      <c r="P237" s="595">
        <f ca="1">SUMIFS($N:$N,$G:$G,G237,$I:$I,H237)</f>
        <v>0</v>
      </c>
      <c r="Q237" s="547" t="str">
        <f ca="1">IFERROR(P237/R236,"-")</f>
        <v>-</v>
      </c>
      <c r="R237" s="584"/>
      <c r="S237" s="596">
        <f ca="1">SUMIFS('Water Use Calcs'!$W:$W,'Water Use Calcs'!$D:$D,'End Uses'!D237,'Water Use Calcs'!$G:$G,'End Uses'!G237,'Water Use Calcs'!$I:$I,'End Uses'!I237,'Water Use Calcs'!$J:$J,'End Uses'!J237)</f>
        <v>0</v>
      </c>
      <c r="T237" s="597">
        <f t="shared" ca="1" si="12"/>
        <v>0</v>
      </c>
      <c r="U237" s="594" t="str">
        <f ca="1">IFERROR(T237/X236,"-")</f>
        <v>-</v>
      </c>
      <c r="V237" s="595">
        <f ca="1">SUMIFS($T:$T,$G:$G,G237,$I:$I,H237)</f>
        <v>0</v>
      </c>
      <c r="W237" s="547" t="str">
        <f ca="1">IFERROR(V237/X236,"-")</f>
        <v>-</v>
      </c>
      <c r="X237" s="584"/>
    </row>
    <row r="238" spans="3:24" x14ac:dyDescent="0.3">
      <c r="C238" s="576"/>
      <c r="D238" s="493" t="s">
        <v>13</v>
      </c>
      <c r="E238" s="494"/>
      <c r="F238" s="636"/>
      <c r="G238" s="494" t="s">
        <v>94</v>
      </c>
      <c r="H238" s="577"/>
      <c r="I238" s="450" t="s">
        <v>43</v>
      </c>
      <c r="J238" s="577" t="s">
        <v>426</v>
      </c>
      <c r="K238" s="635" t="s">
        <v>123</v>
      </c>
      <c r="L238" s="578">
        <f>SUMIFS('Airport Statistics'!$G:$G,'Airport Statistics'!$D:$D,G238,'Airport Statistics'!$F:$F,K238)</f>
        <v>0</v>
      </c>
      <c r="M238" s="579">
        <f ca="1">SUMIFS('Water Use Calcs'!$V:$V,'Water Use Calcs'!$D:$D,'End Uses'!D238,'Water Use Calcs'!$G:$G,'End Uses'!G238,'Water Use Calcs'!$I:$I,'End Uses'!I238,'Water Use Calcs'!$J:$J,'End Uses'!J238)</f>
        <v>0</v>
      </c>
      <c r="N238" s="580">
        <f t="shared" ca="1" si="22"/>
        <v>0</v>
      </c>
      <c r="O238" s="581" t="str">
        <f ca="1">IFERROR(N238/R236,"-")</f>
        <v>-</v>
      </c>
      <c r="P238" s="582"/>
      <c r="Q238" s="583"/>
      <c r="R238" s="584"/>
      <c r="S238" s="585">
        <f ca="1">SUMIFS('Water Use Calcs'!$W:$W,'Water Use Calcs'!$D:$D,'End Uses'!D238,'Water Use Calcs'!$G:$G,'End Uses'!G238,'Water Use Calcs'!$I:$I,'End Uses'!I238,'Water Use Calcs'!$J:$J,'End Uses'!J238)</f>
        <v>0</v>
      </c>
      <c r="T238" s="586">
        <f t="shared" ref="T238:T298" ca="1" si="23">L238*S238</f>
        <v>0</v>
      </c>
      <c r="U238" s="581" t="str">
        <f ca="1">IFERROR(T238/X236,"-")</f>
        <v>-</v>
      </c>
      <c r="V238" s="582"/>
      <c r="W238" s="583"/>
      <c r="X238" s="584"/>
    </row>
    <row r="239" spans="3:24" x14ac:dyDescent="0.3">
      <c r="C239" s="576"/>
      <c r="D239" s="493" t="s">
        <v>13</v>
      </c>
      <c r="E239" s="494"/>
      <c r="F239" s="636"/>
      <c r="G239" s="494" t="s">
        <v>94</v>
      </c>
      <c r="H239" s="588" t="str">
        <f>I239</f>
        <v>Other</v>
      </c>
      <c r="I239" s="455" t="s">
        <v>8</v>
      </c>
      <c r="J239" s="589" t="s">
        <v>52</v>
      </c>
      <c r="K239" s="602" t="s">
        <v>362</v>
      </c>
      <c r="L239" s="591">
        <f>SUMIFS('Airport Statistics'!$G:$G,'Airport Statistics'!$D:$D,G239,'Airport Statistics'!$F:$F,K239)</f>
        <v>0</v>
      </c>
      <c r="M239" s="592">
        <f ca="1">SUMIFS('Water Use Calcs'!$V:$V,'Water Use Calcs'!$D:$D,'End Uses'!D239,'Water Use Calcs'!$G:$G,'End Uses'!G239,'Water Use Calcs'!$I:$I,'End Uses'!I239,'Water Use Calcs'!$J:$J,'End Uses'!J239)</f>
        <v>0</v>
      </c>
      <c r="N239" s="593">
        <f t="shared" ca="1" si="22"/>
        <v>0</v>
      </c>
      <c r="O239" s="594" t="str">
        <f ca="1">IFERROR(N239/R236,"-")</f>
        <v>-</v>
      </c>
      <c r="P239" s="595">
        <f ca="1">SUMIFS($N:$N,$G:$G,G239,$I:$I,H239)</f>
        <v>0</v>
      </c>
      <c r="Q239" s="547" t="str">
        <f ca="1">IFERROR(P239/R236,"-")</f>
        <v>-</v>
      </c>
      <c r="R239" s="584"/>
      <c r="S239" s="596">
        <f ca="1">SUMIFS('Water Use Calcs'!$W:$W,'Water Use Calcs'!$D:$D,'End Uses'!D239,'Water Use Calcs'!$G:$G,'End Uses'!G239,'Water Use Calcs'!$I:$I,'End Uses'!I239,'Water Use Calcs'!$J:$J,'End Uses'!J239)</f>
        <v>0</v>
      </c>
      <c r="T239" s="597">
        <f t="shared" ca="1" si="23"/>
        <v>0</v>
      </c>
      <c r="U239" s="594" t="str">
        <f ca="1">IFERROR(T239/X236,"-")</f>
        <v>-</v>
      </c>
      <c r="V239" s="595">
        <f ca="1">SUMIFS($T:$T,$G:$G,G239,$I:$I,H239)</f>
        <v>0</v>
      </c>
      <c r="W239" s="547" t="str">
        <f ca="1">IFERROR(V239/X236,"-")</f>
        <v>-</v>
      </c>
      <c r="X239" s="584"/>
    </row>
    <row r="240" spans="3:24" s="45" customFormat="1" ht="13.2" customHeight="1" x14ac:dyDescent="0.3">
      <c r="C240" s="576"/>
      <c r="D240" s="493" t="s">
        <v>13</v>
      </c>
      <c r="E240" s="494"/>
      <c r="F240" s="636"/>
      <c r="G240" s="494" t="s">
        <v>94</v>
      </c>
      <c r="H240" s="577"/>
      <c r="I240" s="450" t="s">
        <v>8</v>
      </c>
      <c r="J240" s="577" t="s">
        <v>53</v>
      </c>
      <c r="K240" s="439" t="s">
        <v>363</v>
      </c>
      <c r="L240" s="578">
        <f>SUMIFS('Airport Statistics'!$G:$G,'Airport Statistics'!$D:$D,G240,'Airport Statistics'!$F:$F,K240)</f>
        <v>0</v>
      </c>
      <c r="M240" s="579">
        <f ca="1">SUMIFS('Water Use Calcs'!$V:$V,'Water Use Calcs'!$D:$D,'End Uses'!D240,'Water Use Calcs'!$G:$G,'End Uses'!G240,'Water Use Calcs'!$I:$I,'End Uses'!I240,'Water Use Calcs'!$J:$J,'End Uses'!J240)</f>
        <v>0</v>
      </c>
      <c r="N240" s="580">
        <f t="shared" ca="1" si="22"/>
        <v>0</v>
      </c>
      <c r="O240" s="581" t="str">
        <f ca="1">IFERROR(N240/R236,"-")</f>
        <v>-</v>
      </c>
      <c r="P240" s="582"/>
      <c r="Q240" s="548"/>
      <c r="R240" s="584"/>
      <c r="S240" s="585">
        <f ca="1">SUMIFS('Water Use Calcs'!$W:$W,'Water Use Calcs'!$D:$D,'End Uses'!D240,'Water Use Calcs'!$G:$G,'End Uses'!G240,'Water Use Calcs'!$I:$I,'End Uses'!I240,'Water Use Calcs'!$J:$J,'End Uses'!J240)</f>
        <v>0</v>
      </c>
      <c r="T240" s="586">
        <f t="shared" ca="1" si="23"/>
        <v>0</v>
      </c>
      <c r="U240" s="581" t="str">
        <f ca="1">IFERROR(T240/X236,"-")</f>
        <v>-</v>
      </c>
      <c r="V240" s="582"/>
      <c r="W240" s="548"/>
      <c r="X240" s="584"/>
    </row>
    <row r="241" spans="3:24" s="45" customFormat="1" ht="13.2" customHeight="1" thickBot="1" x14ac:dyDescent="0.35">
      <c r="C241" s="576"/>
      <c r="D241" s="493" t="s">
        <v>13</v>
      </c>
      <c r="E241" s="494"/>
      <c r="F241" s="636"/>
      <c r="G241" s="501" t="s">
        <v>94</v>
      </c>
      <c r="H241" s="116"/>
      <c r="I241" s="451" t="s">
        <v>8</v>
      </c>
      <c r="J241" s="116" t="s">
        <v>54</v>
      </c>
      <c r="K241" s="606" t="s">
        <v>364</v>
      </c>
      <c r="L241" s="607">
        <f>SUMIFS('Airport Statistics'!$G:$G,'Airport Statistics'!$D:$D,G241,'Airport Statistics'!$F:$F,K241)</f>
        <v>0</v>
      </c>
      <c r="M241" s="608">
        <f ca="1">SUMIFS('Water Use Calcs'!$V:$V,'Water Use Calcs'!$D:$D,'End Uses'!D241,'Water Use Calcs'!$G:$G,'End Uses'!G241,'Water Use Calcs'!$I:$I,'End Uses'!I241,'Water Use Calcs'!$J:$J,'End Uses'!J241)</f>
        <v>0</v>
      </c>
      <c r="N241" s="609">
        <f t="shared" ca="1" si="22"/>
        <v>0</v>
      </c>
      <c r="O241" s="616" t="str">
        <f ca="1">IFERROR(N241/R236,"-")</f>
        <v>-</v>
      </c>
      <c r="P241" s="637"/>
      <c r="Q241" s="551"/>
      <c r="R241" s="613"/>
      <c r="S241" s="614">
        <f ca="1">SUMIFS('Water Use Calcs'!$W:$W,'Water Use Calcs'!$D:$D,'End Uses'!D241,'Water Use Calcs'!$G:$G,'End Uses'!G241,'Water Use Calcs'!$I:$I,'End Uses'!I241,'Water Use Calcs'!$J:$J,'End Uses'!J241)</f>
        <v>0</v>
      </c>
      <c r="T241" s="615">
        <f t="shared" ca="1" si="23"/>
        <v>0</v>
      </c>
      <c r="U241" s="616" t="str">
        <f ca="1">IFERROR(T241/X236,"-")</f>
        <v>-</v>
      </c>
      <c r="V241" s="637"/>
      <c r="W241" s="551"/>
      <c r="X241" s="613"/>
    </row>
    <row r="242" spans="3:24" s="45" customFormat="1" ht="13.2" customHeight="1" x14ac:dyDescent="0.3">
      <c r="C242" s="576"/>
      <c r="D242" s="493" t="s">
        <v>13</v>
      </c>
      <c r="E242" s="617" t="str">
        <f>G242</f>
        <v>Parking E</v>
      </c>
      <c r="F242" s="565" t="str">
        <f>VLOOKUP(E242,'Airport Mapping'!$C$5:$D$39,2,FALSE)</f>
        <v xml:space="preserve"> </v>
      </c>
      <c r="G242" s="566" t="s">
        <v>95</v>
      </c>
      <c r="H242" s="564" t="str">
        <f>I242</f>
        <v>Landscaping</v>
      </c>
      <c r="I242" s="454" t="s">
        <v>39</v>
      </c>
      <c r="J242" s="567" t="s">
        <v>42</v>
      </c>
      <c r="K242" s="52" t="s">
        <v>120</v>
      </c>
      <c r="L242" s="568">
        <f>SUMIFS('Airport Statistics'!$G:$G,'Airport Statistics'!$D:$D,G242,'Airport Statistics'!$F:$F,K242)</f>
        <v>0</v>
      </c>
      <c r="M242" s="569">
        <f ca="1">SUMIFS('Water Use Calcs'!$V:$V,'Water Use Calcs'!$D:$D,'End Uses'!D242,'Water Use Calcs'!$G:$G,'End Uses'!G242,'Water Use Calcs'!$I:$I,'End Uses'!I242,'Water Use Calcs'!$J:$J,'End Uses'!J242)</f>
        <v>0</v>
      </c>
      <c r="N242" s="570">
        <f t="shared" ca="1" si="22"/>
        <v>0</v>
      </c>
      <c r="O242" s="571" t="str">
        <f ca="1">IFERROR(N242/R242,"-")</f>
        <v>-</v>
      </c>
      <c r="P242" s="572">
        <f ca="1">SUMIFS($N:$N,$G:$G,G242,$I:$I,H242)</f>
        <v>0</v>
      </c>
      <c r="Q242" s="546" t="str">
        <f ca="1">IFERROR(P242/R242,"-")</f>
        <v>-</v>
      </c>
      <c r="R242" s="573">
        <f ca="1">SUMIFS($N:$N,$G:$G,G242)</f>
        <v>0</v>
      </c>
      <c r="S242" s="574">
        <f ca="1">SUMIFS('Water Use Calcs'!$W:$W,'Water Use Calcs'!$D:$D,'End Uses'!D242,'Water Use Calcs'!$G:$G,'End Uses'!G242,'Water Use Calcs'!$I:$I,'End Uses'!I242,'Water Use Calcs'!$J:$J,'End Uses'!J242)</f>
        <v>0</v>
      </c>
      <c r="T242" s="575">
        <f t="shared" ca="1" si="23"/>
        <v>0</v>
      </c>
      <c r="U242" s="571" t="str">
        <f ca="1">IFERROR(T242/X242,"-")</f>
        <v>-</v>
      </c>
      <c r="V242" s="572">
        <f ca="1">SUMIFS($T:$T,$G:$G,G242,$I:$I,H242)</f>
        <v>0</v>
      </c>
      <c r="W242" s="546" t="str">
        <f ca="1">IFERROR(V242/X242,"-")</f>
        <v>-</v>
      </c>
      <c r="X242" s="573">
        <f ca="1">SUMIFS($T:$T,$G:$G,G242)</f>
        <v>0</v>
      </c>
    </row>
    <row r="243" spans="3:24" x14ac:dyDescent="0.3">
      <c r="C243" s="576"/>
      <c r="D243" s="493" t="s">
        <v>13</v>
      </c>
      <c r="E243" s="494"/>
      <c r="F243" s="636"/>
      <c r="G243" s="494" t="s">
        <v>95</v>
      </c>
      <c r="H243" s="588" t="str">
        <f>I243</f>
        <v>Maintenance</v>
      </c>
      <c r="I243" s="455" t="s">
        <v>43</v>
      </c>
      <c r="J243" s="589" t="s">
        <v>9</v>
      </c>
      <c r="K243" s="19" t="s">
        <v>123</v>
      </c>
      <c r="L243" s="591">
        <f>SUMIFS('Airport Statistics'!$G:$G,'Airport Statistics'!$D:$D,G243,'Airport Statistics'!$F:$F,K243)</f>
        <v>0</v>
      </c>
      <c r="M243" s="592">
        <f ca="1">SUMIFS('Water Use Calcs'!$V:$V,'Water Use Calcs'!$D:$D,'End Uses'!D243,'Water Use Calcs'!$G:$G,'End Uses'!G243,'Water Use Calcs'!$I:$I,'End Uses'!I243,'Water Use Calcs'!$J:$J,'End Uses'!J243)</f>
        <v>0</v>
      </c>
      <c r="N243" s="593">
        <f t="shared" ca="1" si="22"/>
        <v>0</v>
      </c>
      <c r="O243" s="594" t="str">
        <f ca="1">IFERROR(N243/R242,"-")</f>
        <v>-</v>
      </c>
      <c r="P243" s="595">
        <f ca="1">SUMIFS($N:$N,$G:$G,G243,$I:$I,H243)</f>
        <v>0</v>
      </c>
      <c r="Q243" s="547" t="str">
        <f ca="1">IFERROR(P243/R242,"-")</f>
        <v>-</v>
      </c>
      <c r="R243" s="584"/>
      <c r="S243" s="596">
        <f ca="1">SUMIFS('Water Use Calcs'!$W:$W,'Water Use Calcs'!$D:$D,'End Uses'!D243,'Water Use Calcs'!$G:$G,'End Uses'!G243,'Water Use Calcs'!$I:$I,'End Uses'!I243,'Water Use Calcs'!$J:$J,'End Uses'!J243)</f>
        <v>0</v>
      </c>
      <c r="T243" s="597">
        <f t="shared" ca="1" si="23"/>
        <v>0</v>
      </c>
      <c r="U243" s="594" t="str">
        <f ca="1">IFERROR(T243/X242,"-")</f>
        <v>-</v>
      </c>
      <c r="V243" s="595">
        <f ca="1">SUMIFS($T:$T,$G:$G,G243,$I:$I,H243)</f>
        <v>0</v>
      </c>
      <c r="W243" s="547" t="str">
        <f ca="1">IFERROR(V243/X242,"-")</f>
        <v>-</v>
      </c>
      <c r="X243" s="584"/>
    </row>
    <row r="244" spans="3:24" x14ac:dyDescent="0.3">
      <c r="C244" s="576"/>
      <c r="D244" s="493" t="s">
        <v>13</v>
      </c>
      <c r="E244" s="494"/>
      <c r="F244" s="636"/>
      <c r="G244" s="494" t="s">
        <v>95</v>
      </c>
      <c r="H244" s="577"/>
      <c r="I244" s="450" t="s">
        <v>43</v>
      </c>
      <c r="J244" s="577" t="s">
        <v>426</v>
      </c>
      <c r="K244" s="635" t="s">
        <v>123</v>
      </c>
      <c r="L244" s="578">
        <f>SUMIFS('Airport Statistics'!$G:$G,'Airport Statistics'!$D:$D,G244,'Airport Statistics'!$F:$F,K244)</f>
        <v>0</v>
      </c>
      <c r="M244" s="579">
        <f ca="1">SUMIFS('Water Use Calcs'!$V:$V,'Water Use Calcs'!$D:$D,'End Uses'!D244,'Water Use Calcs'!$G:$G,'End Uses'!G244,'Water Use Calcs'!$I:$I,'End Uses'!I244,'Water Use Calcs'!$J:$J,'End Uses'!J244)</f>
        <v>0</v>
      </c>
      <c r="N244" s="580">
        <f t="shared" ca="1" si="22"/>
        <v>0</v>
      </c>
      <c r="O244" s="581" t="str">
        <f ca="1">IFERROR(N244/R242,"-")</f>
        <v>-</v>
      </c>
      <c r="P244" s="582"/>
      <c r="Q244" s="583"/>
      <c r="R244" s="584"/>
      <c r="S244" s="585">
        <f ca="1">SUMIFS('Water Use Calcs'!$W:$W,'Water Use Calcs'!$D:$D,'End Uses'!D244,'Water Use Calcs'!$G:$G,'End Uses'!G244,'Water Use Calcs'!$I:$I,'End Uses'!I244,'Water Use Calcs'!$J:$J,'End Uses'!J244)</f>
        <v>0</v>
      </c>
      <c r="T244" s="586">
        <f t="shared" ca="1" si="23"/>
        <v>0</v>
      </c>
      <c r="U244" s="581" t="str">
        <f ca="1">IFERROR(T244/X242,"-")</f>
        <v>-</v>
      </c>
      <c r="V244" s="582"/>
      <c r="W244" s="583"/>
      <c r="X244" s="584"/>
    </row>
    <row r="245" spans="3:24" x14ac:dyDescent="0.3">
      <c r="C245" s="576"/>
      <c r="D245" s="493" t="s">
        <v>13</v>
      </c>
      <c r="E245" s="494"/>
      <c r="F245" s="636"/>
      <c r="G245" s="494" t="s">
        <v>95</v>
      </c>
      <c r="H245" s="588" t="str">
        <f>I245</f>
        <v>Other</v>
      </c>
      <c r="I245" s="455" t="s">
        <v>8</v>
      </c>
      <c r="J245" s="589" t="s">
        <v>52</v>
      </c>
      <c r="K245" s="602" t="s">
        <v>362</v>
      </c>
      <c r="L245" s="591">
        <f>SUMIFS('Airport Statistics'!$G:$G,'Airport Statistics'!$D:$D,G245,'Airport Statistics'!$F:$F,K245)</f>
        <v>0</v>
      </c>
      <c r="M245" s="592">
        <f ca="1">SUMIFS('Water Use Calcs'!$V:$V,'Water Use Calcs'!$D:$D,'End Uses'!D245,'Water Use Calcs'!$G:$G,'End Uses'!G245,'Water Use Calcs'!$I:$I,'End Uses'!I245,'Water Use Calcs'!$J:$J,'End Uses'!J245)</f>
        <v>0</v>
      </c>
      <c r="N245" s="593">
        <f t="shared" ca="1" si="22"/>
        <v>0</v>
      </c>
      <c r="O245" s="594" t="str">
        <f ca="1">IFERROR(N245/R242,"-")</f>
        <v>-</v>
      </c>
      <c r="P245" s="595">
        <f ca="1">SUMIFS($N:$N,$G:$G,G245,$I:$I,H245)</f>
        <v>0</v>
      </c>
      <c r="Q245" s="547" t="str">
        <f ca="1">IFERROR(P245/R242,"-")</f>
        <v>-</v>
      </c>
      <c r="R245" s="584"/>
      <c r="S245" s="596">
        <f ca="1">SUMIFS('Water Use Calcs'!$W:$W,'Water Use Calcs'!$D:$D,'End Uses'!D245,'Water Use Calcs'!$G:$G,'End Uses'!G245,'Water Use Calcs'!$I:$I,'End Uses'!I245,'Water Use Calcs'!$J:$J,'End Uses'!J245)</f>
        <v>0</v>
      </c>
      <c r="T245" s="597">
        <f t="shared" ca="1" si="23"/>
        <v>0</v>
      </c>
      <c r="U245" s="594" t="str">
        <f ca="1">IFERROR(T245/X242,"-")</f>
        <v>-</v>
      </c>
      <c r="V245" s="595">
        <f ca="1">SUMIFS($T:$T,$G:$G,G245,$I:$I,H245)</f>
        <v>0</v>
      </c>
      <c r="W245" s="547" t="str">
        <f ca="1">IFERROR(V245/X242,"-")</f>
        <v>-</v>
      </c>
      <c r="X245" s="584"/>
    </row>
    <row r="246" spans="3:24" s="45" customFormat="1" ht="13.2" customHeight="1" x14ac:dyDescent="0.3">
      <c r="C246" s="576"/>
      <c r="D246" s="493" t="s">
        <v>13</v>
      </c>
      <c r="E246" s="494"/>
      <c r="F246" s="636"/>
      <c r="G246" s="494" t="s">
        <v>95</v>
      </c>
      <c r="H246" s="577"/>
      <c r="I246" s="450" t="s">
        <v>8</v>
      </c>
      <c r="J246" s="577" t="s">
        <v>53</v>
      </c>
      <c r="K246" s="439" t="s">
        <v>363</v>
      </c>
      <c r="L246" s="578">
        <f>SUMIFS('Airport Statistics'!$G:$G,'Airport Statistics'!$D:$D,G246,'Airport Statistics'!$F:$F,K246)</f>
        <v>0</v>
      </c>
      <c r="M246" s="579">
        <f ca="1">SUMIFS('Water Use Calcs'!$V:$V,'Water Use Calcs'!$D:$D,'End Uses'!D246,'Water Use Calcs'!$G:$G,'End Uses'!G246,'Water Use Calcs'!$I:$I,'End Uses'!I246,'Water Use Calcs'!$J:$J,'End Uses'!J246)</f>
        <v>0</v>
      </c>
      <c r="N246" s="580">
        <f t="shared" ca="1" si="22"/>
        <v>0</v>
      </c>
      <c r="O246" s="581" t="str">
        <f ca="1">IFERROR(N246/R242,"-")</f>
        <v>-</v>
      </c>
      <c r="P246" s="582"/>
      <c r="Q246" s="548"/>
      <c r="R246" s="584"/>
      <c r="S246" s="585">
        <f ca="1">SUMIFS('Water Use Calcs'!$W:$W,'Water Use Calcs'!$D:$D,'End Uses'!D246,'Water Use Calcs'!$G:$G,'End Uses'!G246,'Water Use Calcs'!$I:$I,'End Uses'!I246,'Water Use Calcs'!$J:$J,'End Uses'!J246)</f>
        <v>0</v>
      </c>
      <c r="T246" s="586">
        <f t="shared" ca="1" si="23"/>
        <v>0</v>
      </c>
      <c r="U246" s="581" t="str">
        <f ca="1">IFERROR(T246/X242,"-")</f>
        <v>-</v>
      </c>
      <c r="V246" s="582"/>
      <c r="W246" s="548"/>
      <c r="X246" s="584"/>
    </row>
    <row r="247" spans="3:24" s="45" customFormat="1" ht="13.2" customHeight="1" thickBot="1" x14ac:dyDescent="0.35">
      <c r="C247" s="576"/>
      <c r="D247" s="493" t="s">
        <v>13</v>
      </c>
      <c r="E247" s="501"/>
      <c r="F247" s="636"/>
      <c r="G247" s="501" t="s">
        <v>95</v>
      </c>
      <c r="H247" s="116"/>
      <c r="I247" s="451" t="s">
        <v>8</v>
      </c>
      <c r="J247" s="116" t="s">
        <v>54</v>
      </c>
      <c r="K247" s="606" t="s">
        <v>364</v>
      </c>
      <c r="L247" s="607">
        <f>SUMIFS('Airport Statistics'!$G:$G,'Airport Statistics'!$D:$D,G247,'Airport Statistics'!$F:$F,K247)</f>
        <v>0</v>
      </c>
      <c r="M247" s="608">
        <f ca="1">SUMIFS('Water Use Calcs'!$V:$V,'Water Use Calcs'!$D:$D,'End Uses'!D247,'Water Use Calcs'!$G:$G,'End Uses'!G247,'Water Use Calcs'!$I:$I,'End Uses'!I247,'Water Use Calcs'!$J:$J,'End Uses'!J247)</f>
        <v>0</v>
      </c>
      <c r="N247" s="609">
        <f t="shared" ca="1" si="22"/>
        <v>0</v>
      </c>
      <c r="O247" s="616" t="str">
        <f ca="1">IFERROR(N247/R242,"-")</f>
        <v>-</v>
      </c>
      <c r="P247" s="637"/>
      <c r="Q247" s="551"/>
      <c r="R247" s="613"/>
      <c r="S247" s="614">
        <f ca="1">SUMIFS('Water Use Calcs'!$W:$W,'Water Use Calcs'!$D:$D,'End Uses'!D247,'Water Use Calcs'!$G:$G,'End Uses'!G247,'Water Use Calcs'!$I:$I,'End Uses'!I247,'Water Use Calcs'!$J:$J,'End Uses'!J247)</f>
        <v>0</v>
      </c>
      <c r="T247" s="615">
        <f t="shared" ca="1" si="23"/>
        <v>0</v>
      </c>
      <c r="U247" s="616" t="str">
        <f ca="1">IFERROR(T247/X242,"-")</f>
        <v>-</v>
      </c>
      <c r="V247" s="637"/>
      <c r="W247" s="551"/>
      <c r="X247" s="613"/>
    </row>
    <row r="248" spans="3:24" s="45" customFormat="1" ht="13.2" customHeight="1" x14ac:dyDescent="0.3">
      <c r="C248" s="564" t="str">
        <f>D248</f>
        <v>Fire and Police Stations</v>
      </c>
      <c r="D248" s="566" t="s">
        <v>418</v>
      </c>
      <c r="E248" s="494" t="str">
        <f>G248</f>
        <v>Fire and Police Stations</v>
      </c>
      <c r="F248" s="565" t="str">
        <f>VLOOKUP(E248,'Airport Mapping'!$C$5:$D$39,2,FALSE)</f>
        <v xml:space="preserve"> </v>
      </c>
      <c r="G248" s="566" t="s">
        <v>418</v>
      </c>
      <c r="H248" s="564" t="str">
        <f>I248</f>
        <v>Restrooms</v>
      </c>
      <c r="I248" s="454" t="s">
        <v>37</v>
      </c>
      <c r="J248" s="567" t="s">
        <v>2</v>
      </c>
      <c r="K248" s="620" t="s">
        <v>6</v>
      </c>
      <c r="L248" s="568">
        <f>SUMIFS('Airport Statistics'!$G:$G,'Airport Statistics'!$D:$D,G248,'Airport Statistics'!$F:$F,K248)</f>
        <v>0</v>
      </c>
      <c r="M248" s="569">
        <f ca="1">SUMIFS('Water Use Calcs'!$V:$V,'Water Use Calcs'!$D:$D,'End Uses'!D248,'Water Use Calcs'!$G:$G,'End Uses'!G248,'Water Use Calcs'!$I:$I,'End Uses'!I248,'Water Use Calcs'!$J:$J,'End Uses'!J248)</f>
        <v>0</v>
      </c>
      <c r="N248" s="570">
        <f t="shared" ca="1" si="2"/>
        <v>0</v>
      </c>
      <c r="O248" s="571" t="str">
        <f ca="1">IFERROR(N248/R248,"-")</f>
        <v>-</v>
      </c>
      <c r="P248" s="572">
        <f ca="1">SUMIFS($N:$N,$G:$G,G248,$I:$I,H248)</f>
        <v>0</v>
      </c>
      <c r="Q248" s="546" t="str">
        <f ca="1">IFERROR(P248/R248,"-")</f>
        <v>-</v>
      </c>
      <c r="R248" s="638">
        <f ca="1">SUMIFS($N:$N,$G:$G,G248)</f>
        <v>0</v>
      </c>
      <c r="S248" s="574">
        <f ca="1">SUMIFS('Water Use Calcs'!$W:$W,'Water Use Calcs'!$D:$D,'End Uses'!D248,'Water Use Calcs'!$G:$G,'End Uses'!G248,'Water Use Calcs'!$I:$I,'End Uses'!I248,'Water Use Calcs'!$J:$J,'End Uses'!J248)</f>
        <v>0</v>
      </c>
      <c r="T248" s="575">
        <f t="shared" ca="1" si="23"/>
        <v>0</v>
      </c>
      <c r="U248" s="571" t="str">
        <f ca="1">IFERROR(T248/X248,"-")</f>
        <v>-</v>
      </c>
      <c r="V248" s="572">
        <f ca="1">SUMIFS($T:$T,$G:$G,G248,$I:$I,H248)</f>
        <v>0</v>
      </c>
      <c r="W248" s="546" t="str">
        <f ca="1">IFERROR(V248/X248,"-")</f>
        <v>-</v>
      </c>
      <c r="X248" s="638">
        <f ca="1">SUMIFS($T:$T,$G:$G,G248)</f>
        <v>0</v>
      </c>
    </row>
    <row r="249" spans="3:24" x14ac:dyDescent="0.3">
      <c r="C249" s="576"/>
      <c r="D249" s="494" t="s">
        <v>418</v>
      </c>
      <c r="E249" s="494"/>
      <c r="F249" s="577"/>
      <c r="G249" s="494" t="s">
        <v>418</v>
      </c>
      <c r="H249" s="577"/>
      <c r="I249" s="450" t="s">
        <v>37</v>
      </c>
      <c r="J249" s="577" t="s">
        <v>4</v>
      </c>
      <c r="K249" s="598" t="s">
        <v>6</v>
      </c>
      <c r="L249" s="578">
        <f>SUMIFS('Airport Statistics'!$G:$G,'Airport Statistics'!$D:$D,G249,'Airport Statistics'!$F:$F,K249)</f>
        <v>0</v>
      </c>
      <c r="M249" s="579">
        <f ca="1">SUMIFS('Water Use Calcs'!$V:$V,'Water Use Calcs'!$D:$D,'End Uses'!D249,'Water Use Calcs'!$G:$G,'End Uses'!G249,'Water Use Calcs'!$I:$I,'End Uses'!I249,'Water Use Calcs'!$J:$J,'End Uses'!J249)</f>
        <v>0</v>
      </c>
      <c r="N249" s="580">
        <f t="shared" ca="1" si="2"/>
        <v>0</v>
      </c>
      <c r="O249" s="581" t="str">
        <f ca="1">IFERROR(N249/R248,"-")</f>
        <v>-</v>
      </c>
      <c r="P249" s="582"/>
      <c r="Q249" s="583"/>
      <c r="R249" s="584"/>
      <c r="S249" s="585">
        <f ca="1">SUMIFS('Water Use Calcs'!$W:$W,'Water Use Calcs'!$D:$D,'End Uses'!D249,'Water Use Calcs'!$G:$G,'End Uses'!G249,'Water Use Calcs'!$I:$I,'End Uses'!I249,'Water Use Calcs'!$J:$J,'End Uses'!J249)</f>
        <v>0</v>
      </c>
      <c r="T249" s="586">
        <f t="shared" ca="1" si="23"/>
        <v>0</v>
      </c>
      <c r="U249" s="581" t="str">
        <f ca="1">IFERROR(T249/X248,"-")</f>
        <v>-</v>
      </c>
      <c r="V249" s="582"/>
      <c r="W249" s="583"/>
      <c r="X249" s="584"/>
    </row>
    <row r="250" spans="3:24" x14ac:dyDescent="0.3">
      <c r="C250" s="576"/>
      <c r="D250" s="494" t="s">
        <v>418</v>
      </c>
      <c r="E250" s="494"/>
      <c r="F250" s="577"/>
      <c r="G250" s="494" t="s">
        <v>418</v>
      </c>
      <c r="H250" s="577"/>
      <c r="I250" s="450" t="s">
        <v>37</v>
      </c>
      <c r="J250" s="577" t="s">
        <v>33</v>
      </c>
      <c r="K250" s="598" t="s">
        <v>6</v>
      </c>
      <c r="L250" s="578">
        <f>SUMIFS('Airport Statistics'!$G:$G,'Airport Statistics'!$D:$D,G250,'Airport Statistics'!$F:$F,K250)</f>
        <v>0</v>
      </c>
      <c r="M250" s="579">
        <f ca="1">SUMIFS('Water Use Calcs'!$V:$V,'Water Use Calcs'!$D:$D,'End Uses'!D250,'Water Use Calcs'!$G:$G,'End Uses'!G250,'Water Use Calcs'!$I:$I,'End Uses'!I250,'Water Use Calcs'!$J:$J,'End Uses'!J250)</f>
        <v>0</v>
      </c>
      <c r="N250" s="580">
        <f t="shared" ca="1" si="2"/>
        <v>0</v>
      </c>
      <c r="O250" s="581" t="str">
        <f ca="1">IFERROR(N250/R248,"-")</f>
        <v>-</v>
      </c>
      <c r="P250" s="582"/>
      <c r="Q250" s="583"/>
      <c r="R250" s="584"/>
      <c r="S250" s="585">
        <f ca="1">SUMIFS('Water Use Calcs'!$W:$W,'Water Use Calcs'!$D:$D,'End Uses'!D250,'Water Use Calcs'!$G:$G,'End Uses'!G250,'Water Use Calcs'!$I:$I,'End Uses'!I250,'Water Use Calcs'!$J:$J,'End Uses'!J250)</f>
        <v>0</v>
      </c>
      <c r="T250" s="586">
        <f t="shared" ca="1" si="23"/>
        <v>0</v>
      </c>
      <c r="U250" s="581" t="str">
        <f ca="1">IFERROR(T250/X248,"-")</f>
        <v>-</v>
      </c>
      <c r="V250" s="582"/>
      <c r="W250" s="583"/>
      <c r="X250" s="584"/>
    </row>
    <row r="251" spans="3:24" x14ac:dyDescent="0.3">
      <c r="C251" s="576"/>
      <c r="D251" s="494" t="s">
        <v>418</v>
      </c>
      <c r="E251" s="494"/>
      <c r="F251" s="577"/>
      <c r="G251" s="494" t="s">
        <v>418</v>
      </c>
      <c r="H251" s="622" t="str">
        <f>I251</f>
        <v>Break rooms</v>
      </c>
      <c r="I251" s="623" t="s">
        <v>5</v>
      </c>
      <c r="J251" s="624" t="s">
        <v>33</v>
      </c>
      <c r="K251" s="625" t="s">
        <v>6</v>
      </c>
      <c r="L251" s="496">
        <f>SUMIFS('Airport Statistics'!$G:$G,'Airport Statistics'!$D:$D,G251,'Airport Statistics'!$F:$F,K251)</f>
        <v>0</v>
      </c>
      <c r="M251" s="626">
        <f ca="1">SUMIFS('Water Use Calcs'!$V:$V,'Water Use Calcs'!$D:$D,'End Uses'!D251,'Water Use Calcs'!$G:$G,'End Uses'!G251,'Water Use Calcs'!$I:$I,'End Uses'!I251,'Water Use Calcs'!$J:$J,'End Uses'!J251)</f>
        <v>0</v>
      </c>
      <c r="N251" s="627">
        <f t="shared" ca="1" si="2"/>
        <v>0</v>
      </c>
      <c r="O251" s="628" t="str">
        <f ca="1">IFERROR(N251/R248,"-")</f>
        <v>-</v>
      </c>
      <c r="P251" s="629">
        <f ca="1">SUMIFS($N:$N,$G:$G,G251,$I:$I,H251)</f>
        <v>0</v>
      </c>
      <c r="Q251" s="291" t="str">
        <f ca="1">IFERROR(P251/R248,"-")</f>
        <v>-</v>
      </c>
      <c r="R251" s="584"/>
      <c r="S251" s="630">
        <f ca="1">SUMIFS('Water Use Calcs'!$W:$W,'Water Use Calcs'!$D:$D,'End Uses'!D251,'Water Use Calcs'!$G:$G,'End Uses'!G251,'Water Use Calcs'!$I:$I,'End Uses'!I251,'Water Use Calcs'!$J:$J,'End Uses'!J251)</f>
        <v>0</v>
      </c>
      <c r="T251" s="631">
        <f t="shared" ca="1" si="23"/>
        <v>0</v>
      </c>
      <c r="U251" s="628" t="str">
        <f ca="1">IFERROR(T251/X248,"-")</f>
        <v>-</v>
      </c>
      <c r="V251" s="629">
        <f ca="1">SUMIFS($T:$T,$G:$G,G251,$I:$I,H251)</f>
        <v>0</v>
      </c>
      <c r="W251" s="291" t="str">
        <f ca="1">IFERROR(V251/X248,"-")</f>
        <v>-</v>
      </c>
      <c r="X251" s="584"/>
    </row>
    <row r="252" spans="3:24" x14ac:dyDescent="0.3">
      <c r="C252" s="576"/>
      <c r="D252" s="494" t="s">
        <v>418</v>
      </c>
      <c r="E252" s="494"/>
      <c r="F252" s="577"/>
      <c r="G252" s="494" t="s">
        <v>418</v>
      </c>
      <c r="H252" s="622" t="str">
        <f>I252</f>
        <v>Landscaping</v>
      </c>
      <c r="I252" s="623" t="s">
        <v>39</v>
      </c>
      <c r="J252" s="624" t="s">
        <v>42</v>
      </c>
      <c r="K252" s="20" t="s">
        <v>120</v>
      </c>
      <c r="L252" s="496">
        <f>SUMIFS('Airport Statistics'!$G:$G,'Airport Statistics'!$D:$D,G252,'Airport Statistics'!$F:$F,K252)</f>
        <v>0</v>
      </c>
      <c r="M252" s="626">
        <f ca="1">SUMIFS('Water Use Calcs'!$V:$V,'Water Use Calcs'!$D:$D,'End Uses'!D252,'Water Use Calcs'!$G:$G,'End Uses'!G252,'Water Use Calcs'!$I:$I,'End Uses'!I252,'Water Use Calcs'!$J:$J,'End Uses'!J252)</f>
        <v>0</v>
      </c>
      <c r="N252" s="627">
        <f t="shared" ca="1" si="2"/>
        <v>0</v>
      </c>
      <c r="O252" s="628" t="str">
        <f ca="1">IFERROR(N252/R248,"-")</f>
        <v>-</v>
      </c>
      <c r="P252" s="629">
        <f ca="1">SUMIFS($N:$N,$G:$G,G252,$I:$I,H252)</f>
        <v>0</v>
      </c>
      <c r="Q252" s="291" t="str">
        <f ca="1">IFERROR(P252/R248,"-")</f>
        <v>-</v>
      </c>
      <c r="R252" s="584"/>
      <c r="S252" s="630">
        <f ca="1">SUMIFS('Water Use Calcs'!$W:$W,'Water Use Calcs'!$D:$D,'End Uses'!D252,'Water Use Calcs'!$G:$G,'End Uses'!G252,'Water Use Calcs'!$I:$I,'End Uses'!I252,'Water Use Calcs'!$J:$J,'End Uses'!J252)</f>
        <v>0</v>
      </c>
      <c r="T252" s="631">
        <f t="shared" ca="1" si="23"/>
        <v>0</v>
      </c>
      <c r="U252" s="628" t="str">
        <f ca="1">IFERROR(T252/X248,"-")</f>
        <v>-</v>
      </c>
      <c r="V252" s="629">
        <f ca="1">SUMIFS($T:$T,$G:$G,G252,$I:$I,H252)</f>
        <v>0</v>
      </c>
      <c r="W252" s="291" t="str">
        <f ca="1">IFERROR(V252/X248,"-")</f>
        <v>-</v>
      </c>
      <c r="X252" s="584"/>
    </row>
    <row r="253" spans="3:24" x14ac:dyDescent="0.3">
      <c r="C253" s="576"/>
      <c r="D253" s="494" t="s">
        <v>418</v>
      </c>
      <c r="E253" s="494"/>
      <c r="F253" s="577"/>
      <c r="G253" s="494" t="s">
        <v>418</v>
      </c>
      <c r="H253" s="588" t="str">
        <f>I253</f>
        <v>Maintenance</v>
      </c>
      <c r="I253" s="455" t="s">
        <v>43</v>
      </c>
      <c r="J253" s="589" t="s">
        <v>9</v>
      </c>
      <c r="K253" s="590" t="s">
        <v>6</v>
      </c>
      <c r="L253" s="591">
        <f>SUMIFS('Airport Statistics'!$G:$G,'Airport Statistics'!$D:$D,G253,'Airport Statistics'!$F:$F,K253)</f>
        <v>0</v>
      </c>
      <c r="M253" s="592">
        <f ca="1">SUMIFS('Water Use Calcs'!$V:$V,'Water Use Calcs'!$D:$D,'End Uses'!D253,'Water Use Calcs'!$G:$G,'End Uses'!G253,'Water Use Calcs'!$I:$I,'End Uses'!I253,'Water Use Calcs'!$J:$J,'End Uses'!J253)</f>
        <v>0</v>
      </c>
      <c r="N253" s="593">
        <f t="shared" ca="1" si="2"/>
        <v>0</v>
      </c>
      <c r="O253" s="594" t="str">
        <f ca="1">IFERROR(N253/R248,"-")</f>
        <v>-</v>
      </c>
      <c r="P253" s="595">
        <f ca="1">SUMIFS($N:$N,$G:$G,G253,$I:$I,H253)</f>
        <v>0</v>
      </c>
      <c r="Q253" s="547" t="str">
        <f ca="1">IFERROR(P253/R248,"-")</f>
        <v>-</v>
      </c>
      <c r="R253" s="584"/>
      <c r="S253" s="596">
        <f ca="1">SUMIFS('Water Use Calcs'!$W:$W,'Water Use Calcs'!$D:$D,'End Uses'!D253,'Water Use Calcs'!$G:$G,'End Uses'!G253,'Water Use Calcs'!$I:$I,'End Uses'!I253,'Water Use Calcs'!$J:$J,'End Uses'!J253)</f>
        <v>0</v>
      </c>
      <c r="T253" s="597">
        <f t="shared" ca="1" si="23"/>
        <v>0</v>
      </c>
      <c r="U253" s="594" t="str">
        <f ca="1">IFERROR(T253/X248,"-")</f>
        <v>-</v>
      </c>
      <c r="V253" s="595">
        <f ca="1">SUMIFS($T:$T,$G:$G,G253,$I:$I,H253)</f>
        <v>0</v>
      </c>
      <c r="W253" s="547" t="str">
        <f ca="1">IFERROR(V253/X248,"-")</f>
        <v>-</v>
      </c>
      <c r="X253" s="584"/>
    </row>
    <row r="254" spans="3:24" x14ac:dyDescent="0.3">
      <c r="C254" s="576"/>
      <c r="D254" s="494" t="s">
        <v>418</v>
      </c>
      <c r="E254" s="494"/>
      <c r="F254" s="577"/>
      <c r="G254" s="494" t="s">
        <v>418</v>
      </c>
      <c r="H254" s="577"/>
      <c r="I254" s="450" t="s">
        <v>43</v>
      </c>
      <c r="J254" s="577" t="s">
        <v>14</v>
      </c>
      <c r="K254" s="598" t="s">
        <v>15</v>
      </c>
      <c r="L254" s="578">
        <f>SUMIFS('Airport Statistics'!$G:$G,'Airport Statistics'!$D:$D,G254,'Airport Statistics'!$F:$F,K254)</f>
        <v>0</v>
      </c>
      <c r="M254" s="579">
        <f ca="1">SUMIFS('Water Use Calcs'!$V:$V,'Water Use Calcs'!$D:$D,'End Uses'!D254,'Water Use Calcs'!$G:$G,'End Uses'!G254,'Water Use Calcs'!$I:$I,'End Uses'!I254,'Water Use Calcs'!$J:$J,'End Uses'!J254)</f>
        <v>0</v>
      </c>
      <c r="N254" s="580">
        <f t="shared" ca="1" si="2"/>
        <v>0</v>
      </c>
      <c r="O254" s="581" t="str">
        <f ca="1">IFERROR(N254/R248,"-")</f>
        <v>-</v>
      </c>
      <c r="P254" s="404"/>
      <c r="Q254" s="548"/>
      <c r="R254" s="584"/>
      <c r="S254" s="585">
        <f ca="1">SUMIFS('Water Use Calcs'!$W:$W,'Water Use Calcs'!$D:$D,'End Uses'!D254,'Water Use Calcs'!$G:$G,'End Uses'!G254,'Water Use Calcs'!$I:$I,'End Uses'!I254,'Water Use Calcs'!$J:$J,'End Uses'!J254)</f>
        <v>0</v>
      </c>
      <c r="T254" s="586">
        <f t="shared" ca="1" si="23"/>
        <v>0</v>
      </c>
      <c r="U254" s="581" t="str">
        <f ca="1">IFERROR(T254/X248,"-")</f>
        <v>-</v>
      </c>
      <c r="V254" s="404"/>
      <c r="W254" s="548"/>
      <c r="X254" s="584"/>
    </row>
    <row r="255" spans="3:24" x14ac:dyDescent="0.3">
      <c r="C255" s="576"/>
      <c r="D255" s="494" t="s">
        <v>418</v>
      </c>
      <c r="E255" s="494"/>
      <c r="F255" s="577"/>
      <c r="G255" s="494" t="s">
        <v>418</v>
      </c>
      <c r="H255" s="588" t="str">
        <f>I255</f>
        <v>Other</v>
      </c>
      <c r="I255" s="455" t="s">
        <v>8</v>
      </c>
      <c r="J255" s="589" t="s">
        <v>52</v>
      </c>
      <c r="K255" s="602" t="s">
        <v>362</v>
      </c>
      <c r="L255" s="591">
        <f>SUMIFS('Airport Statistics'!$G:$G,'Airport Statistics'!$D:$D,G255,'Airport Statistics'!$F:$F,K255)</f>
        <v>0</v>
      </c>
      <c r="M255" s="592">
        <f ca="1">SUMIFS('Water Use Calcs'!$V:$V,'Water Use Calcs'!$D:$D,'End Uses'!D255,'Water Use Calcs'!$G:$G,'End Uses'!G255,'Water Use Calcs'!$I:$I,'End Uses'!I255,'Water Use Calcs'!$J:$J,'End Uses'!J255)</f>
        <v>0</v>
      </c>
      <c r="N255" s="593">
        <f t="shared" ref="N255:N257" ca="1" si="24">L255*M255</f>
        <v>0</v>
      </c>
      <c r="O255" s="594" t="str">
        <f ca="1">IFERROR(N255/R248,"-")</f>
        <v>-</v>
      </c>
      <c r="P255" s="595">
        <f ca="1">SUMIFS($N:$N,$G:$G,G255,$I:$I,H255)</f>
        <v>0</v>
      </c>
      <c r="Q255" s="547" t="str">
        <f ca="1">IFERROR(P255/R248,"-")</f>
        <v>-</v>
      </c>
      <c r="R255" s="584"/>
      <c r="S255" s="596">
        <f ca="1">SUMIFS('Water Use Calcs'!$W:$W,'Water Use Calcs'!$D:$D,'End Uses'!D255,'Water Use Calcs'!$G:$G,'End Uses'!G255,'Water Use Calcs'!$I:$I,'End Uses'!I255,'Water Use Calcs'!$J:$J,'End Uses'!J255)</f>
        <v>0</v>
      </c>
      <c r="T255" s="597">
        <f t="shared" ca="1" si="23"/>
        <v>0</v>
      </c>
      <c r="U255" s="594" t="str">
        <f ca="1">IFERROR(T255/X248,"-")</f>
        <v>-</v>
      </c>
      <c r="V255" s="595">
        <f ca="1">SUMIFS($T:$T,$G:$G,G255,$I:$I,H255)</f>
        <v>0</v>
      </c>
      <c r="W255" s="547" t="str">
        <f ca="1">IFERROR(V255/X248,"-")</f>
        <v>-</v>
      </c>
      <c r="X255" s="584"/>
    </row>
    <row r="256" spans="3:24" s="45" customFormat="1" ht="13.2" customHeight="1" x14ac:dyDescent="0.3">
      <c r="C256" s="576"/>
      <c r="D256" s="494" t="s">
        <v>418</v>
      </c>
      <c r="E256" s="494"/>
      <c r="F256" s="577"/>
      <c r="G256" s="494" t="s">
        <v>418</v>
      </c>
      <c r="H256" s="577"/>
      <c r="I256" s="450" t="s">
        <v>8</v>
      </c>
      <c r="J256" s="577" t="s">
        <v>53</v>
      </c>
      <c r="K256" s="439" t="s">
        <v>363</v>
      </c>
      <c r="L256" s="578">
        <f>SUMIFS('Airport Statistics'!$G:$G,'Airport Statistics'!$D:$D,G256,'Airport Statistics'!$F:$F,K256)</f>
        <v>0</v>
      </c>
      <c r="M256" s="579">
        <f ca="1">SUMIFS('Water Use Calcs'!$V:$V,'Water Use Calcs'!$D:$D,'End Uses'!D256,'Water Use Calcs'!$G:$G,'End Uses'!G256,'Water Use Calcs'!$I:$I,'End Uses'!I256,'Water Use Calcs'!$J:$J,'End Uses'!J256)</f>
        <v>0</v>
      </c>
      <c r="N256" s="580">
        <f t="shared" ca="1" si="24"/>
        <v>0</v>
      </c>
      <c r="O256" s="581" t="str">
        <f ca="1">IFERROR(N256/R248,"-")</f>
        <v>-</v>
      </c>
      <c r="P256" s="404"/>
      <c r="Q256" s="548"/>
      <c r="R256" s="584"/>
      <c r="S256" s="585">
        <f ca="1">SUMIFS('Water Use Calcs'!$W:$W,'Water Use Calcs'!$D:$D,'End Uses'!D256,'Water Use Calcs'!$G:$G,'End Uses'!G256,'Water Use Calcs'!$I:$I,'End Uses'!I256,'Water Use Calcs'!$J:$J,'End Uses'!J256)</f>
        <v>0</v>
      </c>
      <c r="T256" s="586">
        <f t="shared" ca="1" si="23"/>
        <v>0</v>
      </c>
      <c r="U256" s="581" t="str">
        <f ca="1">IFERROR(T256/X248,"-")</f>
        <v>-</v>
      </c>
      <c r="V256" s="404"/>
      <c r="W256" s="548"/>
      <c r="X256" s="584"/>
    </row>
    <row r="257" spans="3:24" s="45" customFormat="1" ht="13.2" customHeight="1" thickBot="1" x14ac:dyDescent="0.35">
      <c r="C257" s="576"/>
      <c r="D257" s="501" t="s">
        <v>418</v>
      </c>
      <c r="E257" s="501"/>
      <c r="F257" s="577"/>
      <c r="G257" s="494" t="s">
        <v>418</v>
      </c>
      <c r="H257" s="116"/>
      <c r="I257" s="451" t="s">
        <v>8</v>
      </c>
      <c r="J257" s="116" t="s">
        <v>54</v>
      </c>
      <c r="K257" s="606" t="s">
        <v>364</v>
      </c>
      <c r="L257" s="607">
        <f>SUMIFS('Airport Statistics'!$G:$G,'Airport Statistics'!$D:$D,G257,'Airport Statistics'!$F:$F,K257)</f>
        <v>0</v>
      </c>
      <c r="M257" s="608">
        <f ca="1">SUMIFS('Water Use Calcs'!$V:$V,'Water Use Calcs'!$D:$D,'End Uses'!D257,'Water Use Calcs'!$G:$G,'End Uses'!G257,'Water Use Calcs'!$I:$I,'End Uses'!I257,'Water Use Calcs'!$J:$J,'End Uses'!J257)</f>
        <v>0</v>
      </c>
      <c r="N257" s="609">
        <f t="shared" ca="1" si="24"/>
        <v>0</v>
      </c>
      <c r="O257" s="616" t="str">
        <f ca="1">IFERROR(N257/R248,"-")</f>
        <v>-</v>
      </c>
      <c r="P257" s="637"/>
      <c r="Q257" s="551"/>
      <c r="R257" s="613"/>
      <c r="S257" s="614">
        <f ca="1">SUMIFS('Water Use Calcs'!$W:$W,'Water Use Calcs'!$D:$D,'End Uses'!D257,'Water Use Calcs'!$G:$G,'End Uses'!G257,'Water Use Calcs'!$I:$I,'End Uses'!I257,'Water Use Calcs'!$J:$J,'End Uses'!J257)</f>
        <v>0</v>
      </c>
      <c r="T257" s="615">
        <f t="shared" ca="1" si="23"/>
        <v>0</v>
      </c>
      <c r="U257" s="616" t="str">
        <f ca="1">IFERROR(T257/X248,"-")</f>
        <v>-</v>
      </c>
      <c r="V257" s="637"/>
      <c r="W257" s="551"/>
      <c r="X257" s="613"/>
    </row>
    <row r="258" spans="3:24" s="45" customFormat="1" ht="13.2" customHeight="1" x14ac:dyDescent="0.3">
      <c r="C258" s="564" t="str">
        <f>D258</f>
        <v>Hotels</v>
      </c>
      <c r="D258" s="493" t="s">
        <v>16</v>
      </c>
      <c r="E258" s="494" t="str">
        <f>G258</f>
        <v>Hotel A</v>
      </c>
      <c r="F258" s="565" t="str">
        <f>VLOOKUP(E258,'Airport Mapping'!$C$5:$D$39,2,FALSE)</f>
        <v xml:space="preserve"> </v>
      </c>
      <c r="G258" s="566" t="s">
        <v>96</v>
      </c>
      <c r="H258" s="564" t="str">
        <f>I258</f>
        <v>Guestrooms</v>
      </c>
      <c r="I258" s="454" t="s">
        <v>45</v>
      </c>
      <c r="J258" s="567" t="s">
        <v>2</v>
      </c>
      <c r="K258" s="639" t="s">
        <v>122</v>
      </c>
      <c r="L258" s="568">
        <f>SUMIFS('Airport Statistics'!$G:$G,'Airport Statistics'!$D:$D,G258,'Airport Statistics'!$F:$F,K258)</f>
        <v>0</v>
      </c>
      <c r="M258" s="569">
        <f ca="1">SUMIFS('Water Use Calcs'!$V:$V,'Water Use Calcs'!$D:$D,'End Uses'!D258,'Water Use Calcs'!$G:$G,'End Uses'!G258,'Water Use Calcs'!$I:$I,'End Uses'!I258,'Water Use Calcs'!$J:$J,'End Uses'!J258)</f>
        <v>0</v>
      </c>
      <c r="N258" s="570">
        <f t="shared" ca="1" si="2"/>
        <v>0</v>
      </c>
      <c r="O258" s="571" t="str">
        <f ca="1">IFERROR(N258/R258,"-")</f>
        <v>-</v>
      </c>
      <c r="P258" s="572">
        <f ca="1">SUMIFS($N:$N,$G:$G,G258,$I:$I,H258)</f>
        <v>0</v>
      </c>
      <c r="Q258" s="546" t="str">
        <f ca="1">IFERROR(P258/R258,"-")</f>
        <v>-</v>
      </c>
      <c r="R258" s="573">
        <f ca="1">SUMIFS($N:$N,$G:$G,G258)</f>
        <v>0</v>
      </c>
      <c r="S258" s="574">
        <f ca="1">SUMIFS('Water Use Calcs'!$W:$W,'Water Use Calcs'!$D:$D,'End Uses'!D258,'Water Use Calcs'!$G:$G,'End Uses'!G258,'Water Use Calcs'!$I:$I,'End Uses'!I258,'Water Use Calcs'!$J:$J,'End Uses'!J258)</f>
        <v>0</v>
      </c>
      <c r="T258" s="575">
        <f t="shared" ca="1" si="23"/>
        <v>0</v>
      </c>
      <c r="U258" s="571" t="str">
        <f ca="1">IFERROR(T258/X258,"-")</f>
        <v>-</v>
      </c>
      <c r="V258" s="572">
        <f ca="1">SUMIFS($T:$T,$G:$G,G258,$I:$I,H258)</f>
        <v>0</v>
      </c>
      <c r="W258" s="546" t="str">
        <f ca="1">IFERROR(V258/X258,"-")</f>
        <v>-</v>
      </c>
      <c r="X258" s="573">
        <f ca="1">SUMIFS($T:$T,$G:$G,G258)</f>
        <v>0</v>
      </c>
    </row>
    <row r="259" spans="3:24" s="45" customFormat="1" ht="13.2" customHeight="1" x14ac:dyDescent="0.3">
      <c r="C259" s="576"/>
      <c r="D259" s="493" t="s">
        <v>16</v>
      </c>
      <c r="E259" s="494"/>
      <c r="F259" s="636"/>
      <c r="G259" s="494" t="s">
        <v>96</v>
      </c>
      <c r="H259" s="577"/>
      <c r="I259" s="450" t="s">
        <v>45</v>
      </c>
      <c r="J259" s="577" t="s">
        <v>18</v>
      </c>
      <c r="K259" s="635" t="s">
        <v>122</v>
      </c>
      <c r="L259" s="578">
        <f>SUMIFS('Airport Statistics'!$G:$G,'Airport Statistics'!$D:$D,G259,'Airport Statistics'!$F:$F,K259)</f>
        <v>0</v>
      </c>
      <c r="M259" s="579">
        <f ca="1">SUMIFS('Water Use Calcs'!$V:$V,'Water Use Calcs'!$D:$D,'End Uses'!D259,'Water Use Calcs'!$G:$G,'End Uses'!G259,'Water Use Calcs'!$I:$I,'End Uses'!I259,'Water Use Calcs'!$J:$J,'End Uses'!J259)</f>
        <v>0</v>
      </c>
      <c r="N259" s="580">
        <f t="shared" ca="1" si="2"/>
        <v>0</v>
      </c>
      <c r="O259" s="581" t="str">
        <f ca="1">IFERROR(N259/R258,"-")</f>
        <v>-</v>
      </c>
      <c r="P259" s="582"/>
      <c r="Q259" s="583"/>
      <c r="R259" s="584"/>
      <c r="S259" s="585">
        <f ca="1">SUMIFS('Water Use Calcs'!$W:$W,'Water Use Calcs'!$D:$D,'End Uses'!D259,'Water Use Calcs'!$G:$G,'End Uses'!G259,'Water Use Calcs'!$I:$I,'End Uses'!I259,'Water Use Calcs'!$J:$J,'End Uses'!J259)</f>
        <v>0</v>
      </c>
      <c r="T259" s="586">
        <f t="shared" ca="1" si="23"/>
        <v>0</v>
      </c>
      <c r="U259" s="581" t="str">
        <f ca="1">IFERROR(T259/X258,"-")</f>
        <v>-</v>
      </c>
      <c r="V259" s="582"/>
      <c r="W259" s="583"/>
      <c r="X259" s="584"/>
    </row>
    <row r="260" spans="3:24" x14ac:dyDescent="0.3">
      <c r="C260" s="576"/>
      <c r="D260" s="493" t="s">
        <v>16</v>
      </c>
      <c r="E260" s="494"/>
      <c r="F260" s="636"/>
      <c r="G260" s="494" t="s">
        <v>96</v>
      </c>
      <c r="H260" s="577"/>
      <c r="I260" s="493" t="s">
        <v>45</v>
      </c>
      <c r="J260" s="577" t="s">
        <v>33</v>
      </c>
      <c r="K260" s="635" t="s">
        <v>122</v>
      </c>
      <c r="L260" s="578">
        <f>SUMIFS('Airport Statistics'!$G:$G,'Airport Statistics'!$D:$D,G260,'Airport Statistics'!$F:$F,K260)</f>
        <v>0</v>
      </c>
      <c r="M260" s="579">
        <f ca="1">SUMIFS('Water Use Calcs'!$V:$V,'Water Use Calcs'!$D:$D,'End Uses'!D260,'Water Use Calcs'!$G:$G,'End Uses'!G260,'Water Use Calcs'!$I:$I,'End Uses'!I260,'Water Use Calcs'!$J:$J,'End Uses'!J260)</f>
        <v>0</v>
      </c>
      <c r="N260" s="580">
        <f t="shared" ca="1" si="2"/>
        <v>0</v>
      </c>
      <c r="O260" s="581" t="str">
        <f ca="1">IFERROR(N260/R258,"-")</f>
        <v>-</v>
      </c>
      <c r="P260" s="582"/>
      <c r="Q260" s="583"/>
      <c r="R260" s="584"/>
      <c r="S260" s="585">
        <f ca="1">SUMIFS('Water Use Calcs'!$W:$W,'Water Use Calcs'!$D:$D,'End Uses'!D260,'Water Use Calcs'!$G:$G,'End Uses'!G260,'Water Use Calcs'!$I:$I,'End Uses'!I260,'Water Use Calcs'!$J:$J,'End Uses'!J260)</f>
        <v>0</v>
      </c>
      <c r="T260" s="586">
        <f t="shared" ca="1" si="23"/>
        <v>0</v>
      </c>
      <c r="U260" s="581" t="str">
        <f ca="1">IFERROR(T260/X258,"-")</f>
        <v>-</v>
      </c>
      <c r="V260" s="582"/>
      <c r="W260" s="583"/>
      <c r="X260" s="584"/>
    </row>
    <row r="261" spans="3:24" x14ac:dyDescent="0.3">
      <c r="C261" s="576"/>
      <c r="D261" s="493" t="s">
        <v>16</v>
      </c>
      <c r="E261" s="494"/>
      <c r="F261" s="636"/>
      <c r="G261" s="494" t="s">
        <v>96</v>
      </c>
      <c r="H261" s="588" t="str">
        <f>I261</f>
        <v>Food Service</v>
      </c>
      <c r="I261" s="455" t="s">
        <v>38</v>
      </c>
      <c r="J261" s="589" t="s">
        <v>114</v>
      </c>
      <c r="K261" s="590" t="s">
        <v>118</v>
      </c>
      <c r="L261" s="591">
        <f>SUMIFS('Airport Statistics'!$G:$G,'Airport Statistics'!$D:$D,G261,'Airport Statistics'!$F:$F,K261)</f>
        <v>0</v>
      </c>
      <c r="M261" s="592">
        <f ca="1">SUMIFS('Water Use Calcs'!$V:$V,'Water Use Calcs'!$D:$D,'End Uses'!D261,'Water Use Calcs'!$G:$G,'End Uses'!G261,'Water Use Calcs'!$I:$I,'End Uses'!I261,'Water Use Calcs'!$J:$J,'End Uses'!J261)</f>
        <v>0</v>
      </c>
      <c r="N261" s="593">
        <f t="shared" ca="1" si="2"/>
        <v>0</v>
      </c>
      <c r="O261" s="594" t="str">
        <f ca="1">IFERROR(N261/R258,"-")</f>
        <v>-</v>
      </c>
      <c r="P261" s="595">
        <f ca="1">SUMIFS($N:$N,$G:$G,G261,$I:$I,H261)</f>
        <v>0</v>
      </c>
      <c r="Q261" s="547" t="str">
        <f ca="1">IFERROR(P261/R258,"-")</f>
        <v>-</v>
      </c>
      <c r="R261" s="584"/>
      <c r="S261" s="596">
        <f ca="1">SUMIFS('Water Use Calcs'!$W:$W,'Water Use Calcs'!$D:$D,'End Uses'!D261,'Water Use Calcs'!$G:$G,'End Uses'!G261,'Water Use Calcs'!$I:$I,'End Uses'!I261,'Water Use Calcs'!$J:$J,'End Uses'!J261)</f>
        <v>0</v>
      </c>
      <c r="T261" s="597">
        <f t="shared" ca="1" si="23"/>
        <v>0</v>
      </c>
      <c r="U261" s="594" t="str">
        <f ca="1">IFERROR(T261/X258,"-")</f>
        <v>-</v>
      </c>
      <c r="V261" s="595">
        <f ca="1">SUMIFS($T:$T,$G:$G,G261,$I:$I,H261)</f>
        <v>0</v>
      </c>
      <c r="W261" s="547" t="str">
        <f ca="1">IFERROR(V261/X258,"-")</f>
        <v>-</v>
      </c>
      <c r="X261" s="584"/>
    </row>
    <row r="262" spans="3:24" x14ac:dyDescent="0.3">
      <c r="C262" s="576"/>
      <c r="D262" s="521" t="s">
        <v>16</v>
      </c>
      <c r="E262" s="521"/>
      <c r="F262" s="576"/>
      <c r="G262" s="521" t="s">
        <v>96</v>
      </c>
      <c r="H262" s="577"/>
      <c r="I262" s="520" t="s">
        <v>38</v>
      </c>
      <c r="J262" s="577" t="s">
        <v>127</v>
      </c>
      <c r="K262" s="598" t="s">
        <v>118</v>
      </c>
      <c r="L262" s="578">
        <f>SUMIFS('Airport Statistics'!$G:$G,'Airport Statistics'!$D:$D,G262,'Airport Statistics'!$F:$F,K262)</f>
        <v>0</v>
      </c>
      <c r="M262" s="579">
        <f ca="1">SUMIFS('Water Use Calcs'!$V:$V,'Water Use Calcs'!$D:$D,'End Uses'!D262,'Water Use Calcs'!$G:$G,'End Uses'!G262,'Water Use Calcs'!$I:$I,'End Uses'!I262,'Water Use Calcs'!$J:$J,'End Uses'!J262)</f>
        <v>0</v>
      </c>
      <c r="N262" s="580">
        <f ca="1">L262*M262</f>
        <v>0</v>
      </c>
      <c r="O262" s="581" t="str">
        <f ca="1">IFERROR(N262/R258,"-")</f>
        <v>-</v>
      </c>
      <c r="P262" s="582"/>
      <c r="Q262" s="548"/>
      <c r="R262" s="584"/>
      <c r="S262" s="585">
        <f ca="1">SUMIFS('Water Use Calcs'!$W:$W,'Water Use Calcs'!$D:$D,'End Uses'!D262,'Water Use Calcs'!$G:$G,'End Uses'!G262,'Water Use Calcs'!$I:$I,'End Uses'!I262,'Water Use Calcs'!$J:$J,'End Uses'!J262)</f>
        <v>0</v>
      </c>
      <c r="T262" s="586">
        <f t="shared" ca="1" si="23"/>
        <v>0</v>
      </c>
      <c r="U262" s="581" t="str">
        <f ca="1">IFERROR(T262/X258,"-")</f>
        <v>-</v>
      </c>
      <c r="V262" s="582"/>
      <c r="W262" s="548"/>
      <c r="X262" s="584"/>
    </row>
    <row r="263" spans="3:24" x14ac:dyDescent="0.3">
      <c r="C263" s="576"/>
      <c r="D263" s="493" t="s">
        <v>16</v>
      </c>
      <c r="E263" s="494"/>
      <c r="F263" s="636"/>
      <c r="G263" s="494" t="s">
        <v>96</v>
      </c>
      <c r="H263" s="577"/>
      <c r="I263" s="450" t="s">
        <v>38</v>
      </c>
      <c r="J263" s="577" t="s">
        <v>41</v>
      </c>
      <c r="K263" s="598" t="s">
        <v>118</v>
      </c>
      <c r="L263" s="578">
        <f>SUMIFS('Airport Statistics'!$G:$G,'Airport Statistics'!$D:$D,G263,'Airport Statistics'!$F:$F,K263)</f>
        <v>0</v>
      </c>
      <c r="M263" s="579">
        <f ca="1">SUMIFS('Water Use Calcs'!$V:$V,'Water Use Calcs'!$D:$D,'End Uses'!D263,'Water Use Calcs'!$G:$G,'End Uses'!G263,'Water Use Calcs'!$I:$I,'End Uses'!I263,'Water Use Calcs'!$J:$J,'End Uses'!J263)</f>
        <v>0</v>
      </c>
      <c r="N263" s="580">
        <f t="shared" ca="1" si="2"/>
        <v>0</v>
      </c>
      <c r="O263" s="581" t="str">
        <f ca="1">IFERROR(N263/R258,"-")</f>
        <v>-</v>
      </c>
      <c r="P263" s="582"/>
      <c r="Q263" s="548"/>
      <c r="R263" s="584"/>
      <c r="S263" s="585">
        <f ca="1">SUMIFS('Water Use Calcs'!$W:$W,'Water Use Calcs'!$D:$D,'End Uses'!D263,'Water Use Calcs'!$G:$G,'End Uses'!G263,'Water Use Calcs'!$I:$I,'End Uses'!I263,'Water Use Calcs'!$J:$J,'End Uses'!J263)</f>
        <v>0</v>
      </c>
      <c r="T263" s="586">
        <f t="shared" ca="1" si="23"/>
        <v>0</v>
      </c>
      <c r="U263" s="581" t="str">
        <f ca="1">IFERROR(T263/X258,"-")</f>
        <v>-</v>
      </c>
      <c r="V263" s="582"/>
      <c r="W263" s="548"/>
      <c r="X263" s="584"/>
    </row>
    <row r="264" spans="3:24" x14ac:dyDescent="0.3">
      <c r="C264" s="576"/>
      <c r="D264" s="493" t="s">
        <v>16</v>
      </c>
      <c r="E264" s="494"/>
      <c r="F264" s="636"/>
      <c r="G264" s="494" t="s">
        <v>96</v>
      </c>
      <c r="H264" s="577"/>
      <c r="I264" s="493" t="s">
        <v>38</v>
      </c>
      <c r="J264" s="577" t="s">
        <v>20</v>
      </c>
      <c r="K264" s="635" t="s">
        <v>122</v>
      </c>
      <c r="L264" s="578">
        <f>SUMIFS('Airport Statistics'!$G:$G,'Airport Statistics'!$D:$D,G264,'Airport Statistics'!$F:$F,K264)</f>
        <v>0</v>
      </c>
      <c r="M264" s="579">
        <f ca="1">SUMIFS('Water Use Calcs'!$V:$V,'Water Use Calcs'!$D:$D,'End Uses'!D264,'Water Use Calcs'!$G:$G,'End Uses'!G264,'Water Use Calcs'!$I:$I,'End Uses'!I264,'Water Use Calcs'!$J:$J,'End Uses'!J264)</f>
        <v>0</v>
      </c>
      <c r="N264" s="580">
        <f t="shared" ca="1" si="2"/>
        <v>0</v>
      </c>
      <c r="O264" s="581" t="str">
        <f ca="1">IFERROR(N264/R258,"-")</f>
        <v>-</v>
      </c>
      <c r="P264" s="404"/>
      <c r="Q264" s="548"/>
      <c r="R264" s="584"/>
      <c r="S264" s="585">
        <f ca="1">SUMIFS('Water Use Calcs'!$W:$W,'Water Use Calcs'!$D:$D,'End Uses'!D264,'Water Use Calcs'!$G:$G,'End Uses'!G264,'Water Use Calcs'!$I:$I,'End Uses'!I264,'Water Use Calcs'!$J:$J,'End Uses'!J264)</f>
        <v>0</v>
      </c>
      <c r="T264" s="586">
        <f t="shared" ca="1" si="23"/>
        <v>0</v>
      </c>
      <c r="U264" s="581" t="str">
        <f ca="1">IFERROR(T264/X258,"-")</f>
        <v>-</v>
      </c>
      <c r="V264" s="404"/>
      <c r="W264" s="548"/>
      <c r="X264" s="584"/>
    </row>
    <row r="265" spans="3:24" x14ac:dyDescent="0.3">
      <c r="C265" s="576"/>
      <c r="D265" s="493" t="s">
        <v>16</v>
      </c>
      <c r="E265" s="494"/>
      <c r="F265" s="636"/>
      <c r="G265" s="494" t="s">
        <v>96</v>
      </c>
      <c r="H265" s="588" t="str">
        <f>I265</f>
        <v>Maintenance</v>
      </c>
      <c r="I265" s="455" t="s">
        <v>43</v>
      </c>
      <c r="J265" s="17" t="s">
        <v>111</v>
      </c>
      <c r="K265" s="599" t="s">
        <v>424</v>
      </c>
      <c r="L265" s="591">
        <f>SUMIFS('Airport Statistics'!$G:$G,'Airport Statistics'!$D:$D,G265,'Airport Statistics'!$F:$F,K265)</f>
        <v>0</v>
      </c>
      <c r="M265" s="592">
        <f ca="1">SUMIFS('Water Use Calcs'!$V:$V,'Water Use Calcs'!$D:$D,'End Uses'!D265,'Water Use Calcs'!$G:$G,'End Uses'!G265,'Water Use Calcs'!$I:$I,'End Uses'!I265,'Water Use Calcs'!$J:$J,'End Uses'!J265)</f>
        <v>0</v>
      </c>
      <c r="N265" s="593">
        <f t="shared" ca="1" si="2"/>
        <v>0</v>
      </c>
      <c r="O265" s="594" t="str">
        <f ca="1">IFERROR(N265/R258,"-")</f>
        <v>-</v>
      </c>
      <c r="P265" s="595">
        <f ca="1">SUMIFS($N:$N,$G:$G,G265,$I:$I,H265)</f>
        <v>0</v>
      </c>
      <c r="Q265" s="547" t="str">
        <f ca="1">IFERROR(P265/R258,"-")</f>
        <v>-</v>
      </c>
      <c r="R265" s="584"/>
      <c r="S265" s="596">
        <f ca="1">SUMIFS('Water Use Calcs'!$W:$W,'Water Use Calcs'!$D:$D,'End Uses'!D265,'Water Use Calcs'!$G:$G,'End Uses'!G265,'Water Use Calcs'!$I:$I,'End Uses'!I265,'Water Use Calcs'!$J:$J,'End Uses'!J265)</f>
        <v>0</v>
      </c>
      <c r="T265" s="597">
        <f t="shared" ca="1" si="23"/>
        <v>0</v>
      </c>
      <c r="U265" s="594" t="str">
        <f ca="1">IFERROR(T265/X258,"-")</f>
        <v>-</v>
      </c>
      <c r="V265" s="595">
        <f ca="1">SUMIFS($T:$T,$G:$G,G265,$I:$I,H265)</f>
        <v>0</v>
      </c>
      <c r="W265" s="547" t="str">
        <f ca="1">IFERROR(V265/X258,"-")</f>
        <v>-</v>
      </c>
      <c r="X265" s="584"/>
    </row>
    <row r="266" spans="3:24" x14ac:dyDescent="0.3">
      <c r="C266" s="576"/>
      <c r="D266" s="493" t="s">
        <v>16</v>
      </c>
      <c r="E266" s="494"/>
      <c r="F266" s="636"/>
      <c r="G266" s="494" t="s">
        <v>96</v>
      </c>
      <c r="H266" s="577"/>
      <c r="I266" s="450" t="s">
        <v>43</v>
      </c>
      <c r="J266" s="18" t="s">
        <v>7</v>
      </c>
      <c r="K266" s="183" t="s">
        <v>365</v>
      </c>
      <c r="L266" s="600"/>
      <c r="M266" s="601">
        <f ca="1">SUMIFS('Water Use Calcs'!$V:$V,'Water Use Calcs'!$D:$D,'End Uses'!D266,'Water Use Calcs'!$G:$G,'End Uses'!G266,'Water Use Calcs'!$I:$I,'End Uses'!I266,'Water Use Calcs'!$J:$J,'End Uses'!J266)</f>
        <v>0</v>
      </c>
      <c r="N266" s="580">
        <f ca="1">M266</f>
        <v>0</v>
      </c>
      <c r="O266" s="581" t="str">
        <f ca="1">IFERROR(N266/R258,"-")</f>
        <v>-</v>
      </c>
      <c r="P266" s="404"/>
      <c r="Q266" s="548"/>
      <c r="R266" s="584"/>
      <c r="S266" s="585">
        <f ca="1">SUMIFS('Water Use Calcs'!$W:$W,'Water Use Calcs'!$D:$D,'End Uses'!D266,'Water Use Calcs'!$G:$G,'End Uses'!G266,'Water Use Calcs'!$I:$I,'End Uses'!I266,'Water Use Calcs'!$J:$J,'End Uses'!J266)</f>
        <v>0</v>
      </c>
      <c r="T266" s="586">
        <f ca="1">S266</f>
        <v>0</v>
      </c>
      <c r="U266" s="581" t="str">
        <f ca="1">IFERROR(T266/X258,"-")</f>
        <v>-</v>
      </c>
      <c r="V266" s="404"/>
      <c r="W266" s="548"/>
      <c r="X266" s="584"/>
    </row>
    <row r="267" spans="3:24" x14ac:dyDescent="0.3">
      <c r="C267" s="576"/>
      <c r="D267" s="493" t="s">
        <v>16</v>
      </c>
      <c r="E267" s="494"/>
      <c r="F267" s="636"/>
      <c r="G267" s="494" t="s">
        <v>96</v>
      </c>
      <c r="H267" s="577"/>
      <c r="I267" s="450" t="s">
        <v>43</v>
      </c>
      <c r="J267" s="577" t="s">
        <v>112</v>
      </c>
      <c r="K267" s="598" t="s">
        <v>135</v>
      </c>
      <c r="L267" s="578">
        <f>SUMIFS('Airport Statistics'!$G:$G,'Airport Statistics'!$D:$D,G267,'Airport Statistics'!$F:$F,K267)</f>
        <v>0</v>
      </c>
      <c r="M267" s="579">
        <f ca="1">SUMIFS('Water Use Calcs'!$V:$V,'Water Use Calcs'!$D:$D,'End Uses'!D267,'Water Use Calcs'!$G:$G,'End Uses'!G267,'Water Use Calcs'!$I:$I,'End Uses'!I267,'Water Use Calcs'!$J:$J,'End Uses'!J267)</f>
        <v>0</v>
      </c>
      <c r="N267" s="580">
        <f t="shared" ca="1" si="2"/>
        <v>0</v>
      </c>
      <c r="O267" s="581" t="str">
        <f ca="1">IFERROR(N267/R258,"-")</f>
        <v>-</v>
      </c>
      <c r="P267" s="582"/>
      <c r="Q267" s="548"/>
      <c r="R267" s="584"/>
      <c r="S267" s="585">
        <f ca="1">SUMIFS('Water Use Calcs'!$W:$W,'Water Use Calcs'!$D:$D,'End Uses'!D267,'Water Use Calcs'!$G:$G,'End Uses'!G267,'Water Use Calcs'!$I:$I,'End Uses'!I267,'Water Use Calcs'!$J:$J,'End Uses'!J267)</f>
        <v>0</v>
      </c>
      <c r="T267" s="586">
        <f t="shared" ca="1" si="23"/>
        <v>0</v>
      </c>
      <c r="U267" s="581" t="str">
        <f ca="1">IFERROR(T267/X258,"-")</f>
        <v>-</v>
      </c>
      <c r="V267" s="582"/>
      <c r="W267" s="548"/>
      <c r="X267" s="584"/>
    </row>
    <row r="268" spans="3:24" x14ac:dyDescent="0.3">
      <c r="C268" s="576"/>
      <c r="D268" s="493" t="s">
        <v>16</v>
      </c>
      <c r="E268" s="494"/>
      <c r="F268" s="636"/>
      <c r="G268" s="494" t="s">
        <v>96</v>
      </c>
      <c r="H268" s="640"/>
      <c r="I268" s="641" t="s">
        <v>43</v>
      </c>
      <c r="J268" s="640" t="s">
        <v>21</v>
      </c>
      <c r="K268" s="642" t="s">
        <v>122</v>
      </c>
      <c r="L268" s="643">
        <f>SUMIFS('Airport Statistics'!$G:$G,'Airport Statistics'!$D:$D,G268,'Airport Statistics'!$F:$F,K268)</f>
        <v>0</v>
      </c>
      <c r="M268" s="644">
        <f ca="1">SUMIFS('Water Use Calcs'!$V:$V,'Water Use Calcs'!$D:$D,'End Uses'!D268,'Water Use Calcs'!$G:$G,'End Uses'!G268,'Water Use Calcs'!$I:$I,'End Uses'!I268,'Water Use Calcs'!$J:$J,'End Uses'!J268)</f>
        <v>0</v>
      </c>
      <c r="N268" s="645">
        <f t="shared" ca="1" si="2"/>
        <v>0</v>
      </c>
      <c r="O268" s="646" t="str">
        <f ca="1">IFERROR(N268/R258,"-")</f>
        <v>-</v>
      </c>
      <c r="P268" s="432"/>
      <c r="Q268" s="553"/>
      <c r="R268" s="584"/>
      <c r="S268" s="647">
        <f ca="1">SUMIFS('Water Use Calcs'!$W:$W,'Water Use Calcs'!$D:$D,'End Uses'!D268,'Water Use Calcs'!$G:$G,'End Uses'!G268,'Water Use Calcs'!$I:$I,'End Uses'!I268,'Water Use Calcs'!$J:$J,'End Uses'!J268)</f>
        <v>0</v>
      </c>
      <c r="T268" s="648">
        <f t="shared" ca="1" si="23"/>
        <v>0</v>
      </c>
      <c r="U268" s="646" t="str">
        <f ca="1">IFERROR(T268/X258,"-")</f>
        <v>-</v>
      </c>
      <c r="V268" s="432"/>
      <c r="W268" s="553"/>
      <c r="X268" s="584"/>
    </row>
    <row r="269" spans="3:24" x14ac:dyDescent="0.3">
      <c r="C269" s="576"/>
      <c r="D269" s="493" t="s">
        <v>16</v>
      </c>
      <c r="E269" s="494"/>
      <c r="F269" s="636"/>
      <c r="G269" s="494" t="s">
        <v>96</v>
      </c>
      <c r="H269" s="649" t="str">
        <f>I269</f>
        <v>Landscaping</v>
      </c>
      <c r="I269" s="493" t="s">
        <v>39</v>
      </c>
      <c r="J269" s="577" t="s">
        <v>42</v>
      </c>
      <c r="K269" s="15" t="s">
        <v>120</v>
      </c>
      <c r="L269" s="578">
        <f>SUMIFS('Airport Statistics'!$G:$G,'Airport Statistics'!$D:$D,G269,'Airport Statistics'!$F:$F,K269)</f>
        <v>0</v>
      </c>
      <c r="M269" s="579">
        <f ca="1">SUMIFS('Water Use Calcs'!$V:$V,'Water Use Calcs'!$D:$D,'End Uses'!D269,'Water Use Calcs'!$G:$G,'End Uses'!G269,'Water Use Calcs'!$I:$I,'End Uses'!I269,'Water Use Calcs'!$J:$J,'End Uses'!J269)</f>
        <v>0</v>
      </c>
      <c r="N269" s="580">
        <f t="shared" ref="N269" ca="1" si="25">L269*M269</f>
        <v>0</v>
      </c>
      <c r="O269" s="581" t="str">
        <f ca="1">IFERROR(N269/R258,"-")</f>
        <v>-</v>
      </c>
      <c r="P269" s="650">
        <f ca="1">SUMIFS($N:$N,$G:$G,G269,$I:$I,H269)</f>
        <v>0</v>
      </c>
      <c r="Q269" s="554" t="str">
        <f ca="1">IFERROR(P269/R258,"-")</f>
        <v>-</v>
      </c>
      <c r="R269" s="584"/>
      <c r="S269" s="585">
        <f ca="1">SUMIFS('Water Use Calcs'!$W:$W,'Water Use Calcs'!$D:$D,'End Uses'!D269,'Water Use Calcs'!$G:$G,'End Uses'!G269,'Water Use Calcs'!$I:$I,'End Uses'!I269,'Water Use Calcs'!$J:$J,'End Uses'!J269)</f>
        <v>0</v>
      </c>
      <c r="T269" s="586">
        <f t="shared" ca="1" si="23"/>
        <v>0</v>
      </c>
      <c r="U269" s="581" t="str">
        <f ca="1">IFERROR(T269/X258,"-")</f>
        <v>-</v>
      </c>
      <c r="V269" s="650">
        <f ca="1">SUMIFS($T:$T,$G:$G,G269,$I:$I,H269)</f>
        <v>0</v>
      </c>
      <c r="W269" s="554" t="str">
        <f ca="1">IFERROR(V269/X258,"-")</f>
        <v>-</v>
      </c>
      <c r="X269" s="584"/>
    </row>
    <row r="270" spans="3:24" x14ac:dyDescent="0.3">
      <c r="C270" s="576"/>
      <c r="D270" s="493" t="s">
        <v>16</v>
      </c>
      <c r="E270" s="494"/>
      <c r="F270" s="636"/>
      <c r="G270" s="494" t="s">
        <v>96</v>
      </c>
      <c r="H270" s="588" t="str">
        <f>I270</f>
        <v>Other</v>
      </c>
      <c r="I270" s="455" t="s">
        <v>8</v>
      </c>
      <c r="J270" s="589" t="s">
        <v>52</v>
      </c>
      <c r="K270" s="602" t="s">
        <v>362</v>
      </c>
      <c r="L270" s="591">
        <f>SUMIFS('Airport Statistics'!$G:$G,'Airport Statistics'!$D:$D,G270,'Airport Statistics'!$F:$F,K270)</f>
        <v>0</v>
      </c>
      <c r="M270" s="592">
        <f ca="1">SUMIFS('Water Use Calcs'!$V:$V,'Water Use Calcs'!$D:$D,'End Uses'!D270,'Water Use Calcs'!$G:$G,'End Uses'!G270,'Water Use Calcs'!$I:$I,'End Uses'!I270,'Water Use Calcs'!$J:$J,'End Uses'!J270)</f>
        <v>0</v>
      </c>
      <c r="N270" s="593">
        <f t="shared" ca="1" si="2"/>
        <v>0</v>
      </c>
      <c r="O270" s="594" t="str">
        <f ca="1">IFERROR(N270/R258,"-")</f>
        <v>-</v>
      </c>
      <c r="P270" s="595">
        <f ca="1">SUMIFS($N:$N,$G:$G,G270,$I:$I,H270)</f>
        <v>0</v>
      </c>
      <c r="Q270" s="547" t="str">
        <f ca="1">IFERROR(P270/R258,"-")</f>
        <v>-</v>
      </c>
      <c r="R270" s="584"/>
      <c r="S270" s="596">
        <f ca="1">SUMIFS('Water Use Calcs'!$W:$W,'Water Use Calcs'!$D:$D,'End Uses'!D270,'Water Use Calcs'!$G:$G,'End Uses'!G270,'Water Use Calcs'!$I:$I,'End Uses'!I270,'Water Use Calcs'!$J:$J,'End Uses'!J270)</f>
        <v>0</v>
      </c>
      <c r="T270" s="597">
        <f t="shared" ca="1" si="23"/>
        <v>0</v>
      </c>
      <c r="U270" s="594" t="str">
        <f t="shared" ref="U270:U272" ca="1" si="26">IFERROR(T270/X270,"-")</f>
        <v>-</v>
      </c>
      <c r="V270" s="595">
        <f ca="1">SUMIFS($T:$T,$G:$G,G270,$I:$I,H270)</f>
        <v>0</v>
      </c>
      <c r="W270" s="547" t="str">
        <f ca="1">IFERROR(V270/X258,"-")</f>
        <v>-</v>
      </c>
      <c r="X270" s="584"/>
    </row>
    <row r="271" spans="3:24" s="45" customFormat="1" ht="13.2" customHeight="1" x14ac:dyDescent="0.3">
      <c r="C271" s="576"/>
      <c r="D271" s="493" t="s">
        <v>16</v>
      </c>
      <c r="E271" s="494"/>
      <c r="F271" s="636"/>
      <c r="G271" s="494" t="s">
        <v>96</v>
      </c>
      <c r="H271" s="577"/>
      <c r="I271" s="450" t="s">
        <v>8</v>
      </c>
      <c r="J271" s="577" t="s">
        <v>53</v>
      </c>
      <c r="K271" s="439" t="s">
        <v>363</v>
      </c>
      <c r="L271" s="578">
        <f>SUMIFS('Airport Statistics'!$G:$G,'Airport Statistics'!$D:$D,G271,'Airport Statistics'!$F:$F,K271)</f>
        <v>0</v>
      </c>
      <c r="M271" s="579">
        <f ca="1">SUMIFS('Water Use Calcs'!$V:$V,'Water Use Calcs'!$D:$D,'End Uses'!D271,'Water Use Calcs'!$G:$G,'End Uses'!G271,'Water Use Calcs'!$I:$I,'End Uses'!I271,'Water Use Calcs'!$J:$J,'End Uses'!J271)</f>
        <v>0</v>
      </c>
      <c r="N271" s="580">
        <f t="shared" ca="1" si="2"/>
        <v>0</v>
      </c>
      <c r="O271" s="581" t="str">
        <f ca="1">IFERROR(N271/R258,"-")</f>
        <v>-</v>
      </c>
      <c r="P271" s="404"/>
      <c r="Q271" s="404"/>
      <c r="R271" s="584"/>
      <c r="S271" s="585">
        <f ca="1">SUMIFS('Water Use Calcs'!$W:$W,'Water Use Calcs'!$D:$D,'End Uses'!D271,'Water Use Calcs'!$G:$G,'End Uses'!G271,'Water Use Calcs'!$I:$I,'End Uses'!I271,'Water Use Calcs'!$J:$J,'End Uses'!J271)</f>
        <v>0</v>
      </c>
      <c r="T271" s="586">
        <f t="shared" ca="1" si="23"/>
        <v>0</v>
      </c>
      <c r="U271" s="581" t="str">
        <f t="shared" ca="1" si="26"/>
        <v>-</v>
      </c>
      <c r="V271" s="404"/>
      <c r="W271" s="404"/>
      <c r="X271" s="584"/>
    </row>
    <row r="272" spans="3:24" s="45" customFormat="1" ht="13.2" customHeight="1" thickBot="1" x14ac:dyDescent="0.35">
      <c r="C272" s="576"/>
      <c r="D272" s="493" t="s">
        <v>16</v>
      </c>
      <c r="E272" s="494"/>
      <c r="F272" s="636"/>
      <c r="G272" s="501" t="s">
        <v>96</v>
      </c>
      <c r="H272" s="116"/>
      <c r="I272" s="451" t="s">
        <v>8</v>
      </c>
      <c r="J272" s="116" t="s">
        <v>54</v>
      </c>
      <c r="K272" s="606" t="s">
        <v>364</v>
      </c>
      <c r="L272" s="607">
        <f>SUMIFS('Airport Statistics'!$G:$G,'Airport Statistics'!$D:$D,G272,'Airport Statistics'!$F:$F,K272)</f>
        <v>0</v>
      </c>
      <c r="M272" s="608">
        <f ca="1">SUMIFS('Water Use Calcs'!$V:$V,'Water Use Calcs'!$D:$D,'End Uses'!D272,'Water Use Calcs'!$G:$G,'End Uses'!G272,'Water Use Calcs'!$I:$I,'End Uses'!I272,'Water Use Calcs'!$J:$J,'End Uses'!J272)</f>
        <v>0</v>
      </c>
      <c r="N272" s="609">
        <f t="shared" ca="1" si="2"/>
        <v>0</v>
      </c>
      <c r="O272" s="616" t="str">
        <f ca="1">IFERROR(N272/R258,"-")</f>
        <v>-</v>
      </c>
      <c r="P272" s="611"/>
      <c r="Q272" s="611"/>
      <c r="R272" s="613"/>
      <c r="S272" s="614">
        <f ca="1">SUMIFS('Water Use Calcs'!$W:$W,'Water Use Calcs'!$D:$D,'End Uses'!D272,'Water Use Calcs'!$G:$G,'End Uses'!G272,'Water Use Calcs'!$I:$I,'End Uses'!I272,'Water Use Calcs'!$J:$J,'End Uses'!J272)</f>
        <v>0</v>
      </c>
      <c r="T272" s="615">
        <f t="shared" ca="1" si="23"/>
        <v>0</v>
      </c>
      <c r="U272" s="616" t="str">
        <f t="shared" ca="1" si="26"/>
        <v>-</v>
      </c>
      <c r="V272" s="611"/>
      <c r="W272" s="611"/>
      <c r="X272" s="613"/>
    </row>
    <row r="273" spans="3:24" s="45" customFormat="1" ht="13.2" customHeight="1" x14ac:dyDescent="0.3">
      <c r="C273" s="576"/>
      <c r="D273" s="493" t="s">
        <v>16</v>
      </c>
      <c r="E273" s="617" t="str">
        <f>G273</f>
        <v>Hotel B</v>
      </c>
      <c r="F273" s="565" t="str">
        <f>VLOOKUP(E273,'Airport Mapping'!$C$5:$D$39,2,FALSE)</f>
        <v xml:space="preserve"> </v>
      </c>
      <c r="G273" s="566" t="s">
        <v>97</v>
      </c>
      <c r="H273" s="564" t="str">
        <f>I273</f>
        <v>Guestrooms</v>
      </c>
      <c r="I273" s="454" t="s">
        <v>45</v>
      </c>
      <c r="J273" s="567" t="s">
        <v>2</v>
      </c>
      <c r="K273" s="639" t="s">
        <v>122</v>
      </c>
      <c r="L273" s="568">
        <f>SUMIFS('Airport Statistics'!$G:$G,'Airport Statistics'!$D:$D,G273,'Airport Statistics'!$F:$F,K273)</f>
        <v>0</v>
      </c>
      <c r="M273" s="569">
        <f ca="1">SUMIFS('Water Use Calcs'!$V:$V,'Water Use Calcs'!$D:$D,'End Uses'!D273,'Water Use Calcs'!$G:$G,'End Uses'!G273,'Water Use Calcs'!$I:$I,'End Uses'!I273,'Water Use Calcs'!$J:$J,'End Uses'!J273)</f>
        <v>0</v>
      </c>
      <c r="N273" s="570">
        <f t="shared" ref="N273:N332" ca="1" si="27">L273*M273</f>
        <v>0</v>
      </c>
      <c r="O273" s="571" t="str">
        <f ca="1">IFERROR(N273/R273,"-")</f>
        <v>-</v>
      </c>
      <c r="P273" s="572">
        <f ca="1">SUMIFS($N:$N,$G:$G,G273,$I:$I,H273)</f>
        <v>0</v>
      </c>
      <c r="Q273" s="546" t="str">
        <f ca="1">IFERROR(P273/R273,"-")</f>
        <v>-</v>
      </c>
      <c r="R273" s="573">
        <f ca="1">SUMIFS($N:$N,$G:$G,G273)</f>
        <v>0</v>
      </c>
      <c r="S273" s="574">
        <f ca="1">SUMIFS('Water Use Calcs'!$W:$W,'Water Use Calcs'!$D:$D,'End Uses'!D273,'Water Use Calcs'!$G:$G,'End Uses'!G273,'Water Use Calcs'!$I:$I,'End Uses'!I273,'Water Use Calcs'!$J:$J,'End Uses'!J273)</f>
        <v>0</v>
      </c>
      <c r="T273" s="575">
        <f t="shared" ca="1" si="23"/>
        <v>0</v>
      </c>
      <c r="U273" s="571" t="str">
        <f ca="1">IFERROR(T273/X273,"-")</f>
        <v>-</v>
      </c>
      <c r="V273" s="572">
        <f ca="1">SUMIFS($T:$T,$G:$G,G273,$I:$I,H273)</f>
        <v>0</v>
      </c>
      <c r="W273" s="546" t="str">
        <f ca="1">IFERROR(V273/X273,"-")</f>
        <v>-</v>
      </c>
      <c r="X273" s="573">
        <f ca="1">SUMIFS($T:$T,$G:$G,G273)</f>
        <v>0</v>
      </c>
    </row>
    <row r="274" spans="3:24" s="45" customFormat="1" ht="13.2" customHeight="1" x14ac:dyDescent="0.3">
      <c r="C274" s="576"/>
      <c r="D274" s="493" t="s">
        <v>16</v>
      </c>
      <c r="E274" s="494"/>
      <c r="F274" s="636"/>
      <c r="G274" s="494" t="s">
        <v>97</v>
      </c>
      <c r="H274" s="577"/>
      <c r="I274" s="450" t="s">
        <v>45</v>
      </c>
      <c r="J274" s="577" t="s">
        <v>18</v>
      </c>
      <c r="K274" s="635" t="s">
        <v>122</v>
      </c>
      <c r="L274" s="578">
        <f>SUMIFS('Airport Statistics'!$G:$G,'Airport Statistics'!$D:$D,G274,'Airport Statistics'!$F:$F,K274)</f>
        <v>0</v>
      </c>
      <c r="M274" s="579">
        <f ca="1">SUMIFS('Water Use Calcs'!$V:$V,'Water Use Calcs'!$D:$D,'End Uses'!D274,'Water Use Calcs'!$G:$G,'End Uses'!G274,'Water Use Calcs'!$I:$I,'End Uses'!I274,'Water Use Calcs'!$J:$J,'End Uses'!J274)</f>
        <v>0</v>
      </c>
      <c r="N274" s="580">
        <f t="shared" ca="1" si="27"/>
        <v>0</v>
      </c>
      <c r="O274" s="581" t="str">
        <f ca="1">IFERROR(N274/R273,"-")</f>
        <v>-</v>
      </c>
      <c r="P274" s="582"/>
      <c r="Q274" s="583"/>
      <c r="R274" s="584"/>
      <c r="S274" s="585">
        <f ca="1">SUMIFS('Water Use Calcs'!$W:$W,'Water Use Calcs'!$D:$D,'End Uses'!D274,'Water Use Calcs'!$G:$G,'End Uses'!G274,'Water Use Calcs'!$I:$I,'End Uses'!I274,'Water Use Calcs'!$J:$J,'End Uses'!J274)</f>
        <v>0</v>
      </c>
      <c r="T274" s="586">
        <f t="shared" ca="1" si="23"/>
        <v>0</v>
      </c>
      <c r="U274" s="581" t="str">
        <f ca="1">IFERROR(T274/X273,"-")</f>
        <v>-</v>
      </c>
      <c r="V274" s="582"/>
      <c r="W274" s="583"/>
      <c r="X274" s="584"/>
    </row>
    <row r="275" spans="3:24" x14ac:dyDescent="0.3">
      <c r="C275" s="576"/>
      <c r="D275" s="493" t="s">
        <v>16</v>
      </c>
      <c r="E275" s="494"/>
      <c r="F275" s="636"/>
      <c r="G275" s="494" t="s">
        <v>97</v>
      </c>
      <c r="H275" s="577"/>
      <c r="I275" s="493" t="s">
        <v>45</v>
      </c>
      <c r="J275" s="577" t="s">
        <v>33</v>
      </c>
      <c r="K275" s="635" t="s">
        <v>122</v>
      </c>
      <c r="L275" s="578">
        <f>SUMIFS('Airport Statistics'!$G:$G,'Airport Statistics'!$D:$D,G275,'Airport Statistics'!$F:$F,K275)</f>
        <v>0</v>
      </c>
      <c r="M275" s="579">
        <f ca="1">SUMIFS('Water Use Calcs'!$V:$V,'Water Use Calcs'!$D:$D,'End Uses'!D275,'Water Use Calcs'!$G:$G,'End Uses'!G275,'Water Use Calcs'!$I:$I,'End Uses'!I275,'Water Use Calcs'!$J:$J,'End Uses'!J275)</f>
        <v>0</v>
      </c>
      <c r="N275" s="580">
        <f t="shared" ca="1" si="27"/>
        <v>0</v>
      </c>
      <c r="O275" s="581" t="str">
        <f ca="1">IFERROR(N275/R273,"-")</f>
        <v>-</v>
      </c>
      <c r="P275" s="582"/>
      <c r="Q275" s="583"/>
      <c r="R275" s="584"/>
      <c r="S275" s="585">
        <f ca="1">SUMIFS('Water Use Calcs'!$W:$W,'Water Use Calcs'!$D:$D,'End Uses'!D275,'Water Use Calcs'!$G:$G,'End Uses'!G275,'Water Use Calcs'!$I:$I,'End Uses'!I275,'Water Use Calcs'!$J:$J,'End Uses'!J275)</f>
        <v>0</v>
      </c>
      <c r="T275" s="586">
        <f t="shared" ca="1" si="23"/>
        <v>0</v>
      </c>
      <c r="U275" s="581" t="str">
        <f ca="1">IFERROR(T275/X273,"-")</f>
        <v>-</v>
      </c>
      <c r="V275" s="582"/>
      <c r="W275" s="583"/>
      <c r="X275" s="584"/>
    </row>
    <row r="276" spans="3:24" x14ac:dyDescent="0.3">
      <c r="C276" s="576"/>
      <c r="D276" s="493" t="s">
        <v>16</v>
      </c>
      <c r="E276" s="494"/>
      <c r="F276" s="636"/>
      <c r="G276" s="494" t="s">
        <v>97</v>
      </c>
      <c r="H276" s="588" t="str">
        <f>I276</f>
        <v>Food Service</v>
      </c>
      <c r="I276" s="455" t="s">
        <v>38</v>
      </c>
      <c r="J276" s="589" t="s">
        <v>114</v>
      </c>
      <c r="K276" s="590" t="s">
        <v>118</v>
      </c>
      <c r="L276" s="591">
        <f>SUMIFS('Airport Statistics'!$G:$G,'Airport Statistics'!$D:$D,G276,'Airport Statistics'!$F:$F,K276)</f>
        <v>0</v>
      </c>
      <c r="M276" s="592">
        <f ca="1">SUMIFS('Water Use Calcs'!$V:$V,'Water Use Calcs'!$D:$D,'End Uses'!D276,'Water Use Calcs'!$G:$G,'End Uses'!G276,'Water Use Calcs'!$I:$I,'End Uses'!I276,'Water Use Calcs'!$J:$J,'End Uses'!J276)</f>
        <v>0</v>
      </c>
      <c r="N276" s="593">
        <f t="shared" ca="1" si="27"/>
        <v>0</v>
      </c>
      <c r="O276" s="594" t="str">
        <f ca="1">IFERROR(N276/R273,"-")</f>
        <v>-</v>
      </c>
      <c r="P276" s="595">
        <f ca="1">SUMIFS($N:$N,$G:$G,G276,$I:$I,H276)</f>
        <v>0</v>
      </c>
      <c r="Q276" s="547" t="str">
        <f ca="1">IFERROR(P276/R273,"-")</f>
        <v>-</v>
      </c>
      <c r="R276" s="584"/>
      <c r="S276" s="596">
        <f ca="1">SUMIFS('Water Use Calcs'!$W:$W,'Water Use Calcs'!$D:$D,'End Uses'!D276,'Water Use Calcs'!$G:$G,'End Uses'!G276,'Water Use Calcs'!$I:$I,'End Uses'!I276,'Water Use Calcs'!$J:$J,'End Uses'!J276)</f>
        <v>0</v>
      </c>
      <c r="T276" s="597">
        <f t="shared" ca="1" si="23"/>
        <v>0</v>
      </c>
      <c r="U276" s="594" t="str">
        <f ca="1">IFERROR(T276/X273,"-")</f>
        <v>-</v>
      </c>
      <c r="V276" s="595">
        <f ca="1">SUMIFS($T:$T,$G:$G,G276,$I:$I,H276)</f>
        <v>0</v>
      </c>
      <c r="W276" s="547" t="str">
        <f ca="1">IFERROR(V276/X273,"-")</f>
        <v>-</v>
      </c>
      <c r="X276" s="584"/>
    </row>
    <row r="277" spans="3:24" x14ac:dyDescent="0.3">
      <c r="C277" s="576"/>
      <c r="D277" s="521" t="s">
        <v>16</v>
      </c>
      <c r="E277" s="521"/>
      <c r="F277" s="576"/>
      <c r="G277" s="521" t="s">
        <v>97</v>
      </c>
      <c r="H277" s="577"/>
      <c r="I277" s="520" t="s">
        <v>38</v>
      </c>
      <c r="J277" s="577" t="s">
        <v>127</v>
      </c>
      <c r="K277" s="598" t="s">
        <v>118</v>
      </c>
      <c r="L277" s="578">
        <f>SUMIFS('Airport Statistics'!$G:$G,'Airport Statistics'!$D:$D,G277,'Airport Statistics'!$F:$F,K277)</f>
        <v>0</v>
      </c>
      <c r="M277" s="579">
        <f ca="1">SUMIFS('Water Use Calcs'!$V:$V,'Water Use Calcs'!$D:$D,'End Uses'!D277,'Water Use Calcs'!$G:$G,'End Uses'!G277,'Water Use Calcs'!$I:$I,'End Uses'!I277,'Water Use Calcs'!$J:$J,'End Uses'!J277)</f>
        <v>0</v>
      </c>
      <c r="N277" s="580">
        <f ca="1">L277*M277</f>
        <v>0</v>
      </c>
      <c r="O277" s="581" t="str">
        <f ca="1">IFERROR(N277/R273,"-")</f>
        <v>-</v>
      </c>
      <c r="P277" s="582"/>
      <c r="Q277" s="548"/>
      <c r="R277" s="584"/>
      <c r="S277" s="585">
        <f ca="1">SUMIFS('Water Use Calcs'!$W:$W,'Water Use Calcs'!$D:$D,'End Uses'!D277,'Water Use Calcs'!$G:$G,'End Uses'!G277,'Water Use Calcs'!$I:$I,'End Uses'!I277,'Water Use Calcs'!$J:$J,'End Uses'!J277)</f>
        <v>0</v>
      </c>
      <c r="T277" s="586">
        <f t="shared" ca="1" si="23"/>
        <v>0</v>
      </c>
      <c r="U277" s="581" t="str">
        <f ca="1">IFERROR(T277/X273,"-")</f>
        <v>-</v>
      </c>
      <c r="V277" s="582"/>
      <c r="W277" s="548"/>
      <c r="X277" s="584"/>
    </row>
    <row r="278" spans="3:24" x14ac:dyDescent="0.3">
      <c r="C278" s="576"/>
      <c r="D278" s="493" t="s">
        <v>16</v>
      </c>
      <c r="E278" s="494"/>
      <c r="F278" s="636"/>
      <c r="G278" s="494" t="s">
        <v>97</v>
      </c>
      <c r="H278" s="577"/>
      <c r="I278" s="450" t="s">
        <v>38</v>
      </c>
      <c r="J278" s="577" t="s">
        <v>41</v>
      </c>
      <c r="K278" s="598" t="s">
        <v>118</v>
      </c>
      <c r="L278" s="578">
        <f>SUMIFS('Airport Statistics'!$G:$G,'Airport Statistics'!$D:$D,G278,'Airport Statistics'!$F:$F,K278)</f>
        <v>0</v>
      </c>
      <c r="M278" s="579">
        <f ca="1">SUMIFS('Water Use Calcs'!$V:$V,'Water Use Calcs'!$D:$D,'End Uses'!D278,'Water Use Calcs'!$G:$G,'End Uses'!G278,'Water Use Calcs'!$I:$I,'End Uses'!I278,'Water Use Calcs'!$J:$J,'End Uses'!J278)</f>
        <v>0</v>
      </c>
      <c r="N278" s="580">
        <f t="shared" ca="1" si="27"/>
        <v>0</v>
      </c>
      <c r="O278" s="581" t="str">
        <f ca="1">IFERROR(N278/R273,"-")</f>
        <v>-</v>
      </c>
      <c r="P278" s="582"/>
      <c r="Q278" s="548"/>
      <c r="R278" s="584"/>
      <c r="S278" s="585">
        <f ca="1">SUMIFS('Water Use Calcs'!$W:$W,'Water Use Calcs'!$D:$D,'End Uses'!D278,'Water Use Calcs'!$G:$G,'End Uses'!G278,'Water Use Calcs'!$I:$I,'End Uses'!I278,'Water Use Calcs'!$J:$J,'End Uses'!J278)</f>
        <v>0</v>
      </c>
      <c r="T278" s="586">
        <f t="shared" ca="1" si="23"/>
        <v>0</v>
      </c>
      <c r="U278" s="581" t="str">
        <f ca="1">IFERROR(T278/X273,"-")</f>
        <v>-</v>
      </c>
      <c r="V278" s="582"/>
      <c r="W278" s="548"/>
      <c r="X278" s="584"/>
    </row>
    <row r="279" spans="3:24" x14ac:dyDescent="0.3">
      <c r="C279" s="576"/>
      <c r="D279" s="493" t="s">
        <v>16</v>
      </c>
      <c r="E279" s="494"/>
      <c r="F279" s="636"/>
      <c r="G279" s="494" t="s">
        <v>97</v>
      </c>
      <c r="H279" s="577"/>
      <c r="I279" s="493" t="s">
        <v>38</v>
      </c>
      <c r="J279" s="577" t="s">
        <v>20</v>
      </c>
      <c r="K279" s="635" t="s">
        <v>122</v>
      </c>
      <c r="L279" s="578">
        <f>SUMIFS('Airport Statistics'!$G:$G,'Airport Statistics'!$D:$D,G279,'Airport Statistics'!$F:$F,K279)</f>
        <v>0</v>
      </c>
      <c r="M279" s="579">
        <f ca="1">SUMIFS('Water Use Calcs'!$V:$V,'Water Use Calcs'!$D:$D,'End Uses'!D279,'Water Use Calcs'!$G:$G,'End Uses'!G279,'Water Use Calcs'!$I:$I,'End Uses'!I279,'Water Use Calcs'!$J:$J,'End Uses'!J279)</f>
        <v>0</v>
      </c>
      <c r="N279" s="580">
        <f t="shared" ca="1" si="27"/>
        <v>0</v>
      </c>
      <c r="O279" s="581" t="str">
        <f ca="1">IFERROR(N279/R273,"-")</f>
        <v>-</v>
      </c>
      <c r="P279" s="404"/>
      <c r="Q279" s="548"/>
      <c r="R279" s="584"/>
      <c r="S279" s="585">
        <f ca="1">SUMIFS('Water Use Calcs'!$W:$W,'Water Use Calcs'!$D:$D,'End Uses'!D279,'Water Use Calcs'!$G:$G,'End Uses'!G279,'Water Use Calcs'!$I:$I,'End Uses'!I279,'Water Use Calcs'!$J:$J,'End Uses'!J279)</f>
        <v>0</v>
      </c>
      <c r="T279" s="586">
        <f t="shared" ca="1" si="23"/>
        <v>0</v>
      </c>
      <c r="U279" s="581" t="str">
        <f ca="1">IFERROR(T279/X273,"-")</f>
        <v>-</v>
      </c>
      <c r="V279" s="404"/>
      <c r="W279" s="548"/>
      <c r="X279" s="584"/>
    </row>
    <row r="280" spans="3:24" x14ac:dyDescent="0.3">
      <c r="C280" s="576"/>
      <c r="D280" s="493" t="s">
        <v>16</v>
      </c>
      <c r="E280" s="494"/>
      <c r="F280" s="636"/>
      <c r="G280" s="494" t="s">
        <v>97</v>
      </c>
      <c r="H280" s="588" t="str">
        <f>I280</f>
        <v>Maintenance</v>
      </c>
      <c r="I280" s="455" t="s">
        <v>43</v>
      </c>
      <c r="J280" s="17" t="s">
        <v>111</v>
      </c>
      <c r="K280" s="599" t="s">
        <v>424</v>
      </c>
      <c r="L280" s="591">
        <f>SUMIFS('Airport Statistics'!$G:$G,'Airport Statistics'!$D:$D,G280,'Airport Statistics'!$F:$F,K280)</f>
        <v>0</v>
      </c>
      <c r="M280" s="592">
        <f ca="1">SUMIFS('Water Use Calcs'!$V:$V,'Water Use Calcs'!$D:$D,'End Uses'!D280,'Water Use Calcs'!$G:$G,'End Uses'!G280,'Water Use Calcs'!$I:$I,'End Uses'!I280,'Water Use Calcs'!$J:$J,'End Uses'!J280)</f>
        <v>0</v>
      </c>
      <c r="N280" s="593">
        <f t="shared" ca="1" si="27"/>
        <v>0</v>
      </c>
      <c r="O280" s="594" t="str">
        <f ca="1">IFERROR(N280/R273,"-")</f>
        <v>-</v>
      </c>
      <c r="P280" s="595">
        <f ca="1">SUMIFS($N:$N,$G:$G,G280,$I:$I,H280)</f>
        <v>0</v>
      </c>
      <c r="Q280" s="547" t="str">
        <f ca="1">IFERROR(P280/R273,"-")</f>
        <v>-</v>
      </c>
      <c r="R280" s="584"/>
      <c r="S280" s="596">
        <f ca="1">SUMIFS('Water Use Calcs'!$W:$W,'Water Use Calcs'!$D:$D,'End Uses'!D280,'Water Use Calcs'!$G:$G,'End Uses'!G280,'Water Use Calcs'!$I:$I,'End Uses'!I280,'Water Use Calcs'!$J:$J,'End Uses'!J280)</f>
        <v>0</v>
      </c>
      <c r="T280" s="597">
        <f t="shared" ca="1" si="23"/>
        <v>0</v>
      </c>
      <c r="U280" s="594" t="str">
        <f ca="1">IFERROR(T280/X273,"-")</f>
        <v>-</v>
      </c>
      <c r="V280" s="595">
        <f ca="1">SUMIFS($T:$T,$G:$G,G280,$I:$I,H280)</f>
        <v>0</v>
      </c>
      <c r="W280" s="547" t="str">
        <f ca="1">IFERROR(V280/X273,"-")</f>
        <v>-</v>
      </c>
      <c r="X280" s="584"/>
    </row>
    <row r="281" spans="3:24" x14ac:dyDescent="0.3">
      <c r="C281" s="576"/>
      <c r="D281" s="493" t="s">
        <v>16</v>
      </c>
      <c r="E281" s="494"/>
      <c r="F281" s="636"/>
      <c r="G281" s="494" t="s">
        <v>97</v>
      </c>
      <c r="H281" s="577"/>
      <c r="I281" s="450" t="s">
        <v>43</v>
      </c>
      <c r="J281" s="18" t="s">
        <v>7</v>
      </c>
      <c r="K281" s="183" t="s">
        <v>365</v>
      </c>
      <c r="L281" s="600"/>
      <c r="M281" s="601">
        <f ca="1">SUMIFS('Water Use Calcs'!$V:$V,'Water Use Calcs'!$D:$D,'End Uses'!D281,'Water Use Calcs'!$G:$G,'End Uses'!G281,'Water Use Calcs'!$I:$I,'End Uses'!I281,'Water Use Calcs'!$J:$J,'End Uses'!J281)</f>
        <v>0</v>
      </c>
      <c r="N281" s="580">
        <f ca="1">M281</f>
        <v>0</v>
      </c>
      <c r="O281" s="581" t="str">
        <f ca="1">IFERROR(N281/R273,"-")</f>
        <v>-</v>
      </c>
      <c r="P281" s="404"/>
      <c r="Q281" s="548"/>
      <c r="R281" s="584"/>
      <c r="S281" s="585">
        <f ca="1">SUMIFS('Water Use Calcs'!$W:$W,'Water Use Calcs'!$D:$D,'End Uses'!D281,'Water Use Calcs'!$G:$G,'End Uses'!G281,'Water Use Calcs'!$I:$I,'End Uses'!I281,'Water Use Calcs'!$J:$J,'End Uses'!J281)</f>
        <v>0</v>
      </c>
      <c r="T281" s="586">
        <f ca="1">S281</f>
        <v>0</v>
      </c>
      <c r="U281" s="581" t="str">
        <f ca="1">IFERROR(T281/X273,"-")</f>
        <v>-</v>
      </c>
      <c r="V281" s="404"/>
      <c r="W281" s="548"/>
      <c r="X281" s="584"/>
    </row>
    <row r="282" spans="3:24" x14ac:dyDescent="0.3">
      <c r="C282" s="576"/>
      <c r="D282" s="493" t="s">
        <v>16</v>
      </c>
      <c r="E282" s="494"/>
      <c r="F282" s="636"/>
      <c r="G282" s="494" t="s">
        <v>97</v>
      </c>
      <c r="H282" s="577"/>
      <c r="I282" s="450" t="s">
        <v>43</v>
      </c>
      <c r="J282" s="577" t="s">
        <v>112</v>
      </c>
      <c r="K282" s="598" t="s">
        <v>135</v>
      </c>
      <c r="L282" s="578">
        <f>SUMIFS('Airport Statistics'!$G:$G,'Airport Statistics'!$D:$D,G282,'Airport Statistics'!$F:$F,K282)</f>
        <v>0</v>
      </c>
      <c r="M282" s="579">
        <f ca="1">SUMIFS('Water Use Calcs'!$V:$V,'Water Use Calcs'!$D:$D,'End Uses'!D282,'Water Use Calcs'!$G:$G,'End Uses'!G282,'Water Use Calcs'!$I:$I,'End Uses'!I282,'Water Use Calcs'!$J:$J,'End Uses'!J282)</f>
        <v>0</v>
      </c>
      <c r="N282" s="580">
        <f t="shared" ca="1" si="27"/>
        <v>0</v>
      </c>
      <c r="O282" s="581" t="str">
        <f ca="1">IFERROR(N282/R273,"-")</f>
        <v>-</v>
      </c>
      <c r="P282" s="582"/>
      <c r="Q282" s="548"/>
      <c r="R282" s="584"/>
      <c r="S282" s="585">
        <f ca="1">SUMIFS('Water Use Calcs'!$W:$W,'Water Use Calcs'!$D:$D,'End Uses'!D282,'Water Use Calcs'!$G:$G,'End Uses'!G282,'Water Use Calcs'!$I:$I,'End Uses'!I282,'Water Use Calcs'!$J:$J,'End Uses'!J282)</f>
        <v>0</v>
      </c>
      <c r="T282" s="586">
        <f t="shared" ca="1" si="23"/>
        <v>0</v>
      </c>
      <c r="U282" s="581" t="str">
        <f ca="1">IFERROR(T282/X273,"-")</f>
        <v>-</v>
      </c>
      <c r="V282" s="582"/>
      <c r="W282" s="548"/>
      <c r="X282" s="584"/>
    </row>
    <row r="283" spans="3:24" x14ac:dyDescent="0.3">
      <c r="C283" s="576"/>
      <c r="D283" s="493" t="s">
        <v>16</v>
      </c>
      <c r="E283" s="494"/>
      <c r="F283" s="636"/>
      <c r="G283" s="494" t="s">
        <v>97</v>
      </c>
      <c r="H283" s="640"/>
      <c r="I283" s="641" t="s">
        <v>43</v>
      </c>
      <c r="J283" s="640" t="s">
        <v>21</v>
      </c>
      <c r="K283" s="642" t="s">
        <v>122</v>
      </c>
      <c r="L283" s="643">
        <f>SUMIFS('Airport Statistics'!$G:$G,'Airport Statistics'!$D:$D,G283,'Airport Statistics'!$F:$F,K283)</f>
        <v>0</v>
      </c>
      <c r="M283" s="644">
        <f ca="1">SUMIFS('Water Use Calcs'!$V:$V,'Water Use Calcs'!$D:$D,'End Uses'!D283,'Water Use Calcs'!$G:$G,'End Uses'!G283,'Water Use Calcs'!$I:$I,'End Uses'!I283,'Water Use Calcs'!$J:$J,'End Uses'!J283)</f>
        <v>0</v>
      </c>
      <c r="N283" s="645">
        <f t="shared" ca="1" si="27"/>
        <v>0</v>
      </c>
      <c r="O283" s="646" t="str">
        <f ca="1">IFERROR(N283/R273,"-")</f>
        <v>-</v>
      </c>
      <c r="P283" s="432"/>
      <c r="Q283" s="553"/>
      <c r="R283" s="584"/>
      <c r="S283" s="647">
        <f ca="1">SUMIFS('Water Use Calcs'!$W:$W,'Water Use Calcs'!$D:$D,'End Uses'!D283,'Water Use Calcs'!$G:$G,'End Uses'!G283,'Water Use Calcs'!$I:$I,'End Uses'!I283,'Water Use Calcs'!$J:$J,'End Uses'!J283)</f>
        <v>0</v>
      </c>
      <c r="T283" s="648">
        <f t="shared" ca="1" si="23"/>
        <v>0</v>
      </c>
      <c r="U283" s="646" t="str">
        <f ca="1">IFERROR(T283/X273,"-")</f>
        <v>-</v>
      </c>
      <c r="V283" s="432"/>
      <c r="W283" s="553"/>
      <c r="X283" s="584"/>
    </row>
    <row r="284" spans="3:24" x14ac:dyDescent="0.3">
      <c r="C284" s="576"/>
      <c r="D284" s="493" t="s">
        <v>16</v>
      </c>
      <c r="E284" s="494"/>
      <c r="F284" s="636"/>
      <c r="G284" s="494" t="s">
        <v>97</v>
      </c>
      <c r="H284" s="649" t="str">
        <f>I284</f>
        <v>Landscaping</v>
      </c>
      <c r="I284" s="493" t="s">
        <v>39</v>
      </c>
      <c r="J284" s="577" t="s">
        <v>42</v>
      </c>
      <c r="K284" s="15" t="s">
        <v>120</v>
      </c>
      <c r="L284" s="578">
        <f>SUMIFS('Airport Statistics'!$G:$G,'Airport Statistics'!$D:$D,G284,'Airport Statistics'!$F:$F,K284)</f>
        <v>0</v>
      </c>
      <c r="M284" s="579">
        <f ca="1">SUMIFS('Water Use Calcs'!$V:$V,'Water Use Calcs'!$D:$D,'End Uses'!D284,'Water Use Calcs'!$G:$G,'End Uses'!G284,'Water Use Calcs'!$I:$I,'End Uses'!I284,'Water Use Calcs'!$J:$J,'End Uses'!J284)</f>
        <v>0</v>
      </c>
      <c r="N284" s="580">
        <f t="shared" ca="1" si="27"/>
        <v>0</v>
      </c>
      <c r="O284" s="581" t="str">
        <f ca="1">IFERROR(N284/R273,"-")</f>
        <v>-</v>
      </c>
      <c r="P284" s="650">
        <f ca="1">SUMIFS($N:$N,$G:$G,G284,$I:$I,H284)</f>
        <v>0</v>
      </c>
      <c r="Q284" s="554" t="str">
        <f ca="1">IFERROR(P284/R273,"-")</f>
        <v>-</v>
      </c>
      <c r="R284" s="584"/>
      <c r="S284" s="585">
        <f ca="1">SUMIFS('Water Use Calcs'!$W:$W,'Water Use Calcs'!$D:$D,'End Uses'!D284,'Water Use Calcs'!$G:$G,'End Uses'!G284,'Water Use Calcs'!$I:$I,'End Uses'!I284,'Water Use Calcs'!$J:$J,'End Uses'!J284)</f>
        <v>0</v>
      </c>
      <c r="T284" s="586">
        <f t="shared" ca="1" si="23"/>
        <v>0</v>
      </c>
      <c r="U284" s="581" t="str">
        <f ca="1">IFERROR(T284/X273,"-")</f>
        <v>-</v>
      </c>
      <c r="V284" s="650">
        <f ca="1">SUMIFS($T:$T,$G:$G,G284,$I:$I,H284)</f>
        <v>0</v>
      </c>
      <c r="W284" s="554" t="str">
        <f ca="1">IFERROR(V284/X273,"-")</f>
        <v>-</v>
      </c>
      <c r="X284" s="584"/>
    </row>
    <row r="285" spans="3:24" x14ac:dyDescent="0.3">
      <c r="C285" s="576"/>
      <c r="D285" s="493" t="s">
        <v>16</v>
      </c>
      <c r="E285" s="494"/>
      <c r="F285" s="636"/>
      <c r="G285" s="494" t="s">
        <v>97</v>
      </c>
      <c r="H285" s="588" t="str">
        <f>I285</f>
        <v>Other</v>
      </c>
      <c r="I285" s="455" t="s">
        <v>8</v>
      </c>
      <c r="J285" s="589" t="s">
        <v>52</v>
      </c>
      <c r="K285" s="602" t="s">
        <v>362</v>
      </c>
      <c r="L285" s="591">
        <f>SUMIFS('Airport Statistics'!$G:$G,'Airport Statistics'!$D:$D,G285,'Airport Statistics'!$F:$F,K285)</f>
        <v>0</v>
      </c>
      <c r="M285" s="592">
        <f ca="1">SUMIFS('Water Use Calcs'!$V:$V,'Water Use Calcs'!$D:$D,'End Uses'!D285,'Water Use Calcs'!$G:$G,'End Uses'!G285,'Water Use Calcs'!$I:$I,'End Uses'!I285,'Water Use Calcs'!$J:$J,'End Uses'!J285)</f>
        <v>0</v>
      </c>
      <c r="N285" s="593">
        <f t="shared" ca="1" si="27"/>
        <v>0</v>
      </c>
      <c r="O285" s="594" t="str">
        <f ca="1">IFERROR(N285/R273,"-")</f>
        <v>-</v>
      </c>
      <c r="P285" s="595">
        <f ca="1">SUMIFS($N:$N,$G:$G,G285,$I:$I,H285)</f>
        <v>0</v>
      </c>
      <c r="Q285" s="547" t="str">
        <f ca="1">IFERROR(P285/R273,"-")</f>
        <v>-</v>
      </c>
      <c r="R285" s="584"/>
      <c r="S285" s="596">
        <f ca="1">SUMIFS('Water Use Calcs'!$W:$W,'Water Use Calcs'!$D:$D,'End Uses'!D285,'Water Use Calcs'!$G:$G,'End Uses'!G285,'Water Use Calcs'!$I:$I,'End Uses'!I285,'Water Use Calcs'!$J:$J,'End Uses'!J285)</f>
        <v>0</v>
      </c>
      <c r="T285" s="597">
        <f t="shared" ca="1" si="23"/>
        <v>0</v>
      </c>
      <c r="U285" s="594" t="str">
        <f t="shared" ref="U285:U287" ca="1" si="28">IFERROR(T285/X285,"-")</f>
        <v>-</v>
      </c>
      <c r="V285" s="595">
        <f ca="1">SUMIFS($T:$T,$G:$G,G285,$I:$I,H285)</f>
        <v>0</v>
      </c>
      <c r="W285" s="547" t="str">
        <f ca="1">IFERROR(V285/X273,"-")</f>
        <v>-</v>
      </c>
      <c r="X285" s="584"/>
    </row>
    <row r="286" spans="3:24" s="45" customFormat="1" ht="13.2" customHeight="1" x14ac:dyDescent="0.3">
      <c r="C286" s="576"/>
      <c r="D286" s="493" t="s">
        <v>16</v>
      </c>
      <c r="E286" s="494"/>
      <c r="F286" s="636"/>
      <c r="G286" s="494" t="s">
        <v>97</v>
      </c>
      <c r="H286" s="577"/>
      <c r="I286" s="450" t="s">
        <v>8</v>
      </c>
      <c r="J286" s="577" t="s">
        <v>53</v>
      </c>
      <c r="K286" s="439" t="s">
        <v>363</v>
      </c>
      <c r="L286" s="578">
        <f>SUMIFS('Airport Statistics'!$G:$G,'Airport Statistics'!$D:$D,G286,'Airport Statistics'!$F:$F,K286)</f>
        <v>0</v>
      </c>
      <c r="M286" s="579">
        <f ca="1">SUMIFS('Water Use Calcs'!$V:$V,'Water Use Calcs'!$D:$D,'End Uses'!D286,'Water Use Calcs'!$G:$G,'End Uses'!G286,'Water Use Calcs'!$I:$I,'End Uses'!I286,'Water Use Calcs'!$J:$J,'End Uses'!J286)</f>
        <v>0</v>
      </c>
      <c r="N286" s="580">
        <f t="shared" ca="1" si="27"/>
        <v>0</v>
      </c>
      <c r="O286" s="581" t="str">
        <f ca="1">IFERROR(N286/R273,"-")</f>
        <v>-</v>
      </c>
      <c r="P286" s="404"/>
      <c r="Q286" s="404"/>
      <c r="R286" s="584"/>
      <c r="S286" s="585">
        <f ca="1">SUMIFS('Water Use Calcs'!$W:$W,'Water Use Calcs'!$D:$D,'End Uses'!D286,'Water Use Calcs'!$G:$G,'End Uses'!G286,'Water Use Calcs'!$I:$I,'End Uses'!I286,'Water Use Calcs'!$J:$J,'End Uses'!J286)</f>
        <v>0</v>
      </c>
      <c r="T286" s="586">
        <f t="shared" ca="1" si="23"/>
        <v>0</v>
      </c>
      <c r="U286" s="581" t="str">
        <f t="shared" ca="1" si="28"/>
        <v>-</v>
      </c>
      <c r="V286" s="404"/>
      <c r="W286" s="404"/>
      <c r="X286" s="584"/>
    </row>
    <row r="287" spans="3:24" s="45" customFormat="1" ht="13.2" customHeight="1" thickBot="1" x14ac:dyDescent="0.35">
      <c r="C287" s="576"/>
      <c r="D287" s="493" t="s">
        <v>16</v>
      </c>
      <c r="E287" s="494"/>
      <c r="F287" s="636"/>
      <c r="G287" s="501" t="s">
        <v>97</v>
      </c>
      <c r="H287" s="116"/>
      <c r="I287" s="451" t="s">
        <v>8</v>
      </c>
      <c r="J287" s="116" t="s">
        <v>54</v>
      </c>
      <c r="K287" s="606" t="s">
        <v>364</v>
      </c>
      <c r="L287" s="607">
        <f>SUMIFS('Airport Statistics'!$G:$G,'Airport Statistics'!$D:$D,G287,'Airport Statistics'!$F:$F,K287)</f>
        <v>0</v>
      </c>
      <c r="M287" s="608">
        <f ca="1">SUMIFS('Water Use Calcs'!$V:$V,'Water Use Calcs'!$D:$D,'End Uses'!D287,'Water Use Calcs'!$G:$G,'End Uses'!G287,'Water Use Calcs'!$I:$I,'End Uses'!I287,'Water Use Calcs'!$J:$J,'End Uses'!J287)</f>
        <v>0</v>
      </c>
      <c r="N287" s="609">
        <f t="shared" ca="1" si="27"/>
        <v>0</v>
      </c>
      <c r="O287" s="616" t="str">
        <f ca="1">IFERROR(N287/R273,"-")</f>
        <v>-</v>
      </c>
      <c r="P287" s="611"/>
      <c r="Q287" s="611"/>
      <c r="R287" s="613"/>
      <c r="S287" s="614">
        <f ca="1">SUMIFS('Water Use Calcs'!$W:$W,'Water Use Calcs'!$D:$D,'End Uses'!D287,'Water Use Calcs'!$G:$G,'End Uses'!G287,'Water Use Calcs'!$I:$I,'End Uses'!I287,'Water Use Calcs'!$J:$J,'End Uses'!J287)</f>
        <v>0</v>
      </c>
      <c r="T287" s="615">
        <f t="shared" ca="1" si="23"/>
        <v>0</v>
      </c>
      <c r="U287" s="616" t="str">
        <f t="shared" ca="1" si="28"/>
        <v>-</v>
      </c>
      <c r="V287" s="611"/>
      <c r="W287" s="611"/>
      <c r="X287" s="613"/>
    </row>
    <row r="288" spans="3:24" s="45" customFormat="1" ht="13.2" customHeight="1" x14ac:dyDescent="0.3">
      <c r="C288" s="576"/>
      <c r="D288" s="493" t="s">
        <v>16</v>
      </c>
      <c r="E288" s="617" t="str">
        <f>G288</f>
        <v>Hotel C</v>
      </c>
      <c r="F288" s="565" t="str">
        <f>VLOOKUP(E288,'Airport Mapping'!$C$5:$D$39,2,FALSE)</f>
        <v xml:space="preserve"> </v>
      </c>
      <c r="G288" s="566" t="s">
        <v>98</v>
      </c>
      <c r="H288" s="564" t="str">
        <f>I288</f>
        <v>Guestrooms</v>
      </c>
      <c r="I288" s="454" t="s">
        <v>45</v>
      </c>
      <c r="J288" s="567" t="s">
        <v>2</v>
      </c>
      <c r="K288" s="639" t="s">
        <v>122</v>
      </c>
      <c r="L288" s="568">
        <f>SUMIFS('Airport Statistics'!$G:$G,'Airport Statistics'!$D:$D,G288,'Airport Statistics'!$F:$F,K288)</f>
        <v>0</v>
      </c>
      <c r="M288" s="569">
        <f ca="1">SUMIFS('Water Use Calcs'!$V:$V,'Water Use Calcs'!$D:$D,'End Uses'!D288,'Water Use Calcs'!$G:$G,'End Uses'!G288,'Water Use Calcs'!$I:$I,'End Uses'!I288,'Water Use Calcs'!$J:$J,'End Uses'!J288)</f>
        <v>0</v>
      </c>
      <c r="N288" s="570">
        <f t="shared" ca="1" si="27"/>
        <v>0</v>
      </c>
      <c r="O288" s="571" t="str">
        <f ca="1">IFERROR(N288/R288,"-")</f>
        <v>-</v>
      </c>
      <c r="P288" s="572">
        <f ca="1">SUMIFS($N:$N,$G:$G,G288,$I:$I,H288)</f>
        <v>0</v>
      </c>
      <c r="Q288" s="546" t="str">
        <f ca="1">IFERROR(P288/R288,"-")</f>
        <v>-</v>
      </c>
      <c r="R288" s="573">
        <f ca="1">SUMIFS($N:$N,$G:$G,G288)</f>
        <v>0</v>
      </c>
      <c r="S288" s="574">
        <f ca="1">SUMIFS('Water Use Calcs'!$W:$W,'Water Use Calcs'!$D:$D,'End Uses'!D288,'Water Use Calcs'!$G:$G,'End Uses'!G288,'Water Use Calcs'!$I:$I,'End Uses'!I288,'Water Use Calcs'!$J:$J,'End Uses'!J288)</f>
        <v>0</v>
      </c>
      <c r="T288" s="575">
        <f t="shared" ca="1" si="23"/>
        <v>0</v>
      </c>
      <c r="U288" s="571" t="str">
        <f ca="1">IFERROR(T288/X288,"-")</f>
        <v>-</v>
      </c>
      <c r="V288" s="572">
        <f ca="1">SUMIFS($T:$T,$G:$G,G288,$I:$I,H288)</f>
        <v>0</v>
      </c>
      <c r="W288" s="546" t="str">
        <f ca="1">IFERROR(V288/X288,"-")</f>
        <v>-</v>
      </c>
      <c r="X288" s="573">
        <f ca="1">SUMIFS($T:$T,$G:$G,G288)</f>
        <v>0</v>
      </c>
    </row>
    <row r="289" spans="3:24" s="45" customFormat="1" ht="13.2" customHeight="1" x14ac:dyDescent="0.3">
      <c r="C289" s="576"/>
      <c r="D289" s="493" t="s">
        <v>16</v>
      </c>
      <c r="E289" s="494"/>
      <c r="F289" s="636"/>
      <c r="G289" s="494" t="s">
        <v>98</v>
      </c>
      <c r="H289" s="577"/>
      <c r="I289" s="450" t="s">
        <v>45</v>
      </c>
      <c r="J289" s="577" t="s">
        <v>18</v>
      </c>
      <c r="K289" s="635" t="s">
        <v>122</v>
      </c>
      <c r="L289" s="578">
        <f>SUMIFS('Airport Statistics'!$G:$G,'Airport Statistics'!$D:$D,G289,'Airport Statistics'!$F:$F,K289)</f>
        <v>0</v>
      </c>
      <c r="M289" s="579">
        <f ca="1">SUMIFS('Water Use Calcs'!$V:$V,'Water Use Calcs'!$D:$D,'End Uses'!D289,'Water Use Calcs'!$G:$G,'End Uses'!G289,'Water Use Calcs'!$I:$I,'End Uses'!I289,'Water Use Calcs'!$J:$J,'End Uses'!J289)</f>
        <v>0</v>
      </c>
      <c r="N289" s="580">
        <f t="shared" ca="1" si="27"/>
        <v>0</v>
      </c>
      <c r="O289" s="581" t="str">
        <f ca="1">IFERROR(N289/R288,"-")</f>
        <v>-</v>
      </c>
      <c r="P289" s="582"/>
      <c r="Q289" s="583"/>
      <c r="R289" s="584"/>
      <c r="S289" s="585">
        <f ca="1">SUMIFS('Water Use Calcs'!$W:$W,'Water Use Calcs'!$D:$D,'End Uses'!D289,'Water Use Calcs'!$G:$G,'End Uses'!G289,'Water Use Calcs'!$I:$I,'End Uses'!I289,'Water Use Calcs'!$J:$J,'End Uses'!J289)</f>
        <v>0</v>
      </c>
      <c r="T289" s="586">
        <f t="shared" ca="1" si="23"/>
        <v>0</v>
      </c>
      <c r="U289" s="581" t="str">
        <f ca="1">IFERROR(T289/X288,"-")</f>
        <v>-</v>
      </c>
      <c r="V289" s="582"/>
      <c r="W289" s="583"/>
      <c r="X289" s="584"/>
    </row>
    <row r="290" spans="3:24" x14ac:dyDescent="0.3">
      <c r="C290" s="576"/>
      <c r="D290" s="493" t="s">
        <v>16</v>
      </c>
      <c r="E290" s="494"/>
      <c r="F290" s="636"/>
      <c r="G290" s="494" t="s">
        <v>98</v>
      </c>
      <c r="H290" s="577"/>
      <c r="I290" s="493" t="s">
        <v>45</v>
      </c>
      <c r="J290" s="577" t="s">
        <v>33</v>
      </c>
      <c r="K290" s="635" t="s">
        <v>122</v>
      </c>
      <c r="L290" s="578">
        <f>SUMIFS('Airport Statistics'!$G:$G,'Airport Statistics'!$D:$D,G290,'Airport Statistics'!$F:$F,K290)</f>
        <v>0</v>
      </c>
      <c r="M290" s="579">
        <f ca="1">SUMIFS('Water Use Calcs'!$V:$V,'Water Use Calcs'!$D:$D,'End Uses'!D290,'Water Use Calcs'!$G:$G,'End Uses'!G290,'Water Use Calcs'!$I:$I,'End Uses'!I290,'Water Use Calcs'!$J:$J,'End Uses'!J290)</f>
        <v>0</v>
      </c>
      <c r="N290" s="580">
        <f t="shared" ca="1" si="27"/>
        <v>0</v>
      </c>
      <c r="O290" s="581" t="str">
        <f ca="1">IFERROR(N290/R288,"-")</f>
        <v>-</v>
      </c>
      <c r="P290" s="582"/>
      <c r="Q290" s="583"/>
      <c r="R290" s="584"/>
      <c r="S290" s="585">
        <f ca="1">SUMIFS('Water Use Calcs'!$W:$W,'Water Use Calcs'!$D:$D,'End Uses'!D290,'Water Use Calcs'!$G:$G,'End Uses'!G290,'Water Use Calcs'!$I:$I,'End Uses'!I290,'Water Use Calcs'!$J:$J,'End Uses'!J290)</f>
        <v>0</v>
      </c>
      <c r="T290" s="586">
        <f t="shared" ca="1" si="23"/>
        <v>0</v>
      </c>
      <c r="U290" s="581" t="str">
        <f ca="1">IFERROR(T290/X288,"-")</f>
        <v>-</v>
      </c>
      <c r="V290" s="582"/>
      <c r="W290" s="583"/>
      <c r="X290" s="584"/>
    </row>
    <row r="291" spans="3:24" x14ac:dyDescent="0.3">
      <c r="C291" s="576"/>
      <c r="D291" s="493" t="s">
        <v>16</v>
      </c>
      <c r="E291" s="494"/>
      <c r="F291" s="636"/>
      <c r="G291" s="494" t="s">
        <v>98</v>
      </c>
      <c r="H291" s="588" t="str">
        <f>I291</f>
        <v>Food Service</v>
      </c>
      <c r="I291" s="455" t="s">
        <v>38</v>
      </c>
      <c r="J291" s="589" t="s">
        <v>114</v>
      </c>
      <c r="K291" s="590" t="s">
        <v>118</v>
      </c>
      <c r="L291" s="591">
        <f>SUMIFS('Airport Statistics'!$G:$G,'Airport Statistics'!$D:$D,G291,'Airport Statistics'!$F:$F,K291)</f>
        <v>0</v>
      </c>
      <c r="M291" s="592">
        <f ca="1">SUMIFS('Water Use Calcs'!$V:$V,'Water Use Calcs'!$D:$D,'End Uses'!D291,'Water Use Calcs'!$G:$G,'End Uses'!G291,'Water Use Calcs'!$I:$I,'End Uses'!I291,'Water Use Calcs'!$J:$J,'End Uses'!J291)</f>
        <v>0</v>
      </c>
      <c r="N291" s="593">
        <f t="shared" ca="1" si="27"/>
        <v>0</v>
      </c>
      <c r="O291" s="594" t="str">
        <f ca="1">IFERROR(N291/R288,"-")</f>
        <v>-</v>
      </c>
      <c r="P291" s="595">
        <f ca="1">SUMIFS($N:$N,$G:$G,G291,$I:$I,H291)</f>
        <v>0</v>
      </c>
      <c r="Q291" s="547" t="str">
        <f ca="1">IFERROR(P291/R288,"-")</f>
        <v>-</v>
      </c>
      <c r="R291" s="584"/>
      <c r="S291" s="596">
        <f ca="1">SUMIFS('Water Use Calcs'!$W:$W,'Water Use Calcs'!$D:$D,'End Uses'!D291,'Water Use Calcs'!$G:$G,'End Uses'!G291,'Water Use Calcs'!$I:$I,'End Uses'!I291,'Water Use Calcs'!$J:$J,'End Uses'!J291)</f>
        <v>0</v>
      </c>
      <c r="T291" s="597">
        <f t="shared" ca="1" si="23"/>
        <v>0</v>
      </c>
      <c r="U291" s="594" t="str">
        <f ca="1">IFERROR(T291/X288,"-")</f>
        <v>-</v>
      </c>
      <c r="V291" s="595">
        <f ca="1">SUMIFS($T:$T,$G:$G,G291,$I:$I,H291)</f>
        <v>0</v>
      </c>
      <c r="W291" s="547" t="str">
        <f ca="1">IFERROR(V291/X288,"-")</f>
        <v>-</v>
      </c>
      <c r="X291" s="584"/>
    </row>
    <row r="292" spans="3:24" x14ac:dyDescent="0.3">
      <c r="C292" s="576"/>
      <c r="D292" s="521" t="s">
        <v>16</v>
      </c>
      <c r="E292" s="521"/>
      <c r="F292" s="576"/>
      <c r="G292" s="521" t="s">
        <v>98</v>
      </c>
      <c r="H292" s="577"/>
      <c r="I292" s="520" t="s">
        <v>38</v>
      </c>
      <c r="J292" s="577" t="s">
        <v>127</v>
      </c>
      <c r="K292" s="598" t="s">
        <v>118</v>
      </c>
      <c r="L292" s="578">
        <f>SUMIFS('Airport Statistics'!$G:$G,'Airport Statistics'!$D:$D,G292,'Airport Statistics'!$F:$F,K292)</f>
        <v>0</v>
      </c>
      <c r="M292" s="579">
        <f ca="1">SUMIFS('Water Use Calcs'!$V:$V,'Water Use Calcs'!$D:$D,'End Uses'!D292,'Water Use Calcs'!$G:$G,'End Uses'!G292,'Water Use Calcs'!$I:$I,'End Uses'!I292,'Water Use Calcs'!$J:$J,'End Uses'!J292)</f>
        <v>0</v>
      </c>
      <c r="N292" s="580">
        <f ca="1">L292*M292</f>
        <v>0</v>
      </c>
      <c r="O292" s="581" t="str">
        <f ca="1">IFERROR(N292/R288,"-")</f>
        <v>-</v>
      </c>
      <c r="P292" s="582"/>
      <c r="Q292" s="548"/>
      <c r="R292" s="584"/>
      <c r="S292" s="585">
        <f ca="1">SUMIFS('Water Use Calcs'!$W:$W,'Water Use Calcs'!$D:$D,'End Uses'!D292,'Water Use Calcs'!$G:$G,'End Uses'!G292,'Water Use Calcs'!$I:$I,'End Uses'!I292,'Water Use Calcs'!$J:$J,'End Uses'!J292)</f>
        <v>0</v>
      </c>
      <c r="T292" s="586">
        <f t="shared" ca="1" si="23"/>
        <v>0</v>
      </c>
      <c r="U292" s="581" t="str">
        <f ca="1">IFERROR(T292/X288,"-")</f>
        <v>-</v>
      </c>
      <c r="V292" s="582"/>
      <c r="W292" s="548"/>
      <c r="X292" s="584"/>
    </row>
    <row r="293" spans="3:24" x14ac:dyDescent="0.3">
      <c r="C293" s="576"/>
      <c r="D293" s="493" t="s">
        <v>16</v>
      </c>
      <c r="E293" s="494"/>
      <c r="F293" s="636"/>
      <c r="G293" s="494" t="s">
        <v>98</v>
      </c>
      <c r="H293" s="577"/>
      <c r="I293" s="450" t="s">
        <v>38</v>
      </c>
      <c r="J293" s="577" t="s">
        <v>41</v>
      </c>
      <c r="K293" s="598" t="s">
        <v>118</v>
      </c>
      <c r="L293" s="578">
        <f>SUMIFS('Airport Statistics'!$G:$G,'Airport Statistics'!$D:$D,G293,'Airport Statistics'!$F:$F,K293)</f>
        <v>0</v>
      </c>
      <c r="M293" s="579">
        <f ca="1">SUMIFS('Water Use Calcs'!$V:$V,'Water Use Calcs'!$D:$D,'End Uses'!D293,'Water Use Calcs'!$G:$G,'End Uses'!G293,'Water Use Calcs'!$I:$I,'End Uses'!I293,'Water Use Calcs'!$J:$J,'End Uses'!J293)</f>
        <v>0</v>
      </c>
      <c r="N293" s="580">
        <f t="shared" ca="1" si="27"/>
        <v>0</v>
      </c>
      <c r="O293" s="581" t="str">
        <f ca="1">IFERROR(N293/R288,"-")</f>
        <v>-</v>
      </c>
      <c r="P293" s="582"/>
      <c r="Q293" s="548"/>
      <c r="R293" s="584"/>
      <c r="S293" s="585">
        <f ca="1">SUMIFS('Water Use Calcs'!$W:$W,'Water Use Calcs'!$D:$D,'End Uses'!D293,'Water Use Calcs'!$G:$G,'End Uses'!G293,'Water Use Calcs'!$I:$I,'End Uses'!I293,'Water Use Calcs'!$J:$J,'End Uses'!J293)</f>
        <v>0</v>
      </c>
      <c r="T293" s="586">
        <f t="shared" ca="1" si="23"/>
        <v>0</v>
      </c>
      <c r="U293" s="581" t="str">
        <f ca="1">IFERROR(T293/X288,"-")</f>
        <v>-</v>
      </c>
      <c r="V293" s="582"/>
      <c r="W293" s="548"/>
      <c r="X293" s="584"/>
    </row>
    <row r="294" spans="3:24" x14ac:dyDescent="0.3">
      <c r="C294" s="576"/>
      <c r="D294" s="493" t="s">
        <v>16</v>
      </c>
      <c r="E294" s="494"/>
      <c r="F294" s="636"/>
      <c r="G294" s="494" t="s">
        <v>98</v>
      </c>
      <c r="H294" s="577"/>
      <c r="I294" s="493" t="s">
        <v>38</v>
      </c>
      <c r="J294" s="577" t="s">
        <v>20</v>
      </c>
      <c r="K294" s="635" t="s">
        <v>122</v>
      </c>
      <c r="L294" s="578">
        <f>SUMIFS('Airport Statistics'!$G:$G,'Airport Statistics'!$D:$D,G294,'Airport Statistics'!$F:$F,K294)</f>
        <v>0</v>
      </c>
      <c r="M294" s="579">
        <f ca="1">SUMIFS('Water Use Calcs'!$V:$V,'Water Use Calcs'!$D:$D,'End Uses'!D294,'Water Use Calcs'!$G:$G,'End Uses'!G294,'Water Use Calcs'!$I:$I,'End Uses'!I294,'Water Use Calcs'!$J:$J,'End Uses'!J294)</f>
        <v>0</v>
      </c>
      <c r="N294" s="580">
        <f t="shared" ca="1" si="27"/>
        <v>0</v>
      </c>
      <c r="O294" s="581" t="str">
        <f ca="1">IFERROR(N294/R288,"-")</f>
        <v>-</v>
      </c>
      <c r="P294" s="404"/>
      <c r="Q294" s="548"/>
      <c r="R294" s="584"/>
      <c r="S294" s="585">
        <f ca="1">SUMIFS('Water Use Calcs'!$W:$W,'Water Use Calcs'!$D:$D,'End Uses'!D294,'Water Use Calcs'!$G:$G,'End Uses'!G294,'Water Use Calcs'!$I:$I,'End Uses'!I294,'Water Use Calcs'!$J:$J,'End Uses'!J294)</f>
        <v>0</v>
      </c>
      <c r="T294" s="586">
        <f t="shared" ca="1" si="23"/>
        <v>0</v>
      </c>
      <c r="U294" s="581" t="str">
        <f ca="1">IFERROR(T294/X288,"-")</f>
        <v>-</v>
      </c>
      <c r="V294" s="404"/>
      <c r="W294" s="548"/>
      <c r="X294" s="584"/>
    </row>
    <row r="295" spans="3:24" x14ac:dyDescent="0.3">
      <c r="C295" s="576"/>
      <c r="D295" s="493" t="s">
        <v>16</v>
      </c>
      <c r="E295" s="494"/>
      <c r="F295" s="636"/>
      <c r="G295" s="494" t="s">
        <v>98</v>
      </c>
      <c r="H295" s="588" t="str">
        <f>I295</f>
        <v>Maintenance</v>
      </c>
      <c r="I295" s="455" t="s">
        <v>43</v>
      </c>
      <c r="J295" s="17" t="s">
        <v>111</v>
      </c>
      <c r="K295" s="599" t="s">
        <v>424</v>
      </c>
      <c r="L295" s="591">
        <f>SUMIFS('Airport Statistics'!$G:$G,'Airport Statistics'!$D:$D,G295,'Airport Statistics'!$F:$F,K295)</f>
        <v>0</v>
      </c>
      <c r="M295" s="592">
        <f ca="1">SUMIFS('Water Use Calcs'!$V:$V,'Water Use Calcs'!$D:$D,'End Uses'!D295,'Water Use Calcs'!$G:$G,'End Uses'!G295,'Water Use Calcs'!$I:$I,'End Uses'!I295,'Water Use Calcs'!$J:$J,'End Uses'!J295)</f>
        <v>0</v>
      </c>
      <c r="N295" s="593">
        <f t="shared" ca="1" si="27"/>
        <v>0</v>
      </c>
      <c r="O295" s="594" t="str">
        <f ca="1">IFERROR(N295/R288,"-")</f>
        <v>-</v>
      </c>
      <c r="P295" s="595">
        <f ca="1">SUMIFS($N:$N,$G:$G,G295,$I:$I,H295)</f>
        <v>0</v>
      </c>
      <c r="Q295" s="547" t="str">
        <f ca="1">IFERROR(P295/R288,"-")</f>
        <v>-</v>
      </c>
      <c r="R295" s="584"/>
      <c r="S295" s="596">
        <f ca="1">SUMIFS('Water Use Calcs'!$W:$W,'Water Use Calcs'!$D:$D,'End Uses'!D295,'Water Use Calcs'!$G:$G,'End Uses'!G295,'Water Use Calcs'!$I:$I,'End Uses'!I295,'Water Use Calcs'!$J:$J,'End Uses'!J295)</f>
        <v>0</v>
      </c>
      <c r="T295" s="597">
        <f t="shared" ca="1" si="23"/>
        <v>0</v>
      </c>
      <c r="U295" s="594" t="str">
        <f ca="1">IFERROR(T295/X288,"-")</f>
        <v>-</v>
      </c>
      <c r="V295" s="595">
        <f ca="1">SUMIFS($T:$T,$G:$G,G295,$I:$I,H295)</f>
        <v>0</v>
      </c>
      <c r="W295" s="547" t="str">
        <f ca="1">IFERROR(V295/X288,"-")</f>
        <v>-</v>
      </c>
      <c r="X295" s="584"/>
    </row>
    <row r="296" spans="3:24" x14ac:dyDescent="0.3">
      <c r="C296" s="576"/>
      <c r="D296" s="493" t="s">
        <v>16</v>
      </c>
      <c r="E296" s="494"/>
      <c r="F296" s="636"/>
      <c r="G296" s="494" t="s">
        <v>98</v>
      </c>
      <c r="H296" s="577"/>
      <c r="I296" s="450" t="s">
        <v>43</v>
      </c>
      <c r="J296" s="18" t="s">
        <v>7</v>
      </c>
      <c r="K296" s="183" t="s">
        <v>365</v>
      </c>
      <c r="L296" s="600"/>
      <c r="M296" s="601">
        <f ca="1">SUMIFS('Water Use Calcs'!$V:$V,'Water Use Calcs'!$D:$D,'End Uses'!D296,'Water Use Calcs'!$G:$G,'End Uses'!G296,'Water Use Calcs'!$I:$I,'End Uses'!I296,'Water Use Calcs'!$J:$J,'End Uses'!J296)</f>
        <v>0</v>
      </c>
      <c r="N296" s="580">
        <f ca="1">M296</f>
        <v>0</v>
      </c>
      <c r="O296" s="581" t="str">
        <f ca="1">IFERROR(N296/R288,"-")</f>
        <v>-</v>
      </c>
      <c r="P296" s="404"/>
      <c r="Q296" s="548"/>
      <c r="R296" s="584"/>
      <c r="S296" s="585">
        <f ca="1">SUMIFS('Water Use Calcs'!$W:$W,'Water Use Calcs'!$D:$D,'End Uses'!D296,'Water Use Calcs'!$G:$G,'End Uses'!G296,'Water Use Calcs'!$I:$I,'End Uses'!I296,'Water Use Calcs'!$J:$J,'End Uses'!J296)</f>
        <v>0</v>
      </c>
      <c r="T296" s="586">
        <f ca="1">S296</f>
        <v>0</v>
      </c>
      <c r="U296" s="581" t="str">
        <f ca="1">IFERROR(T296/X288,"-")</f>
        <v>-</v>
      </c>
      <c r="V296" s="404"/>
      <c r="W296" s="548"/>
      <c r="X296" s="584"/>
    </row>
    <row r="297" spans="3:24" x14ac:dyDescent="0.3">
      <c r="C297" s="576"/>
      <c r="D297" s="493" t="s">
        <v>16</v>
      </c>
      <c r="E297" s="494"/>
      <c r="F297" s="636"/>
      <c r="G297" s="494" t="s">
        <v>98</v>
      </c>
      <c r="H297" s="577"/>
      <c r="I297" s="450" t="s">
        <v>43</v>
      </c>
      <c r="J297" s="577" t="s">
        <v>112</v>
      </c>
      <c r="K297" s="598" t="s">
        <v>135</v>
      </c>
      <c r="L297" s="578">
        <f>SUMIFS('Airport Statistics'!$G:$G,'Airport Statistics'!$D:$D,G297,'Airport Statistics'!$F:$F,K297)</f>
        <v>0</v>
      </c>
      <c r="M297" s="579">
        <f ca="1">SUMIFS('Water Use Calcs'!$V:$V,'Water Use Calcs'!$D:$D,'End Uses'!D297,'Water Use Calcs'!$G:$G,'End Uses'!G297,'Water Use Calcs'!$I:$I,'End Uses'!I297,'Water Use Calcs'!$J:$J,'End Uses'!J297)</f>
        <v>0</v>
      </c>
      <c r="N297" s="580">
        <f t="shared" ca="1" si="27"/>
        <v>0</v>
      </c>
      <c r="O297" s="581" t="str">
        <f ca="1">IFERROR(N297/R288,"-")</f>
        <v>-</v>
      </c>
      <c r="P297" s="582"/>
      <c r="Q297" s="548"/>
      <c r="R297" s="584"/>
      <c r="S297" s="585">
        <f ca="1">SUMIFS('Water Use Calcs'!$W:$W,'Water Use Calcs'!$D:$D,'End Uses'!D297,'Water Use Calcs'!$G:$G,'End Uses'!G297,'Water Use Calcs'!$I:$I,'End Uses'!I297,'Water Use Calcs'!$J:$J,'End Uses'!J297)</f>
        <v>0</v>
      </c>
      <c r="T297" s="586">
        <f t="shared" ca="1" si="23"/>
        <v>0</v>
      </c>
      <c r="U297" s="581" t="str">
        <f ca="1">IFERROR(T297/X288,"-")</f>
        <v>-</v>
      </c>
      <c r="V297" s="582"/>
      <c r="W297" s="548"/>
      <c r="X297" s="584"/>
    </row>
    <row r="298" spans="3:24" x14ac:dyDescent="0.3">
      <c r="C298" s="576"/>
      <c r="D298" s="493" t="s">
        <v>16</v>
      </c>
      <c r="E298" s="494"/>
      <c r="F298" s="636"/>
      <c r="G298" s="494" t="s">
        <v>98</v>
      </c>
      <c r="H298" s="640"/>
      <c r="I298" s="641" t="s">
        <v>43</v>
      </c>
      <c r="J298" s="640" t="s">
        <v>21</v>
      </c>
      <c r="K298" s="642" t="s">
        <v>122</v>
      </c>
      <c r="L298" s="643">
        <f>SUMIFS('Airport Statistics'!$G:$G,'Airport Statistics'!$D:$D,G298,'Airport Statistics'!$F:$F,K298)</f>
        <v>0</v>
      </c>
      <c r="M298" s="644">
        <f ca="1">SUMIFS('Water Use Calcs'!$V:$V,'Water Use Calcs'!$D:$D,'End Uses'!D298,'Water Use Calcs'!$G:$G,'End Uses'!G298,'Water Use Calcs'!$I:$I,'End Uses'!I298,'Water Use Calcs'!$J:$J,'End Uses'!J298)</f>
        <v>0</v>
      </c>
      <c r="N298" s="645">
        <f t="shared" ca="1" si="27"/>
        <v>0</v>
      </c>
      <c r="O298" s="646" t="str">
        <f ca="1">IFERROR(N298/R288,"-")</f>
        <v>-</v>
      </c>
      <c r="P298" s="432"/>
      <c r="Q298" s="553"/>
      <c r="R298" s="584"/>
      <c r="S298" s="647">
        <f ca="1">SUMIFS('Water Use Calcs'!$W:$W,'Water Use Calcs'!$D:$D,'End Uses'!D298,'Water Use Calcs'!$G:$G,'End Uses'!G298,'Water Use Calcs'!$I:$I,'End Uses'!I298,'Water Use Calcs'!$J:$J,'End Uses'!J298)</f>
        <v>0</v>
      </c>
      <c r="T298" s="648">
        <f t="shared" ca="1" si="23"/>
        <v>0</v>
      </c>
      <c r="U298" s="646" t="str">
        <f ca="1">IFERROR(T298/X288,"-")</f>
        <v>-</v>
      </c>
      <c r="V298" s="432"/>
      <c r="W298" s="553"/>
      <c r="X298" s="584"/>
    </row>
    <row r="299" spans="3:24" x14ac:dyDescent="0.3">
      <c r="C299" s="576"/>
      <c r="D299" s="493" t="s">
        <v>16</v>
      </c>
      <c r="E299" s="494"/>
      <c r="F299" s="636"/>
      <c r="G299" s="494" t="s">
        <v>98</v>
      </c>
      <c r="H299" s="649" t="str">
        <f>I299</f>
        <v>Landscaping</v>
      </c>
      <c r="I299" s="493" t="s">
        <v>39</v>
      </c>
      <c r="J299" s="577" t="s">
        <v>42</v>
      </c>
      <c r="K299" s="15" t="s">
        <v>120</v>
      </c>
      <c r="L299" s="578">
        <f>SUMIFS('Airport Statistics'!$G:$G,'Airport Statistics'!$D:$D,G299,'Airport Statistics'!$F:$F,K299)</f>
        <v>0</v>
      </c>
      <c r="M299" s="579">
        <f ca="1">SUMIFS('Water Use Calcs'!$V:$V,'Water Use Calcs'!$D:$D,'End Uses'!D299,'Water Use Calcs'!$G:$G,'End Uses'!G299,'Water Use Calcs'!$I:$I,'End Uses'!I299,'Water Use Calcs'!$J:$J,'End Uses'!J299)</f>
        <v>0</v>
      </c>
      <c r="N299" s="580">
        <f t="shared" ca="1" si="27"/>
        <v>0</v>
      </c>
      <c r="O299" s="581" t="str">
        <f ca="1">IFERROR(N299/R288,"-")</f>
        <v>-</v>
      </c>
      <c r="P299" s="650">
        <f ca="1">SUMIFS($N:$N,$G:$G,G299,$I:$I,H299)</f>
        <v>0</v>
      </c>
      <c r="Q299" s="554" t="str">
        <f ca="1">IFERROR(P299/R288,"-")</f>
        <v>-</v>
      </c>
      <c r="R299" s="584"/>
      <c r="S299" s="585">
        <f ca="1">SUMIFS('Water Use Calcs'!$W:$W,'Water Use Calcs'!$D:$D,'End Uses'!D299,'Water Use Calcs'!$G:$G,'End Uses'!G299,'Water Use Calcs'!$I:$I,'End Uses'!I299,'Water Use Calcs'!$J:$J,'End Uses'!J299)</f>
        <v>0</v>
      </c>
      <c r="T299" s="586">
        <f t="shared" ref="T299:T361" ca="1" si="29">L299*S299</f>
        <v>0</v>
      </c>
      <c r="U299" s="581" t="str">
        <f ca="1">IFERROR(T299/X288,"-")</f>
        <v>-</v>
      </c>
      <c r="V299" s="650">
        <f ca="1">SUMIFS($T:$T,$G:$G,G299,$I:$I,H299)</f>
        <v>0</v>
      </c>
      <c r="W299" s="554" t="str">
        <f ca="1">IFERROR(V299/X288,"-")</f>
        <v>-</v>
      </c>
      <c r="X299" s="584"/>
    </row>
    <row r="300" spans="3:24" x14ac:dyDescent="0.3">
      <c r="C300" s="576"/>
      <c r="D300" s="493" t="s">
        <v>16</v>
      </c>
      <c r="E300" s="494"/>
      <c r="F300" s="636"/>
      <c r="G300" s="494" t="s">
        <v>98</v>
      </c>
      <c r="H300" s="588" t="str">
        <f>I300</f>
        <v>Other</v>
      </c>
      <c r="I300" s="455" t="s">
        <v>8</v>
      </c>
      <c r="J300" s="589" t="s">
        <v>52</v>
      </c>
      <c r="K300" s="602" t="s">
        <v>362</v>
      </c>
      <c r="L300" s="591">
        <f>SUMIFS('Airport Statistics'!$G:$G,'Airport Statistics'!$D:$D,G300,'Airport Statistics'!$F:$F,K300)</f>
        <v>0</v>
      </c>
      <c r="M300" s="592">
        <f ca="1">SUMIFS('Water Use Calcs'!$V:$V,'Water Use Calcs'!$D:$D,'End Uses'!D300,'Water Use Calcs'!$G:$G,'End Uses'!G300,'Water Use Calcs'!$I:$I,'End Uses'!I300,'Water Use Calcs'!$J:$J,'End Uses'!J300)</f>
        <v>0</v>
      </c>
      <c r="N300" s="593">
        <f t="shared" ca="1" si="27"/>
        <v>0</v>
      </c>
      <c r="O300" s="594" t="str">
        <f ca="1">IFERROR(N300/R288,"-")</f>
        <v>-</v>
      </c>
      <c r="P300" s="595">
        <f ca="1">SUMIFS($N:$N,$G:$G,G300,$I:$I,H300)</f>
        <v>0</v>
      </c>
      <c r="Q300" s="547" t="str">
        <f ca="1">IFERROR(P300/R288,"-")</f>
        <v>-</v>
      </c>
      <c r="R300" s="584"/>
      <c r="S300" s="596">
        <f ca="1">SUMIFS('Water Use Calcs'!$W:$W,'Water Use Calcs'!$D:$D,'End Uses'!D300,'Water Use Calcs'!$G:$G,'End Uses'!G300,'Water Use Calcs'!$I:$I,'End Uses'!I300,'Water Use Calcs'!$J:$J,'End Uses'!J300)</f>
        <v>0</v>
      </c>
      <c r="T300" s="597">
        <f t="shared" ca="1" si="29"/>
        <v>0</v>
      </c>
      <c r="U300" s="594" t="str">
        <f t="shared" ref="U300:U302" ca="1" si="30">IFERROR(T300/X300,"-")</f>
        <v>-</v>
      </c>
      <c r="V300" s="595">
        <f ca="1">SUMIFS($T:$T,$G:$G,G300,$I:$I,H300)</f>
        <v>0</v>
      </c>
      <c r="W300" s="547" t="str">
        <f ca="1">IFERROR(V300/X288,"-")</f>
        <v>-</v>
      </c>
      <c r="X300" s="584"/>
    </row>
    <row r="301" spans="3:24" s="45" customFormat="1" ht="13.2" customHeight="1" x14ac:dyDescent="0.3">
      <c r="C301" s="576"/>
      <c r="D301" s="493" t="s">
        <v>16</v>
      </c>
      <c r="E301" s="494"/>
      <c r="F301" s="636"/>
      <c r="G301" s="494" t="s">
        <v>98</v>
      </c>
      <c r="H301" s="577"/>
      <c r="I301" s="450" t="s">
        <v>8</v>
      </c>
      <c r="J301" s="577" t="s">
        <v>53</v>
      </c>
      <c r="K301" s="439" t="s">
        <v>363</v>
      </c>
      <c r="L301" s="578">
        <f>SUMIFS('Airport Statistics'!$G:$G,'Airport Statistics'!$D:$D,G301,'Airport Statistics'!$F:$F,K301)</f>
        <v>0</v>
      </c>
      <c r="M301" s="579">
        <f ca="1">SUMIFS('Water Use Calcs'!$V:$V,'Water Use Calcs'!$D:$D,'End Uses'!D301,'Water Use Calcs'!$G:$G,'End Uses'!G301,'Water Use Calcs'!$I:$I,'End Uses'!I301,'Water Use Calcs'!$J:$J,'End Uses'!J301)</f>
        <v>0</v>
      </c>
      <c r="N301" s="580">
        <f t="shared" ca="1" si="27"/>
        <v>0</v>
      </c>
      <c r="O301" s="581" t="str">
        <f ca="1">IFERROR(N301/R288,"-")</f>
        <v>-</v>
      </c>
      <c r="P301" s="404"/>
      <c r="Q301" s="404"/>
      <c r="R301" s="584"/>
      <c r="S301" s="585">
        <f ca="1">SUMIFS('Water Use Calcs'!$W:$W,'Water Use Calcs'!$D:$D,'End Uses'!D301,'Water Use Calcs'!$G:$G,'End Uses'!G301,'Water Use Calcs'!$I:$I,'End Uses'!I301,'Water Use Calcs'!$J:$J,'End Uses'!J301)</f>
        <v>0</v>
      </c>
      <c r="T301" s="586">
        <f t="shared" ca="1" si="29"/>
        <v>0</v>
      </c>
      <c r="U301" s="581" t="str">
        <f t="shared" ca="1" si="30"/>
        <v>-</v>
      </c>
      <c r="V301" s="404"/>
      <c r="W301" s="404"/>
      <c r="X301" s="584"/>
    </row>
    <row r="302" spans="3:24" s="45" customFormat="1" ht="13.2" customHeight="1" thickBot="1" x14ac:dyDescent="0.35">
      <c r="C302" s="576"/>
      <c r="D302" s="493" t="s">
        <v>16</v>
      </c>
      <c r="E302" s="494"/>
      <c r="F302" s="636"/>
      <c r="G302" s="501" t="s">
        <v>98</v>
      </c>
      <c r="H302" s="116"/>
      <c r="I302" s="451" t="s">
        <v>8</v>
      </c>
      <c r="J302" s="116" t="s">
        <v>54</v>
      </c>
      <c r="K302" s="606" t="s">
        <v>364</v>
      </c>
      <c r="L302" s="607">
        <f>SUMIFS('Airport Statistics'!$G:$G,'Airport Statistics'!$D:$D,G302,'Airport Statistics'!$F:$F,K302)</f>
        <v>0</v>
      </c>
      <c r="M302" s="608">
        <f ca="1">SUMIFS('Water Use Calcs'!$V:$V,'Water Use Calcs'!$D:$D,'End Uses'!D302,'Water Use Calcs'!$G:$G,'End Uses'!G302,'Water Use Calcs'!$I:$I,'End Uses'!I302,'Water Use Calcs'!$J:$J,'End Uses'!J302)</f>
        <v>0</v>
      </c>
      <c r="N302" s="609">
        <f t="shared" ca="1" si="27"/>
        <v>0</v>
      </c>
      <c r="O302" s="616" t="str">
        <f ca="1">IFERROR(N302/R288,"-")</f>
        <v>-</v>
      </c>
      <c r="P302" s="611"/>
      <c r="Q302" s="611"/>
      <c r="R302" s="613"/>
      <c r="S302" s="614">
        <f ca="1">SUMIFS('Water Use Calcs'!$W:$W,'Water Use Calcs'!$D:$D,'End Uses'!D302,'Water Use Calcs'!$G:$G,'End Uses'!G302,'Water Use Calcs'!$I:$I,'End Uses'!I302,'Water Use Calcs'!$J:$J,'End Uses'!J302)</f>
        <v>0</v>
      </c>
      <c r="T302" s="615">
        <f t="shared" ca="1" si="29"/>
        <v>0</v>
      </c>
      <c r="U302" s="616" t="str">
        <f t="shared" ca="1" si="30"/>
        <v>-</v>
      </c>
      <c r="V302" s="611"/>
      <c r="W302" s="611"/>
      <c r="X302" s="613"/>
    </row>
    <row r="303" spans="3:24" s="45" customFormat="1" ht="13.2" customHeight="1" x14ac:dyDescent="0.3">
      <c r="C303" s="576"/>
      <c r="D303" s="493" t="s">
        <v>16</v>
      </c>
      <c r="E303" s="617" t="str">
        <f>G303</f>
        <v>Hotel D</v>
      </c>
      <c r="F303" s="565" t="str">
        <f>VLOOKUP(E303,'Airport Mapping'!$C$5:$D$39,2,FALSE)</f>
        <v xml:space="preserve"> </v>
      </c>
      <c r="G303" s="566" t="s">
        <v>99</v>
      </c>
      <c r="H303" s="564" t="str">
        <f>I303</f>
        <v>Guestrooms</v>
      </c>
      <c r="I303" s="454" t="s">
        <v>45</v>
      </c>
      <c r="J303" s="567" t="s">
        <v>2</v>
      </c>
      <c r="K303" s="639" t="s">
        <v>122</v>
      </c>
      <c r="L303" s="568">
        <f>SUMIFS('Airport Statistics'!$G:$G,'Airport Statistics'!$D:$D,G303,'Airport Statistics'!$F:$F,K303)</f>
        <v>0</v>
      </c>
      <c r="M303" s="569">
        <f ca="1">SUMIFS('Water Use Calcs'!$V:$V,'Water Use Calcs'!$D:$D,'End Uses'!D303,'Water Use Calcs'!$G:$G,'End Uses'!G303,'Water Use Calcs'!$I:$I,'End Uses'!I303,'Water Use Calcs'!$J:$J,'End Uses'!J303)</f>
        <v>0</v>
      </c>
      <c r="N303" s="570">
        <f t="shared" ca="1" si="27"/>
        <v>0</v>
      </c>
      <c r="O303" s="571" t="str">
        <f ca="1">IFERROR(N303/R303,"-")</f>
        <v>-</v>
      </c>
      <c r="P303" s="572">
        <f ca="1">SUMIFS($N:$N,$G:$G,G303,$I:$I,H303)</f>
        <v>0</v>
      </c>
      <c r="Q303" s="546" t="str">
        <f ca="1">IFERROR(P303/R303,"-")</f>
        <v>-</v>
      </c>
      <c r="R303" s="573">
        <f ca="1">SUMIFS($N:$N,$G:$G,G303)</f>
        <v>0</v>
      </c>
      <c r="S303" s="574">
        <f ca="1">SUMIFS('Water Use Calcs'!$W:$W,'Water Use Calcs'!$D:$D,'End Uses'!D303,'Water Use Calcs'!$G:$G,'End Uses'!G303,'Water Use Calcs'!$I:$I,'End Uses'!I303,'Water Use Calcs'!$J:$J,'End Uses'!J303)</f>
        <v>0</v>
      </c>
      <c r="T303" s="575">
        <f t="shared" ca="1" si="29"/>
        <v>0</v>
      </c>
      <c r="U303" s="571" t="str">
        <f ca="1">IFERROR(T303/X303,"-")</f>
        <v>-</v>
      </c>
      <c r="V303" s="572">
        <f ca="1">SUMIFS($T:$T,$G:$G,G303,$I:$I,H303)</f>
        <v>0</v>
      </c>
      <c r="W303" s="546" t="str">
        <f ca="1">IFERROR(V303/X303,"-")</f>
        <v>-</v>
      </c>
      <c r="X303" s="573">
        <f ca="1">SUMIFS($T:$T,$G:$G,G303)</f>
        <v>0</v>
      </c>
    </row>
    <row r="304" spans="3:24" s="45" customFormat="1" ht="13.2" customHeight="1" x14ac:dyDescent="0.3">
      <c r="C304" s="576"/>
      <c r="D304" s="493" t="s">
        <v>16</v>
      </c>
      <c r="E304" s="494"/>
      <c r="F304" s="636"/>
      <c r="G304" s="494" t="s">
        <v>99</v>
      </c>
      <c r="H304" s="577"/>
      <c r="I304" s="450" t="s">
        <v>45</v>
      </c>
      <c r="J304" s="577" t="s">
        <v>18</v>
      </c>
      <c r="K304" s="635" t="s">
        <v>122</v>
      </c>
      <c r="L304" s="578">
        <f>SUMIFS('Airport Statistics'!$G:$G,'Airport Statistics'!$D:$D,G304,'Airport Statistics'!$F:$F,K304)</f>
        <v>0</v>
      </c>
      <c r="M304" s="579">
        <f ca="1">SUMIFS('Water Use Calcs'!$V:$V,'Water Use Calcs'!$D:$D,'End Uses'!D304,'Water Use Calcs'!$G:$G,'End Uses'!G304,'Water Use Calcs'!$I:$I,'End Uses'!I304,'Water Use Calcs'!$J:$J,'End Uses'!J304)</f>
        <v>0</v>
      </c>
      <c r="N304" s="580">
        <f t="shared" ca="1" si="27"/>
        <v>0</v>
      </c>
      <c r="O304" s="581" t="str">
        <f ca="1">IFERROR(N304/R303,"-")</f>
        <v>-</v>
      </c>
      <c r="P304" s="582"/>
      <c r="Q304" s="583"/>
      <c r="R304" s="584"/>
      <c r="S304" s="585">
        <f ca="1">SUMIFS('Water Use Calcs'!$W:$W,'Water Use Calcs'!$D:$D,'End Uses'!D304,'Water Use Calcs'!$G:$G,'End Uses'!G304,'Water Use Calcs'!$I:$I,'End Uses'!I304,'Water Use Calcs'!$J:$J,'End Uses'!J304)</f>
        <v>0</v>
      </c>
      <c r="T304" s="586">
        <f t="shared" ca="1" si="29"/>
        <v>0</v>
      </c>
      <c r="U304" s="581" t="str">
        <f ca="1">IFERROR(T304/X303,"-")</f>
        <v>-</v>
      </c>
      <c r="V304" s="582"/>
      <c r="W304" s="583"/>
      <c r="X304" s="584"/>
    </row>
    <row r="305" spans="3:24" x14ac:dyDescent="0.3">
      <c r="C305" s="576"/>
      <c r="D305" s="493" t="s">
        <v>16</v>
      </c>
      <c r="E305" s="494"/>
      <c r="F305" s="636"/>
      <c r="G305" s="494" t="s">
        <v>99</v>
      </c>
      <c r="H305" s="577"/>
      <c r="I305" s="493" t="s">
        <v>45</v>
      </c>
      <c r="J305" s="577" t="s">
        <v>33</v>
      </c>
      <c r="K305" s="635" t="s">
        <v>122</v>
      </c>
      <c r="L305" s="578">
        <f>SUMIFS('Airport Statistics'!$G:$G,'Airport Statistics'!$D:$D,G305,'Airport Statistics'!$F:$F,K305)</f>
        <v>0</v>
      </c>
      <c r="M305" s="579">
        <f ca="1">SUMIFS('Water Use Calcs'!$V:$V,'Water Use Calcs'!$D:$D,'End Uses'!D305,'Water Use Calcs'!$G:$G,'End Uses'!G305,'Water Use Calcs'!$I:$I,'End Uses'!I305,'Water Use Calcs'!$J:$J,'End Uses'!J305)</f>
        <v>0</v>
      </c>
      <c r="N305" s="580">
        <f t="shared" ca="1" si="27"/>
        <v>0</v>
      </c>
      <c r="O305" s="581" t="str">
        <f ca="1">IFERROR(N305/R303,"-")</f>
        <v>-</v>
      </c>
      <c r="P305" s="582"/>
      <c r="Q305" s="583"/>
      <c r="R305" s="584"/>
      <c r="S305" s="585">
        <f ca="1">SUMIFS('Water Use Calcs'!$W:$W,'Water Use Calcs'!$D:$D,'End Uses'!D305,'Water Use Calcs'!$G:$G,'End Uses'!G305,'Water Use Calcs'!$I:$I,'End Uses'!I305,'Water Use Calcs'!$J:$J,'End Uses'!J305)</f>
        <v>0</v>
      </c>
      <c r="T305" s="586">
        <f t="shared" ca="1" si="29"/>
        <v>0</v>
      </c>
      <c r="U305" s="581" t="str">
        <f ca="1">IFERROR(T305/X303,"-")</f>
        <v>-</v>
      </c>
      <c r="V305" s="582"/>
      <c r="W305" s="583"/>
      <c r="X305" s="584"/>
    </row>
    <row r="306" spans="3:24" x14ac:dyDescent="0.3">
      <c r="C306" s="576"/>
      <c r="D306" s="493" t="s">
        <v>16</v>
      </c>
      <c r="E306" s="494"/>
      <c r="F306" s="636"/>
      <c r="G306" s="494" t="s">
        <v>99</v>
      </c>
      <c r="H306" s="588" t="str">
        <f>I306</f>
        <v>Food Service</v>
      </c>
      <c r="I306" s="455" t="s">
        <v>38</v>
      </c>
      <c r="J306" s="589" t="s">
        <v>114</v>
      </c>
      <c r="K306" s="590" t="s">
        <v>118</v>
      </c>
      <c r="L306" s="591">
        <f>SUMIFS('Airport Statistics'!$G:$G,'Airport Statistics'!$D:$D,G306,'Airport Statistics'!$F:$F,K306)</f>
        <v>0</v>
      </c>
      <c r="M306" s="592">
        <f ca="1">SUMIFS('Water Use Calcs'!$V:$V,'Water Use Calcs'!$D:$D,'End Uses'!D306,'Water Use Calcs'!$G:$G,'End Uses'!G306,'Water Use Calcs'!$I:$I,'End Uses'!I306,'Water Use Calcs'!$J:$J,'End Uses'!J306)</f>
        <v>0</v>
      </c>
      <c r="N306" s="593">
        <f t="shared" ca="1" si="27"/>
        <v>0</v>
      </c>
      <c r="O306" s="594" t="str">
        <f ca="1">IFERROR(N306/R303,"-")</f>
        <v>-</v>
      </c>
      <c r="P306" s="595">
        <f ca="1">SUMIFS($N:$N,$G:$G,G306,$I:$I,H306)</f>
        <v>0</v>
      </c>
      <c r="Q306" s="547" t="str">
        <f ca="1">IFERROR(P306/R303,"-")</f>
        <v>-</v>
      </c>
      <c r="R306" s="584"/>
      <c r="S306" s="596">
        <f ca="1">SUMIFS('Water Use Calcs'!$W:$W,'Water Use Calcs'!$D:$D,'End Uses'!D306,'Water Use Calcs'!$G:$G,'End Uses'!G306,'Water Use Calcs'!$I:$I,'End Uses'!I306,'Water Use Calcs'!$J:$J,'End Uses'!J306)</f>
        <v>0</v>
      </c>
      <c r="T306" s="597">
        <f t="shared" ca="1" si="29"/>
        <v>0</v>
      </c>
      <c r="U306" s="594" t="str">
        <f ca="1">IFERROR(T306/X303,"-")</f>
        <v>-</v>
      </c>
      <c r="V306" s="595">
        <f ca="1">SUMIFS($T:$T,$G:$G,G306,$I:$I,H306)</f>
        <v>0</v>
      </c>
      <c r="W306" s="547" t="str">
        <f ca="1">IFERROR(V306/X303,"-")</f>
        <v>-</v>
      </c>
      <c r="X306" s="584"/>
    </row>
    <row r="307" spans="3:24" x14ac:dyDescent="0.3">
      <c r="C307" s="576"/>
      <c r="D307" s="521" t="s">
        <v>16</v>
      </c>
      <c r="E307" s="521"/>
      <c r="F307" s="576"/>
      <c r="G307" s="521" t="s">
        <v>99</v>
      </c>
      <c r="H307" s="577"/>
      <c r="I307" s="520" t="s">
        <v>38</v>
      </c>
      <c r="J307" s="577" t="s">
        <v>127</v>
      </c>
      <c r="K307" s="598" t="s">
        <v>118</v>
      </c>
      <c r="L307" s="578">
        <f>SUMIFS('Airport Statistics'!$G:$G,'Airport Statistics'!$D:$D,G307,'Airport Statistics'!$F:$F,K307)</f>
        <v>0</v>
      </c>
      <c r="M307" s="579">
        <f ca="1">SUMIFS('Water Use Calcs'!$V:$V,'Water Use Calcs'!$D:$D,'End Uses'!D307,'Water Use Calcs'!$G:$G,'End Uses'!G307,'Water Use Calcs'!$I:$I,'End Uses'!I307,'Water Use Calcs'!$J:$J,'End Uses'!J307)</f>
        <v>0</v>
      </c>
      <c r="N307" s="580">
        <f ca="1">L307*M307</f>
        <v>0</v>
      </c>
      <c r="O307" s="581" t="str">
        <f ca="1">IFERROR(N307/R303,"-")</f>
        <v>-</v>
      </c>
      <c r="P307" s="582"/>
      <c r="Q307" s="548"/>
      <c r="R307" s="584"/>
      <c r="S307" s="585">
        <f ca="1">SUMIFS('Water Use Calcs'!$W:$W,'Water Use Calcs'!$D:$D,'End Uses'!D307,'Water Use Calcs'!$G:$G,'End Uses'!G307,'Water Use Calcs'!$I:$I,'End Uses'!I307,'Water Use Calcs'!$J:$J,'End Uses'!J307)</f>
        <v>0</v>
      </c>
      <c r="T307" s="586">
        <f t="shared" ca="1" si="29"/>
        <v>0</v>
      </c>
      <c r="U307" s="581" t="str">
        <f ca="1">IFERROR(T307/X303,"-")</f>
        <v>-</v>
      </c>
      <c r="V307" s="582"/>
      <c r="W307" s="548"/>
      <c r="X307" s="584"/>
    </row>
    <row r="308" spans="3:24" x14ac:dyDescent="0.3">
      <c r="C308" s="576"/>
      <c r="D308" s="493" t="s">
        <v>16</v>
      </c>
      <c r="E308" s="494"/>
      <c r="F308" s="636"/>
      <c r="G308" s="494" t="s">
        <v>99</v>
      </c>
      <c r="H308" s="577"/>
      <c r="I308" s="450" t="s">
        <v>38</v>
      </c>
      <c r="J308" s="577" t="s">
        <v>41</v>
      </c>
      <c r="K308" s="598" t="s">
        <v>118</v>
      </c>
      <c r="L308" s="578">
        <f>SUMIFS('Airport Statistics'!$G:$G,'Airport Statistics'!$D:$D,G308,'Airport Statistics'!$F:$F,K308)</f>
        <v>0</v>
      </c>
      <c r="M308" s="579">
        <f ca="1">SUMIFS('Water Use Calcs'!$V:$V,'Water Use Calcs'!$D:$D,'End Uses'!D308,'Water Use Calcs'!$G:$G,'End Uses'!G308,'Water Use Calcs'!$I:$I,'End Uses'!I308,'Water Use Calcs'!$J:$J,'End Uses'!J308)</f>
        <v>0</v>
      </c>
      <c r="N308" s="580">
        <f t="shared" ca="1" si="27"/>
        <v>0</v>
      </c>
      <c r="O308" s="581" t="str">
        <f ca="1">IFERROR(N308/R303,"-")</f>
        <v>-</v>
      </c>
      <c r="P308" s="582"/>
      <c r="Q308" s="548"/>
      <c r="R308" s="584"/>
      <c r="S308" s="585">
        <f ca="1">SUMIFS('Water Use Calcs'!$W:$W,'Water Use Calcs'!$D:$D,'End Uses'!D308,'Water Use Calcs'!$G:$G,'End Uses'!G308,'Water Use Calcs'!$I:$I,'End Uses'!I308,'Water Use Calcs'!$J:$J,'End Uses'!J308)</f>
        <v>0</v>
      </c>
      <c r="T308" s="586">
        <f t="shared" ca="1" si="29"/>
        <v>0</v>
      </c>
      <c r="U308" s="581" t="str">
        <f ca="1">IFERROR(T308/X303,"-")</f>
        <v>-</v>
      </c>
      <c r="V308" s="582"/>
      <c r="W308" s="548"/>
      <c r="X308" s="584"/>
    </row>
    <row r="309" spans="3:24" x14ac:dyDescent="0.3">
      <c r="C309" s="576"/>
      <c r="D309" s="493" t="s">
        <v>16</v>
      </c>
      <c r="E309" s="494"/>
      <c r="F309" s="636"/>
      <c r="G309" s="494" t="s">
        <v>99</v>
      </c>
      <c r="H309" s="577"/>
      <c r="I309" s="493" t="s">
        <v>38</v>
      </c>
      <c r="J309" s="577" t="s">
        <v>20</v>
      </c>
      <c r="K309" s="635" t="s">
        <v>122</v>
      </c>
      <c r="L309" s="578">
        <f>SUMIFS('Airport Statistics'!$G:$G,'Airport Statistics'!$D:$D,G309,'Airport Statistics'!$F:$F,K309)</f>
        <v>0</v>
      </c>
      <c r="M309" s="579">
        <f ca="1">SUMIFS('Water Use Calcs'!$V:$V,'Water Use Calcs'!$D:$D,'End Uses'!D309,'Water Use Calcs'!$G:$G,'End Uses'!G309,'Water Use Calcs'!$I:$I,'End Uses'!I309,'Water Use Calcs'!$J:$J,'End Uses'!J309)</f>
        <v>0</v>
      </c>
      <c r="N309" s="580">
        <f t="shared" ca="1" si="27"/>
        <v>0</v>
      </c>
      <c r="O309" s="581" t="str">
        <f ca="1">IFERROR(N309/R303,"-")</f>
        <v>-</v>
      </c>
      <c r="P309" s="404"/>
      <c r="Q309" s="548"/>
      <c r="R309" s="584"/>
      <c r="S309" s="585">
        <f ca="1">SUMIFS('Water Use Calcs'!$W:$W,'Water Use Calcs'!$D:$D,'End Uses'!D309,'Water Use Calcs'!$G:$G,'End Uses'!G309,'Water Use Calcs'!$I:$I,'End Uses'!I309,'Water Use Calcs'!$J:$J,'End Uses'!J309)</f>
        <v>0</v>
      </c>
      <c r="T309" s="586">
        <f t="shared" ca="1" si="29"/>
        <v>0</v>
      </c>
      <c r="U309" s="581" t="str">
        <f ca="1">IFERROR(T309/X303,"-")</f>
        <v>-</v>
      </c>
      <c r="V309" s="404"/>
      <c r="W309" s="548"/>
      <c r="X309" s="584"/>
    </row>
    <row r="310" spans="3:24" x14ac:dyDescent="0.3">
      <c r="C310" s="576"/>
      <c r="D310" s="493" t="s">
        <v>16</v>
      </c>
      <c r="E310" s="494"/>
      <c r="F310" s="636"/>
      <c r="G310" s="494" t="s">
        <v>99</v>
      </c>
      <c r="H310" s="588" t="str">
        <f>I310</f>
        <v>Maintenance</v>
      </c>
      <c r="I310" s="455" t="s">
        <v>43</v>
      </c>
      <c r="J310" s="17" t="s">
        <v>111</v>
      </c>
      <c r="K310" s="599" t="s">
        <v>424</v>
      </c>
      <c r="L310" s="591">
        <f>SUMIFS('Airport Statistics'!$G:$G,'Airport Statistics'!$D:$D,G310,'Airport Statistics'!$F:$F,K310)</f>
        <v>0</v>
      </c>
      <c r="M310" s="592">
        <f ca="1">SUMIFS('Water Use Calcs'!$V:$V,'Water Use Calcs'!$D:$D,'End Uses'!D310,'Water Use Calcs'!$G:$G,'End Uses'!G310,'Water Use Calcs'!$I:$I,'End Uses'!I310,'Water Use Calcs'!$J:$J,'End Uses'!J310)</f>
        <v>0</v>
      </c>
      <c r="N310" s="593">
        <f t="shared" ca="1" si="27"/>
        <v>0</v>
      </c>
      <c r="O310" s="594" t="str">
        <f ca="1">IFERROR(N310/R303,"-")</f>
        <v>-</v>
      </c>
      <c r="P310" s="595">
        <f ca="1">SUMIFS($N:$N,$G:$G,G310,$I:$I,H310)</f>
        <v>0</v>
      </c>
      <c r="Q310" s="547" t="str">
        <f ca="1">IFERROR(P310/R303,"-")</f>
        <v>-</v>
      </c>
      <c r="R310" s="584"/>
      <c r="S310" s="596">
        <f ca="1">SUMIFS('Water Use Calcs'!$W:$W,'Water Use Calcs'!$D:$D,'End Uses'!D310,'Water Use Calcs'!$G:$G,'End Uses'!G310,'Water Use Calcs'!$I:$I,'End Uses'!I310,'Water Use Calcs'!$J:$J,'End Uses'!J310)</f>
        <v>0</v>
      </c>
      <c r="T310" s="597">
        <f t="shared" ca="1" si="29"/>
        <v>0</v>
      </c>
      <c r="U310" s="594" t="str">
        <f ca="1">IFERROR(T310/X303,"-")</f>
        <v>-</v>
      </c>
      <c r="V310" s="595">
        <f ca="1">SUMIFS($T:$T,$G:$G,G310,$I:$I,H310)</f>
        <v>0</v>
      </c>
      <c r="W310" s="547" t="str">
        <f ca="1">IFERROR(V310/X303,"-")</f>
        <v>-</v>
      </c>
      <c r="X310" s="584"/>
    </row>
    <row r="311" spans="3:24" x14ac:dyDescent="0.3">
      <c r="C311" s="576"/>
      <c r="D311" s="493" t="s">
        <v>16</v>
      </c>
      <c r="E311" s="494"/>
      <c r="F311" s="636"/>
      <c r="G311" s="494" t="s">
        <v>99</v>
      </c>
      <c r="H311" s="577"/>
      <c r="I311" s="450" t="s">
        <v>43</v>
      </c>
      <c r="J311" s="18" t="s">
        <v>7</v>
      </c>
      <c r="K311" s="183" t="s">
        <v>365</v>
      </c>
      <c r="L311" s="600"/>
      <c r="M311" s="601">
        <f ca="1">SUMIFS('Water Use Calcs'!$V:$V,'Water Use Calcs'!$D:$D,'End Uses'!D311,'Water Use Calcs'!$G:$G,'End Uses'!G311,'Water Use Calcs'!$I:$I,'End Uses'!I311,'Water Use Calcs'!$J:$J,'End Uses'!J311)</f>
        <v>0</v>
      </c>
      <c r="N311" s="580">
        <f ca="1">M311</f>
        <v>0</v>
      </c>
      <c r="O311" s="581" t="str">
        <f ca="1">IFERROR(N311/R303,"-")</f>
        <v>-</v>
      </c>
      <c r="P311" s="404"/>
      <c r="Q311" s="548"/>
      <c r="R311" s="584"/>
      <c r="S311" s="585">
        <f ca="1">SUMIFS('Water Use Calcs'!$W:$W,'Water Use Calcs'!$D:$D,'End Uses'!D311,'Water Use Calcs'!$G:$G,'End Uses'!G311,'Water Use Calcs'!$I:$I,'End Uses'!I311,'Water Use Calcs'!$J:$J,'End Uses'!J311)</f>
        <v>0</v>
      </c>
      <c r="T311" s="586">
        <f ca="1">S311</f>
        <v>0</v>
      </c>
      <c r="U311" s="581" t="str">
        <f ca="1">IFERROR(T311/X303,"-")</f>
        <v>-</v>
      </c>
      <c r="V311" s="404"/>
      <c r="W311" s="548"/>
      <c r="X311" s="584"/>
    </row>
    <row r="312" spans="3:24" x14ac:dyDescent="0.3">
      <c r="C312" s="576"/>
      <c r="D312" s="493" t="s">
        <v>16</v>
      </c>
      <c r="E312" s="494"/>
      <c r="F312" s="636"/>
      <c r="G312" s="494" t="s">
        <v>99</v>
      </c>
      <c r="H312" s="577"/>
      <c r="I312" s="450" t="s">
        <v>43</v>
      </c>
      <c r="J312" s="577" t="s">
        <v>112</v>
      </c>
      <c r="K312" s="598" t="s">
        <v>135</v>
      </c>
      <c r="L312" s="578">
        <f>SUMIFS('Airport Statistics'!$G:$G,'Airport Statistics'!$D:$D,G312,'Airport Statistics'!$F:$F,K312)</f>
        <v>0</v>
      </c>
      <c r="M312" s="579">
        <f ca="1">SUMIFS('Water Use Calcs'!$V:$V,'Water Use Calcs'!$D:$D,'End Uses'!D312,'Water Use Calcs'!$G:$G,'End Uses'!G312,'Water Use Calcs'!$I:$I,'End Uses'!I312,'Water Use Calcs'!$J:$J,'End Uses'!J312)</f>
        <v>0</v>
      </c>
      <c r="N312" s="580">
        <f t="shared" ca="1" si="27"/>
        <v>0</v>
      </c>
      <c r="O312" s="581" t="str">
        <f ca="1">IFERROR(N312/R303,"-")</f>
        <v>-</v>
      </c>
      <c r="P312" s="582"/>
      <c r="Q312" s="548"/>
      <c r="R312" s="584"/>
      <c r="S312" s="585">
        <f ca="1">SUMIFS('Water Use Calcs'!$W:$W,'Water Use Calcs'!$D:$D,'End Uses'!D312,'Water Use Calcs'!$G:$G,'End Uses'!G312,'Water Use Calcs'!$I:$I,'End Uses'!I312,'Water Use Calcs'!$J:$J,'End Uses'!J312)</f>
        <v>0</v>
      </c>
      <c r="T312" s="586">
        <f t="shared" ca="1" si="29"/>
        <v>0</v>
      </c>
      <c r="U312" s="581" t="str">
        <f ca="1">IFERROR(T312/X303,"-")</f>
        <v>-</v>
      </c>
      <c r="V312" s="582"/>
      <c r="W312" s="548"/>
      <c r="X312" s="584"/>
    </row>
    <row r="313" spans="3:24" x14ac:dyDescent="0.3">
      <c r="C313" s="576"/>
      <c r="D313" s="493" t="s">
        <v>16</v>
      </c>
      <c r="E313" s="494"/>
      <c r="F313" s="636"/>
      <c r="G313" s="494" t="s">
        <v>99</v>
      </c>
      <c r="H313" s="640"/>
      <c r="I313" s="641" t="s">
        <v>43</v>
      </c>
      <c r="J313" s="640" t="s">
        <v>21</v>
      </c>
      <c r="K313" s="642" t="s">
        <v>122</v>
      </c>
      <c r="L313" s="643">
        <f>SUMIFS('Airport Statistics'!$G:$G,'Airport Statistics'!$D:$D,G313,'Airport Statistics'!$F:$F,K313)</f>
        <v>0</v>
      </c>
      <c r="M313" s="644">
        <f ca="1">SUMIFS('Water Use Calcs'!$V:$V,'Water Use Calcs'!$D:$D,'End Uses'!D313,'Water Use Calcs'!$G:$G,'End Uses'!G313,'Water Use Calcs'!$I:$I,'End Uses'!I313,'Water Use Calcs'!$J:$J,'End Uses'!J313)</f>
        <v>0</v>
      </c>
      <c r="N313" s="645">
        <f t="shared" ca="1" si="27"/>
        <v>0</v>
      </c>
      <c r="O313" s="646" t="str">
        <f ca="1">IFERROR(N313/R303,"-")</f>
        <v>-</v>
      </c>
      <c r="P313" s="432"/>
      <c r="Q313" s="553"/>
      <c r="R313" s="584"/>
      <c r="S313" s="647">
        <f ca="1">SUMIFS('Water Use Calcs'!$W:$W,'Water Use Calcs'!$D:$D,'End Uses'!D313,'Water Use Calcs'!$G:$G,'End Uses'!G313,'Water Use Calcs'!$I:$I,'End Uses'!I313,'Water Use Calcs'!$J:$J,'End Uses'!J313)</f>
        <v>0</v>
      </c>
      <c r="T313" s="648">
        <f t="shared" ca="1" si="29"/>
        <v>0</v>
      </c>
      <c r="U313" s="646" t="str">
        <f ca="1">IFERROR(T313/X303,"-")</f>
        <v>-</v>
      </c>
      <c r="V313" s="432"/>
      <c r="W313" s="553"/>
      <c r="X313" s="584"/>
    </row>
    <row r="314" spans="3:24" x14ac:dyDescent="0.3">
      <c r="C314" s="576"/>
      <c r="D314" s="493" t="s">
        <v>16</v>
      </c>
      <c r="E314" s="494"/>
      <c r="F314" s="636"/>
      <c r="G314" s="494" t="s">
        <v>99</v>
      </c>
      <c r="H314" s="649" t="str">
        <f>I314</f>
        <v>Landscaping</v>
      </c>
      <c r="I314" s="493" t="s">
        <v>39</v>
      </c>
      <c r="J314" s="577" t="s">
        <v>42</v>
      </c>
      <c r="K314" s="15" t="s">
        <v>120</v>
      </c>
      <c r="L314" s="578">
        <f>SUMIFS('Airport Statistics'!$G:$G,'Airport Statistics'!$D:$D,G314,'Airport Statistics'!$F:$F,K314)</f>
        <v>0</v>
      </c>
      <c r="M314" s="579">
        <f ca="1">SUMIFS('Water Use Calcs'!$V:$V,'Water Use Calcs'!$D:$D,'End Uses'!D314,'Water Use Calcs'!$G:$G,'End Uses'!G314,'Water Use Calcs'!$I:$I,'End Uses'!I314,'Water Use Calcs'!$J:$J,'End Uses'!J314)</f>
        <v>0</v>
      </c>
      <c r="N314" s="580">
        <f t="shared" ca="1" si="27"/>
        <v>0</v>
      </c>
      <c r="O314" s="581" t="str">
        <f ca="1">IFERROR(N314/R303,"-")</f>
        <v>-</v>
      </c>
      <c r="P314" s="650">
        <f ca="1">SUMIFS($N:$N,$G:$G,G314,$I:$I,H314)</f>
        <v>0</v>
      </c>
      <c r="Q314" s="554" t="str">
        <f ca="1">IFERROR(P314/R303,"-")</f>
        <v>-</v>
      </c>
      <c r="R314" s="584"/>
      <c r="S314" s="585">
        <f ca="1">SUMIFS('Water Use Calcs'!$W:$W,'Water Use Calcs'!$D:$D,'End Uses'!D314,'Water Use Calcs'!$G:$G,'End Uses'!G314,'Water Use Calcs'!$I:$I,'End Uses'!I314,'Water Use Calcs'!$J:$J,'End Uses'!J314)</f>
        <v>0</v>
      </c>
      <c r="T314" s="586">
        <f t="shared" ca="1" si="29"/>
        <v>0</v>
      </c>
      <c r="U314" s="581" t="str">
        <f ca="1">IFERROR(T314/X303,"-")</f>
        <v>-</v>
      </c>
      <c r="V314" s="650">
        <f ca="1">SUMIFS($T:$T,$G:$G,G314,$I:$I,H314)</f>
        <v>0</v>
      </c>
      <c r="W314" s="554" t="str">
        <f ca="1">IFERROR(V314/X303,"-")</f>
        <v>-</v>
      </c>
      <c r="X314" s="584"/>
    </row>
    <row r="315" spans="3:24" x14ac:dyDescent="0.3">
      <c r="C315" s="576"/>
      <c r="D315" s="493" t="s">
        <v>16</v>
      </c>
      <c r="E315" s="494"/>
      <c r="F315" s="636"/>
      <c r="G315" s="494" t="s">
        <v>99</v>
      </c>
      <c r="H315" s="588" t="str">
        <f>I315</f>
        <v>Other</v>
      </c>
      <c r="I315" s="455" t="s">
        <v>8</v>
      </c>
      <c r="J315" s="589" t="s">
        <v>52</v>
      </c>
      <c r="K315" s="602" t="s">
        <v>362</v>
      </c>
      <c r="L315" s="591">
        <f>SUMIFS('Airport Statistics'!$G:$G,'Airport Statistics'!$D:$D,G315,'Airport Statistics'!$F:$F,K315)</f>
        <v>0</v>
      </c>
      <c r="M315" s="592">
        <f ca="1">SUMIFS('Water Use Calcs'!$V:$V,'Water Use Calcs'!$D:$D,'End Uses'!D315,'Water Use Calcs'!$G:$G,'End Uses'!G315,'Water Use Calcs'!$I:$I,'End Uses'!I315,'Water Use Calcs'!$J:$J,'End Uses'!J315)</f>
        <v>0</v>
      </c>
      <c r="N315" s="593">
        <f t="shared" ca="1" si="27"/>
        <v>0</v>
      </c>
      <c r="O315" s="594" t="str">
        <f ca="1">IFERROR(N315/R303,"-")</f>
        <v>-</v>
      </c>
      <c r="P315" s="595">
        <f ca="1">SUMIFS($N:$N,$G:$G,G315,$I:$I,H315)</f>
        <v>0</v>
      </c>
      <c r="Q315" s="547" t="str">
        <f ca="1">IFERROR(P315/R303,"-")</f>
        <v>-</v>
      </c>
      <c r="R315" s="584"/>
      <c r="S315" s="596">
        <f ca="1">SUMIFS('Water Use Calcs'!$W:$W,'Water Use Calcs'!$D:$D,'End Uses'!D315,'Water Use Calcs'!$G:$G,'End Uses'!G315,'Water Use Calcs'!$I:$I,'End Uses'!I315,'Water Use Calcs'!$J:$J,'End Uses'!J315)</f>
        <v>0</v>
      </c>
      <c r="T315" s="597">
        <f t="shared" ca="1" si="29"/>
        <v>0</v>
      </c>
      <c r="U315" s="594" t="str">
        <f t="shared" ref="U315:U317" ca="1" si="31">IFERROR(T315/X315,"-")</f>
        <v>-</v>
      </c>
      <c r="V315" s="595">
        <f ca="1">SUMIFS($T:$T,$G:$G,G315,$I:$I,H315)</f>
        <v>0</v>
      </c>
      <c r="W315" s="547" t="str">
        <f ca="1">IFERROR(V315/X303,"-")</f>
        <v>-</v>
      </c>
      <c r="X315" s="584"/>
    </row>
    <row r="316" spans="3:24" s="45" customFormat="1" ht="13.2" customHeight="1" x14ac:dyDescent="0.3">
      <c r="C316" s="576"/>
      <c r="D316" s="493" t="s">
        <v>16</v>
      </c>
      <c r="E316" s="494"/>
      <c r="F316" s="636"/>
      <c r="G316" s="494" t="s">
        <v>99</v>
      </c>
      <c r="H316" s="577"/>
      <c r="I316" s="450" t="s">
        <v>8</v>
      </c>
      <c r="J316" s="577" t="s">
        <v>53</v>
      </c>
      <c r="K316" s="439" t="s">
        <v>363</v>
      </c>
      <c r="L316" s="578">
        <f>SUMIFS('Airport Statistics'!$G:$G,'Airport Statistics'!$D:$D,G316,'Airport Statistics'!$F:$F,K316)</f>
        <v>0</v>
      </c>
      <c r="M316" s="579">
        <f ca="1">SUMIFS('Water Use Calcs'!$V:$V,'Water Use Calcs'!$D:$D,'End Uses'!D316,'Water Use Calcs'!$G:$G,'End Uses'!G316,'Water Use Calcs'!$I:$I,'End Uses'!I316,'Water Use Calcs'!$J:$J,'End Uses'!J316)</f>
        <v>0</v>
      </c>
      <c r="N316" s="580">
        <f t="shared" ca="1" si="27"/>
        <v>0</v>
      </c>
      <c r="O316" s="581" t="str">
        <f ca="1">IFERROR(N316/R303,"-")</f>
        <v>-</v>
      </c>
      <c r="P316" s="404"/>
      <c r="Q316" s="404"/>
      <c r="R316" s="584"/>
      <c r="S316" s="585">
        <f ca="1">SUMIFS('Water Use Calcs'!$W:$W,'Water Use Calcs'!$D:$D,'End Uses'!D316,'Water Use Calcs'!$G:$G,'End Uses'!G316,'Water Use Calcs'!$I:$I,'End Uses'!I316,'Water Use Calcs'!$J:$J,'End Uses'!J316)</f>
        <v>0</v>
      </c>
      <c r="T316" s="586">
        <f t="shared" ca="1" si="29"/>
        <v>0</v>
      </c>
      <c r="U316" s="581" t="str">
        <f t="shared" ca="1" si="31"/>
        <v>-</v>
      </c>
      <c r="V316" s="404"/>
      <c r="W316" s="404"/>
      <c r="X316" s="584"/>
    </row>
    <row r="317" spans="3:24" s="45" customFormat="1" ht="13.2" customHeight="1" thickBot="1" x14ac:dyDescent="0.35">
      <c r="C317" s="576"/>
      <c r="D317" s="493" t="s">
        <v>16</v>
      </c>
      <c r="E317" s="494"/>
      <c r="F317" s="636"/>
      <c r="G317" s="501" t="s">
        <v>99</v>
      </c>
      <c r="H317" s="116"/>
      <c r="I317" s="451" t="s">
        <v>8</v>
      </c>
      <c r="J317" s="116" t="s">
        <v>54</v>
      </c>
      <c r="K317" s="606" t="s">
        <v>364</v>
      </c>
      <c r="L317" s="607">
        <f>SUMIFS('Airport Statistics'!$G:$G,'Airport Statistics'!$D:$D,G317,'Airport Statistics'!$F:$F,K317)</f>
        <v>0</v>
      </c>
      <c r="M317" s="608">
        <f ca="1">SUMIFS('Water Use Calcs'!$V:$V,'Water Use Calcs'!$D:$D,'End Uses'!D317,'Water Use Calcs'!$G:$G,'End Uses'!G317,'Water Use Calcs'!$I:$I,'End Uses'!I317,'Water Use Calcs'!$J:$J,'End Uses'!J317)</f>
        <v>0</v>
      </c>
      <c r="N317" s="609">
        <f t="shared" ca="1" si="27"/>
        <v>0</v>
      </c>
      <c r="O317" s="616" t="str">
        <f ca="1">IFERROR(N317/R303,"-")</f>
        <v>-</v>
      </c>
      <c r="P317" s="611"/>
      <c r="Q317" s="611"/>
      <c r="R317" s="613"/>
      <c r="S317" s="614">
        <f ca="1">SUMIFS('Water Use Calcs'!$W:$W,'Water Use Calcs'!$D:$D,'End Uses'!D317,'Water Use Calcs'!$G:$G,'End Uses'!G317,'Water Use Calcs'!$I:$I,'End Uses'!I317,'Water Use Calcs'!$J:$J,'End Uses'!J317)</f>
        <v>0</v>
      </c>
      <c r="T317" s="615">
        <f t="shared" ca="1" si="29"/>
        <v>0</v>
      </c>
      <c r="U317" s="616" t="str">
        <f t="shared" ca="1" si="31"/>
        <v>-</v>
      </c>
      <c r="V317" s="611"/>
      <c r="W317" s="611"/>
      <c r="X317" s="613"/>
    </row>
    <row r="318" spans="3:24" s="45" customFormat="1" ht="13.2" customHeight="1" x14ac:dyDescent="0.3">
      <c r="C318" s="576"/>
      <c r="D318" s="493" t="s">
        <v>16</v>
      </c>
      <c r="E318" s="617" t="str">
        <f>G318</f>
        <v>Hotel E</v>
      </c>
      <c r="F318" s="565" t="str">
        <f>VLOOKUP(E318,'Airport Mapping'!$C$5:$D$39,2,FALSE)</f>
        <v xml:space="preserve"> </v>
      </c>
      <c r="G318" s="566" t="s">
        <v>100</v>
      </c>
      <c r="H318" s="564" t="str">
        <f>I318</f>
        <v>Guestrooms</v>
      </c>
      <c r="I318" s="454" t="s">
        <v>45</v>
      </c>
      <c r="J318" s="567" t="s">
        <v>2</v>
      </c>
      <c r="K318" s="639" t="s">
        <v>122</v>
      </c>
      <c r="L318" s="568">
        <f>SUMIFS('Airport Statistics'!$G:$G,'Airport Statistics'!$D:$D,G318,'Airport Statistics'!$F:$F,K318)</f>
        <v>0</v>
      </c>
      <c r="M318" s="569">
        <f ca="1">SUMIFS('Water Use Calcs'!$V:$V,'Water Use Calcs'!$D:$D,'End Uses'!D318,'Water Use Calcs'!$G:$G,'End Uses'!G318,'Water Use Calcs'!$I:$I,'End Uses'!I318,'Water Use Calcs'!$J:$J,'End Uses'!J318)</f>
        <v>0</v>
      </c>
      <c r="N318" s="570">
        <f t="shared" ca="1" si="27"/>
        <v>0</v>
      </c>
      <c r="O318" s="571" t="str">
        <f ca="1">IFERROR(N318/R318,"-")</f>
        <v>-</v>
      </c>
      <c r="P318" s="572">
        <f ca="1">SUMIFS($N:$N,$G:$G,G318,$I:$I,H318)</f>
        <v>0</v>
      </c>
      <c r="Q318" s="546" t="str">
        <f ca="1">IFERROR(P318/R318,"-")</f>
        <v>-</v>
      </c>
      <c r="R318" s="573">
        <f ca="1">SUMIFS($N:$N,$G:$G,G318)</f>
        <v>0</v>
      </c>
      <c r="S318" s="574">
        <f ca="1">SUMIFS('Water Use Calcs'!$W:$W,'Water Use Calcs'!$D:$D,'End Uses'!D318,'Water Use Calcs'!$G:$G,'End Uses'!G318,'Water Use Calcs'!$I:$I,'End Uses'!I318,'Water Use Calcs'!$J:$J,'End Uses'!J318)</f>
        <v>0</v>
      </c>
      <c r="T318" s="575">
        <f t="shared" ca="1" si="29"/>
        <v>0</v>
      </c>
      <c r="U318" s="571" t="str">
        <f ca="1">IFERROR(T318/X318,"-")</f>
        <v>-</v>
      </c>
      <c r="V318" s="572">
        <f ca="1">SUMIFS($T:$T,$G:$G,G318,$I:$I,H318)</f>
        <v>0</v>
      </c>
      <c r="W318" s="546" t="str">
        <f ca="1">IFERROR(V318/X318,"-")</f>
        <v>-</v>
      </c>
      <c r="X318" s="573">
        <f ca="1">SUMIFS($T:$T,$G:$G,G318)</f>
        <v>0</v>
      </c>
    </row>
    <row r="319" spans="3:24" s="45" customFormat="1" ht="13.2" customHeight="1" x14ac:dyDescent="0.3">
      <c r="C319" s="576"/>
      <c r="D319" s="493" t="s">
        <v>16</v>
      </c>
      <c r="E319" s="494"/>
      <c r="F319" s="636"/>
      <c r="G319" s="494" t="s">
        <v>100</v>
      </c>
      <c r="H319" s="577"/>
      <c r="I319" s="450" t="s">
        <v>45</v>
      </c>
      <c r="J319" s="577" t="s">
        <v>18</v>
      </c>
      <c r="K319" s="635" t="s">
        <v>122</v>
      </c>
      <c r="L319" s="578">
        <f>SUMIFS('Airport Statistics'!$G:$G,'Airport Statistics'!$D:$D,G319,'Airport Statistics'!$F:$F,K319)</f>
        <v>0</v>
      </c>
      <c r="M319" s="579">
        <f ca="1">SUMIFS('Water Use Calcs'!$V:$V,'Water Use Calcs'!$D:$D,'End Uses'!D319,'Water Use Calcs'!$G:$G,'End Uses'!G319,'Water Use Calcs'!$I:$I,'End Uses'!I319,'Water Use Calcs'!$J:$J,'End Uses'!J319)</f>
        <v>0</v>
      </c>
      <c r="N319" s="580">
        <f t="shared" ca="1" si="27"/>
        <v>0</v>
      </c>
      <c r="O319" s="581" t="str">
        <f ca="1">IFERROR(N319/R318,"-")</f>
        <v>-</v>
      </c>
      <c r="P319" s="582"/>
      <c r="Q319" s="583"/>
      <c r="R319" s="584"/>
      <c r="S319" s="585">
        <f ca="1">SUMIFS('Water Use Calcs'!$W:$W,'Water Use Calcs'!$D:$D,'End Uses'!D319,'Water Use Calcs'!$G:$G,'End Uses'!G319,'Water Use Calcs'!$I:$I,'End Uses'!I319,'Water Use Calcs'!$J:$J,'End Uses'!J319)</f>
        <v>0</v>
      </c>
      <c r="T319" s="586">
        <f t="shared" ca="1" si="29"/>
        <v>0</v>
      </c>
      <c r="U319" s="581" t="str">
        <f ca="1">IFERROR(T319/X318,"-")</f>
        <v>-</v>
      </c>
      <c r="V319" s="582"/>
      <c r="W319" s="583"/>
      <c r="X319" s="584"/>
    </row>
    <row r="320" spans="3:24" x14ac:dyDescent="0.3">
      <c r="C320" s="576"/>
      <c r="D320" s="493" t="s">
        <v>16</v>
      </c>
      <c r="E320" s="494"/>
      <c r="F320" s="636"/>
      <c r="G320" s="494" t="s">
        <v>100</v>
      </c>
      <c r="H320" s="577"/>
      <c r="I320" s="493" t="s">
        <v>45</v>
      </c>
      <c r="J320" s="577" t="s">
        <v>33</v>
      </c>
      <c r="K320" s="635" t="s">
        <v>122</v>
      </c>
      <c r="L320" s="578">
        <f>SUMIFS('Airport Statistics'!$G:$G,'Airport Statistics'!$D:$D,G320,'Airport Statistics'!$F:$F,K320)</f>
        <v>0</v>
      </c>
      <c r="M320" s="579">
        <f ca="1">SUMIFS('Water Use Calcs'!$V:$V,'Water Use Calcs'!$D:$D,'End Uses'!D320,'Water Use Calcs'!$G:$G,'End Uses'!G320,'Water Use Calcs'!$I:$I,'End Uses'!I320,'Water Use Calcs'!$J:$J,'End Uses'!J320)</f>
        <v>0</v>
      </c>
      <c r="N320" s="580">
        <f t="shared" ca="1" si="27"/>
        <v>0</v>
      </c>
      <c r="O320" s="581" t="str">
        <f ca="1">IFERROR(N320/R318,"-")</f>
        <v>-</v>
      </c>
      <c r="P320" s="582"/>
      <c r="Q320" s="583"/>
      <c r="R320" s="584"/>
      <c r="S320" s="585">
        <f ca="1">SUMIFS('Water Use Calcs'!$W:$W,'Water Use Calcs'!$D:$D,'End Uses'!D320,'Water Use Calcs'!$G:$G,'End Uses'!G320,'Water Use Calcs'!$I:$I,'End Uses'!I320,'Water Use Calcs'!$J:$J,'End Uses'!J320)</f>
        <v>0</v>
      </c>
      <c r="T320" s="586">
        <f t="shared" ca="1" si="29"/>
        <v>0</v>
      </c>
      <c r="U320" s="581" t="str">
        <f ca="1">IFERROR(T320/X318,"-")</f>
        <v>-</v>
      </c>
      <c r="V320" s="582"/>
      <c r="W320" s="583"/>
      <c r="X320" s="584"/>
    </row>
    <row r="321" spans="3:24" x14ac:dyDescent="0.3">
      <c r="C321" s="576"/>
      <c r="D321" s="493" t="s">
        <v>16</v>
      </c>
      <c r="E321" s="494"/>
      <c r="F321" s="636"/>
      <c r="G321" s="494" t="s">
        <v>100</v>
      </c>
      <c r="H321" s="588" t="str">
        <f>I321</f>
        <v>Food Service</v>
      </c>
      <c r="I321" s="455" t="s">
        <v>38</v>
      </c>
      <c r="J321" s="589" t="s">
        <v>114</v>
      </c>
      <c r="K321" s="590" t="s">
        <v>118</v>
      </c>
      <c r="L321" s="591">
        <f>SUMIFS('Airport Statistics'!$G:$G,'Airport Statistics'!$D:$D,G321,'Airport Statistics'!$F:$F,K321)</f>
        <v>0</v>
      </c>
      <c r="M321" s="592">
        <f ca="1">SUMIFS('Water Use Calcs'!$V:$V,'Water Use Calcs'!$D:$D,'End Uses'!D321,'Water Use Calcs'!$G:$G,'End Uses'!G321,'Water Use Calcs'!$I:$I,'End Uses'!I321,'Water Use Calcs'!$J:$J,'End Uses'!J321)</f>
        <v>0</v>
      </c>
      <c r="N321" s="593">
        <f t="shared" ca="1" si="27"/>
        <v>0</v>
      </c>
      <c r="O321" s="594" t="str">
        <f ca="1">IFERROR(N321/R318,"-")</f>
        <v>-</v>
      </c>
      <c r="P321" s="595">
        <f ca="1">SUMIFS($N:$N,$G:$G,G321,$I:$I,H321)</f>
        <v>0</v>
      </c>
      <c r="Q321" s="547" t="str">
        <f ca="1">IFERROR(P321/R318,"-")</f>
        <v>-</v>
      </c>
      <c r="R321" s="584"/>
      <c r="S321" s="596">
        <f ca="1">SUMIFS('Water Use Calcs'!$W:$W,'Water Use Calcs'!$D:$D,'End Uses'!D321,'Water Use Calcs'!$G:$G,'End Uses'!G321,'Water Use Calcs'!$I:$I,'End Uses'!I321,'Water Use Calcs'!$J:$J,'End Uses'!J321)</f>
        <v>0</v>
      </c>
      <c r="T321" s="597">
        <f t="shared" ca="1" si="29"/>
        <v>0</v>
      </c>
      <c r="U321" s="594" t="str">
        <f ca="1">IFERROR(T321/X318,"-")</f>
        <v>-</v>
      </c>
      <c r="V321" s="595">
        <f ca="1">SUMIFS($T:$T,$G:$G,G321,$I:$I,H321)</f>
        <v>0</v>
      </c>
      <c r="W321" s="547" t="str">
        <f ca="1">IFERROR(V321/X318,"-")</f>
        <v>-</v>
      </c>
      <c r="X321" s="584"/>
    </row>
    <row r="322" spans="3:24" x14ac:dyDescent="0.3">
      <c r="C322" s="576"/>
      <c r="D322" s="521" t="s">
        <v>16</v>
      </c>
      <c r="E322" s="521"/>
      <c r="F322" s="576"/>
      <c r="G322" s="521" t="s">
        <v>100</v>
      </c>
      <c r="H322" s="577"/>
      <c r="I322" s="520" t="s">
        <v>38</v>
      </c>
      <c r="J322" s="577" t="s">
        <v>127</v>
      </c>
      <c r="K322" s="598" t="s">
        <v>118</v>
      </c>
      <c r="L322" s="578">
        <f>SUMIFS('Airport Statistics'!$G:$G,'Airport Statistics'!$D:$D,G322,'Airport Statistics'!$F:$F,K322)</f>
        <v>0</v>
      </c>
      <c r="M322" s="579">
        <f ca="1">SUMIFS('Water Use Calcs'!$V:$V,'Water Use Calcs'!$D:$D,'End Uses'!D322,'Water Use Calcs'!$G:$G,'End Uses'!G322,'Water Use Calcs'!$I:$I,'End Uses'!I322,'Water Use Calcs'!$J:$J,'End Uses'!J322)</f>
        <v>0</v>
      </c>
      <c r="N322" s="580">
        <f ca="1">L322*M322</f>
        <v>0</v>
      </c>
      <c r="O322" s="581" t="str">
        <f ca="1">IFERROR(N322/R318,"-")</f>
        <v>-</v>
      </c>
      <c r="P322" s="582"/>
      <c r="Q322" s="548"/>
      <c r="R322" s="584"/>
      <c r="S322" s="585">
        <f ca="1">SUMIFS('Water Use Calcs'!$W:$W,'Water Use Calcs'!$D:$D,'End Uses'!D322,'Water Use Calcs'!$G:$G,'End Uses'!G322,'Water Use Calcs'!$I:$I,'End Uses'!I322,'Water Use Calcs'!$J:$J,'End Uses'!J322)</f>
        <v>0</v>
      </c>
      <c r="T322" s="586">
        <f t="shared" ca="1" si="29"/>
        <v>0</v>
      </c>
      <c r="U322" s="581" t="str">
        <f ca="1">IFERROR(T322/X318,"-")</f>
        <v>-</v>
      </c>
      <c r="V322" s="582"/>
      <c r="W322" s="548"/>
      <c r="X322" s="584"/>
    </row>
    <row r="323" spans="3:24" x14ac:dyDescent="0.3">
      <c r="C323" s="576"/>
      <c r="D323" s="493" t="s">
        <v>16</v>
      </c>
      <c r="E323" s="494"/>
      <c r="F323" s="636"/>
      <c r="G323" s="494" t="s">
        <v>100</v>
      </c>
      <c r="H323" s="577"/>
      <c r="I323" s="450" t="s">
        <v>38</v>
      </c>
      <c r="J323" s="577" t="s">
        <v>41</v>
      </c>
      <c r="K323" s="598" t="s">
        <v>118</v>
      </c>
      <c r="L323" s="578">
        <f>SUMIFS('Airport Statistics'!$G:$G,'Airport Statistics'!$D:$D,G323,'Airport Statistics'!$F:$F,K323)</f>
        <v>0</v>
      </c>
      <c r="M323" s="579">
        <f ca="1">SUMIFS('Water Use Calcs'!$V:$V,'Water Use Calcs'!$D:$D,'End Uses'!D323,'Water Use Calcs'!$G:$G,'End Uses'!G323,'Water Use Calcs'!$I:$I,'End Uses'!I323,'Water Use Calcs'!$J:$J,'End Uses'!J323)</f>
        <v>0</v>
      </c>
      <c r="N323" s="580">
        <f t="shared" ca="1" si="27"/>
        <v>0</v>
      </c>
      <c r="O323" s="581" t="str">
        <f ca="1">IFERROR(N323/R318,"-")</f>
        <v>-</v>
      </c>
      <c r="P323" s="582"/>
      <c r="Q323" s="548"/>
      <c r="R323" s="584"/>
      <c r="S323" s="585">
        <f ca="1">SUMIFS('Water Use Calcs'!$W:$W,'Water Use Calcs'!$D:$D,'End Uses'!D323,'Water Use Calcs'!$G:$G,'End Uses'!G323,'Water Use Calcs'!$I:$I,'End Uses'!I323,'Water Use Calcs'!$J:$J,'End Uses'!J323)</f>
        <v>0</v>
      </c>
      <c r="T323" s="586">
        <f t="shared" ca="1" si="29"/>
        <v>0</v>
      </c>
      <c r="U323" s="581" t="str">
        <f ca="1">IFERROR(T323/X318,"-")</f>
        <v>-</v>
      </c>
      <c r="V323" s="582"/>
      <c r="W323" s="548"/>
      <c r="X323" s="584"/>
    </row>
    <row r="324" spans="3:24" x14ac:dyDescent="0.3">
      <c r="C324" s="576"/>
      <c r="D324" s="493" t="s">
        <v>16</v>
      </c>
      <c r="E324" s="494"/>
      <c r="F324" s="636"/>
      <c r="G324" s="494" t="s">
        <v>100</v>
      </c>
      <c r="H324" s="577"/>
      <c r="I324" s="493" t="s">
        <v>38</v>
      </c>
      <c r="J324" s="577" t="s">
        <v>20</v>
      </c>
      <c r="K324" s="635" t="s">
        <v>122</v>
      </c>
      <c r="L324" s="578">
        <f>SUMIFS('Airport Statistics'!$G:$G,'Airport Statistics'!$D:$D,G324,'Airport Statistics'!$F:$F,K324)</f>
        <v>0</v>
      </c>
      <c r="M324" s="579">
        <f ca="1">SUMIFS('Water Use Calcs'!$V:$V,'Water Use Calcs'!$D:$D,'End Uses'!D324,'Water Use Calcs'!$G:$G,'End Uses'!G324,'Water Use Calcs'!$I:$I,'End Uses'!I324,'Water Use Calcs'!$J:$J,'End Uses'!J324)</f>
        <v>0</v>
      </c>
      <c r="N324" s="580">
        <f t="shared" ca="1" si="27"/>
        <v>0</v>
      </c>
      <c r="O324" s="581" t="str">
        <f ca="1">IFERROR(N324/R318,"-")</f>
        <v>-</v>
      </c>
      <c r="P324" s="404"/>
      <c r="Q324" s="548"/>
      <c r="R324" s="584"/>
      <c r="S324" s="585">
        <f ca="1">SUMIFS('Water Use Calcs'!$W:$W,'Water Use Calcs'!$D:$D,'End Uses'!D324,'Water Use Calcs'!$G:$G,'End Uses'!G324,'Water Use Calcs'!$I:$I,'End Uses'!I324,'Water Use Calcs'!$J:$J,'End Uses'!J324)</f>
        <v>0</v>
      </c>
      <c r="T324" s="586">
        <f t="shared" ca="1" si="29"/>
        <v>0</v>
      </c>
      <c r="U324" s="581" t="str">
        <f ca="1">IFERROR(T324/X318,"-")</f>
        <v>-</v>
      </c>
      <c r="V324" s="404"/>
      <c r="W324" s="548"/>
      <c r="X324" s="584"/>
    </row>
    <row r="325" spans="3:24" x14ac:dyDescent="0.3">
      <c r="C325" s="576"/>
      <c r="D325" s="493" t="s">
        <v>16</v>
      </c>
      <c r="E325" s="494"/>
      <c r="F325" s="636"/>
      <c r="G325" s="494" t="s">
        <v>100</v>
      </c>
      <c r="H325" s="588" t="str">
        <f>I325</f>
        <v>Maintenance</v>
      </c>
      <c r="I325" s="455" t="s">
        <v>43</v>
      </c>
      <c r="J325" s="17" t="s">
        <v>111</v>
      </c>
      <c r="K325" s="599" t="s">
        <v>424</v>
      </c>
      <c r="L325" s="591">
        <f>SUMIFS('Airport Statistics'!$G:$G,'Airport Statistics'!$D:$D,G325,'Airport Statistics'!$F:$F,K325)</f>
        <v>0</v>
      </c>
      <c r="M325" s="592">
        <f ca="1">SUMIFS('Water Use Calcs'!$V:$V,'Water Use Calcs'!$D:$D,'End Uses'!D325,'Water Use Calcs'!$G:$G,'End Uses'!G325,'Water Use Calcs'!$I:$I,'End Uses'!I325,'Water Use Calcs'!$J:$J,'End Uses'!J325)</f>
        <v>0</v>
      </c>
      <c r="N325" s="593">
        <f t="shared" ca="1" si="27"/>
        <v>0</v>
      </c>
      <c r="O325" s="594" t="str">
        <f ca="1">IFERROR(N325/R318,"-")</f>
        <v>-</v>
      </c>
      <c r="P325" s="595">
        <f ca="1">SUMIFS($N:$N,$G:$G,G325,$I:$I,H325)</f>
        <v>0</v>
      </c>
      <c r="Q325" s="547" t="str">
        <f ca="1">IFERROR(P325/R318,"-")</f>
        <v>-</v>
      </c>
      <c r="R325" s="584"/>
      <c r="S325" s="596">
        <f ca="1">SUMIFS('Water Use Calcs'!$W:$W,'Water Use Calcs'!$D:$D,'End Uses'!D325,'Water Use Calcs'!$G:$G,'End Uses'!G325,'Water Use Calcs'!$I:$I,'End Uses'!I325,'Water Use Calcs'!$J:$J,'End Uses'!J325)</f>
        <v>0</v>
      </c>
      <c r="T325" s="597">
        <f t="shared" ca="1" si="29"/>
        <v>0</v>
      </c>
      <c r="U325" s="594" t="str">
        <f ca="1">IFERROR(T325/X318,"-")</f>
        <v>-</v>
      </c>
      <c r="V325" s="595">
        <f ca="1">SUMIFS($T:$T,$G:$G,G325,$I:$I,H325)</f>
        <v>0</v>
      </c>
      <c r="W325" s="547" t="str">
        <f ca="1">IFERROR(V325/X318,"-")</f>
        <v>-</v>
      </c>
      <c r="X325" s="584"/>
    </row>
    <row r="326" spans="3:24" x14ac:dyDescent="0.3">
      <c r="C326" s="576"/>
      <c r="D326" s="493" t="s">
        <v>16</v>
      </c>
      <c r="E326" s="494"/>
      <c r="F326" s="636"/>
      <c r="G326" s="494" t="s">
        <v>100</v>
      </c>
      <c r="H326" s="577"/>
      <c r="I326" s="450" t="s">
        <v>43</v>
      </c>
      <c r="J326" s="18" t="s">
        <v>7</v>
      </c>
      <c r="K326" s="183" t="s">
        <v>365</v>
      </c>
      <c r="L326" s="600"/>
      <c r="M326" s="601">
        <f ca="1">SUMIFS('Water Use Calcs'!$V:$V,'Water Use Calcs'!$D:$D,'End Uses'!D326,'Water Use Calcs'!$G:$G,'End Uses'!G326,'Water Use Calcs'!$I:$I,'End Uses'!I326,'Water Use Calcs'!$J:$J,'End Uses'!J326)</f>
        <v>0</v>
      </c>
      <c r="N326" s="580">
        <f ca="1">M326</f>
        <v>0</v>
      </c>
      <c r="O326" s="581" t="str">
        <f ca="1">IFERROR(N326/R318,"-")</f>
        <v>-</v>
      </c>
      <c r="P326" s="404"/>
      <c r="Q326" s="548"/>
      <c r="R326" s="584"/>
      <c r="S326" s="585">
        <f ca="1">SUMIFS('Water Use Calcs'!$W:$W,'Water Use Calcs'!$D:$D,'End Uses'!D326,'Water Use Calcs'!$G:$G,'End Uses'!G326,'Water Use Calcs'!$I:$I,'End Uses'!I326,'Water Use Calcs'!$J:$J,'End Uses'!J326)</f>
        <v>0</v>
      </c>
      <c r="T326" s="586">
        <f ca="1">S326</f>
        <v>0</v>
      </c>
      <c r="U326" s="581" t="str">
        <f ca="1">IFERROR(T326/X318,"-")</f>
        <v>-</v>
      </c>
      <c r="V326" s="404"/>
      <c r="W326" s="548"/>
      <c r="X326" s="584"/>
    </row>
    <row r="327" spans="3:24" x14ac:dyDescent="0.3">
      <c r="C327" s="576"/>
      <c r="D327" s="493" t="s">
        <v>16</v>
      </c>
      <c r="E327" s="494"/>
      <c r="F327" s="636"/>
      <c r="G327" s="494" t="s">
        <v>100</v>
      </c>
      <c r="H327" s="577"/>
      <c r="I327" s="450" t="s">
        <v>43</v>
      </c>
      <c r="J327" s="577" t="s">
        <v>112</v>
      </c>
      <c r="K327" s="598" t="s">
        <v>135</v>
      </c>
      <c r="L327" s="578">
        <f>SUMIFS('Airport Statistics'!$G:$G,'Airport Statistics'!$D:$D,G327,'Airport Statistics'!$F:$F,K327)</f>
        <v>0</v>
      </c>
      <c r="M327" s="579">
        <f ca="1">SUMIFS('Water Use Calcs'!$V:$V,'Water Use Calcs'!$D:$D,'End Uses'!D327,'Water Use Calcs'!$G:$G,'End Uses'!G327,'Water Use Calcs'!$I:$I,'End Uses'!I327,'Water Use Calcs'!$J:$J,'End Uses'!J327)</f>
        <v>0</v>
      </c>
      <c r="N327" s="580">
        <f t="shared" ca="1" si="27"/>
        <v>0</v>
      </c>
      <c r="O327" s="581" t="str">
        <f ca="1">IFERROR(N327/R318,"-")</f>
        <v>-</v>
      </c>
      <c r="P327" s="582"/>
      <c r="Q327" s="548"/>
      <c r="R327" s="584"/>
      <c r="S327" s="585">
        <f ca="1">SUMIFS('Water Use Calcs'!$W:$W,'Water Use Calcs'!$D:$D,'End Uses'!D327,'Water Use Calcs'!$G:$G,'End Uses'!G327,'Water Use Calcs'!$I:$I,'End Uses'!I327,'Water Use Calcs'!$J:$J,'End Uses'!J327)</f>
        <v>0</v>
      </c>
      <c r="T327" s="586">
        <f t="shared" ca="1" si="29"/>
        <v>0</v>
      </c>
      <c r="U327" s="581" t="str">
        <f ca="1">IFERROR(T327/X318,"-")</f>
        <v>-</v>
      </c>
      <c r="V327" s="582"/>
      <c r="W327" s="548"/>
      <c r="X327" s="584"/>
    </row>
    <row r="328" spans="3:24" x14ac:dyDescent="0.3">
      <c r="C328" s="576"/>
      <c r="D328" s="493" t="s">
        <v>16</v>
      </c>
      <c r="E328" s="494"/>
      <c r="F328" s="636"/>
      <c r="G328" s="494" t="s">
        <v>100</v>
      </c>
      <c r="H328" s="640"/>
      <c r="I328" s="641" t="s">
        <v>43</v>
      </c>
      <c r="J328" s="640" t="s">
        <v>21</v>
      </c>
      <c r="K328" s="642" t="s">
        <v>122</v>
      </c>
      <c r="L328" s="643">
        <f>SUMIFS('Airport Statistics'!$G:$G,'Airport Statistics'!$D:$D,G328,'Airport Statistics'!$F:$F,K328)</f>
        <v>0</v>
      </c>
      <c r="M328" s="644">
        <f ca="1">SUMIFS('Water Use Calcs'!$V:$V,'Water Use Calcs'!$D:$D,'End Uses'!D328,'Water Use Calcs'!$G:$G,'End Uses'!G328,'Water Use Calcs'!$I:$I,'End Uses'!I328,'Water Use Calcs'!$J:$J,'End Uses'!J328)</f>
        <v>0</v>
      </c>
      <c r="N328" s="645">
        <f t="shared" ca="1" si="27"/>
        <v>0</v>
      </c>
      <c r="O328" s="646" t="str">
        <f ca="1">IFERROR(N328/R318,"-")</f>
        <v>-</v>
      </c>
      <c r="P328" s="432"/>
      <c r="Q328" s="553"/>
      <c r="R328" s="584"/>
      <c r="S328" s="647">
        <f ca="1">SUMIFS('Water Use Calcs'!$W:$W,'Water Use Calcs'!$D:$D,'End Uses'!D328,'Water Use Calcs'!$G:$G,'End Uses'!G328,'Water Use Calcs'!$I:$I,'End Uses'!I328,'Water Use Calcs'!$J:$J,'End Uses'!J328)</f>
        <v>0</v>
      </c>
      <c r="T328" s="648">
        <f t="shared" ca="1" si="29"/>
        <v>0</v>
      </c>
      <c r="U328" s="646" t="str">
        <f ca="1">IFERROR(T328/X318,"-")</f>
        <v>-</v>
      </c>
      <c r="V328" s="432"/>
      <c r="W328" s="553"/>
      <c r="X328" s="584"/>
    </row>
    <row r="329" spans="3:24" x14ac:dyDescent="0.3">
      <c r="C329" s="576"/>
      <c r="D329" s="493" t="s">
        <v>16</v>
      </c>
      <c r="E329" s="494"/>
      <c r="F329" s="636"/>
      <c r="G329" s="494" t="s">
        <v>100</v>
      </c>
      <c r="H329" s="649" t="str">
        <f>I329</f>
        <v>Landscaping</v>
      </c>
      <c r="I329" s="493" t="s">
        <v>39</v>
      </c>
      <c r="J329" s="577" t="s">
        <v>42</v>
      </c>
      <c r="K329" s="15" t="s">
        <v>120</v>
      </c>
      <c r="L329" s="578">
        <f>SUMIFS('Airport Statistics'!$G:$G,'Airport Statistics'!$D:$D,G329,'Airport Statistics'!$F:$F,K329)</f>
        <v>0</v>
      </c>
      <c r="M329" s="579">
        <f ca="1">SUMIFS('Water Use Calcs'!$V:$V,'Water Use Calcs'!$D:$D,'End Uses'!D329,'Water Use Calcs'!$G:$G,'End Uses'!G329,'Water Use Calcs'!$I:$I,'End Uses'!I329,'Water Use Calcs'!$J:$J,'End Uses'!J329)</f>
        <v>0</v>
      </c>
      <c r="N329" s="580">
        <f t="shared" ca="1" si="27"/>
        <v>0</v>
      </c>
      <c r="O329" s="581" t="str">
        <f ca="1">IFERROR(N329/R318,"-")</f>
        <v>-</v>
      </c>
      <c r="P329" s="650">
        <f ca="1">SUMIFS($N:$N,$G:$G,G329,$I:$I,H329)</f>
        <v>0</v>
      </c>
      <c r="Q329" s="554" t="str">
        <f ca="1">IFERROR(P329/R318,"-")</f>
        <v>-</v>
      </c>
      <c r="R329" s="584"/>
      <c r="S329" s="585">
        <f ca="1">SUMIFS('Water Use Calcs'!$W:$W,'Water Use Calcs'!$D:$D,'End Uses'!D329,'Water Use Calcs'!$G:$G,'End Uses'!G329,'Water Use Calcs'!$I:$I,'End Uses'!I329,'Water Use Calcs'!$J:$J,'End Uses'!J329)</f>
        <v>0</v>
      </c>
      <c r="T329" s="586">
        <f t="shared" ca="1" si="29"/>
        <v>0</v>
      </c>
      <c r="U329" s="581" t="str">
        <f ca="1">IFERROR(T329/X318,"-")</f>
        <v>-</v>
      </c>
      <c r="V329" s="650">
        <f ca="1">SUMIFS($T:$T,$G:$G,G329,$I:$I,H329)</f>
        <v>0</v>
      </c>
      <c r="W329" s="554" t="str">
        <f ca="1">IFERROR(V329/X318,"-")</f>
        <v>-</v>
      </c>
      <c r="X329" s="584"/>
    </row>
    <row r="330" spans="3:24" x14ac:dyDescent="0.3">
      <c r="C330" s="576"/>
      <c r="D330" s="493" t="s">
        <v>16</v>
      </c>
      <c r="E330" s="494"/>
      <c r="F330" s="636"/>
      <c r="G330" s="494" t="s">
        <v>100</v>
      </c>
      <c r="H330" s="588" t="str">
        <f>I330</f>
        <v>Other</v>
      </c>
      <c r="I330" s="455" t="s">
        <v>8</v>
      </c>
      <c r="J330" s="589" t="s">
        <v>52</v>
      </c>
      <c r="K330" s="602" t="s">
        <v>362</v>
      </c>
      <c r="L330" s="591">
        <f>SUMIFS('Airport Statistics'!$G:$G,'Airport Statistics'!$D:$D,G330,'Airport Statistics'!$F:$F,K330)</f>
        <v>0</v>
      </c>
      <c r="M330" s="592">
        <f ca="1">SUMIFS('Water Use Calcs'!$V:$V,'Water Use Calcs'!$D:$D,'End Uses'!D330,'Water Use Calcs'!$G:$G,'End Uses'!G330,'Water Use Calcs'!$I:$I,'End Uses'!I330,'Water Use Calcs'!$J:$J,'End Uses'!J330)</f>
        <v>0</v>
      </c>
      <c r="N330" s="593">
        <f t="shared" ca="1" si="27"/>
        <v>0</v>
      </c>
      <c r="O330" s="594" t="str">
        <f ca="1">IFERROR(N330/R318,"-")</f>
        <v>-</v>
      </c>
      <c r="P330" s="595">
        <f ca="1">SUMIFS($N:$N,$G:$G,G330,$I:$I,H330)</f>
        <v>0</v>
      </c>
      <c r="Q330" s="547" t="str">
        <f ca="1">IFERROR(P330/R318,"-")</f>
        <v>-</v>
      </c>
      <c r="R330" s="584"/>
      <c r="S330" s="596">
        <f ca="1">SUMIFS('Water Use Calcs'!$W:$W,'Water Use Calcs'!$D:$D,'End Uses'!D330,'Water Use Calcs'!$G:$G,'End Uses'!G330,'Water Use Calcs'!$I:$I,'End Uses'!I330,'Water Use Calcs'!$J:$J,'End Uses'!J330)</f>
        <v>0</v>
      </c>
      <c r="T330" s="597">
        <f t="shared" ca="1" si="29"/>
        <v>0</v>
      </c>
      <c r="U330" s="594" t="str">
        <f t="shared" ref="U330:U332" ca="1" si="32">IFERROR(T330/X330,"-")</f>
        <v>-</v>
      </c>
      <c r="V330" s="595">
        <f ca="1">SUMIFS($T:$T,$G:$G,G330,$I:$I,H330)</f>
        <v>0</v>
      </c>
      <c r="W330" s="547" t="str">
        <f ca="1">IFERROR(V330/X318,"-")</f>
        <v>-</v>
      </c>
      <c r="X330" s="584"/>
    </row>
    <row r="331" spans="3:24" s="45" customFormat="1" ht="13.2" customHeight="1" x14ac:dyDescent="0.3">
      <c r="C331" s="576"/>
      <c r="D331" s="493" t="s">
        <v>16</v>
      </c>
      <c r="E331" s="494"/>
      <c r="F331" s="636"/>
      <c r="G331" s="494" t="s">
        <v>100</v>
      </c>
      <c r="H331" s="577"/>
      <c r="I331" s="450" t="s">
        <v>8</v>
      </c>
      <c r="J331" s="577" t="s">
        <v>53</v>
      </c>
      <c r="K331" s="439" t="s">
        <v>363</v>
      </c>
      <c r="L331" s="578">
        <f>SUMIFS('Airport Statistics'!$G:$G,'Airport Statistics'!$D:$D,G331,'Airport Statistics'!$F:$F,K331)</f>
        <v>0</v>
      </c>
      <c r="M331" s="579">
        <f ca="1">SUMIFS('Water Use Calcs'!$V:$V,'Water Use Calcs'!$D:$D,'End Uses'!D331,'Water Use Calcs'!$G:$G,'End Uses'!G331,'Water Use Calcs'!$I:$I,'End Uses'!I331,'Water Use Calcs'!$J:$J,'End Uses'!J331)</f>
        <v>0</v>
      </c>
      <c r="N331" s="580">
        <f t="shared" ca="1" si="27"/>
        <v>0</v>
      </c>
      <c r="O331" s="581" t="str">
        <f ca="1">IFERROR(N331/R318,"-")</f>
        <v>-</v>
      </c>
      <c r="P331" s="404"/>
      <c r="Q331" s="404"/>
      <c r="R331" s="584"/>
      <c r="S331" s="585">
        <f ca="1">SUMIFS('Water Use Calcs'!$W:$W,'Water Use Calcs'!$D:$D,'End Uses'!D331,'Water Use Calcs'!$G:$G,'End Uses'!G331,'Water Use Calcs'!$I:$I,'End Uses'!I331,'Water Use Calcs'!$J:$J,'End Uses'!J331)</f>
        <v>0</v>
      </c>
      <c r="T331" s="586">
        <f t="shared" ca="1" si="29"/>
        <v>0</v>
      </c>
      <c r="U331" s="581" t="str">
        <f t="shared" ca="1" si="32"/>
        <v>-</v>
      </c>
      <c r="V331" s="404"/>
      <c r="W331" s="404"/>
      <c r="X331" s="584"/>
    </row>
    <row r="332" spans="3:24" s="45" customFormat="1" ht="13.2" customHeight="1" thickBot="1" x14ac:dyDescent="0.35">
      <c r="C332" s="576"/>
      <c r="D332" s="500" t="s">
        <v>16</v>
      </c>
      <c r="E332" s="501"/>
      <c r="F332" s="636"/>
      <c r="G332" s="501" t="s">
        <v>100</v>
      </c>
      <c r="H332" s="116"/>
      <c r="I332" s="451" t="s">
        <v>8</v>
      </c>
      <c r="J332" s="116" t="s">
        <v>54</v>
      </c>
      <c r="K332" s="606" t="s">
        <v>364</v>
      </c>
      <c r="L332" s="607">
        <f>SUMIFS('Airport Statistics'!$G:$G,'Airport Statistics'!$D:$D,G332,'Airport Statistics'!$F:$F,K332)</f>
        <v>0</v>
      </c>
      <c r="M332" s="608">
        <f ca="1">SUMIFS('Water Use Calcs'!$V:$V,'Water Use Calcs'!$D:$D,'End Uses'!D332,'Water Use Calcs'!$G:$G,'End Uses'!G332,'Water Use Calcs'!$I:$I,'End Uses'!I332,'Water Use Calcs'!$J:$J,'End Uses'!J332)</f>
        <v>0</v>
      </c>
      <c r="N332" s="609">
        <f t="shared" ca="1" si="27"/>
        <v>0</v>
      </c>
      <c r="O332" s="616" t="str">
        <f ca="1">IFERROR(N332/R318,"-")</f>
        <v>-</v>
      </c>
      <c r="P332" s="611"/>
      <c r="Q332" s="611"/>
      <c r="R332" s="613"/>
      <c r="S332" s="614">
        <f ca="1">SUMIFS('Water Use Calcs'!$W:$W,'Water Use Calcs'!$D:$D,'End Uses'!D332,'Water Use Calcs'!$G:$G,'End Uses'!G332,'Water Use Calcs'!$I:$I,'End Uses'!I332,'Water Use Calcs'!$J:$J,'End Uses'!J332)</f>
        <v>0</v>
      </c>
      <c r="T332" s="615">
        <f t="shared" ca="1" si="29"/>
        <v>0</v>
      </c>
      <c r="U332" s="616" t="str">
        <f t="shared" ca="1" si="32"/>
        <v>-</v>
      </c>
      <c r="V332" s="611"/>
      <c r="W332" s="611"/>
      <c r="X332" s="613"/>
    </row>
    <row r="333" spans="3:24" s="45" customFormat="1" ht="13.2" customHeight="1" x14ac:dyDescent="0.3">
      <c r="C333" s="564" t="s">
        <v>417</v>
      </c>
      <c r="D333" s="493" t="s">
        <v>417</v>
      </c>
      <c r="E333" s="494" t="str">
        <f>G333</f>
        <v>Central Heating/Cooling Plant</v>
      </c>
      <c r="F333" s="651" t="str">
        <f>VLOOKUP(E333,'Airport Mapping'!$C$5:$D$39,2,FALSE)</f>
        <v xml:space="preserve"> </v>
      </c>
      <c r="G333" s="493" t="s">
        <v>417</v>
      </c>
      <c r="H333" s="564" t="str">
        <f>I333</f>
        <v>Maintenance</v>
      </c>
      <c r="I333" s="454" t="s">
        <v>43</v>
      </c>
      <c r="J333" s="555" t="s">
        <v>111</v>
      </c>
      <c r="K333" s="185" t="s">
        <v>424</v>
      </c>
      <c r="L333" s="568">
        <f>SUMIFS('Airport Statistics'!$G:$G,'Airport Statistics'!$D:$D,G333,'Airport Statistics'!$F:$F,K333)</f>
        <v>0</v>
      </c>
      <c r="M333" s="569">
        <f ca="1">SUMIFS('Water Use Calcs'!$V:$V,'Water Use Calcs'!$D:$D,'End Uses'!D333,'Water Use Calcs'!$G:$G,'End Uses'!G333,'Water Use Calcs'!$I:$I,'End Uses'!I333,'Water Use Calcs'!$J:$J,'End Uses'!J333)</f>
        <v>0</v>
      </c>
      <c r="N333" s="570">
        <f t="shared" ca="1" si="2"/>
        <v>0</v>
      </c>
      <c r="O333" s="571" t="str">
        <f ca="1">IFERROR(N333/R333,"-")</f>
        <v>-</v>
      </c>
      <c r="P333" s="572">
        <f ca="1">SUMIFS($N:$N,$G:$G,G333,$I:$I,H333)</f>
        <v>0</v>
      </c>
      <c r="Q333" s="546" t="str">
        <f ca="1">IFERROR(P333/R333,"-")</f>
        <v>-</v>
      </c>
      <c r="R333" s="573">
        <f ca="1">SUMIFS($N:$N,$G:$G,G333)</f>
        <v>0</v>
      </c>
      <c r="S333" s="574">
        <f ca="1">SUMIFS('Water Use Calcs'!$W:$W,'Water Use Calcs'!$D:$D,'End Uses'!D333,'Water Use Calcs'!$G:$G,'End Uses'!G333,'Water Use Calcs'!$I:$I,'End Uses'!I333,'Water Use Calcs'!$J:$J,'End Uses'!J333)</f>
        <v>0</v>
      </c>
      <c r="T333" s="570">
        <f t="shared" ca="1" si="29"/>
        <v>0</v>
      </c>
      <c r="U333" s="571" t="str">
        <f ca="1">IFERROR(T333/X333,"-")</f>
        <v>-</v>
      </c>
      <c r="V333" s="572">
        <f ca="1">SUMIFS($T:$T,$G:$G,G333,$I:$I,H333)</f>
        <v>0</v>
      </c>
      <c r="W333" s="546" t="str">
        <f ca="1">IFERROR(V333/X333,"-")</f>
        <v>-</v>
      </c>
      <c r="X333" s="573">
        <f ca="1">SUMIFS($T:$T,$G:$G,G333)</f>
        <v>0</v>
      </c>
    </row>
    <row r="334" spans="3:24" x14ac:dyDescent="0.3">
      <c r="C334" s="576"/>
      <c r="D334" s="493" t="s">
        <v>417</v>
      </c>
      <c r="E334" s="494"/>
      <c r="F334" s="577"/>
      <c r="G334" s="493" t="s">
        <v>417</v>
      </c>
      <c r="H334" s="577"/>
      <c r="I334" s="493" t="s">
        <v>43</v>
      </c>
      <c r="J334" s="18" t="s">
        <v>7</v>
      </c>
      <c r="K334" s="183" t="s">
        <v>365</v>
      </c>
      <c r="L334" s="600"/>
      <c r="M334" s="601">
        <f ca="1">SUMIFS('Water Use Calcs'!$V:$V,'Water Use Calcs'!$D:$D,'End Uses'!D334,'Water Use Calcs'!$G:$G,'End Uses'!G334,'Water Use Calcs'!$I:$I,'End Uses'!I334,'Water Use Calcs'!$J:$J,'End Uses'!J334)</f>
        <v>0</v>
      </c>
      <c r="N334" s="580">
        <f ca="1">M334</f>
        <v>0</v>
      </c>
      <c r="O334" s="581" t="str">
        <f ca="1">IFERROR(N334/R333,"-")</f>
        <v>-</v>
      </c>
      <c r="P334" s="582"/>
      <c r="Q334" s="583"/>
      <c r="R334" s="584"/>
      <c r="S334" s="585">
        <f ca="1">SUMIFS('Water Use Calcs'!$W:$W,'Water Use Calcs'!$D:$D,'End Uses'!D334,'Water Use Calcs'!$G:$G,'End Uses'!G334,'Water Use Calcs'!$I:$I,'End Uses'!I334,'Water Use Calcs'!$J:$J,'End Uses'!J334)</f>
        <v>0</v>
      </c>
      <c r="T334" s="580">
        <f ca="1">S334</f>
        <v>0</v>
      </c>
      <c r="U334" s="581" t="str">
        <f ca="1">IFERROR(T334/X333,"-")</f>
        <v>-</v>
      </c>
      <c r="V334" s="582"/>
      <c r="W334" s="583"/>
      <c r="X334" s="584"/>
    </row>
    <row r="335" spans="3:24" x14ac:dyDescent="0.3">
      <c r="C335" s="576"/>
      <c r="D335" s="493" t="s">
        <v>417</v>
      </c>
      <c r="E335" s="494"/>
      <c r="F335" s="577"/>
      <c r="G335" s="493" t="s">
        <v>417</v>
      </c>
      <c r="H335" s="588" t="str">
        <f>I335</f>
        <v>Other</v>
      </c>
      <c r="I335" s="455" t="s">
        <v>8</v>
      </c>
      <c r="J335" s="589" t="s">
        <v>52</v>
      </c>
      <c r="K335" s="602" t="s">
        <v>362</v>
      </c>
      <c r="L335" s="591">
        <f>SUMIFS('Airport Statistics'!$G:$G,'Airport Statistics'!$D:$D,G335,'Airport Statistics'!$F:$F,K335)</f>
        <v>0</v>
      </c>
      <c r="M335" s="592">
        <f ca="1">SUMIFS('Water Use Calcs'!$V:$V,'Water Use Calcs'!$D:$D,'End Uses'!D335,'Water Use Calcs'!$G:$G,'End Uses'!G335,'Water Use Calcs'!$I:$I,'End Uses'!I335,'Water Use Calcs'!$J:$J,'End Uses'!J335)</f>
        <v>0</v>
      </c>
      <c r="N335" s="593">
        <f t="shared" ca="1" si="2"/>
        <v>0</v>
      </c>
      <c r="O335" s="594" t="str">
        <f ca="1">IFERROR(N335/R333,"-")</f>
        <v>-</v>
      </c>
      <c r="P335" s="595">
        <f ca="1">SUMIFS($N:$N,$G:$G,G335,$I:$I,H335)</f>
        <v>0</v>
      </c>
      <c r="Q335" s="547" t="str">
        <f ca="1">IFERROR(P335/R333,"-")</f>
        <v>-</v>
      </c>
      <c r="R335" s="584"/>
      <c r="S335" s="596">
        <f ca="1">SUMIFS('Water Use Calcs'!$W:$W,'Water Use Calcs'!$D:$D,'End Uses'!D335,'Water Use Calcs'!$G:$G,'End Uses'!G335,'Water Use Calcs'!$I:$I,'End Uses'!I335,'Water Use Calcs'!$J:$J,'End Uses'!J335)</f>
        <v>0</v>
      </c>
      <c r="T335" s="593">
        <f t="shared" ca="1" si="29"/>
        <v>0</v>
      </c>
      <c r="U335" s="594" t="str">
        <f ca="1">IFERROR(T335/X333,"-")</f>
        <v>-</v>
      </c>
      <c r="V335" s="595">
        <f ca="1">SUMIFS($T:$T,$G:$G,G335,$I:$I,H335)</f>
        <v>0</v>
      </c>
      <c r="W335" s="547" t="str">
        <f ca="1">IFERROR(V335/X333,"-")</f>
        <v>-</v>
      </c>
      <c r="X335" s="584"/>
    </row>
    <row r="336" spans="3:24" s="45" customFormat="1" ht="13.2" customHeight="1" x14ac:dyDescent="0.3">
      <c r="C336" s="576"/>
      <c r="D336" s="493" t="s">
        <v>417</v>
      </c>
      <c r="E336" s="494"/>
      <c r="F336" s="577"/>
      <c r="G336" s="493" t="s">
        <v>417</v>
      </c>
      <c r="H336" s="577"/>
      <c r="I336" s="450" t="s">
        <v>8</v>
      </c>
      <c r="J336" s="577" t="s">
        <v>53</v>
      </c>
      <c r="K336" s="439" t="s">
        <v>363</v>
      </c>
      <c r="L336" s="578">
        <f>SUMIFS('Airport Statistics'!$G:$G,'Airport Statistics'!$D:$D,G336,'Airport Statistics'!$F:$F,K336)</f>
        <v>0</v>
      </c>
      <c r="M336" s="579">
        <f ca="1">SUMIFS('Water Use Calcs'!$V:$V,'Water Use Calcs'!$D:$D,'End Uses'!D336,'Water Use Calcs'!$G:$G,'End Uses'!G336,'Water Use Calcs'!$I:$I,'End Uses'!I336,'Water Use Calcs'!$J:$J,'End Uses'!J336)</f>
        <v>0</v>
      </c>
      <c r="N336" s="580">
        <f t="shared" ca="1" si="2"/>
        <v>0</v>
      </c>
      <c r="O336" s="581" t="str">
        <f ca="1">IFERROR(N336/R333,"-")</f>
        <v>-</v>
      </c>
      <c r="P336" s="582"/>
      <c r="Q336" s="548"/>
      <c r="R336" s="584"/>
      <c r="S336" s="585">
        <f ca="1">SUMIFS('Water Use Calcs'!$W:$W,'Water Use Calcs'!$D:$D,'End Uses'!D336,'Water Use Calcs'!$G:$G,'End Uses'!G336,'Water Use Calcs'!$I:$I,'End Uses'!I336,'Water Use Calcs'!$J:$J,'End Uses'!J336)</f>
        <v>0</v>
      </c>
      <c r="T336" s="580">
        <f t="shared" ca="1" si="29"/>
        <v>0</v>
      </c>
      <c r="U336" s="581" t="str">
        <f ca="1">IFERROR(T336/X333,"-")</f>
        <v>-</v>
      </c>
      <c r="V336" s="582"/>
      <c r="W336" s="548"/>
      <c r="X336" s="584"/>
    </row>
    <row r="337" spans="3:24" s="45" customFormat="1" ht="13.2" customHeight="1" thickBot="1" x14ac:dyDescent="0.35">
      <c r="C337" s="576"/>
      <c r="D337" s="493" t="s">
        <v>417</v>
      </c>
      <c r="E337" s="501"/>
      <c r="F337" s="116"/>
      <c r="G337" s="493" t="s">
        <v>417</v>
      </c>
      <c r="H337" s="116"/>
      <c r="I337" s="451" t="s">
        <v>8</v>
      </c>
      <c r="J337" s="116" t="s">
        <v>54</v>
      </c>
      <c r="K337" s="606" t="s">
        <v>364</v>
      </c>
      <c r="L337" s="607">
        <f>SUMIFS('Airport Statistics'!$G:$G,'Airport Statistics'!$D:$D,G337,'Airport Statistics'!$F:$F,K337)</f>
        <v>0</v>
      </c>
      <c r="M337" s="608">
        <f ca="1">SUMIFS('Water Use Calcs'!$V:$V,'Water Use Calcs'!$D:$D,'End Uses'!D337,'Water Use Calcs'!$G:$G,'End Uses'!G337,'Water Use Calcs'!$I:$I,'End Uses'!I337,'Water Use Calcs'!$J:$J,'End Uses'!J337)</f>
        <v>0</v>
      </c>
      <c r="N337" s="609">
        <f t="shared" ca="1" si="2"/>
        <v>0</v>
      </c>
      <c r="O337" s="616" t="str">
        <f ca="1">IFERROR(N337/R333,"-")</f>
        <v>-</v>
      </c>
      <c r="P337" s="637"/>
      <c r="Q337" s="551"/>
      <c r="R337" s="613"/>
      <c r="S337" s="614">
        <f ca="1">SUMIFS('Water Use Calcs'!$W:$W,'Water Use Calcs'!$D:$D,'End Uses'!D337,'Water Use Calcs'!$G:$G,'End Uses'!G337,'Water Use Calcs'!$I:$I,'End Uses'!I337,'Water Use Calcs'!$J:$J,'End Uses'!J337)</f>
        <v>0</v>
      </c>
      <c r="T337" s="609">
        <f t="shared" ca="1" si="29"/>
        <v>0</v>
      </c>
      <c r="U337" s="616" t="str">
        <f ca="1">IFERROR(T337/X333,"-")</f>
        <v>-</v>
      </c>
      <c r="V337" s="637"/>
      <c r="W337" s="551"/>
      <c r="X337" s="613"/>
    </row>
    <row r="338" spans="3:24" s="45" customFormat="1" ht="13.2" customHeight="1" x14ac:dyDescent="0.3">
      <c r="C338" s="564" t="str">
        <f>D338</f>
        <v>Maintenance &amp; Services</v>
      </c>
      <c r="D338" s="566" t="s">
        <v>419</v>
      </c>
      <c r="E338" s="617" t="str">
        <f>G338</f>
        <v>Maintenance &amp; Services</v>
      </c>
      <c r="F338" s="565" t="str">
        <f>VLOOKUP(E338,'Airport Mapping'!$C$5:$D$39,2,FALSE)</f>
        <v xml:space="preserve"> </v>
      </c>
      <c r="G338" s="566" t="s">
        <v>419</v>
      </c>
      <c r="H338" s="564" t="str">
        <f>I338</f>
        <v>Restrooms</v>
      </c>
      <c r="I338" s="454" t="s">
        <v>37</v>
      </c>
      <c r="J338" s="567" t="s">
        <v>2</v>
      </c>
      <c r="K338" s="620" t="s">
        <v>6</v>
      </c>
      <c r="L338" s="568">
        <f>SUMIFS('Airport Statistics'!$G:$G,'Airport Statistics'!$D:$D,G338,'Airport Statistics'!$F:$F,K338)</f>
        <v>0</v>
      </c>
      <c r="M338" s="569">
        <f ca="1">SUMIFS('Water Use Calcs'!$V:$V,'Water Use Calcs'!$D:$D,'End Uses'!D338,'Water Use Calcs'!$G:$G,'End Uses'!G338,'Water Use Calcs'!$I:$I,'End Uses'!I338,'Water Use Calcs'!$J:$J,'End Uses'!J338)</f>
        <v>0</v>
      </c>
      <c r="N338" s="570">
        <f t="shared" ca="1" si="2"/>
        <v>0</v>
      </c>
      <c r="O338" s="571" t="str">
        <f ca="1">IFERROR(N338/R338,"-")</f>
        <v>-</v>
      </c>
      <c r="P338" s="572">
        <f ca="1">SUMIFS($N:$N,$G:$G,G338,$I:$I,H338)</f>
        <v>0</v>
      </c>
      <c r="Q338" s="546" t="str">
        <f ca="1">IFERROR(P338/R338,"-")</f>
        <v>-</v>
      </c>
      <c r="R338" s="573">
        <f ca="1">SUMIFS($N:$N,$G:$G,G338)</f>
        <v>0</v>
      </c>
      <c r="S338" s="574">
        <f ca="1">SUMIFS('Water Use Calcs'!$W:$W,'Water Use Calcs'!$D:$D,'End Uses'!D338,'Water Use Calcs'!$G:$G,'End Uses'!G338,'Water Use Calcs'!$I:$I,'End Uses'!I338,'Water Use Calcs'!$J:$J,'End Uses'!J338)</f>
        <v>0</v>
      </c>
      <c r="T338" s="570">
        <f t="shared" ca="1" si="29"/>
        <v>0</v>
      </c>
      <c r="U338" s="571" t="str">
        <f ca="1">IFERROR(T338/X338,"-")</f>
        <v>-</v>
      </c>
      <c r="V338" s="572">
        <f ca="1">SUMIFS($T:$T,$G:$G,G338,$I:$I,H338)</f>
        <v>0</v>
      </c>
      <c r="W338" s="546" t="str">
        <f ca="1">IFERROR(V338/X338,"-")</f>
        <v>-</v>
      </c>
      <c r="X338" s="573">
        <f ca="1">SUMIFS($T:$T,$G:$G,G338)</f>
        <v>0</v>
      </c>
    </row>
    <row r="339" spans="3:24" s="45" customFormat="1" ht="13.2" customHeight="1" x14ac:dyDescent="0.3">
      <c r="C339" s="576"/>
      <c r="D339" s="494" t="s">
        <v>419</v>
      </c>
      <c r="E339" s="494"/>
      <c r="F339" s="577"/>
      <c r="G339" s="494" t="s">
        <v>419</v>
      </c>
      <c r="H339" s="577"/>
      <c r="I339" s="450" t="s">
        <v>37</v>
      </c>
      <c r="J339" s="577" t="s">
        <v>4</v>
      </c>
      <c r="K339" s="598" t="s">
        <v>6</v>
      </c>
      <c r="L339" s="578">
        <f>SUMIFS('Airport Statistics'!$G:$G,'Airport Statistics'!$D:$D,G339,'Airport Statistics'!$F:$F,K339)</f>
        <v>0</v>
      </c>
      <c r="M339" s="579">
        <f ca="1">SUMIFS('Water Use Calcs'!$V:$V,'Water Use Calcs'!$D:$D,'End Uses'!D339,'Water Use Calcs'!$G:$G,'End Uses'!G339,'Water Use Calcs'!$I:$I,'End Uses'!I339,'Water Use Calcs'!$J:$J,'End Uses'!J339)</f>
        <v>0</v>
      </c>
      <c r="N339" s="580">
        <f t="shared" ref="N339:N342" ca="1" si="33">L339*M339</f>
        <v>0</v>
      </c>
      <c r="O339" s="581" t="str">
        <f ca="1">IFERROR(N339/R338,"-")</f>
        <v>-</v>
      </c>
      <c r="P339" s="582"/>
      <c r="Q339" s="583"/>
      <c r="R339" s="584"/>
      <c r="S339" s="585">
        <f ca="1">SUMIFS('Water Use Calcs'!$W:$W,'Water Use Calcs'!$D:$D,'End Uses'!D339,'Water Use Calcs'!$G:$G,'End Uses'!G339,'Water Use Calcs'!$I:$I,'End Uses'!I339,'Water Use Calcs'!$J:$J,'End Uses'!J339)</f>
        <v>0</v>
      </c>
      <c r="T339" s="580">
        <f t="shared" ca="1" si="29"/>
        <v>0</v>
      </c>
      <c r="U339" s="581" t="str">
        <f ca="1">IFERROR(T339/X338,"-")</f>
        <v>-</v>
      </c>
      <c r="V339" s="582"/>
      <c r="W339" s="583"/>
      <c r="X339" s="584"/>
    </row>
    <row r="340" spans="3:24" s="45" customFormat="1" ht="13.2" customHeight="1" x14ac:dyDescent="0.3">
      <c r="C340" s="576"/>
      <c r="D340" s="494" t="s">
        <v>419</v>
      </c>
      <c r="E340" s="494"/>
      <c r="F340" s="577"/>
      <c r="G340" s="494" t="s">
        <v>419</v>
      </c>
      <c r="H340" s="577"/>
      <c r="I340" s="450" t="s">
        <v>37</v>
      </c>
      <c r="J340" s="577" t="s">
        <v>33</v>
      </c>
      <c r="K340" s="598" t="s">
        <v>6</v>
      </c>
      <c r="L340" s="578">
        <f>SUMIFS('Airport Statistics'!$G:$G,'Airport Statistics'!$D:$D,G340,'Airport Statistics'!$F:$F,K340)</f>
        <v>0</v>
      </c>
      <c r="M340" s="579">
        <f ca="1">SUMIFS('Water Use Calcs'!$V:$V,'Water Use Calcs'!$D:$D,'End Uses'!D340,'Water Use Calcs'!$G:$G,'End Uses'!G340,'Water Use Calcs'!$I:$I,'End Uses'!I340,'Water Use Calcs'!$J:$J,'End Uses'!J340)</f>
        <v>0</v>
      </c>
      <c r="N340" s="580">
        <f t="shared" ca="1" si="33"/>
        <v>0</v>
      </c>
      <c r="O340" s="581" t="str">
        <f ca="1">IFERROR(N340/R338,"-")</f>
        <v>-</v>
      </c>
      <c r="P340" s="582"/>
      <c r="Q340" s="583"/>
      <c r="R340" s="584"/>
      <c r="S340" s="585">
        <f ca="1">SUMIFS('Water Use Calcs'!$W:$W,'Water Use Calcs'!$D:$D,'End Uses'!D340,'Water Use Calcs'!$G:$G,'End Uses'!G340,'Water Use Calcs'!$I:$I,'End Uses'!I340,'Water Use Calcs'!$J:$J,'End Uses'!J340)</f>
        <v>0</v>
      </c>
      <c r="T340" s="580">
        <f t="shared" ca="1" si="29"/>
        <v>0</v>
      </c>
      <c r="U340" s="581" t="str">
        <f ca="1">IFERROR(T340/X338,"-")</f>
        <v>-</v>
      </c>
      <c r="V340" s="582"/>
      <c r="W340" s="583"/>
      <c r="X340" s="584"/>
    </row>
    <row r="341" spans="3:24" s="45" customFormat="1" ht="13.2" customHeight="1" x14ac:dyDescent="0.3">
      <c r="C341" s="576"/>
      <c r="D341" s="494" t="s">
        <v>419</v>
      </c>
      <c r="E341" s="494"/>
      <c r="F341" s="577"/>
      <c r="G341" s="494" t="s">
        <v>419</v>
      </c>
      <c r="H341" s="622" t="str">
        <f>I341</f>
        <v>Break rooms</v>
      </c>
      <c r="I341" s="623" t="s">
        <v>5</v>
      </c>
      <c r="J341" s="624" t="s">
        <v>33</v>
      </c>
      <c r="K341" s="625" t="s">
        <v>6</v>
      </c>
      <c r="L341" s="496">
        <f>SUMIFS('Airport Statistics'!$G:$G,'Airport Statistics'!$D:$D,G341,'Airport Statistics'!$F:$F,K341)</f>
        <v>0</v>
      </c>
      <c r="M341" s="626">
        <f ca="1">SUMIFS('Water Use Calcs'!$V:$V,'Water Use Calcs'!$D:$D,'End Uses'!D341,'Water Use Calcs'!$G:$G,'End Uses'!G341,'Water Use Calcs'!$I:$I,'End Uses'!I341,'Water Use Calcs'!$J:$J,'End Uses'!J341)</f>
        <v>0</v>
      </c>
      <c r="N341" s="627">
        <f t="shared" ca="1" si="33"/>
        <v>0</v>
      </c>
      <c r="O341" s="628" t="str">
        <f ca="1">IFERROR(N341/R338,"-")</f>
        <v>-</v>
      </c>
      <c r="P341" s="629">
        <f ca="1">SUMIFS($N:$N,$G:$G,G341,$I:$I,H341)</f>
        <v>0</v>
      </c>
      <c r="Q341" s="291" t="str">
        <f ca="1">IFERROR(P341/R338,"-")</f>
        <v>-</v>
      </c>
      <c r="R341" s="584"/>
      <c r="S341" s="630">
        <f ca="1">SUMIFS('Water Use Calcs'!$W:$W,'Water Use Calcs'!$D:$D,'End Uses'!D341,'Water Use Calcs'!$G:$G,'End Uses'!G341,'Water Use Calcs'!$I:$I,'End Uses'!I341,'Water Use Calcs'!$J:$J,'End Uses'!J341)</f>
        <v>0</v>
      </c>
      <c r="T341" s="627">
        <f t="shared" ca="1" si="29"/>
        <v>0</v>
      </c>
      <c r="U341" s="628" t="str">
        <f ca="1">IFERROR(T341/X338,"-")</f>
        <v>-</v>
      </c>
      <c r="V341" s="629">
        <f ca="1">SUMIFS($T:$T,$G:$G,G341,$I:$I,H341)</f>
        <v>0</v>
      </c>
      <c r="W341" s="291" t="str">
        <f ca="1">IFERROR(V341/X338,"-")</f>
        <v>-</v>
      </c>
      <c r="X341" s="584"/>
    </row>
    <row r="342" spans="3:24" s="45" customFormat="1" ht="13.2" customHeight="1" x14ac:dyDescent="0.3">
      <c r="C342" s="576"/>
      <c r="D342" s="494" t="s">
        <v>419</v>
      </c>
      <c r="E342" s="494"/>
      <c r="F342" s="577"/>
      <c r="G342" s="494" t="s">
        <v>419</v>
      </c>
      <c r="H342" s="588" t="str">
        <f>I342</f>
        <v>Maintenance</v>
      </c>
      <c r="I342" s="455" t="s">
        <v>43</v>
      </c>
      <c r="J342" s="589" t="s">
        <v>426</v>
      </c>
      <c r="K342" s="19" t="s">
        <v>121</v>
      </c>
      <c r="L342" s="591">
        <f>SUMIFS('Airport Statistics'!$G:$G,'Airport Statistics'!$D:$D,G342,'Airport Statistics'!$F:$F,K342)</f>
        <v>0</v>
      </c>
      <c r="M342" s="592">
        <f ca="1">SUMIFS('Water Use Calcs'!$V:$V,'Water Use Calcs'!$D:$D,'End Uses'!D342,'Water Use Calcs'!$G:$G,'End Uses'!G342,'Water Use Calcs'!$I:$I,'End Uses'!I342,'Water Use Calcs'!$J:$J,'End Uses'!J342)</f>
        <v>0</v>
      </c>
      <c r="N342" s="593">
        <f t="shared" ca="1" si="33"/>
        <v>0</v>
      </c>
      <c r="O342" s="594" t="str">
        <f ca="1">IFERROR(N342/R338,"-")</f>
        <v>-</v>
      </c>
      <c r="P342" s="595">
        <f ca="1">SUMIFS($N:$N,$G:$G,G342,$I:$I,H342)</f>
        <v>0</v>
      </c>
      <c r="Q342" s="547" t="str">
        <f ca="1">IFERROR(P342/R338,"-")</f>
        <v>-</v>
      </c>
      <c r="R342" s="652"/>
      <c r="S342" s="596">
        <f ca="1">SUMIFS('Water Use Calcs'!$W:$W,'Water Use Calcs'!$D:$D,'End Uses'!D342,'Water Use Calcs'!$G:$G,'End Uses'!G342,'Water Use Calcs'!$I:$I,'End Uses'!I342,'Water Use Calcs'!$J:$J,'End Uses'!J342)</f>
        <v>0</v>
      </c>
      <c r="T342" s="593">
        <f t="shared" ca="1" si="29"/>
        <v>0</v>
      </c>
      <c r="U342" s="594" t="str">
        <f ca="1">IFERROR(T342/X338,"-")</f>
        <v>-</v>
      </c>
      <c r="V342" s="595">
        <f ca="1">SUMIFS($T:$T,$G:$G,G342,$I:$I,H342)</f>
        <v>0</v>
      </c>
      <c r="W342" s="547" t="str">
        <f ca="1">IFERROR(V342/X338,"-")</f>
        <v>-</v>
      </c>
      <c r="X342" s="652"/>
    </row>
    <row r="343" spans="3:24" x14ac:dyDescent="0.3">
      <c r="C343" s="576"/>
      <c r="D343" s="494" t="s">
        <v>419</v>
      </c>
      <c r="E343" s="494"/>
      <c r="F343" s="577"/>
      <c r="G343" s="494" t="s">
        <v>419</v>
      </c>
      <c r="H343" s="577"/>
      <c r="I343" s="450" t="s">
        <v>43</v>
      </c>
      <c r="J343" s="577" t="s">
        <v>23</v>
      </c>
      <c r="K343" s="635" t="s">
        <v>121</v>
      </c>
      <c r="L343" s="578">
        <f>SUMIFS('Airport Statistics'!$G:$G,'Airport Statistics'!$D:$D,G343,'Airport Statistics'!$F:$F,K343)</f>
        <v>0</v>
      </c>
      <c r="M343" s="579">
        <f>SUMIFS('Water Use Calcs'!$V:$V,'Water Use Calcs'!$D:$D,'End Uses'!D343,'Water Use Calcs'!$G:$G,'End Uses'!G343,'Water Use Calcs'!$I:$I,'End Uses'!I343,'Water Use Calcs'!$J:$J,'End Uses'!J343)</f>
        <v>0</v>
      </c>
      <c r="N343" s="580">
        <f t="shared" si="2"/>
        <v>0</v>
      </c>
      <c r="O343" s="581" t="str">
        <f ca="1">IFERROR(N343/R338,"-")</f>
        <v>-</v>
      </c>
      <c r="P343" s="582"/>
      <c r="Q343" s="548"/>
      <c r="R343" s="584"/>
      <c r="S343" s="585">
        <f>SUMIFS('Water Use Calcs'!$W:$W,'Water Use Calcs'!$D:$D,'End Uses'!D343,'Water Use Calcs'!$G:$G,'End Uses'!G343,'Water Use Calcs'!$I:$I,'End Uses'!I343,'Water Use Calcs'!$J:$J,'End Uses'!J343)</f>
        <v>0</v>
      </c>
      <c r="T343" s="580">
        <f t="shared" si="29"/>
        <v>0</v>
      </c>
      <c r="U343" s="581" t="str">
        <f ca="1">IFERROR(T343/X338,"-")</f>
        <v>-</v>
      </c>
      <c r="V343" s="582"/>
      <c r="W343" s="548"/>
      <c r="X343" s="584"/>
    </row>
    <row r="344" spans="3:24" x14ac:dyDescent="0.3">
      <c r="C344" s="576"/>
      <c r="D344" s="494" t="s">
        <v>419</v>
      </c>
      <c r="E344" s="494"/>
      <c r="F344" s="577"/>
      <c r="G344" s="494" t="s">
        <v>419</v>
      </c>
      <c r="H344" s="577"/>
      <c r="I344" s="450" t="s">
        <v>43</v>
      </c>
      <c r="J344" s="577" t="s">
        <v>24</v>
      </c>
      <c r="K344" s="635" t="s">
        <v>121</v>
      </c>
      <c r="L344" s="578">
        <f>SUMIFS('Airport Statistics'!$G:$G,'Airport Statistics'!$D:$D,G344,'Airport Statistics'!$F:$F,K344)</f>
        <v>0</v>
      </c>
      <c r="M344" s="579">
        <f ca="1">SUMIFS('Water Use Calcs'!$V:$V,'Water Use Calcs'!$D:$D,'End Uses'!D344,'Water Use Calcs'!$G:$G,'End Uses'!G344,'Water Use Calcs'!$I:$I,'End Uses'!I344,'Water Use Calcs'!$J:$J,'End Uses'!J344)</f>
        <v>0</v>
      </c>
      <c r="N344" s="580">
        <f t="shared" ref="N344:N365" ca="1" si="34">L344*M344</f>
        <v>0</v>
      </c>
      <c r="O344" s="581" t="str">
        <f ca="1">IFERROR(N344/R338,"-")</f>
        <v>-</v>
      </c>
      <c r="P344" s="404"/>
      <c r="Q344" s="548"/>
      <c r="R344" s="584"/>
      <c r="S344" s="585">
        <f ca="1">SUMIFS('Water Use Calcs'!$W:$W,'Water Use Calcs'!$D:$D,'End Uses'!D344,'Water Use Calcs'!$G:$G,'End Uses'!G344,'Water Use Calcs'!$I:$I,'End Uses'!I344,'Water Use Calcs'!$J:$J,'End Uses'!J344)</f>
        <v>0</v>
      </c>
      <c r="T344" s="580">
        <f t="shared" ca="1" si="29"/>
        <v>0</v>
      </c>
      <c r="U344" s="581" t="str">
        <f ca="1">IFERROR(T344/X338,"-")</f>
        <v>-</v>
      </c>
      <c r="V344" s="404"/>
      <c r="W344" s="548"/>
      <c r="X344" s="584"/>
    </row>
    <row r="345" spans="3:24" x14ac:dyDescent="0.3">
      <c r="C345" s="576"/>
      <c r="D345" s="494" t="s">
        <v>419</v>
      </c>
      <c r="E345" s="494"/>
      <c r="F345" s="577"/>
      <c r="G345" s="494" t="s">
        <v>419</v>
      </c>
      <c r="H345" s="577"/>
      <c r="I345" s="450" t="s">
        <v>43</v>
      </c>
      <c r="J345" s="577" t="s">
        <v>25</v>
      </c>
      <c r="K345" s="635" t="s">
        <v>121</v>
      </c>
      <c r="L345" s="578">
        <f>SUMIFS('Airport Statistics'!$G:$G,'Airport Statistics'!$D:$D,G345,'Airport Statistics'!$F:$F,K345)</f>
        <v>0</v>
      </c>
      <c r="M345" s="579">
        <f ca="1">SUMIFS('Water Use Calcs'!$V:$V,'Water Use Calcs'!$D:$D,'End Uses'!D345,'Water Use Calcs'!$G:$G,'End Uses'!G345,'Water Use Calcs'!$I:$I,'End Uses'!I345,'Water Use Calcs'!$J:$J,'End Uses'!J345)</f>
        <v>0</v>
      </c>
      <c r="N345" s="580">
        <f t="shared" ca="1" si="34"/>
        <v>0</v>
      </c>
      <c r="O345" s="581" t="str">
        <f ca="1">IFERROR(N345/R338,"-")</f>
        <v>-</v>
      </c>
      <c r="P345" s="582"/>
      <c r="Q345" s="548"/>
      <c r="R345" s="584"/>
      <c r="S345" s="585">
        <f ca="1">SUMIFS('Water Use Calcs'!$W:$W,'Water Use Calcs'!$D:$D,'End Uses'!D345,'Water Use Calcs'!$G:$G,'End Uses'!G345,'Water Use Calcs'!$I:$I,'End Uses'!I345,'Water Use Calcs'!$J:$J,'End Uses'!J345)</f>
        <v>0</v>
      </c>
      <c r="T345" s="580">
        <f t="shared" ca="1" si="29"/>
        <v>0</v>
      </c>
      <c r="U345" s="581" t="str">
        <f ca="1">IFERROR(T345/X338,"-")</f>
        <v>-</v>
      </c>
      <c r="V345" s="582"/>
      <c r="W345" s="548"/>
      <c r="X345" s="584"/>
    </row>
    <row r="346" spans="3:24" x14ac:dyDescent="0.3">
      <c r="C346" s="576"/>
      <c r="D346" s="494" t="s">
        <v>419</v>
      </c>
      <c r="E346" s="494"/>
      <c r="F346" s="577"/>
      <c r="G346" s="494" t="s">
        <v>419</v>
      </c>
      <c r="H346" s="577"/>
      <c r="I346" s="450" t="s">
        <v>43</v>
      </c>
      <c r="J346" s="577" t="s">
        <v>26</v>
      </c>
      <c r="K346" s="635" t="s">
        <v>121</v>
      </c>
      <c r="L346" s="578">
        <f>SUMIFS('Airport Statistics'!$G:$G,'Airport Statistics'!$D:$D,G346,'Airport Statistics'!$F:$F,K346)</f>
        <v>0</v>
      </c>
      <c r="M346" s="579">
        <f ca="1">SUMIFS('Water Use Calcs'!$V:$V,'Water Use Calcs'!$D:$D,'End Uses'!D346,'Water Use Calcs'!$G:$G,'End Uses'!G346,'Water Use Calcs'!$I:$I,'End Uses'!I346,'Water Use Calcs'!$J:$J,'End Uses'!J346)</f>
        <v>0</v>
      </c>
      <c r="N346" s="580">
        <f t="shared" ca="1" si="34"/>
        <v>0</v>
      </c>
      <c r="O346" s="581" t="str">
        <f ca="1">IFERROR(N346/R338,"-")</f>
        <v>-</v>
      </c>
      <c r="P346" s="404"/>
      <c r="Q346" s="548"/>
      <c r="R346" s="584"/>
      <c r="S346" s="585">
        <f ca="1">SUMIFS('Water Use Calcs'!$W:$W,'Water Use Calcs'!$D:$D,'End Uses'!D346,'Water Use Calcs'!$G:$G,'End Uses'!G346,'Water Use Calcs'!$I:$I,'End Uses'!I346,'Water Use Calcs'!$J:$J,'End Uses'!J346)</f>
        <v>0</v>
      </c>
      <c r="T346" s="580">
        <f t="shared" ca="1" si="29"/>
        <v>0</v>
      </c>
      <c r="U346" s="581" t="str">
        <f ca="1">IFERROR(T346/X338,"-")</f>
        <v>-</v>
      </c>
      <c r="V346" s="404"/>
      <c r="W346" s="548"/>
      <c r="X346" s="584"/>
    </row>
    <row r="347" spans="3:24" x14ac:dyDescent="0.3">
      <c r="C347" s="576"/>
      <c r="D347" s="494" t="s">
        <v>419</v>
      </c>
      <c r="E347" s="494"/>
      <c r="F347" s="577"/>
      <c r="G347" s="494" t="s">
        <v>419</v>
      </c>
      <c r="H347" s="622" t="str">
        <f>I347</f>
        <v>Aircraft</v>
      </c>
      <c r="I347" s="653" t="s">
        <v>44</v>
      </c>
      <c r="J347" s="624" t="s">
        <v>29</v>
      </c>
      <c r="K347" s="654" t="s">
        <v>121</v>
      </c>
      <c r="L347" s="496">
        <f>SUMIFS('Airport Statistics'!$G:$G,'Airport Statistics'!$D:$D,G347,'Airport Statistics'!$F:$F,K347)</f>
        <v>0</v>
      </c>
      <c r="M347" s="626">
        <f ca="1">SUMIFS('Water Use Calcs'!$V:$V,'Water Use Calcs'!$D:$D,'End Uses'!D347,'Water Use Calcs'!$G:$G,'End Uses'!G347,'Water Use Calcs'!$I:$I,'End Uses'!I347,'Water Use Calcs'!$J:$J,'End Uses'!J347)</f>
        <v>0</v>
      </c>
      <c r="N347" s="627">
        <f t="shared" ref="N347" ca="1" si="35">L347*M347</f>
        <v>0</v>
      </c>
      <c r="O347" s="628" t="str">
        <f ca="1">IFERROR(N347/R338,"-")</f>
        <v>-</v>
      </c>
      <c r="P347" s="629">
        <f ca="1">SUMIFS($N:$N,$G:$G,G347,$I:$I,H347)</f>
        <v>0</v>
      </c>
      <c r="Q347" s="291" t="str">
        <f ca="1">IFERROR(P347/R338,"-")</f>
        <v>-</v>
      </c>
      <c r="R347" s="584"/>
      <c r="S347" s="630">
        <f ca="1">SUMIFS('Water Use Calcs'!$W:$W,'Water Use Calcs'!$D:$D,'End Uses'!D347,'Water Use Calcs'!$G:$G,'End Uses'!G347,'Water Use Calcs'!$I:$I,'End Uses'!I347,'Water Use Calcs'!$J:$J,'End Uses'!J347)</f>
        <v>0</v>
      </c>
      <c r="T347" s="627">
        <f t="shared" ref="T347" ca="1" si="36">L347*S347</f>
        <v>0</v>
      </c>
      <c r="U347" s="628" t="str">
        <f ca="1">IFERROR(T347/X338,"-")</f>
        <v>-</v>
      </c>
      <c r="V347" s="629">
        <f ca="1">SUMIFS($T:$T,$G:$G,G347,$I:$I,H347)</f>
        <v>0</v>
      </c>
      <c r="W347" s="291" t="str">
        <f ca="1">IFERROR(V347/X338,"-")</f>
        <v>-</v>
      </c>
      <c r="X347" s="584"/>
    </row>
    <row r="348" spans="3:24" s="45" customFormat="1" ht="13.2" customHeight="1" x14ac:dyDescent="0.3">
      <c r="C348" s="576"/>
      <c r="D348" s="494" t="s">
        <v>419</v>
      </c>
      <c r="E348" s="494"/>
      <c r="F348" s="577"/>
      <c r="G348" s="494" t="s">
        <v>419</v>
      </c>
      <c r="H348" s="588" t="str">
        <f>I348</f>
        <v>Other</v>
      </c>
      <c r="I348" s="455" t="s">
        <v>8</v>
      </c>
      <c r="J348" s="589" t="s">
        <v>52</v>
      </c>
      <c r="K348" s="602" t="s">
        <v>362</v>
      </c>
      <c r="L348" s="591">
        <f>SUMIFS('Airport Statistics'!$G:$G,'Airport Statistics'!$D:$D,G348,'Airport Statistics'!$F:$F,K348)</f>
        <v>0</v>
      </c>
      <c r="M348" s="592">
        <f ca="1">SUMIFS('Water Use Calcs'!$V:$V,'Water Use Calcs'!$D:$D,'End Uses'!D348,'Water Use Calcs'!$G:$G,'End Uses'!G348,'Water Use Calcs'!$I:$I,'End Uses'!I348,'Water Use Calcs'!$J:$J,'End Uses'!J348)</f>
        <v>0</v>
      </c>
      <c r="N348" s="593">
        <f t="shared" ca="1" si="34"/>
        <v>0</v>
      </c>
      <c r="O348" s="594" t="str">
        <f ca="1">IFERROR(N348/R338,"-")</f>
        <v>-</v>
      </c>
      <c r="P348" s="595">
        <f ca="1">SUMIFS($N:$N,$G:$G,G348,$I:$I,H348)</f>
        <v>0</v>
      </c>
      <c r="Q348" s="547" t="str">
        <f ca="1">IFERROR(P348/R338,"-")</f>
        <v>-</v>
      </c>
      <c r="R348" s="584"/>
      <c r="S348" s="596">
        <f ca="1">SUMIFS('Water Use Calcs'!$W:$W,'Water Use Calcs'!$D:$D,'End Uses'!D348,'Water Use Calcs'!$G:$G,'End Uses'!G348,'Water Use Calcs'!$I:$I,'End Uses'!I348,'Water Use Calcs'!$J:$J,'End Uses'!J348)</f>
        <v>0</v>
      </c>
      <c r="T348" s="593">
        <f t="shared" ca="1" si="29"/>
        <v>0</v>
      </c>
      <c r="U348" s="594" t="str">
        <f ca="1">IFERROR(T348/X338,"-")</f>
        <v>-</v>
      </c>
      <c r="V348" s="595">
        <f ca="1">SUMIFS($T:$T,$G:$G,G348,$I:$I,H348)</f>
        <v>0</v>
      </c>
      <c r="W348" s="547" t="str">
        <f ca="1">IFERROR(V348/X338,"-")</f>
        <v>-</v>
      </c>
      <c r="X348" s="584"/>
    </row>
    <row r="349" spans="3:24" s="45" customFormat="1" ht="13.2" customHeight="1" x14ac:dyDescent="0.3">
      <c r="C349" s="576"/>
      <c r="D349" s="494" t="s">
        <v>419</v>
      </c>
      <c r="E349" s="494"/>
      <c r="F349" s="577"/>
      <c r="G349" s="494" t="s">
        <v>419</v>
      </c>
      <c r="H349" s="577"/>
      <c r="I349" s="450" t="s">
        <v>8</v>
      </c>
      <c r="J349" s="577" t="s">
        <v>53</v>
      </c>
      <c r="K349" s="439" t="s">
        <v>363</v>
      </c>
      <c r="L349" s="578">
        <f>SUMIFS('Airport Statistics'!$G:$G,'Airport Statistics'!$D:$D,G349,'Airport Statistics'!$F:$F,K349)</f>
        <v>0</v>
      </c>
      <c r="M349" s="579">
        <f ca="1">SUMIFS('Water Use Calcs'!$V:$V,'Water Use Calcs'!$D:$D,'End Uses'!D349,'Water Use Calcs'!$G:$G,'End Uses'!G349,'Water Use Calcs'!$I:$I,'End Uses'!I349,'Water Use Calcs'!$J:$J,'End Uses'!J349)</f>
        <v>0</v>
      </c>
      <c r="N349" s="580">
        <f t="shared" ca="1" si="34"/>
        <v>0</v>
      </c>
      <c r="O349" s="581" t="str">
        <f ca="1">IFERROR(N349/R338,"-")</f>
        <v>-</v>
      </c>
      <c r="P349" s="404"/>
      <c r="Q349" s="552"/>
      <c r="R349" s="584"/>
      <c r="S349" s="585">
        <f ca="1">SUMIFS('Water Use Calcs'!$W:$W,'Water Use Calcs'!$D:$D,'End Uses'!D349,'Water Use Calcs'!$G:$G,'End Uses'!G349,'Water Use Calcs'!$I:$I,'End Uses'!I349,'Water Use Calcs'!$J:$J,'End Uses'!J349)</f>
        <v>0</v>
      </c>
      <c r="T349" s="580">
        <f t="shared" ca="1" si="29"/>
        <v>0</v>
      </c>
      <c r="U349" s="581" t="str">
        <f ca="1">IFERROR(T349/X338,"-")</f>
        <v>-</v>
      </c>
      <c r="V349" s="404"/>
      <c r="W349" s="552"/>
      <c r="X349" s="584"/>
    </row>
    <row r="350" spans="3:24" s="45" customFormat="1" ht="13.2" customHeight="1" thickBot="1" x14ac:dyDescent="0.35">
      <c r="C350" s="576"/>
      <c r="D350" s="494" t="s">
        <v>419</v>
      </c>
      <c r="E350" s="494"/>
      <c r="F350" s="577"/>
      <c r="G350" s="655" t="s">
        <v>419</v>
      </c>
      <c r="H350" s="116"/>
      <c r="I350" s="451" t="s">
        <v>8</v>
      </c>
      <c r="J350" s="116" t="s">
        <v>54</v>
      </c>
      <c r="K350" s="606" t="s">
        <v>364</v>
      </c>
      <c r="L350" s="607">
        <f>SUMIFS('Airport Statistics'!$G:$G,'Airport Statistics'!$D:$D,G350,'Airport Statistics'!$F:$F,K350)</f>
        <v>0</v>
      </c>
      <c r="M350" s="608">
        <f ca="1">SUMIFS('Water Use Calcs'!$V:$V,'Water Use Calcs'!$D:$D,'End Uses'!D350,'Water Use Calcs'!$G:$G,'End Uses'!G350,'Water Use Calcs'!$I:$I,'End Uses'!I350,'Water Use Calcs'!$J:$J,'End Uses'!J350)</f>
        <v>0</v>
      </c>
      <c r="N350" s="609">
        <f t="shared" ca="1" si="34"/>
        <v>0</v>
      </c>
      <c r="O350" s="616" t="str">
        <f ca="1">IFERROR(N350/R338,"-")</f>
        <v>-</v>
      </c>
      <c r="P350" s="611"/>
      <c r="Q350" s="550"/>
      <c r="R350" s="613"/>
      <c r="S350" s="614">
        <f ca="1">SUMIFS('Water Use Calcs'!$W:$W,'Water Use Calcs'!$D:$D,'End Uses'!D350,'Water Use Calcs'!$G:$G,'End Uses'!G350,'Water Use Calcs'!$I:$I,'End Uses'!I350,'Water Use Calcs'!$J:$J,'End Uses'!J350)</f>
        <v>0</v>
      </c>
      <c r="T350" s="609">
        <f t="shared" ca="1" si="29"/>
        <v>0</v>
      </c>
      <c r="U350" s="616" t="str">
        <f ca="1">IFERROR(T350/X338,"-")</f>
        <v>-</v>
      </c>
      <c r="V350" s="611"/>
      <c r="W350" s="550"/>
      <c r="X350" s="613"/>
    </row>
    <row r="351" spans="3:24" s="45" customFormat="1" ht="13.2" customHeight="1" x14ac:dyDescent="0.3">
      <c r="C351" s="564" t="s">
        <v>423</v>
      </c>
      <c r="D351" s="566" t="s">
        <v>471</v>
      </c>
      <c r="E351" s="656" t="str">
        <f>G351</f>
        <v>Tenant A</v>
      </c>
      <c r="F351" s="565" t="str">
        <f>VLOOKUP(E351,'Airport Mapping'!$C$5:$D$39,2,FALSE)</f>
        <v xml:space="preserve"> </v>
      </c>
      <c r="G351" s="494" t="s">
        <v>106</v>
      </c>
      <c r="H351" s="564" t="str">
        <f>I351</f>
        <v>Restrooms</v>
      </c>
      <c r="I351" s="454" t="s">
        <v>37</v>
      </c>
      <c r="J351" s="567" t="s">
        <v>2</v>
      </c>
      <c r="K351" s="620" t="s">
        <v>6</v>
      </c>
      <c r="L351" s="568">
        <f>SUMIFS('Airport Statistics'!$G:$G,'Airport Statistics'!$D:$D,G351,'Airport Statistics'!$F:$F,K351)</f>
        <v>0</v>
      </c>
      <c r="M351" s="569">
        <f ca="1">SUMIFS('Water Use Calcs'!$V:$V,'Water Use Calcs'!$D:$D,'End Uses'!D351,'Water Use Calcs'!$G:$G,'End Uses'!G351,'Water Use Calcs'!$I:$I,'End Uses'!I351,'Water Use Calcs'!$J:$J,'End Uses'!J351)</f>
        <v>0</v>
      </c>
      <c r="N351" s="570">
        <f t="shared" ca="1" si="34"/>
        <v>0</v>
      </c>
      <c r="O351" s="571" t="str">
        <f ca="1">IFERROR(N351/R351,"-")</f>
        <v>-</v>
      </c>
      <c r="P351" s="572">
        <f ca="1">SUMIFS($N:$N,$G:$G,G351,$I:$I,H351)</f>
        <v>0</v>
      </c>
      <c r="Q351" s="546" t="str">
        <f ca="1">IFERROR(P351/R351,"-")</f>
        <v>-</v>
      </c>
      <c r="R351" s="573">
        <f ca="1">SUMIFS($N:$N,$G:$G,G351)</f>
        <v>0</v>
      </c>
      <c r="S351" s="574">
        <f ca="1">SUMIFS('Water Use Calcs'!$W:$W,'Water Use Calcs'!$D:$D,'End Uses'!D351,'Water Use Calcs'!$G:$G,'End Uses'!G351,'Water Use Calcs'!$I:$I,'End Uses'!I351,'Water Use Calcs'!$J:$J,'End Uses'!J351)</f>
        <v>0</v>
      </c>
      <c r="T351" s="570">
        <f t="shared" ca="1" si="29"/>
        <v>0</v>
      </c>
      <c r="U351" s="571" t="str">
        <f ca="1">IFERROR(T351/X351,"-")</f>
        <v>-</v>
      </c>
      <c r="V351" s="572">
        <f ca="1">SUMIFS($T:$T,$G:$G,G351,$I:$I,H351)</f>
        <v>0</v>
      </c>
      <c r="W351" s="546" t="str">
        <f ca="1">IFERROR(V351/X351,"-")</f>
        <v>-</v>
      </c>
      <c r="X351" s="573">
        <f ca="1">SUMIFS($T:$T,$G:$G,G351)</f>
        <v>0</v>
      </c>
    </row>
    <row r="352" spans="3:24" x14ac:dyDescent="0.3">
      <c r="C352" s="576"/>
      <c r="D352" s="494" t="s">
        <v>471</v>
      </c>
      <c r="E352" s="657"/>
      <c r="F352" s="577"/>
      <c r="G352" s="494" t="s">
        <v>106</v>
      </c>
      <c r="H352" s="577"/>
      <c r="I352" s="450" t="s">
        <v>37</v>
      </c>
      <c r="J352" s="577" t="s">
        <v>4</v>
      </c>
      <c r="K352" s="598" t="s">
        <v>6</v>
      </c>
      <c r="L352" s="578">
        <f>SUMIFS('Airport Statistics'!$G:$G,'Airport Statistics'!$D:$D,G352,'Airport Statistics'!$F:$F,K352)</f>
        <v>0</v>
      </c>
      <c r="M352" s="579">
        <f ca="1">SUMIFS('Water Use Calcs'!$V:$V,'Water Use Calcs'!$D:$D,'End Uses'!D352,'Water Use Calcs'!$G:$G,'End Uses'!G352,'Water Use Calcs'!$I:$I,'End Uses'!I352,'Water Use Calcs'!$J:$J,'End Uses'!J352)</f>
        <v>0</v>
      </c>
      <c r="N352" s="580">
        <f t="shared" ca="1" si="34"/>
        <v>0</v>
      </c>
      <c r="O352" s="581" t="str">
        <f ca="1">IFERROR(N352/R351,"-")</f>
        <v>-</v>
      </c>
      <c r="P352" s="582"/>
      <c r="Q352" s="583"/>
      <c r="R352" s="584"/>
      <c r="S352" s="585">
        <f ca="1">SUMIFS('Water Use Calcs'!$W:$W,'Water Use Calcs'!$D:$D,'End Uses'!D352,'Water Use Calcs'!$G:$G,'End Uses'!G352,'Water Use Calcs'!$I:$I,'End Uses'!I352,'Water Use Calcs'!$J:$J,'End Uses'!J352)</f>
        <v>0</v>
      </c>
      <c r="T352" s="580">
        <f t="shared" ca="1" si="29"/>
        <v>0</v>
      </c>
      <c r="U352" s="581" t="str">
        <f ca="1">IFERROR(T352/X351,"-")</f>
        <v>-</v>
      </c>
      <c r="V352" s="582"/>
      <c r="W352" s="583"/>
      <c r="X352" s="584"/>
    </row>
    <row r="353" spans="3:24" x14ac:dyDescent="0.3">
      <c r="C353" s="576"/>
      <c r="D353" s="494" t="s">
        <v>471</v>
      </c>
      <c r="E353" s="657"/>
      <c r="F353" s="577"/>
      <c r="G353" s="494" t="s">
        <v>106</v>
      </c>
      <c r="H353" s="577"/>
      <c r="I353" s="450" t="s">
        <v>37</v>
      </c>
      <c r="J353" s="577" t="s">
        <v>33</v>
      </c>
      <c r="K353" s="598" t="s">
        <v>6</v>
      </c>
      <c r="L353" s="578">
        <f>SUMIFS('Airport Statistics'!$G:$G,'Airport Statistics'!$D:$D,G353,'Airport Statistics'!$F:$F,K353)</f>
        <v>0</v>
      </c>
      <c r="M353" s="579">
        <f ca="1">SUMIFS('Water Use Calcs'!$V:$V,'Water Use Calcs'!$D:$D,'End Uses'!D353,'Water Use Calcs'!$G:$G,'End Uses'!G353,'Water Use Calcs'!$I:$I,'End Uses'!I353,'Water Use Calcs'!$J:$J,'End Uses'!J353)</f>
        <v>0</v>
      </c>
      <c r="N353" s="580">
        <f t="shared" ca="1" si="34"/>
        <v>0</v>
      </c>
      <c r="O353" s="581" t="str">
        <f ca="1">IFERROR(N353/R351,"-")</f>
        <v>-</v>
      </c>
      <c r="P353" s="582"/>
      <c r="Q353" s="583"/>
      <c r="R353" s="584"/>
      <c r="S353" s="585">
        <f ca="1">SUMIFS('Water Use Calcs'!$W:$W,'Water Use Calcs'!$D:$D,'End Uses'!D353,'Water Use Calcs'!$G:$G,'End Uses'!G353,'Water Use Calcs'!$I:$I,'End Uses'!I353,'Water Use Calcs'!$J:$J,'End Uses'!J353)</f>
        <v>0</v>
      </c>
      <c r="T353" s="580">
        <f t="shared" ca="1" si="29"/>
        <v>0</v>
      </c>
      <c r="U353" s="581" t="str">
        <f ca="1">IFERROR(T353/X351,"-")</f>
        <v>-</v>
      </c>
      <c r="V353" s="582"/>
      <c r="W353" s="583"/>
      <c r="X353" s="584"/>
    </row>
    <row r="354" spans="3:24" x14ac:dyDescent="0.3">
      <c r="C354" s="576"/>
      <c r="D354" s="494" t="s">
        <v>471</v>
      </c>
      <c r="E354" s="657"/>
      <c r="F354" s="577"/>
      <c r="G354" s="494" t="s">
        <v>106</v>
      </c>
      <c r="H354" s="622" t="str">
        <f>I354</f>
        <v>Break rooms</v>
      </c>
      <c r="I354" s="623" t="s">
        <v>5</v>
      </c>
      <c r="J354" s="624" t="s">
        <v>33</v>
      </c>
      <c r="K354" s="625" t="s">
        <v>6</v>
      </c>
      <c r="L354" s="496">
        <f>SUMIFS('Airport Statistics'!$G:$G,'Airport Statistics'!$D:$D,G354,'Airport Statistics'!$F:$F,K354)</f>
        <v>0</v>
      </c>
      <c r="M354" s="626">
        <f ca="1">SUMIFS('Water Use Calcs'!$V:$V,'Water Use Calcs'!$D:$D,'End Uses'!D354,'Water Use Calcs'!$G:$G,'End Uses'!G354,'Water Use Calcs'!$I:$I,'End Uses'!I354,'Water Use Calcs'!$J:$J,'End Uses'!J354)</f>
        <v>0</v>
      </c>
      <c r="N354" s="627">
        <f t="shared" ca="1" si="34"/>
        <v>0</v>
      </c>
      <c r="O354" s="628" t="str">
        <f ca="1">IFERROR(N354/R351,"-")</f>
        <v>-</v>
      </c>
      <c r="P354" s="629">
        <f ca="1">SUMIFS($N:$N,$G:$G,G354,$I:$I,H354)</f>
        <v>0</v>
      </c>
      <c r="Q354" s="291" t="str">
        <f ca="1">IFERROR(P354/R351,"-")</f>
        <v>-</v>
      </c>
      <c r="R354" s="584"/>
      <c r="S354" s="630">
        <f ca="1">SUMIFS('Water Use Calcs'!$W:$W,'Water Use Calcs'!$D:$D,'End Uses'!D354,'Water Use Calcs'!$G:$G,'End Uses'!G354,'Water Use Calcs'!$I:$I,'End Uses'!I354,'Water Use Calcs'!$J:$J,'End Uses'!J354)</f>
        <v>0</v>
      </c>
      <c r="T354" s="627">
        <f t="shared" ca="1" si="29"/>
        <v>0</v>
      </c>
      <c r="U354" s="628" t="str">
        <f ca="1">IFERROR(T354/X351,"-")</f>
        <v>-</v>
      </c>
      <c r="V354" s="629">
        <f ca="1">SUMIFS($T:$T,$G:$G,G354,$I:$I,H354)</f>
        <v>0</v>
      </c>
      <c r="W354" s="291" t="str">
        <f ca="1">IFERROR(V354/X351,"-")</f>
        <v>-</v>
      </c>
      <c r="X354" s="584"/>
    </row>
    <row r="355" spans="3:24" x14ac:dyDescent="0.3">
      <c r="C355" s="576"/>
      <c r="D355" s="494" t="s">
        <v>471</v>
      </c>
      <c r="E355" s="657"/>
      <c r="F355" s="577"/>
      <c r="G355" s="494" t="s">
        <v>106</v>
      </c>
      <c r="H355" s="588" t="str">
        <f>I355</f>
        <v>Flight kitchens</v>
      </c>
      <c r="I355" s="455" t="s">
        <v>391</v>
      </c>
      <c r="J355" s="589" t="s">
        <v>114</v>
      </c>
      <c r="K355" s="428" t="s">
        <v>118</v>
      </c>
      <c r="L355" s="591">
        <f>SUMIFS('Airport Statistics'!$G:$G,'Airport Statistics'!$D:$D,G355,'Airport Statistics'!$F:$F,K355)</f>
        <v>0</v>
      </c>
      <c r="M355" s="592">
        <f ca="1">SUMIFS('Water Use Calcs'!$V:$V,'Water Use Calcs'!$D:$D,'End Uses'!D355,'Water Use Calcs'!$G:$G,'End Uses'!G355,'Water Use Calcs'!$I:$I,'End Uses'!I355,'Water Use Calcs'!$J:$J,'End Uses'!J355)</f>
        <v>0</v>
      </c>
      <c r="N355" s="593">
        <f t="shared" ref="N355:N357" ca="1" si="37">L355*M355</f>
        <v>0</v>
      </c>
      <c r="O355" s="594" t="str">
        <f ca="1">IFERROR(N355/R351,"-")</f>
        <v>-</v>
      </c>
      <c r="P355" s="595">
        <f ca="1">SUMIFS($N:$N,$G:$G,G355,$I:$I,H355)</f>
        <v>0</v>
      </c>
      <c r="Q355" s="547" t="str">
        <f ca="1">IFERROR(P355/R351,"-")</f>
        <v>-</v>
      </c>
      <c r="R355" s="584"/>
      <c r="S355" s="596">
        <f ca="1">SUMIFS('Water Use Calcs'!$W:$W,'Water Use Calcs'!$D:$D,'End Uses'!D355,'Water Use Calcs'!$G:$G,'End Uses'!G355,'Water Use Calcs'!$I:$I,'End Uses'!I355,'Water Use Calcs'!$J:$J,'End Uses'!J355)</f>
        <v>0</v>
      </c>
      <c r="T355" s="593">
        <f t="shared" ca="1" si="29"/>
        <v>0</v>
      </c>
      <c r="U355" s="594" t="str">
        <f ca="1">IFERROR(T355/X351,"-")</f>
        <v>-</v>
      </c>
      <c r="V355" s="595">
        <f ca="1">SUMIFS($T:$T,$G:$G,G355,$I:$I,H355)</f>
        <v>0</v>
      </c>
      <c r="W355" s="547" t="str">
        <f ca="1">IFERROR(V355/X351,"-")</f>
        <v>-</v>
      </c>
      <c r="X355" s="584"/>
    </row>
    <row r="356" spans="3:24" x14ac:dyDescent="0.3">
      <c r="C356" s="576"/>
      <c r="D356" s="494" t="s">
        <v>471</v>
      </c>
      <c r="E356" s="657"/>
      <c r="F356" s="577"/>
      <c r="G356" s="494" t="s">
        <v>106</v>
      </c>
      <c r="H356" s="577"/>
      <c r="I356" s="450" t="s">
        <v>391</v>
      </c>
      <c r="J356" s="577" t="s">
        <v>41</v>
      </c>
      <c r="K356" s="400" t="s">
        <v>118</v>
      </c>
      <c r="L356" s="578">
        <f>SUMIFS('Airport Statistics'!$G:$G,'Airport Statistics'!$D:$D,G356,'Airport Statistics'!$F:$F,K356)</f>
        <v>0</v>
      </c>
      <c r="M356" s="579">
        <f ca="1">SUMIFS('Water Use Calcs'!$V:$V,'Water Use Calcs'!$D:$D,'End Uses'!D356,'Water Use Calcs'!$G:$G,'End Uses'!G356,'Water Use Calcs'!$I:$I,'End Uses'!I356,'Water Use Calcs'!$J:$J,'End Uses'!J356)</f>
        <v>0</v>
      </c>
      <c r="N356" s="580">
        <f t="shared" ca="1" si="37"/>
        <v>0</v>
      </c>
      <c r="O356" s="581" t="str">
        <f ca="1">IFERROR(N356/R351,"-")</f>
        <v>-</v>
      </c>
      <c r="P356" s="582"/>
      <c r="Q356" s="548"/>
      <c r="R356" s="584"/>
      <c r="S356" s="585">
        <f ca="1">SUMIFS('Water Use Calcs'!$W:$W,'Water Use Calcs'!$D:$D,'End Uses'!D356,'Water Use Calcs'!$G:$G,'End Uses'!G356,'Water Use Calcs'!$I:$I,'End Uses'!I356,'Water Use Calcs'!$J:$J,'End Uses'!J356)</f>
        <v>0</v>
      </c>
      <c r="T356" s="580">
        <f t="shared" ca="1" si="29"/>
        <v>0</v>
      </c>
      <c r="U356" s="581" t="str">
        <f ca="1">IFERROR(T356/X351,"-")</f>
        <v>-</v>
      </c>
      <c r="V356" s="582"/>
      <c r="W356" s="548"/>
      <c r="X356" s="584"/>
    </row>
    <row r="357" spans="3:24" x14ac:dyDescent="0.3">
      <c r="C357" s="576"/>
      <c r="D357" s="494" t="s">
        <v>471</v>
      </c>
      <c r="E357" s="657"/>
      <c r="F357" s="577"/>
      <c r="G357" s="494" t="s">
        <v>106</v>
      </c>
      <c r="H357" s="577"/>
      <c r="I357" s="450" t="s">
        <v>391</v>
      </c>
      <c r="J357" s="577" t="s">
        <v>20</v>
      </c>
      <c r="K357" s="400" t="s">
        <v>118</v>
      </c>
      <c r="L357" s="578">
        <f>SUMIFS('Airport Statistics'!$G:$G,'Airport Statistics'!$D:$D,G357,'Airport Statistics'!$F:$F,K357)</f>
        <v>0</v>
      </c>
      <c r="M357" s="579">
        <f ca="1">SUMIFS('Water Use Calcs'!$V:$V,'Water Use Calcs'!$D:$D,'End Uses'!D357,'Water Use Calcs'!$G:$G,'End Uses'!G357,'Water Use Calcs'!$I:$I,'End Uses'!I357,'Water Use Calcs'!$J:$J,'End Uses'!J357)</f>
        <v>0</v>
      </c>
      <c r="N357" s="580">
        <f t="shared" ca="1" si="37"/>
        <v>0</v>
      </c>
      <c r="O357" s="581" t="str">
        <f ca="1">IFERROR(N357/R351,"-")</f>
        <v>-</v>
      </c>
      <c r="P357" s="404"/>
      <c r="Q357" s="548"/>
      <c r="R357" s="584"/>
      <c r="S357" s="585">
        <f ca="1">SUMIFS('Water Use Calcs'!$W:$W,'Water Use Calcs'!$D:$D,'End Uses'!D357,'Water Use Calcs'!$G:$G,'End Uses'!G357,'Water Use Calcs'!$I:$I,'End Uses'!I357,'Water Use Calcs'!$J:$J,'End Uses'!J357)</f>
        <v>0</v>
      </c>
      <c r="T357" s="580">
        <f t="shared" ca="1" si="29"/>
        <v>0</v>
      </c>
      <c r="U357" s="581" t="str">
        <f ca="1">IFERROR(T357/X351,"-")</f>
        <v>-</v>
      </c>
      <c r="V357" s="404"/>
      <c r="W357" s="548"/>
      <c r="X357" s="584"/>
    </row>
    <row r="358" spans="3:24" x14ac:dyDescent="0.3">
      <c r="C358" s="576"/>
      <c r="D358" s="494" t="s">
        <v>471</v>
      </c>
      <c r="E358" s="657"/>
      <c r="F358" s="577"/>
      <c r="G358" s="494" t="s">
        <v>106</v>
      </c>
      <c r="H358" s="588" t="str">
        <f>I358</f>
        <v>Aircraft</v>
      </c>
      <c r="I358" s="455" t="s">
        <v>44</v>
      </c>
      <c r="J358" s="589" t="s">
        <v>27</v>
      </c>
      <c r="K358" s="19" t="s">
        <v>121</v>
      </c>
      <c r="L358" s="591">
        <f>SUMIFS('Airport Statistics'!$G:$G,'Airport Statistics'!$D:$D,G358,'Airport Statistics'!$F:$F,K358)</f>
        <v>0</v>
      </c>
      <c r="M358" s="592">
        <f ca="1">SUMIFS('Water Use Calcs'!$V:$V,'Water Use Calcs'!$D:$D,'End Uses'!D358,'Water Use Calcs'!$G:$G,'End Uses'!G358,'Water Use Calcs'!$I:$I,'End Uses'!I358,'Water Use Calcs'!$J:$J,'End Uses'!J358)</f>
        <v>0</v>
      </c>
      <c r="N358" s="593">
        <f t="shared" ca="1" si="34"/>
        <v>0</v>
      </c>
      <c r="O358" s="594" t="str">
        <f ca="1">IFERROR(N358/R351,"-")</f>
        <v>-</v>
      </c>
      <c r="P358" s="595">
        <f ca="1">SUMIFS($N:$N,$G:$G,G358,$I:$I,H358)</f>
        <v>0</v>
      </c>
      <c r="Q358" s="547" t="str">
        <f ca="1">IFERROR(P358/R351,"-")</f>
        <v>-</v>
      </c>
      <c r="R358" s="584"/>
      <c r="S358" s="596">
        <f ca="1">SUMIFS('Water Use Calcs'!$W:$W,'Water Use Calcs'!$D:$D,'End Uses'!D358,'Water Use Calcs'!$G:$G,'End Uses'!G358,'Water Use Calcs'!$I:$I,'End Uses'!I358,'Water Use Calcs'!$J:$J,'End Uses'!J358)</f>
        <v>0</v>
      </c>
      <c r="T358" s="593">
        <f t="shared" ca="1" si="29"/>
        <v>0</v>
      </c>
      <c r="U358" s="594" t="str">
        <f ca="1">IFERROR(T358/X351,"-")</f>
        <v>-</v>
      </c>
      <c r="V358" s="595">
        <f ca="1">SUMIFS($T:$T,$G:$G,G358,$I:$I,H358)</f>
        <v>0</v>
      </c>
      <c r="W358" s="547" t="str">
        <f ca="1">IFERROR(V358/X351,"-")</f>
        <v>-</v>
      </c>
      <c r="X358" s="584"/>
    </row>
    <row r="359" spans="3:24" x14ac:dyDescent="0.3">
      <c r="C359" s="576"/>
      <c r="D359" s="494" t="s">
        <v>471</v>
      </c>
      <c r="E359" s="657"/>
      <c r="F359" s="577"/>
      <c r="G359" s="494" t="s">
        <v>106</v>
      </c>
      <c r="H359" s="577"/>
      <c r="I359" s="450" t="s">
        <v>44</v>
      </c>
      <c r="J359" s="577" t="s">
        <v>28</v>
      </c>
      <c r="K359" s="635" t="s">
        <v>121</v>
      </c>
      <c r="L359" s="578">
        <f>SUMIFS('Airport Statistics'!$G:$G,'Airport Statistics'!$D:$D,G359,'Airport Statistics'!$F:$F,K359)</f>
        <v>0</v>
      </c>
      <c r="M359" s="579">
        <f ca="1">SUMIFS('Water Use Calcs'!$V:$V,'Water Use Calcs'!$D:$D,'End Uses'!D359,'Water Use Calcs'!$G:$G,'End Uses'!G359,'Water Use Calcs'!$I:$I,'End Uses'!I359,'Water Use Calcs'!$J:$J,'End Uses'!J359)</f>
        <v>0</v>
      </c>
      <c r="N359" s="580">
        <f t="shared" ca="1" si="34"/>
        <v>0</v>
      </c>
      <c r="O359" s="581" t="str">
        <f ca="1">IFERROR(N359/R351,"-")</f>
        <v>-</v>
      </c>
      <c r="P359" s="404"/>
      <c r="Q359" s="548"/>
      <c r="R359" s="584"/>
      <c r="S359" s="585">
        <f ca="1">SUMIFS('Water Use Calcs'!$W:$W,'Water Use Calcs'!$D:$D,'End Uses'!D359,'Water Use Calcs'!$G:$G,'End Uses'!G359,'Water Use Calcs'!$I:$I,'End Uses'!I359,'Water Use Calcs'!$J:$J,'End Uses'!J359)</f>
        <v>0</v>
      </c>
      <c r="T359" s="580">
        <f t="shared" ca="1" si="29"/>
        <v>0</v>
      </c>
      <c r="U359" s="581" t="str">
        <f ca="1">IFERROR(T359/X351,"-")</f>
        <v>-</v>
      </c>
      <c r="V359" s="404"/>
      <c r="W359" s="548"/>
      <c r="X359" s="584"/>
    </row>
    <row r="360" spans="3:24" x14ac:dyDescent="0.3">
      <c r="C360" s="576"/>
      <c r="D360" s="494" t="s">
        <v>471</v>
      </c>
      <c r="E360" s="657"/>
      <c r="F360" s="577"/>
      <c r="G360" s="494" t="s">
        <v>106</v>
      </c>
      <c r="H360" s="577"/>
      <c r="I360" s="450" t="s">
        <v>44</v>
      </c>
      <c r="J360" s="577" t="s">
        <v>29</v>
      </c>
      <c r="K360" s="635" t="s">
        <v>121</v>
      </c>
      <c r="L360" s="578">
        <f>SUMIFS('Airport Statistics'!$G:$G,'Airport Statistics'!$D:$D,G360,'Airport Statistics'!$F:$F,K360)</f>
        <v>0</v>
      </c>
      <c r="M360" s="579">
        <f ca="1">SUMIFS('Water Use Calcs'!$V:$V,'Water Use Calcs'!$D:$D,'End Uses'!D360,'Water Use Calcs'!$G:$G,'End Uses'!G360,'Water Use Calcs'!$I:$I,'End Uses'!I360,'Water Use Calcs'!$J:$J,'End Uses'!J360)</f>
        <v>0</v>
      </c>
      <c r="N360" s="580">
        <f t="shared" ca="1" si="34"/>
        <v>0</v>
      </c>
      <c r="O360" s="581" t="str">
        <f ca="1">IFERROR(N360/R351,"-")</f>
        <v>-</v>
      </c>
      <c r="P360" s="582"/>
      <c r="Q360" s="548"/>
      <c r="R360" s="584"/>
      <c r="S360" s="585">
        <f ca="1">SUMIFS('Water Use Calcs'!$W:$W,'Water Use Calcs'!$D:$D,'End Uses'!D360,'Water Use Calcs'!$G:$G,'End Uses'!G360,'Water Use Calcs'!$I:$I,'End Uses'!I360,'Water Use Calcs'!$J:$J,'End Uses'!J360)</f>
        <v>0</v>
      </c>
      <c r="T360" s="580">
        <f t="shared" ca="1" si="29"/>
        <v>0</v>
      </c>
      <c r="U360" s="581" t="str">
        <f ca="1">IFERROR(T360/X351,"-")</f>
        <v>-</v>
      </c>
      <c r="V360" s="582"/>
      <c r="W360" s="548"/>
      <c r="X360" s="584"/>
    </row>
    <row r="361" spans="3:24" x14ac:dyDescent="0.3">
      <c r="C361" s="576"/>
      <c r="D361" s="494" t="s">
        <v>471</v>
      </c>
      <c r="E361" s="657"/>
      <c r="F361" s="577"/>
      <c r="G361" s="494" t="s">
        <v>106</v>
      </c>
      <c r="H361" s="622" t="str">
        <f>I361</f>
        <v>Landscaping</v>
      </c>
      <c r="I361" s="623" t="s">
        <v>39</v>
      </c>
      <c r="J361" s="624" t="s">
        <v>42</v>
      </c>
      <c r="K361" s="20" t="s">
        <v>120</v>
      </c>
      <c r="L361" s="496">
        <f>SUMIFS('Airport Statistics'!$G:$G,'Airport Statistics'!$D:$D,G361,'Airport Statistics'!$F:$F,K361)</f>
        <v>0</v>
      </c>
      <c r="M361" s="626">
        <f ca="1">SUMIFS('Water Use Calcs'!$V:$V,'Water Use Calcs'!$D:$D,'End Uses'!D361,'Water Use Calcs'!$G:$G,'End Uses'!G361,'Water Use Calcs'!$I:$I,'End Uses'!I361,'Water Use Calcs'!$J:$J,'End Uses'!J361)</f>
        <v>0</v>
      </c>
      <c r="N361" s="627">
        <f t="shared" ca="1" si="34"/>
        <v>0</v>
      </c>
      <c r="O361" s="628" t="str">
        <f ca="1">IFERROR(N361/R351,"-")</f>
        <v>-</v>
      </c>
      <c r="P361" s="629">
        <f ca="1">SUMIFS($N:$N,$G:$G,G361,$I:$I,H361)</f>
        <v>0</v>
      </c>
      <c r="Q361" s="291" t="str">
        <f ca="1">IFERROR(P361/R351,"-")</f>
        <v>-</v>
      </c>
      <c r="R361" s="584"/>
      <c r="S361" s="630">
        <f ca="1">SUMIFS('Water Use Calcs'!$W:$W,'Water Use Calcs'!$D:$D,'End Uses'!D361,'Water Use Calcs'!$G:$G,'End Uses'!G361,'Water Use Calcs'!$I:$I,'End Uses'!I361,'Water Use Calcs'!$J:$J,'End Uses'!J361)</f>
        <v>0</v>
      </c>
      <c r="T361" s="627">
        <f t="shared" ca="1" si="29"/>
        <v>0</v>
      </c>
      <c r="U361" s="628" t="str">
        <f ca="1">IFERROR(T361/X351,"-")</f>
        <v>-</v>
      </c>
      <c r="V361" s="629">
        <f ca="1">SUMIFS($T:$T,$G:$G,G361,$I:$I,H361)</f>
        <v>0</v>
      </c>
      <c r="W361" s="291" t="str">
        <f ca="1">IFERROR(V361/X351,"-")</f>
        <v>-</v>
      </c>
      <c r="X361" s="584"/>
    </row>
    <row r="362" spans="3:24" x14ac:dyDescent="0.3">
      <c r="C362" s="576"/>
      <c r="D362" s="494" t="s">
        <v>471</v>
      </c>
      <c r="E362" s="657"/>
      <c r="F362" s="577"/>
      <c r="G362" s="494" t="s">
        <v>106</v>
      </c>
      <c r="H362" s="588" t="str">
        <f>I362</f>
        <v>Maintenance</v>
      </c>
      <c r="I362" s="455" t="s">
        <v>43</v>
      </c>
      <c r="J362" s="17" t="s">
        <v>111</v>
      </c>
      <c r="K362" s="599" t="s">
        <v>424</v>
      </c>
      <c r="L362" s="591">
        <f>SUMIFS('Airport Statistics'!$G:$G,'Airport Statistics'!$D:$D,G362,'Airport Statistics'!$F:$F,K362)</f>
        <v>0</v>
      </c>
      <c r="M362" s="592">
        <f ca="1">SUMIFS('Water Use Calcs'!$V:$V,'Water Use Calcs'!$D:$D,'End Uses'!D362,'Water Use Calcs'!$G:$G,'End Uses'!G362,'Water Use Calcs'!$I:$I,'End Uses'!I362,'Water Use Calcs'!$J:$J,'End Uses'!J362)</f>
        <v>0</v>
      </c>
      <c r="N362" s="593">
        <f t="shared" ca="1" si="34"/>
        <v>0</v>
      </c>
      <c r="O362" s="594" t="str">
        <f ca="1">IFERROR(N362/R351,"-")</f>
        <v>-</v>
      </c>
      <c r="P362" s="595">
        <f ca="1">SUMIFS($N:$N,$G:$G,G362,$I:$I,H362)</f>
        <v>0</v>
      </c>
      <c r="Q362" s="547" t="str">
        <f ca="1">IFERROR(P362/R351,"-")</f>
        <v>-</v>
      </c>
      <c r="R362" s="584"/>
      <c r="S362" s="596">
        <f ca="1">SUMIFS('Water Use Calcs'!$W:$W,'Water Use Calcs'!$D:$D,'End Uses'!D362,'Water Use Calcs'!$G:$G,'End Uses'!G362,'Water Use Calcs'!$I:$I,'End Uses'!I362,'Water Use Calcs'!$J:$J,'End Uses'!J362)</f>
        <v>0</v>
      </c>
      <c r="T362" s="593">
        <f t="shared" ref="T362:T425" ca="1" si="38">L362*S362</f>
        <v>0</v>
      </c>
      <c r="U362" s="594" t="str">
        <f ca="1">IFERROR(T362/X351,"-")</f>
        <v>-</v>
      </c>
      <c r="V362" s="595">
        <f ca="1">SUMIFS($T:$T,$G:$G,G362,$I:$I,H362)</f>
        <v>0</v>
      </c>
      <c r="W362" s="547" t="str">
        <f ca="1">IFERROR(V362/X351,"-")</f>
        <v>-</v>
      </c>
      <c r="X362" s="584"/>
    </row>
    <row r="363" spans="3:24" x14ac:dyDescent="0.3">
      <c r="C363" s="576"/>
      <c r="D363" s="494" t="s">
        <v>471</v>
      </c>
      <c r="E363" s="657"/>
      <c r="F363" s="577"/>
      <c r="G363" s="494" t="s">
        <v>106</v>
      </c>
      <c r="H363" s="577"/>
      <c r="I363" s="450" t="s">
        <v>43</v>
      </c>
      <c r="J363" s="18" t="s">
        <v>7</v>
      </c>
      <c r="K363" s="183" t="s">
        <v>365</v>
      </c>
      <c r="L363" s="600"/>
      <c r="M363" s="601">
        <f ca="1">SUMIFS('Water Use Calcs'!$V:$V,'Water Use Calcs'!$D:$D,'End Uses'!D363,'Water Use Calcs'!$G:$G,'End Uses'!G363,'Water Use Calcs'!$I:$I,'End Uses'!I363,'Water Use Calcs'!$J:$J,'End Uses'!J363)</f>
        <v>0</v>
      </c>
      <c r="N363" s="580">
        <f ca="1">M363</f>
        <v>0</v>
      </c>
      <c r="O363" s="581" t="str">
        <f ca="1">IFERROR(N363/R351,"-")</f>
        <v>-</v>
      </c>
      <c r="P363" s="582"/>
      <c r="Q363" s="552"/>
      <c r="R363" s="584"/>
      <c r="S363" s="585">
        <f ca="1">SUMIFS('Water Use Calcs'!$W:$W,'Water Use Calcs'!$D:$D,'End Uses'!D363,'Water Use Calcs'!$G:$G,'End Uses'!G363,'Water Use Calcs'!$I:$I,'End Uses'!I363,'Water Use Calcs'!$J:$J,'End Uses'!J363)</f>
        <v>0</v>
      </c>
      <c r="T363" s="580">
        <f ca="1">S363</f>
        <v>0</v>
      </c>
      <c r="U363" s="581" t="str">
        <f ca="1">IFERROR(T363/X351,"-")</f>
        <v>-</v>
      </c>
      <c r="V363" s="582"/>
      <c r="W363" s="552"/>
      <c r="X363" s="584"/>
    </row>
    <row r="364" spans="3:24" x14ac:dyDescent="0.3">
      <c r="C364" s="576"/>
      <c r="D364" s="494" t="s">
        <v>471</v>
      </c>
      <c r="E364" s="657"/>
      <c r="F364" s="577"/>
      <c r="G364" s="494" t="s">
        <v>106</v>
      </c>
      <c r="H364" s="577"/>
      <c r="I364" s="450" t="s">
        <v>43</v>
      </c>
      <c r="J364" s="577" t="s">
        <v>9</v>
      </c>
      <c r="K364" s="635" t="s">
        <v>121</v>
      </c>
      <c r="L364" s="578">
        <f>SUMIFS('Airport Statistics'!$G:$G,'Airport Statistics'!$D:$D,G364,'Airport Statistics'!$F:$F,K364)</f>
        <v>0</v>
      </c>
      <c r="M364" s="579">
        <f>SUMIFS('Water Use Calcs'!$V:$V,'Water Use Calcs'!$D:$D,'End Uses'!D364,'Water Use Calcs'!$G:$G,'End Uses'!G364,'Water Use Calcs'!$I:$I,'End Uses'!I364,'Water Use Calcs'!$J:$J,'End Uses'!J364)</f>
        <v>0</v>
      </c>
      <c r="N364" s="580">
        <f t="shared" si="34"/>
        <v>0</v>
      </c>
      <c r="O364" s="581" t="str">
        <f ca="1">IFERROR(N364/R351,"-")</f>
        <v>-</v>
      </c>
      <c r="P364" s="582"/>
      <c r="Q364" s="552"/>
      <c r="R364" s="584"/>
      <c r="S364" s="585">
        <f>SUMIFS('Water Use Calcs'!$W:$W,'Water Use Calcs'!$D:$D,'End Uses'!D364,'Water Use Calcs'!$G:$G,'End Uses'!G364,'Water Use Calcs'!$I:$I,'End Uses'!I364,'Water Use Calcs'!$J:$J,'End Uses'!J364)</f>
        <v>0</v>
      </c>
      <c r="T364" s="580">
        <f t="shared" si="38"/>
        <v>0</v>
      </c>
      <c r="U364" s="581" t="str">
        <f ca="1">IFERROR(T364/X351,"-")</f>
        <v>-</v>
      </c>
      <c r="V364" s="582"/>
      <c r="W364" s="552"/>
      <c r="X364" s="584"/>
    </row>
    <row r="365" spans="3:24" x14ac:dyDescent="0.3">
      <c r="C365" s="576"/>
      <c r="D365" s="494" t="s">
        <v>471</v>
      </c>
      <c r="E365" s="657"/>
      <c r="F365" s="577"/>
      <c r="G365" s="494" t="s">
        <v>106</v>
      </c>
      <c r="H365" s="577"/>
      <c r="I365" s="450" t="s">
        <v>43</v>
      </c>
      <c r="J365" s="577" t="s">
        <v>426</v>
      </c>
      <c r="K365" s="635" t="s">
        <v>121</v>
      </c>
      <c r="L365" s="578">
        <f>SUMIFS('Airport Statistics'!$G:$G,'Airport Statistics'!$D:$D,G365,'Airport Statistics'!$F:$F,K365)</f>
        <v>0</v>
      </c>
      <c r="M365" s="579">
        <f ca="1">SUMIFS('Water Use Calcs'!$V:$V,'Water Use Calcs'!$D:$D,'End Uses'!D365,'Water Use Calcs'!$G:$G,'End Uses'!G365,'Water Use Calcs'!$I:$I,'End Uses'!I365,'Water Use Calcs'!$J:$J,'End Uses'!J365)</f>
        <v>0</v>
      </c>
      <c r="N365" s="580">
        <f t="shared" ca="1" si="34"/>
        <v>0</v>
      </c>
      <c r="O365" s="581" t="str">
        <f ca="1">IFERROR(N365/R351,"-")</f>
        <v>-</v>
      </c>
      <c r="P365" s="404"/>
      <c r="Q365" s="404"/>
      <c r="R365" s="584"/>
      <c r="S365" s="585">
        <f ca="1">SUMIFS('Water Use Calcs'!$W:$W,'Water Use Calcs'!$D:$D,'End Uses'!D365,'Water Use Calcs'!$G:$G,'End Uses'!G365,'Water Use Calcs'!$I:$I,'End Uses'!I365,'Water Use Calcs'!$J:$J,'End Uses'!J365)</f>
        <v>0</v>
      </c>
      <c r="T365" s="580">
        <f t="shared" ca="1" si="38"/>
        <v>0</v>
      </c>
      <c r="U365" s="581" t="str">
        <f ca="1">IFERROR(T365/X351,"-")</f>
        <v>-</v>
      </c>
      <c r="V365" s="404"/>
      <c r="W365" s="404"/>
      <c r="X365" s="584"/>
    </row>
    <row r="366" spans="3:24" x14ac:dyDescent="0.3">
      <c r="C366" s="576"/>
      <c r="D366" s="494" t="s">
        <v>471</v>
      </c>
      <c r="E366" s="657"/>
      <c r="F366" s="577"/>
      <c r="G366" s="494" t="s">
        <v>106</v>
      </c>
      <c r="H366" s="588" t="str">
        <f>I366</f>
        <v>Other</v>
      </c>
      <c r="I366" s="455" t="s">
        <v>8</v>
      </c>
      <c r="J366" s="589" t="s">
        <v>52</v>
      </c>
      <c r="K366" s="602" t="s">
        <v>362</v>
      </c>
      <c r="L366" s="591">
        <f>SUMIFS('Airport Statistics'!$G:$G,'Airport Statistics'!$D:$D,G366,'Airport Statistics'!$F:$F,K366)</f>
        <v>0</v>
      </c>
      <c r="M366" s="592">
        <f ca="1">SUMIFS('Water Use Calcs'!$V:$V,'Water Use Calcs'!$D:$D,'End Uses'!D366,'Water Use Calcs'!$G:$G,'End Uses'!G366,'Water Use Calcs'!$I:$I,'End Uses'!I366,'Water Use Calcs'!$J:$J,'End Uses'!J366)</f>
        <v>0</v>
      </c>
      <c r="N366" s="593">
        <f t="shared" ref="N366:N383" ca="1" si="39">L366*M366</f>
        <v>0</v>
      </c>
      <c r="O366" s="594" t="str">
        <f ca="1">IFERROR(N366/R351,"-")</f>
        <v>-</v>
      </c>
      <c r="P366" s="595">
        <f ca="1">SUMIFS($N:$N,$G:$G,G366,$I:$I,H366)</f>
        <v>0</v>
      </c>
      <c r="Q366" s="547" t="str">
        <f ca="1">IFERROR(P366/R351,"-")</f>
        <v>-</v>
      </c>
      <c r="R366" s="584"/>
      <c r="S366" s="596">
        <f ca="1">SUMIFS('Water Use Calcs'!$W:$W,'Water Use Calcs'!$D:$D,'End Uses'!D366,'Water Use Calcs'!$G:$G,'End Uses'!G366,'Water Use Calcs'!$I:$I,'End Uses'!I366,'Water Use Calcs'!$J:$J,'End Uses'!J366)</f>
        <v>0</v>
      </c>
      <c r="T366" s="593">
        <f t="shared" ca="1" si="38"/>
        <v>0</v>
      </c>
      <c r="U366" s="594" t="str">
        <f ca="1">IFERROR(T366/X351,"-")</f>
        <v>-</v>
      </c>
      <c r="V366" s="595">
        <f ca="1">SUMIFS($T:$T,$G:$G,G366,$I:$I,H366)</f>
        <v>0</v>
      </c>
      <c r="W366" s="547" t="str">
        <f ca="1">IFERROR(V366/X351,"-")</f>
        <v>-</v>
      </c>
      <c r="X366" s="584"/>
    </row>
    <row r="367" spans="3:24" s="45" customFormat="1" ht="13.2" customHeight="1" x14ac:dyDescent="0.3">
      <c r="C367" s="576"/>
      <c r="D367" s="494" t="s">
        <v>471</v>
      </c>
      <c r="E367" s="657"/>
      <c r="F367" s="577"/>
      <c r="G367" s="494" t="s">
        <v>106</v>
      </c>
      <c r="H367" s="577"/>
      <c r="I367" s="450" t="s">
        <v>8</v>
      </c>
      <c r="J367" s="577" t="s">
        <v>53</v>
      </c>
      <c r="K367" s="439" t="s">
        <v>363</v>
      </c>
      <c r="L367" s="578">
        <f>SUMIFS('Airport Statistics'!$G:$G,'Airport Statistics'!$D:$D,G367,'Airport Statistics'!$F:$F,K367)</f>
        <v>0</v>
      </c>
      <c r="M367" s="579">
        <f ca="1">SUMIFS('Water Use Calcs'!$V:$V,'Water Use Calcs'!$D:$D,'End Uses'!D367,'Water Use Calcs'!$G:$G,'End Uses'!G367,'Water Use Calcs'!$I:$I,'End Uses'!I367,'Water Use Calcs'!$J:$J,'End Uses'!J367)</f>
        <v>0</v>
      </c>
      <c r="N367" s="580">
        <f t="shared" ca="1" si="39"/>
        <v>0</v>
      </c>
      <c r="O367" s="581" t="str">
        <f ca="1">IFERROR(N367/R351,"-")</f>
        <v>-</v>
      </c>
      <c r="P367" s="404"/>
      <c r="Q367" s="404"/>
      <c r="R367" s="584"/>
      <c r="S367" s="585">
        <f ca="1">SUMIFS('Water Use Calcs'!$W:$W,'Water Use Calcs'!$D:$D,'End Uses'!D367,'Water Use Calcs'!$G:$G,'End Uses'!G367,'Water Use Calcs'!$I:$I,'End Uses'!I367,'Water Use Calcs'!$J:$J,'End Uses'!J367)</f>
        <v>0</v>
      </c>
      <c r="T367" s="580">
        <f t="shared" ca="1" si="38"/>
        <v>0</v>
      </c>
      <c r="U367" s="581" t="str">
        <f ca="1">IFERROR(T367/X351,"-")</f>
        <v>-</v>
      </c>
      <c r="V367" s="404"/>
      <c r="W367" s="404"/>
      <c r="X367" s="584"/>
    </row>
    <row r="368" spans="3:24" s="45" customFormat="1" ht="13.2" customHeight="1" thickBot="1" x14ac:dyDescent="0.35">
      <c r="C368" s="576"/>
      <c r="D368" s="494" t="s">
        <v>471</v>
      </c>
      <c r="E368" s="657"/>
      <c r="F368" s="577"/>
      <c r="G368" s="501" t="s">
        <v>106</v>
      </c>
      <c r="H368" s="116"/>
      <c r="I368" s="451" t="s">
        <v>8</v>
      </c>
      <c r="J368" s="116" t="s">
        <v>54</v>
      </c>
      <c r="K368" s="606" t="s">
        <v>364</v>
      </c>
      <c r="L368" s="607">
        <f>SUMIFS('Airport Statistics'!$G:$G,'Airport Statistics'!$D:$D,G368,'Airport Statistics'!$F:$F,K368)</f>
        <v>0</v>
      </c>
      <c r="M368" s="608">
        <f ca="1">SUMIFS('Water Use Calcs'!$V:$V,'Water Use Calcs'!$D:$D,'End Uses'!D368,'Water Use Calcs'!$G:$G,'End Uses'!G368,'Water Use Calcs'!$I:$I,'End Uses'!I368,'Water Use Calcs'!$J:$J,'End Uses'!J368)</f>
        <v>0</v>
      </c>
      <c r="N368" s="609">
        <f t="shared" ca="1" si="39"/>
        <v>0</v>
      </c>
      <c r="O368" s="616" t="str">
        <f ca="1">IFERROR(N368/R351,"-")</f>
        <v>-</v>
      </c>
      <c r="P368" s="611"/>
      <c r="Q368" s="611"/>
      <c r="R368" s="613"/>
      <c r="S368" s="614">
        <f ca="1">SUMIFS('Water Use Calcs'!$W:$W,'Water Use Calcs'!$D:$D,'End Uses'!D368,'Water Use Calcs'!$G:$G,'End Uses'!G368,'Water Use Calcs'!$I:$I,'End Uses'!I368,'Water Use Calcs'!$J:$J,'End Uses'!J368)</f>
        <v>0</v>
      </c>
      <c r="T368" s="609">
        <f t="shared" ca="1" si="38"/>
        <v>0</v>
      </c>
      <c r="U368" s="616" t="str">
        <f ca="1">IFERROR(T368/X351,"-")</f>
        <v>-</v>
      </c>
      <c r="V368" s="611"/>
      <c r="W368" s="611"/>
      <c r="X368" s="613"/>
    </row>
    <row r="369" spans="3:24" s="45" customFormat="1" ht="13.2" customHeight="1" x14ac:dyDescent="0.3">
      <c r="C369" s="576"/>
      <c r="D369" s="494" t="s">
        <v>471</v>
      </c>
      <c r="E369" s="656" t="str">
        <f>G369</f>
        <v>Tenant B</v>
      </c>
      <c r="F369" s="565" t="str">
        <f>VLOOKUP(E369,'Airport Mapping'!$C$5:$D$39,2,FALSE)</f>
        <v xml:space="preserve"> </v>
      </c>
      <c r="G369" s="494" t="s">
        <v>107</v>
      </c>
      <c r="H369" s="564" t="str">
        <f>I369</f>
        <v>Restrooms</v>
      </c>
      <c r="I369" s="454" t="s">
        <v>37</v>
      </c>
      <c r="J369" s="567" t="s">
        <v>2</v>
      </c>
      <c r="K369" s="620" t="s">
        <v>6</v>
      </c>
      <c r="L369" s="568">
        <f>SUMIFS('Airport Statistics'!$G:$G,'Airport Statistics'!$D:$D,G369,'Airport Statistics'!$F:$F,K369)</f>
        <v>0</v>
      </c>
      <c r="M369" s="569">
        <f ca="1">SUMIFS('Water Use Calcs'!$V:$V,'Water Use Calcs'!$D:$D,'End Uses'!D369,'Water Use Calcs'!$G:$G,'End Uses'!G369,'Water Use Calcs'!$I:$I,'End Uses'!I369,'Water Use Calcs'!$J:$J,'End Uses'!J369)</f>
        <v>0</v>
      </c>
      <c r="N369" s="570">
        <f t="shared" ca="1" si="39"/>
        <v>0</v>
      </c>
      <c r="O369" s="571" t="str">
        <f ca="1">IFERROR(N369/R369,"-")</f>
        <v>-</v>
      </c>
      <c r="P369" s="572">
        <f ca="1">SUMIFS($N:$N,$G:$G,G369,$I:$I,H369)</f>
        <v>0</v>
      </c>
      <c r="Q369" s="546" t="str">
        <f ca="1">IFERROR(P369/R369,"-")</f>
        <v>-</v>
      </c>
      <c r="R369" s="573">
        <f ca="1">SUMIFS($N:$N,$G:$G,G369)</f>
        <v>0</v>
      </c>
      <c r="S369" s="574">
        <f ca="1">SUMIFS('Water Use Calcs'!$W:$W,'Water Use Calcs'!$D:$D,'End Uses'!D369,'Water Use Calcs'!$G:$G,'End Uses'!G369,'Water Use Calcs'!$I:$I,'End Uses'!I369,'Water Use Calcs'!$J:$J,'End Uses'!J369)</f>
        <v>0</v>
      </c>
      <c r="T369" s="570">
        <f t="shared" ca="1" si="38"/>
        <v>0</v>
      </c>
      <c r="U369" s="571" t="str">
        <f ca="1">IFERROR(T369/X369,"-")</f>
        <v>-</v>
      </c>
      <c r="V369" s="572">
        <f ca="1">SUMIFS($T:$T,$G:$G,G369,$I:$I,H369)</f>
        <v>0</v>
      </c>
      <c r="W369" s="546" t="str">
        <f ca="1">IFERROR(V369/X369,"-")</f>
        <v>-</v>
      </c>
      <c r="X369" s="573">
        <f ca="1">SUMIFS($T:$T,$G:$G,G369)</f>
        <v>0</v>
      </c>
    </row>
    <row r="370" spans="3:24" x14ac:dyDescent="0.3">
      <c r="C370" s="576"/>
      <c r="D370" s="494" t="s">
        <v>471</v>
      </c>
      <c r="E370" s="657"/>
      <c r="F370" s="577"/>
      <c r="G370" s="494" t="s">
        <v>107</v>
      </c>
      <c r="H370" s="577"/>
      <c r="I370" s="450" t="s">
        <v>37</v>
      </c>
      <c r="J370" s="577" t="s">
        <v>4</v>
      </c>
      <c r="K370" s="598" t="s">
        <v>6</v>
      </c>
      <c r="L370" s="578">
        <f>SUMIFS('Airport Statistics'!$G:$G,'Airport Statistics'!$D:$D,G370,'Airport Statistics'!$F:$F,K370)</f>
        <v>0</v>
      </c>
      <c r="M370" s="579">
        <f ca="1">SUMIFS('Water Use Calcs'!$V:$V,'Water Use Calcs'!$D:$D,'End Uses'!D370,'Water Use Calcs'!$G:$G,'End Uses'!G370,'Water Use Calcs'!$I:$I,'End Uses'!I370,'Water Use Calcs'!$J:$J,'End Uses'!J370)</f>
        <v>0</v>
      </c>
      <c r="N370" s="580">
        <f t="shared" ca="1" si="39"/>
        <v>0</v>
      </c>
      <c r="O370" s="581" t="str">
        <f ca="1">IFERROR(N370/R369,"-")</f>
        <v>-</v>
      </c>
      <c r="P370" s="582"/>
      <c r="Q370" s="583"/>
      <c r="R370" s="584"/>
      <c r="S370" s="585">
        <f ca="1">SUMIFS('Water Use Calcs'!$W:$W,'Water Use Calcs'!$D:$D,'End Uses'!D370,'Water Use Calcs'!$G:$G,'End Uses'!G370,'Water Use Calcs'!$I:$I,'End Uses'!I370,'Water Use Calcs'!$J:$J,'End Uses'!J370)</f>
        <v>0</v>
      </c>
      <c r="T370" s="580">
        <f t="shared" ca="1" si="38"/>
        <v>0</v>
      </c>
      <c r="U370" s="581" t="str">
        <f ca="1">IFERROR(T370/X369,"-")</f>
        <v>-</v>
      </c>
      <c r="V370" s="582"/>
      <c r="W370" s="583"/>
      <c r="X370" s="584"/>
    </row>
    <row r="371" spans="3:24" x14ac:dyDescent="0.3">
      <c r="C371" s="576"/>
      <c r="D371" s="494" t="s">
        <v>471</v>
      </c>
      <c r="E371" s="657"/>
      <c r="F371" s="577"/>
      <c r="G371" s="494" t="s">
        <v>107</v>
      </c>
      <c r="H371" s="577"/>
      <c r="I371" s="450" t="s">
        <v>37</v>
      </c>
      <c r="J371" s="577" t="s">
        <v>33</v>
      </c>
      <c r="K371" s="598" t="s">
        <v>6</v>
      </c>
      <c r="L371" s="578">
        <f>SUMIFS('Airport Statistics'!$G:$G,'Airport Statistics'!$D:$D,G371,'Airport Statistics'!$F:$F,K371)</f>
        <v>0</v>
      </c>
      <c r="M371" s="579">
        <f ca="1">SUMIFS('Water Use Calcs'!$V:$V,'Water Use Calcs'!$D:$D,'End Uses'!D371,'Water Use Calcs'!$G:$G,'End Uses'!G371,'Water Use Calcs'!$I:$I,'End Uses'!I371,'Water Use Calcs'!$J:$J,'End Uses'!J371)</f>
        <v>0</v>
      </c>
      <c r="N371" s="580">
        <f t="shared" ca="1" si="39"/>
        <v>0</v>
      </c>
      <c r="O371" s="581" t="str">
        <f ca="1">IFERROR(N371/R369,"-")</f>
        <v>-</v>
      </c>
      <c r="P371" s="582"/>
      <c r="Q371" s="583"/>
      <c r="R371" s="584"/>
      <c r="S371" s="585">
        <f ca="1">SUMIFS('Water Use Calcs'!$W:$W,'Water Use Calcs'!$D:$D,'End Uses'!D371,'Water Use Calcs'!$G:$G,'End Uses'!G371,'Water Use Calcs'!$I:$I,'End Uses'!I371,'Water Use Calcs'!$J:$J,'End Uses'!J371)</f>
        <v>0</v>
      </c>
      <c r="T371" s="580">
        <f t="shared" ca="1" si="38"/>
        <v>0</v>
      </c>
      <c r="U371" s="581" t="str">
        <f ca="1">IFERROR(T371/X369,"-")</f>
        <v>-</v>
      </c>
      <c r="V371" s="582"/>
      <c r="W371" s="583"/>
      <c r="X371" s="584"/>
    </row>
    <row r="372" spans="3:24" x14ac:dyDescent="0.3">
      <c r="C372" s="576"/>
      <c r="D372" s="494" t="s">
        <v>471</v>
      </c>
      <c r="E372" s="657"/>
      <c r="F372" s="577"/>
      <c r="G372" s="494" t="s">
        <v>107</v>
      </c>
      <c r="H372" s="622" t="str">
        <f>I372</f>
        <v>Break rooms</v>
      </c>
      <c r="I372" s="623" t="s">
        <v>5</v>
      </c>
      <c r="J372" s="624" t="s">
        <v>33</v>
      </c>
      <c r="K372" s="625" t="s">
        <v>6</v>
      </c>
      <c r="L372" s="496">
        <f>SUMIFS('Airport Statistics'!$G:$G,'Airport Statistics'!$D:$D,G372,'Airport Statistics'!$F:$F,K372)</f>
        <v>0</v>
      </c>
      <c r="M372" s="626">
        <f ca="1">SUMIFS('Water Use Calcs'!$V:$V,'Water Use Calcs'!$D:$D,'End Uses'!D372,'Water Use Calcs'!$G:$G,'End Uses'!G372,'Water Use Calcs'!$I:$I,'End Uses'!I372,'Water Use Calcs'!$J:$J,'End Uses'!J372)</f>
        <v>0</v>
      </c>
      <c r="N372" s="627">
        <f t="shared" ca="1" si="39"/>
        <v>0</v>
      </c>
      <c r="O372" s="628" t="str">
        <f ca="1">IFERROR(N372/R369,"-")</f>
        <v>-</v>
      </c>
      <c r="P372" s="629">
        <f ca="1">SUMIFS($N:$N,$G:$G,G372,$I:$I,H372)</f>
        <v>0</v>
      </c>
      <c r="Q372" s="291" t="str">
        <f ca="1">IFERROR(P372/R369,"-")</f>
        <v>-</v>
      </c>
      <c r="R372" s="584"/>
      <c r="S372" s="630">
        <f ca="1">SUMIFS('Water Use Calcs'!$W:$W,'Water Use Calcs'!$D:$D,'End Uses'!D372,'Water Use Calcs'!$G:$G,'End Uses'!G372,'Water Use Calcs'!$I:$I,'End Uses'!I372,'Water Use Calcs'!$J:$J,'End Uses'!J372)</f>
        <v>0</v>
      </c>
      <c r="T372" s="627">
        <f t="shared" ca="1" si="38"/>
        <v>0</v>
      </c>
      <c r="U372" s="628" t="str">
        <f ca="1">IFERROR(T372/X369,"-")</f>
        <v>-</v>
      </c>
      <c r="V372" s="629">
        <f ca="1">SUMIFS($T:$T,$G:$G,G372,$I:$I,H372)</f>
        <v>0</v>
      </c>
      <c r="W372" s="291" t="str">
        <f ca="1">IFERROR(V372/X369,"-")</f>
        <v>-</v>
      </c>
      <c r="X372" s="584"/>
    </row>
    <row r="373" spans="3:24" x14ac:dyDescent="0.3">
      <c r="C373" s="576"/>
      <c r="D373" s="494" t="s">
        <v>471</v>
      </c>
      <c r="E373" s="657"/>
      <c r="F373" s="577"/>
      <c r="G373" s="494" t="s">
        <v>107</v>
      </c>
      <c r="H373" s="588" t="str">
        <f>I373</f>
        <v>Flight kitchens</v>
      </c>
      <c r="I373" s="455" t="s">
        <v>391</v>
      </c>
      <c r="J373" s="589" t="s">
        <v>114</v>
      </c>
      <c r="K373" s="428" t="s">
        <v>118</v>
      </c>
      <c r="L373" s="591">
        <f>SUMIFS('Airport Statistics'!$G:$G,'Airport Statistics'!$D:$D,G373,'Airport Statistics'!$F:$F,K373)</f>
        <v>0</v>
      </c>
      <c r="M373" s="592">
        <f ca="1">SUMIFS('Water Use Calcs'!$V:$V,'Water Use Calcs'!$D:$D,'End Uses'!D373,'Water Use Calcs'!$G:$G,'End Uses'!G373,'Water Use Calcs'!$I:$I,'End Uses'!I373,'Water Use Calcs'!$J:$J,'End Uses'!J373)</f>
        <v>0</v>
      </c>
      <c r="N373" s="593">
        <f t="shared" ca="1" si="39"/>
        <v>0</v>
      </c>
      <c r="O373" s="594" t="str">
        <f ca="1">IFERROR(N373/R369,"-")</f>
        <v>-</v>
      </c>
      <c r="P373" s="595">
        <f ca="1">SUMIFS($N:$N,$G:$G,G373,$I:$I,H373)</f>
        <v>0</v>
      </c>
      <c r="Q373" s="547" t="str">
        <f ca="1">IFERROR(P373/R369,"-")</f>
        <v>-</v>
      </c>
      <c r="R373" s="584"/>
      <c r="S373" s="596">
        <f ca="1">SUMIFS('Water Use Calcs'!$W:$W,'Water Use Calcs'!$D:$D,'End Uses'!D373,'Water Use Calcs'!$G:$G,'End Uses'!G373,'Water Use Calcs'!$I:$I,'End Uses'!I373,'Water Use Calcs'!$J:$J,'End Uses'!J373)</f>
        <v>0</v>
      </c>
      <c r="T373" s="593">
        <f t="shared" ca="1" si="38"/>
        <v>0</v>
      </c>
      <c r="U373" s="594" t="str">
        <f ca="1">IFERROR(T373/X369,"-")</f>
        <v>-</v>
      </c>
      <c r="V373" s="595">
        <f ca="1">SUMIFS($T:$T,$G:$G,G373,$I:$I,H373)</f>
        <v>0</v>
      </c>
      <c r="W373" s="547" t="str">
        <f ca="1">IFERROR(V373/X369,"-")</f>
        <v>-</v>
      </c>
      <c r="X373" s="584"/>
    </row>
    <row r="374" spans="3:24" x14ac:dyDescent="0.3">
      <c r="C374" s="576"/>
      <c r="D374" s="494" t="s">
        <v>471</v>
      </c>
      <c r="E374" s="657"/>
      <c r="F374" s="577"/>
      <c r="G374" s="494" t="s">
        <v>107</v>
      </c>
      <c r="H374" s="577"/>
      <c r="I374" s="450" t="s">
        <v>391</v>
      </c>
      <c r="J374" s="577" t="s">
        <v>41</v>
      </c>
      <c r="K374" s="400" t="s">
        <v>118</v>
      </c>
      <c r="L374" s="578">
        <f>SUMIFS('Airport Statistics'!$G:$G,'Airport Statistics'!$D:$D,G374,'Airport Statistics'!$F:$F,K374)</f>
        <v>0</v>
      </c>
      <c r="M374" s="579">
        <f ca="1">SUMIFS('Water Use Calcs'!$V:$V,'Water Use Calcs'!$D:$D,'End Uses'!D374,'Water Use Calcs'!$G:$G,'End Uses'!G374,'Water Use Calcs'!$I:$I,'End Uses'!I374,'Water Use Calcs'!$J:$J,'End Uses'!J374)</f>
        <v>0</v>
      </c>
      <c r="N374" s="580">
        <f t="shared" ca="1" si="39"/>
        <v>0</v>
      </c>
      <c r="O374" s="581" t="str">
        <f ca="1">IFERROR(N374/R369,"-")</f>
        <v>-</v>
      </c>
      <c r="P374" s="582"/>
      <c r="Q374" s="548"/>
      <c r="R374" s="584"/>
      <c r="S374" s="585">
        <f ca="1">SUMIFS('Water Use Calcs'!$W:$W,'Water Use Calcs'!$D:$D,'End Uses'!D374,'Water Use Calcs'!$G:$G,'End Uses'!G374,'Water Use Calcs'!$I:$I,'End Uses'!I374,'Water Use Calcs'!$J:$J,'End Uses'!J374)</f>
        <v>0</v>
      </c>
      <c r="T374" s="580">
        <f t="shared" ca="1" si="38"/>
        <v>0</v>
      </c>
      <c r="U374" s="581" t="str">
        <f ca="1">IFERROR(T374/X369,"-")</f>
        <v>-</v>
      </c>
      <c r="V374" s="582"/>
      <c r="W374" s="548"/>
      <c r="X374" s="584"/>
    </row>
    <row r="375" spans="3:24" x14ac:dyDescent="0.3">
      <c r="C375" s="576"/>
      <c r="D375" s="494" t="s">
        <v>471</v>
      </c>
      <c r="E375" s="657"/>
      <c r="F375" s="577"/>
      <c r="G375" s="494" t="s">
        <v>107</v>
      </c>
      <c r="H375" s="577"/>
      <c r="I375" s="450" t="s">
        <v>391</v>
      </c>
      <c r="J375" s="577" t="s">
        <v>20</v>
      </c>
      <c r="K375" s="400" t="s">
        <v>118</v>
      </c>
      <c r="L375" s="578">
        <f>SUMIFS('Airport Statistics'!$G:$G,'Airport Statistics'!$D:$D,G375,'Airport Statistics'!$F:$F,K375)</f>
        <v>0</v>
      </c>
      <c r="M375" s="579">
        <f ca="1">SUMIFS('Water Use Calcs'!$V:$V,'Water Use Calcs'!$D:$D,'End Uses'!D375,'Water Use Calcs'!$G:$G,'End Uses'!G375,'Water Use Calcs'!$I:$I,'End Uses'!I375,'Water Use Calcs'!$J:$J,'End Uses'!J375)</f>
        <v>0</v>
      </c>
      <c r="N375" s="580">
        <f t="shared" ca="1" si="39"/>
        <v>0</v>
      </c>
      <c r="O375" s="581" t="str">
        <f ca="1">IFERROR(N375/R369,"-")</f>
        <v>-</v>
      </c>
      <c r="P375" s="404"/>
      <c r="Q375" s="548"/>
      <c r="R375" s="584"/>
      <c r="S375" s="585">
        <f ca="1">SUMIFS('Water Use Calcs'!$W:$W,'Water Use Calcs'!$D:$D,'End Uses'!D375,'Water Use Calcs'!$G:$G,'End Uses'!G375,'Water Use Calcs'!$I:$I,'End Uses'!I375,'Water Use Calcs'!$J:$J,'End Uses'!J375)</f>
        <v>0</v>
      </c>
      <c r="T375" s="580">
        <f t="shared" ca="1" si="38"/>
        <v>0</v>
      </c>
      <c r="U375" s="581" t="str">
        <f ca="1">IFERROR(T375/X369,"-")</f>
        <v>-</v>
      </c>
      <c r="V375" s="404"/>
      <c r="W375" s="548"/>
      <c r="X375" s="584"/>
    </row>
    <row r="376" spans="3:24" x14ac:dyDescent="0.3">
      <c r="C376" s="576"/>
      <c r="D376" s="494" t="s">
        <v>471</v>
      </c>
      <c r="E376" s="657"/>
      <c r="F376" s="577"/>
      <c r="G376" s="494" t="s">
        <v>107</v>
      </c>
      <c r="H376" s="588" t="str">
        <f>I376</f>
        <v>Aircraft</v>
      </c>
      <c r="I376" s="455" t="s">
        <v>44</v>
      </c>
      <c r="J376" s="589" t="s">
        <v>27</v>
      </c>
      <c r="K376" s="19" t="s">
        <v>121</v>
      </c>
      <c r="L376" s="591">
        <f>SUMIFS('Airport Statistics'!$G:$G,'Airport Statistics'!$D:$D,G376,'Airport Statistics'!$F:$F,K376)</f>
        <v>0</v>
      </c>
      <c r="M376" s="592">
        <f ca="1">SUMIFS('Water Use Calcs'!$V:$V,'Water Use Calcs'!$D:$D,'End Uses'!D376,'Water Use Calcs'!$G:$G,'End Uses'!G376,'Water Use Calcs'!$I:$I,'End Uses'!I376,'Water Use Calcs'!$J:$J,'End Uses'!J376)</f>
        <v>0</v>
      </c>
      <c r="N376" s="593">
        <f t="shared" ca="1" si="39"/>
        <v>0</v>
      </c>
      <c r="O376" s="594" t="str">
        <f ca="1">IFERROR(N376/R369,"-")</f>
        <v>-</v>
      </c>
      <c r="P376" s="595">
        <f ca="1">SUMIFS($N:$N,$G:$G,G376,$I:$I,H376)</f>
        <v>0</v>
      </c>
      <c r="Q376" s="547" t="str">
        <f ca="1">IFERROR(P376/R369,"-")</f>
        <v>-</v>
      </c>
      <c r="R376" s="584"/>
      <c r="S376" s="596">
        <f ca="1">SUMIFS('Water Use Calcs'!$W:$W,'Water Use Calcs'!$D:$D,'End Uses'!D376,'Water Use Calcs'!$G:$G,'End Uses'!G376,'Water Use Calcs'!$I:$I,'End Uses'!I376,'Water Use Calcs'!$J:$J,'End Uses'!J376)</f>
        <v>0</v>
      </c>
      <c r="T376" s="593">
        <f t="shared" ca="1" si="38"/>
        <v>0</v>
      </c>
      <c r="U376" s="594" t="str">
        <f ca="1">IFERROR(T376/X369,"-")</f>
        <v>-</v>
      </c>
      <c r="V376" s="595">
        <f ca="1">SUMIFS($T:$T,$G:$G,G376,$I:$I,H376)</f>
        <v>0</v>
      </c>
      <c r="W376" s="547" t="str">
        <f ca="1">IFERROR(V376/X369,"-")</f>
        <v>-</v>
      </c>
      <c r="X376" s="584"/>
    </row>
    <row r="377" spans="3:24" x14ac:dyDescent="0.3">
      <c r="C377" s="576"/>
      <c r="D377" s="494" t="s">
        <v>471</v>
      </c>
      <c r="E377" s="657"/>
      <c r="F377" s="577"/>
      <c r="G377" s="494" t="s">
        <v>107</v>
      </c>
      <c r="H377" s="577"/>
      <c r="I377" s="450" t="s">
        <v>44</v>
      </c>
      <c r="J377" s="577" t="s">
        <v>28</v>
      </c>
      <c r="K377" s="635" t="s">
        <v>121</v>
      </c>
      <c r="L377" s="578">
        <f>SUMIFS('Airport Statistics'!$G:$G,'Airport Statistics'!$D:$D,G377,'Airport Statistics'!$F:$F,K377)</f>
        <v>0</v>
      </c>
      <c r="M377" s="579">
        <f ca="1">SUMIFS('Water Use Calcs'!$V:$V,'Water Use Calcs'!$D:$D,'End Uses'!D377,'Water Use Calcs'!$G:$G,'End Uses'!G377,'Water Use Calcs'!$I:$I,'End Uses'!I377,'Water Use Calcs'!$J:$J,'End Uses'!J377)</f>
        <v>0</v>
      </c>
      <c r="N377" s="580">
        <f t="shared" ca="1" si="39"/>
        <v>0</v>
      </c>
      <c r="O377" s="581" t="str">
        <f ca="1">IFERROR(N377/R369,"-")</f>
        <v>-</v>
      </c>
      <c r="P377" s="404"/>
      <c r="Q377" s="548"/>
      <c r="R377" s="584"/>
      <c r="S377" s="585">
        <f ca="1">SUMIFS('Water Use Calcs'!$W:$W,'Water Use Calcs'!$D:$D,'End Uses'!D377,'Water Use Calcs'!$G:$G,'End Uses'!G377,'Water Use Calcs'!$I:$I,'End Uses'!I377,'Water Use Calcs'!$J:$J,'End Uses'!J377)</f>
        <v>0</v>
      </c>
      <c r="T377" s="580">
        <f t="shared" ca="1" si="38"/>
        <v>0</v>
      </c>
      <c r="U377" s="581" t="str">
        <f ca="1">IFERROR(T377/X369,"-")</f>
        <v>-</v>
      </c>
      <c r="V377" s="404"/>
      <c r="W377" s="548"/>
      <c r="X377" s="584"/>
    </row>
    <row r="378" spans="3:24" x14ac:dyDescent="0.3">
      <c r="C378" s="576"/>
      <c r="D378" s="494" t="s">
        <v>471</v>
      </c>
      <c r="E378" s="657"/>
      <c r="F378" s="577"/>
      <c r="G378" s="494" t="s">
        <v>107</v>
      </c>
      <c r="H378" s="577"/>
      <c r="I378" s="450" t="s">
        <v>44</v>
      </c>
      <c r="J378" s="577" t="s">
        <v>29</v>
      </c>
      <c r="K378" s="635" t="s">
        <v>121</v>
      </c>
      <c r="L378" s="578">
        <f>SUMIFS('Airport Statistics'!$G:$G,'Airport Statistics'!$D:$D,G378,'Airport Statistics'!$F:$F,K378)</f>
        <v>0</v>
      </c>
      <c r="M378" s="579">
        <f ca="1">SUMIFS('Water Use Calcs'!$V:$V,'Water Use Calcs'!$D:$D,'End Uses'!D378,'Water Use Calcs'!$G:$G,'End Uses'!G378,'Water Use Calcs'!$I:$I,'End Uses'!I378,'Water Use Calcs'!$J:$J,'End Uses'!J378)</f>
        <v>0</v>
      </c>
      <c r="N378" s="580">
        <f t="shared" ca="1" si="39"/>
        <v>0</v>
      </c>
      <c r="O378" s="581" t="str">
        <f ca="1">IFERROR(N378/R369,"-")</f>
        <v>-</v>
      </c>
      <c r="P378" s="582"/>
      <c r="Q378" s="548"/>
      <c r="R378" s="584"/>
      <c r="S378" s="585">
        <f ca="1">SUMIFS('Water Use Calcs'!$W:$W,'Water Use Calcs'!$D:$D,'End Uses'!D378,'Water Use Calcs'!$G:$G,'End Uses'!G378,'Water Use Calcs'!$I:$I,'End Uses'!I378,'Water Use Calcs'!$J:$J,'End Uses'!J378)</f>
        <v>0</v>
      </c>
      <c r="T378" s="580">
        <f t="shared" ca="1" si="38"/>
        <v>0</v>
      </c>
      <c r="U378" s="581" t="str">
        <f ca="1">IFERROR(T378/X369,"-")</f>
        <v>-</v>
      </c>
      <c r="V378" s="582"/>
      <c r="W378" s="548"/>
      <c r="X378" s="584"/>
    </row>
    <row r="379" spans="3:24" x14ac:dyDescent="0.3">
      <c r="C379" s="576"/>
      <c r="D379" s="494" t="s">
        <v>471</v>
      </c>
      <c r="E379" s="657"/>
      <c r="F379" s="577"/>
      <c r="G379" s="494" t="s">
        <v>107</v>
      </c>
      <c r="H379" s="622" t="str">
        <f>I379</f>
        <v>Landscaping</v>
      </c>
      <c r="I379" s="623" t="s">
        <v>39</v>
      </c>
      <c r="J379" s="624" t="s">
        <v>42</v>
      </c>
      <c r="K379" s="20" t="s">
        <v>120</v>
      </c>
      <c r="L379" s="496">
        <f>SUMIFS('Airport Statistics'!$G:$G,'Airport Statistics'!$D:$D,G379,'Airport Statistics'!$F:$F,K379)</f>
        <v>0</v>
      </c>
      <c r="M379" s="626">
        <f ca="1">SUMIFS('Water Use Calcs'!$V:$V,'Water Use Calcs'!$D:$D,'End Uses'!D379,'Water Use Calcs'!$G:$G,'End Uses'!G379,'Water Use Calcs'!$I:$I,'End Uses'!I379,'Water Use Calcs'!$J:$J,'End Uses'!J379)</f>
        <v>0</v>
      </c>
      <c r="N379" s="627">
        <f t="shared" ca="1" si="39"/>
        <v>0</v>
      </c>
      <c r="O379" s="628" t="str">
        <f ca="1">IFERROR(N379/R369,"-")</f>
        <v>-</v>
      </c>
      <c r="P379" s="629">
        <f ca="1">SUMIFS($N:$N,$G:$G,G379,$I:$I,H379)</f>
        <v>0</v>
      </c>
      <c r="Q379" s="291" t="str">
        <f ca="1">IFERROR(P379/R369,"-")</f>
        <v>-</v>
      </c>
      <c r="R379" s="584"/>
      <c r="S379" s="630">
        <f ca="1">SUMIFS('Water Use Calcs'!$W:$W,'Water Use Calcs'!$D:$D,'End Uses'!D379,'Water Use Calcs'!$G:$G,'End Uses'!G379,'Water Use Calcs'!$I:$I,'End Uses'!I379,'Water Use Calcs'!$J:$J,'End Uses'!J379)</f>
        <v>0</v>
      </c>
      <c r="T379" s="627">
        <f t="shared" ca="1" si="38"/>
        <v>0</v>
      </c>
      <c r="U379" s="628" t="str">
        <f ca="1">IFERROR(T379/X369,"-")</f>
        <v>-</v>
      </c>
      <c r="V379" s="629">
        <f ca="1">SUMIFS($T:$T,$G:$G,G379,$I:$I,H379)</f>
        <v>0</v>
      </c>
      <c r="W379" s="291" t="str">
        <f ca="1">IFERROR(V379/X369,"-")</f>
        <v>-</v>
      </c>
      <c r="X379" s="584"/>
    </row>
    <row r="380" spans="3:24" x14ac:dyDescent="0.3">
      <c r="C380" s="576"/>
      <c r="D380" s="494" t="s">
        <v>471</v>
      </c>
      <c r="E380" s="657"/>
      <c r="F380" s="577"/>
      <c r="G380" s="494" t="s">
        <v>107</v>
      </c>
      <c r="H380" s="588" t="str">
        <f>I380</f>
        <v>Maintenance</v>
      </c>
      <c r="I380" s="455" t="s">
        <v>43</v>
      </c>
      <c r="J380" s="17" t="s">
        <v>111</v>
      </c>
      <c r="K380" s="599" t="s">
        <v>424</v>
      </c>
      <c r="L380" s="591">
        <f>SUMIFS('Airport Statistics'!$G:$G,'Airport Statistics'!$D:$D,G380,'Airport Statistics'!$F:$F,K380)</f>
        <v>0</v>
      </c>
      <c r="M380" s="592">
        <f ca="1">SUMIFS('Water Use Calcs'!$V:$V,'Water Use Calcs'!$D:$D,'End Uses'!D380,'Water Use Calcs'!$G:$G,'End Uses'!G380,'Water Use Calcs'!$I:$I,'End Uses'!I380,'Water Use Calcs'!$J:$J,'End Uses'!J380)</f>
        <v>0</v>
      </c>
      <c r="N380" s="593">
        <f t="shared" ca="1" si="39"/>
        <v>0</v>
      </c>
      <c r="O380" s="594" t="str">
        <f ca="1">IFERROR(N380/R369,"-")</f>
        <v>-</v>
      </c>
      <c r="P380" s="595">
        <f ca="1">SUMIFS($N:$N,$G:$G,G380,$I:$I,H380)</f>
        <v>0</v>
      </c>
      <c r="Q380" s="547" t="str">
        <f ca="1">IFERROR(P380/R369,"-")</f>
        <v>-</v>
      </c>
      <c r="R380" s="584"/>
      <c r="S380" s="596">
        <f ca="1">SUMIFS('Water Use Calcs'!$W:$W,'Water Use Calcs'!$D:$D,'End Uses'!D380,'Water Use Calcs'!$G:$G,'End Uses'!G380,'Water Use Calcs'!$I:$I,'End Uses'!I380,'Water Use Calcs'!$J:$J,'End Uses'!J380)</f>
        <v>0</v>
      </c>
      <c r="T380" s="593">
        <f t="shared" ca="1" si="38"/>
        <v>0</v>
      </c>
      <c r="U380" s="594" t="str">
        <f ca="1">IFERROR(T380/X369,"-")</f>
        <v>-</v>
      </c>
      <c r="V380" s="595">
        <f ca="1">SUMIFS($T:$T,$G:$G,G380,$I:$I,H380)</f>
        <v>0</v>
      </c>
      <c r="W380" s="547" t="str">
        <f ca="1">IFERROR(V380/X369,"-")</f>
        <v>-</v>
      </c>
      <c r="X380" s="584"/>
    </row>
    <row r="381" spans="3:24" x14ac:dyDescent="0.3">
      <c r="C381" s="576"/>
      <c r="D381" s="494" t="s">
        <v>471</v>
      </c>
      <c r="E381" s="657"/>
      <c r="F381" s="577"/>
      <c r="G381" s="494" t="s">
        <v>107</v>
      </c>
      <c r="H381" s="577"/>
      <c r="I381" s="450" t="s">
        <v>43</v>
      </c>
      <c r="J381" s="18" t="s">
        <v>7</v>
      </c>
      <c r="K381" s="183" t="s">
        <v>365</v>
      </c>
      <c r="L381" s="600"/>
      <c r="M381" s="601">
        <f ca="1">SUMIFS('Water Use Calcs'!$V:$V,'Water Use Calcs'!$D:$D,'End Uses'!D381,'Water Use Calcs'!$G:$G,'End Uses'!G381,'Water Use Calcs'!$I:$I,'End Uses'!I381,'Water Use Calcs'!$J:$J,'End Uses'!J381)</f>
        <v>0</v>
      </c>
      <c r="N381" s="580">
        <f ca="1">M381</f>
        <v>0</v>
      </c>
      <c r="O381" s="581" t="str">
        <f ca="1">IFERROR(N381/R369,"-")</f>
        <v>-</v>
      </c>
      <c r="P381" s="582"/>
      <c r="Q381" s="552"/>
      <c r="R381" s="584"/>
      <c r="S381" s="585">
        <f ca="1">SUMIFS('Water Use Calcs'!$W:$W,'Water Use Calcs'!$D:$D,'End Uses'!D381,'Water Use Calcs'!$G:$G,'End Uses'!G381,'Water Use Calcs'!$I:$I,'End Uses'!I381,'Water Use Calcs'!$J:$J,'End Uses'!J381)</f>
        <v>0</v>
      </c>
      <c r="T381" s="580">
        <f ca="1">S381</f>
        <v>0</v>
      </c>
      <c r="U381" s="581" t="str">
        <f ca="1">IFERROR(T381/X369,"-")</f>
        <v>-</v>
      </c>
      <c r="V381" s="582"/>
      <c r="W381" s="552"/>
      <c r="X381" s="584"/>
    </row>
    <row r="382" spans="3:24" x14ac:dyDescent="0.3">
      <c r="C382" s="576"/>
      <c r="D382" s="494" t="s">
        <v>471</v>
      </c>
      <c r="E382" s="657"/>
      <c r="F382" s="577"/>
      <c r="G382" s="494" t="s">
        <v>107</v>
      </c>
      <c r="H382" s="577"/>
      <c r="I382" s="450" t="s">
        <v>43</v>
      </c>
      <c r="J382" s="577" t="s">
        <v>9</v>
      </c>
      <c r="K382" s="635" t="s">
        <v>121</v>
      </c>
      <c r="L382" s="578">
        <f>SUMIFS('Airport Statistics'!$G:$G,'Airport Statistics'!$D:$D,G382,'Airport Statistics'!$F:$F,K382)</f>
        <v>0</v>
      </c>
      <c r="M382" s="579">
        <f>SUMIFS('Water Use Calcs'!$V:$V,'Water Use Calcs'!$D:$D,'End Uses'!D382,'Water Use Calcs'!$G:$G,'End Uses'!G382,'Water Use Calcs'!$I:$I,'End Uses'!I382,'Water Use Calcs'!$J:$J,'End Uses'!J382)</f>
        <v>0</v>
      </c>
      <c r="N382" s="580">
        <f t="shared" si="39"/>
        <v>0</v>
      </c>
      <c r="O382" s="581" t="str">
        <f ca="1">IFERROR(N382/R369,"-")</f>
        <v>-</v>
      </c>
      <c r="P382" s="582"/>
      <c r="Q382" s="552"/>
      <c r="R382" s="584"/>
      <c r="S382" s="585">
        <f>SUMIFS('Water Use Calcs'!$W:$W,'Water Use Calcs'!$D:$D,'End Uses'!D382,'Water Use Calcs'!$G:$G,'End Uses'!G382,'Water Use Calcs'!$I:$I,'End Uses'!I382,'Water Use Calcs'!$J:$J,'End Uses'!J382)</f>
        <v>0</v>
      </c>
      <c r="T382" s="580">
        <f t="shared" si="38"/>
        <v>0</v>
      </c>
      <c r="U382" s="581" t="str">
        <f ca="1">IFERROR(T382/X369,"-")</f>
        <v>-</v>
      </c>
      <c r="V382" s="582"/>
      <c r="W382" s="552"/>
      <c r="X382" s="584"/>
    </row>
    <row r="383" spans="3:24" x14ac:dyDescent="0.3">
      <c r="C383" s="576"/>
      <c r="D383" s="494" t="s">
        <v>471</v>
      </c>
      <c r="E383" s="657"/>
      <c r="F383" s="577"/>
      <c r="G383" s="494" t="s">
        <v>107</v>
      </c>
      <c r="H383" s="577"/>
      <c r="I383" s="450" t="s">
        <v>43</v>
      </c>
      <c r="J383" s="577" t="s">
        <v>426</v>
      </c>
      <c r="K383" s="635" t="s">
        <v>121</v>
      </c>
      <c r="L383" s="578">
        <f>SUMIFS('Airport Statistics'!$G:$G,'Airport Statistics'!$D:$D,G383,'Airport Statistics'!$F:$F,K383)</f>
        <v>0</v>
      </c>
      <c r="M383" s="579">
        <f ca="1">SUMIFS('Water Use Calcs'!$V:$V,'Water Use Calcs'!$D:$D,'End Uses'!D383,'Water Use Calcs'!$G:$G,'End Uses'!G383,'Water Use Calcs'!$I:$I,'End Uses'!I383,'Water Use Calcs'!$J:$J,'End Uses'!J383)</f>
        <v>0</v>
      </c>
      <c r="N383" s="580">
        <f t="shared" ca="1" si="39"/>
        <v>0</v>
      </c>
      <c r="O383" s="581" t="str">
        <f ca="1">IFERROR(N383/R369,"-")</f>
        <v>-</v>
      </c>
      <c r="P383" s="404"/>
      <c r="Q383" s="404"/>
      <c r="R383" s="584"/>
      <c r="S383" s="585">
        <f ca="1">SUMIFS('Water Use Calcs'!$W:$W,'Water Use Calcs'!$D:$D,'End Uses'!D383,'Water Use Calcs'!$G:$G,'End Uses'!G383,'Water Use Calcs'!$I:$I,'End Uses'!I383,'Water Use Calcs'!$J:$J,'End Uses'!J383)</f>
        <v>0</v>
      </c>
      <c r="T383" s="580">
        <f t="shared" ca="1" si="38"/>
        <v>0</v>
      </c>
      <c r="U383" s="581" t="str">
        <f ca="1">IFERROR(T383/X369,"-")</f>
        <v>-</v>
      </c>
      <c r="V383" s="404"/>
      <c r="W383" s="404"/>
      <c r="X383" s="584"/>
    </row>
    <row r="384" spans="3:24" x14ac:dyDescent="0.3">
      <c r="C384" s="576"/>
      <c r="D384" s="494" t="s">
        <v>471</v>
      </c>
      <c r="E384" s="657"/>
      <c r="F384" s="577"/>
      <c r="G384" s="494" t="s">
        <v>107</v>
      </c>
      <c r="H384" s="588" t="str">
        <f>I384</f>
        <v>Other</v>
      </c>
      <c r="I384" s="455" t="s">
        <v>8</v>
      </c>
      <c r="J384" s="589" t="s">
        <v>52</v>
      </c>
      <c r="K384" s="602" t="s">
        <v>362</v>
      </c>
      <c r="L384" s="591">
        <f>SUMIFS('Airport Statistics'!$G:$G,'Airport Statistics'!$D:$D,G384,'Airport Statistics'!$F:$F,K384)</f>
        <v>0</v>
      </c>
      <c r="M384" s="592">
        <f ca="1">SUMIFS('Water Use Calcs'!$V:$V,'Water Use Calcs'!$D:$D,'End Uses'!D384,'Water Use Calcs'!$G:$G,'End Uses'!G384,'Water Use Calcs'!$I:$I,'End Uses'!I384,'Water Use Calcs'!$J:$J,'End Uses'!J384)</f>
        <v>0</v>
      </c>
      <c r="N384" s="593">
        <f t="shared" ref="N384:N440" ca="1" si="40">L384*M384</f>
        <v>0</v>
      </c>
      <c r="O384" s="594" t="str">
        <f ca="1">IFERROR(N384/R369,"-")</f>
        <v>-</v>
      </c>
      <c r="P384" s="595">
        <f ca="1">SUMIFS($N:$N,$G:$G,G384,$I:$I,H384)</f>
        <v>0</v>
      </c>
      <c r="Q384" s="547" t="str">
        <f ca="1">IFERROR(P384/R369,"-")</f>
        <v>-</v>
      </c>
      <c r="R384" s="584"/>
      <c r="S384" s="596">
        <f ca="1">SUMIFS('Water Use Calcs'!$W:$W,'Water Use Calcs'!$D:$D,'End Uses'!D384,'Water Use Calcs'!$G:$G,'End Uses'!G384,'Water Use Calcs'!$I:$I,'End Uses'!I384,'Water Use Calcs'!$J:$J,'End Uses'!J384)</f>
        <v>0</v>
      </c>
      <c r="T384" s="593">
        <f t="shared" ca="1" si="38"/>
        <v>0</v>
      </c>
      <c r="U384" s="594" t="str">
        <f ca="1">IFERROR(T384/X369,"-")</f>
        <v>-</v>
      </c>
      <c r="V384" s="595">
        <f ca="1">SUMIFS($T:$T,$G:$G,G384,$I:$I,H384)</f>
        <v>0</v>
      </c>
      <c r="W384" s="547" t="str">
        <f ca="1">IFERROR(V384/X369,"-")</f>
        <v>-</v>
      </c>
      <c r="X384" s="584"/>
    </row>
    <row r="385" spans="3:24" x14ac:dyDescent="0.3">
      <c r="C385" s="576"/>
      <c r="D385" s="494" t="s">
        <v>471</v>
      </c>
      <c r="E385" s="657"/>
      <c r="F385" s="577"/>
      <c r="G385" s="494" t="s">
        <v>107</v>
      </c>
      <c r="H385" s="577"/>
      <c r="I385" s="450" t="s">
        <v>8</v>
      </c>
      <c r="J385" s="577" t="s">
        <v>53</v>
      </c>
      <c r="K385" s="439" t="s">
        <v>363</v>
      </c>
      <c r="L385" s="578">
        <f>SUMIFS('Airport Statistics'!$G:$G,'Airport Statistics'!$D:$D,G385,'Airport Statistics'!$F:$F,K385)</f>
        <v>0</v>
      </c>
      <c r="M385" s="579">
        <f ca="1">SUMIFS('Water Use Calcs'!$V:$V,'Water Use Calcs'!$D:$D,'End Uses'!D385,'Water Use Calcs'!$G:$G,'End Uses'!G385,'Water Use Calcs'!$I:$I,'End Uses'!I385,'Water Use Calcs'!$J:$J,'End Uses'!J385)</f>
        <v>0</v>
      </c>
      <c r="N385" s="580">
        <f t="shared" ca="1" si="40"/>
        <v>0</v>
      </c>
      <c r="O385" s="581" t="str">
        <f ca="1">IFERROR(N385/R369,"-")</f>
        <v>-</v>
      </c>
      <c r="P385" s="404"/>
      <c r="Q385" s="404"/>
      <c r="R385" s="584"/>
      <c r="S385" s="585">
        <f ca="1">SUMIFS('Water Use Calcs'!$W:$W,'Water Use Calcs'!$D:$D,'End Uses'!D385,'Water Use Calcs'!$G:$G,'End Uses'!G385,'Water Use Calcs'!$I:$I,'End Uses'!I385,'Water Use Calcs'!$J:$J,'End Uses'!J385)</f>
        <v>0</v>
      </c>
      <c r="T385" s="580">
        <f t="shared" ca="1" si="38"/>
        <v>0</v>
      </c>
      <c r="U385" s="581" t="str">
        <f ca="1">IFERROR(T385/X369,"-")</f>
        <v>-</v>
      </c>
      <c r="V385" s="404"/>
      <c r="W385" s="404"/>
      <c r="X385" s="584"/>
    </row>
    <row r="386" spans="3:24" ht="15" thickBot="1" x14ac:dyDescent="0.35">
      <c r="C386" s="576"/>
      <c r="D386" s="494" t="s">
        <v>471</v>
      </c>
      <c r="E386" s="657"/>
      <c r="F386" s="577"/>
      <c r="G386" s="501" t="s">
        <v>107</v>
      </c>
      <c r="H386" s="116"/>
      <c r="I386" s="451" t="s">
        <v>8</v>
      </c>
      <c r="J386" s="116" t="s">
        <v>54</v>
      </c>
      <c r="K386" s="606" t="s">
        <v>364</v>
      </c>
      <c r="L386" s="607">
        <f>SUMIFS('Airport Statistics'!$G:$G,'Airport Statistics'!$D:$D,G386,'Airport Statistics'!$F:$F,K386)</f>
        <v>0</v>
      </c>
      <c r="M386" s="608">
        <f ca="1">SUMIFS('Water Use Calcs'!$V:$V,'Water Use Calcs'!$D:$D,'End Uses'!D386,'Water Use Calcs'!$G:$G,'End Uses'!G386,'Water Use Calcs'!$I:$I,'End Uses'!I386,'Water Use Calcs'!$J:$J,'End Uses'!J386)</f>
        <v>0</v>
      </c>
      <c r="N386" s="609">
        <f t="shared" ca="1" si="40"/>
        <v>0</v>
      </c>
      <c r="O386" s="616" t="str">
        <f ca="1">IFERROR(N386/R369,"-")</f>
        <v>-</v>
      </c>
      <c r="P386" s="611"/>
      <c r="Q386" s="611"/>
      <c r="R386" s="613"/>
      <c r="S386" s="614">
        <f ca="1">SUMIFS('Water Use Calcs'!$W:$W,'Water Use Calcs'!$D:$D,'End Uses'!D386,'Water Use Calcs'!$G:$G,'End Uses'!G386,'Water Use Calcs'!$I:$I,'End Uses'!I386,'Water Use Calcs'!$J:$J,'End Uses'!J386)</f>
        <v>0</v>
      </c>
      <c r="T386" s="609">
        <f t="shared" ca="1" si="38"/>
        <v>0</v>
      </c>
      <c r="U386" s="616" t="str">
        <f ca="1">IFERROR(T386/X369,"-")</f>
        <v>-</v>
      </c>
      <c r="V386" s="611"/>
      <c r="W386" s="611"/>
      <c r="X386" s="613"/>
    </row>
    <row r="387" spans="3:24" x14ac:dyDescent="0.3">
      <c r="C387" s="576"/>
      <c r="D387" s="494" t="s">
        <v>471</v>
      </c>
      <c r="E387" s="656" t="str">
        <f>G387</f>
        <v>Tenant C</v>
      </c>
      <c r="F387" s="565" t="str">
        <f>VLOOKUP(E387,'Airport Mapping'!$C$5:$D$39,2,FALSE)</f>
        <v xml:space="preserve"> </v>
      </c>
      <c r="G387" s="494" t="s">
        <v>108</v>
      </c>
      <c r="H387" s="564" t="str">
        <f>I387</f>
        <v>Restrooms</v>
      </c>
      <c r="I387" s="454" t="s">
        <v>37</v>
      </c>
      <c r="J387" s="567" t="s">
        <v>2</v>
      </c>
      <c r="K387" s="620" t="s">
        <v>6</v>
      </c>
      <c r="L387" s="568">
        <f>SUMIFS('Airport Statistics'!$G:$G,'Airport Statistics'!$D:$D,G387,'Airport Statistics'!$F:$F,K387)</f>
        <v>0</v>
      </c>
      <c r="M387" s="569">
        <f ca="1">SUMIFS('Water Use Calcs'!$V:$V,'Water Use Calcs'!$D:$D,'End Uses'!D387,'Water Use Calcs'!$G:$G,'End Uses'!G387,'Water Use Calcs'!$I:$I,'End Uses'!I387,'Water Use Calcs'!$J:$J,'End Uses'!J387)</f>
        <v>0</v>
      </c>
      <c r="N387" s="570">
        <f t="shared" ca="1" si="40"/>
        <v>0</v>
      </c>
      <c r="O387" s="571" t="str">
        <f ca="1">IFERROR(N387/R387,"-")</f>
        <v>-</v>
      </c>
      <c r="P387" s="572">
        <f ca="1">SUMIFS($N:$N,$G:$G,G387,$I:$I,H387)</f>
        <v>0</v>
      </c>
      <c r="Q387" s="546" t="str">
        <f ca="1">IFERROR(P387/R387,"-")</f>
        <v>-</v>
      </c>
      <c r="R387" s="573">
        <f ca="1">SUMIFS($N:$N,$G:$G,G387)</f>
        <v>0</v>
      </c>
      <c r="S387" s="574">
        <f ca="1">SUMIFS('Water Use Calcs'!$W:$W,'Water Use Calcs'!$D:$D,'End Uses'!D387,'Water Use Calcs'!$G:$G,'End Uses'!G387,'Water Use Calcs'!$I:$I,'End Uses'!I387,'Water Use Calcs'!$J:$J,'End Uses'!J387)</f>
        <v>0</v>
      </c>
      <c r="T387" s="570">
        <f t="shared" ca="1" si="38"/>
        <v>0</v>
      </c>
      <c r="U387" s="571" t="str">
        <f ca="1">IFERROR(T387/X387,"-")</f>
        <v>-</v>
      </c>
      <c r="V387" s="572">
        <f ca="1">SUMIFS($T:$T,$G:$G,G387,$I:$I,H387)</f>
        <v>0</v>
      </c>
      <c r="W387" s="546" t="str">
        <f ca="1">IFERROR(V387/X387,"-")</f>
        <v>-</v>
      </c>
      <c r="X387" s="573">
        <f ca="1">SUMIFS($T:$T,$G:$G,G387)</f>
        <v>0</v>
      </c>
    </row>
    <row r="388" spans="3:24" x14ac:dyDescent="0.3">
      <c r="C388" s="576"/>
      <c r="D388" s="494" t="s">
        <v>471</v>
      </c>
      <c r="E388" s="657"/>
      <c r="F388" s="577"/>
      <c r="G388" s="494" t="s">
        <v>108</v>
      </c>
      <c r="H388" s="577"/>
      <c r="I388" s="450" t="s">
        <v>37</v>
      </c>
      <c r="J388" s="577" t="s">
        <v>4</v>
      </c>
      <c r="K388" s="598" t="s">
        <v>6</v>
      </c>
      <c r="L388" s="578">
        <f>SUMIFS('Airport Statistics'!$G:$G,'Airport Statistics'!$D:$D,G388,'Airport Statistics'!$F:$F,K388)</f>
        <v>0</v>
      </c>
      <c r="M388" s="579">
        <f ca="1">SUMIFS('Water Use Calcs'!$V:$V,'Water Use Calcs'!$D:$D,'End Uses'!D388,'Water Use Calcs'!$G:$G,'End Uses'!G388,'Water Use Calcs'!$I:$I,'End Uses'!I388,'Water Use Calcs'!$J:$J,'End Uses'!J388)</f>
        <v>0</v>
      </c>
      <c r="N388" s="580">
        <f t="shared" ca="1" si="40"/>
        <v>0</v>
      </c>
      <c r="O388" s="581" t="str">
        <f ca="1">IFERROR(N388/R387,"-")</f>
        <v>-</v>
      </c>
      <c r="P388" s="582"/>
      <c r="Q388" s="583"/>
      <c r="R388" s="584"/>
      <c r="S388" s="585">
        <f ca="1">SUMIFS('Water Use Calcs'!$W:$W,'Water Use Calcs'!$D:$D,'End Uses'!D388,'Water Use Calcs'!$G:$G,'End Uses'!G388,'Water Use Calcs'!$I:$I,'End Uses'!I388,'Water Use Calcs'!$J:$J,'End Uses'!J388)</f>
        <v>0</v>
      </c>
      <c r="T388" s="580">
        <f t="shared" ca="1" si="38"/>
        <v>0</v>
      </c>
      <c r="U388" s="581" t="str">
        <f ca="1">IFERROR(T388/X387,"-")</f>
        <v>-</v>
      </c>
      <c r="V388" s="582"/>
      <c r="W388" s="583"/>
      <c r="X388" s="584"/>
    </row>
    <row r="389" spans="3:24" x14ac:dyDescent="0.3">
      <c r="C389" s="576"/>
      <c r="D389" s="494" t="s">
        <v>471</v>
      </c>
      <c r="E389" s="657"/>
      <c r="F389" s="577"/>
      <c r="G389" s="494" t="s">
        <v>108</v>
      </c>
      <c r="H389" s="577"/>
      <c r="I389" s="450" t="s">
        <v>37</v>
      </c>
      <c r="J389" s="577" t="s">
        <v>33</v>
      </c>
      <c r="K389" s="598" t="s">
        <v>6</v>
      </c>
      <c r="L389" s="578">
        <f>SUMIFS('Airport Statistics'!$G:$G,'Airport Statistics'!$D:$D,G389,'Airport Statistics'!$F:$F,K389)</f>
        <v>0</v>
      </c>
      <c r="M389" s="579">
        <f ca="1">SUMIFS('Water Use Calcs'!$V:$V,'Water Use Calcs'!$D:$D,'End Uses'!D389,'Water Use Calcs'!$G:$G,'End Uses'!G389,'Water Use Calcs'!$I:$I,'End Uses'!I389,'Water Use Calcs'!$J:$J,'End Uses'!J389)</f>
        <v>0</v>
      </c>
      <c r="N389" s="580">
        <f t="shared" ca="1" si="40"/>
        <v>0</v>
      </c>
      <c r="O389" s="581" t="str">
        <f ca="1">IFERROR(N389/R387,"-")</f>
        <v>-</v>
      </c>
      <c r="P389" s="582"/>
      <c r="Q389" s="583"/>
      <c r="R389" s="584"/>
      <c r="S389" s="585">
        <f ca="1">SUMIFS('Water Use Calcs'!$W:$W,'Water Use Calcs'!$D:$D,'End Uses'!D389,'Water Use Calcs'!$G:$G,'End Uses'!G389,'Water Use Calcs'!$I:$I,'End Uses'!I389,'Water Use Calcs'!$J:$J,'End Uses'!J389)</f>
        <v>0</v>
      </c>
      <c r="T389" s="580">
        <f t="shared" ca="1" si="38"/>
        <v>0</v>
      </c>
      <c r="U389" s="581" t="str">
        <f ca="1">IFERROR(T389/X387,"-")</f>
        <v>-</v>
      </c>
      <c r="V389" s="582"/>
      <c r="W389" s="583"/>
      <c r="X389" s="584"/>
    </row>
    <row r="390" spans="3:24" x14ac:dyDescent="0.3">
      <c r="C390" s="576"/>
      <c r="D390" s="494" t="s">
        <v>471</v>
      </c>
      <c r="E390" s="657"/>
      <c r="F390" s="577"/>
      <c r="G390" s="494" t="s">
        <v>108</v>
      </c>
      <c r="H390" s="622" t="str">
        <f>I390</f>
        <v>Break rooms</v>
      </c>
      <c r="I390" s="623" t="s">
        <v>5</v>
      </c>
      <c r="J390" s="624" t="s">
        <v>33</v>
      </c>
      <c r="K390" s="625" t="s">
        <v>6</v>
      </c>
      <c r="L390" s="496">
        <f>SUMIFS('Airport Statistics'!$G:$G,'Airport Statistics'!$D:$D,G390,'Airport Statistics'!$F:$F,K390)</f>
        <v>0</v>
      </c>
      <c r="M390" s="626">
        <f ca="1">SUMIFS('Water Use Calcs'!$V:$V,'Water Use Calcs'!$D:$D,'End Uses'!D390,'Water Use Calcs'!$G:$G,'End Uses'!G390,'Water Use Calcs'!$I:$I,'End Uses'!I390,'Water Use Calcs'!$J:$J,'End Uses'!J390)</f>
        <v>0</v>
      </c>
      <c r="N390" s="627">
        <f t="shared" ca="1" si="40"/>
        <v>0</v>
      </c>
      <c r="O390" s="628" t="str">
        <f ca="1">IFERROR(N390/R387,"-")</f>
        <v>-</v>
      </c>
      <c r="P390" s="629">
        <f ca="1">SUMIFS($N:$N,$G:$G,G390,$I:$I,H390)</f>
        <v>0</v>
      </c>
      <c r="Q390" s="291" t="str">
        <f ca="1">IFERROR(P390/R387,"-")</f>
        <v>-</v>
      </c>
      <c r="R390" s="584"/>
      <c r="S390" s="630">
        <f ca="1">SUMIFS('Water Use Calcs'!$W:$W,'Water Use Calcs'!$D:$D,'End Uses'!D390,'Water Use Calcs'!$G:$G,'End Uses'!G390,'Water Use Calcs'!$I:$I,'End Uses'!I390,'Water Use Calcs'!$J:$J,'End Uses'!J390)</f>
        <v>0</v>
      </c>
      <c r="T390" s="627">
        <f t="shared" ca="1" si="38"/>
        <v>0</v>
      </c>
      <c r="U390" s="628" t="str">
        <f ca="1">IFERROR(T390/X387,"-")</f>
        <v>-</v>
      </c>
      <c r="V390" s="629">
        <f ca="1">SUMIFS($T:$T,$G:$G,G390,$I:$I,H390)</f>
        <v>0</v>
      </c>
      <c r="W390" s="291" t="str">
        <f ca="1">IFERROR(V390/X387,"-")</f>
        <v>-</v>
      </c>
      <c r="X390" s="584"/>
    </row>
    <row r="391" spans="3:24" x14ac:dyDescent="0.3">
      <c r="C391" s="576"/>
      <c r="D391" s="494" t="s">
        <v>471</v>
      </c>
      <c r="E391" s="657"/>
      <c r="F391" s="577"/>
      <c r="G391" s="494" t="s">
        <v>108</v>
      </c>
      <c r="H391" s="588" t="str">
        <f>I391</f>
        <v>Flight kitchens</v>
      </c>
      <c r="I391" s="455" t="s">
        <v>391</v>
      </c>
      <c r="J391" s="589" t="s">
        <v>114</v>
      </c>
      <c r="K391" s="428" t="s">
        <v>118</v>
      </c>
      <c r="L391" s="591">
        <f>SUMIFS('Airport Statistics'!$G:$G,'Airport Statistics'!$D:$D,G391,'Airport Statistics'!$F:$F,K391)</f>
        <v>0</v>
      </c>
      <c r="M391" s="592">
        <f ca="1">SUMIFS('Water Use Calcs'!$V:$V,'Water Use Calcs'!$D:$D,'End Uses'!D391,'Water Use Calcs'!$G:$G,'End Uses'!G391,'Water Use Calcs'!$I:$I,'End Uses'!I391,'Water Use Calcs'!$J:$J,'End Uses'!J391)</f>
        <v>0</v>
      </c>
      <c r="N391" s="593">
        <f t="shared" ca="1" si="40"/>
        <v>0</v>
      </c>
      <c r="O391" s="594" t="str">
        <f ca="1">IFERROR(N391/R387,"-")</f>
        <v>-</v>
      </c>
      <c r="P391" s="595">
        <f ca="1">SUMIFS($N:$N,$G:$G,G391,$I:$I,H391)</f>
        <v>0</v>
      </c>
      <c r="Q391" s="547" t="str">
        <f ca="1">IFERROR(P391/R387,"-")</f>
        <v>-</v>
      </c>
      <c r="R391" s="584"/>
      <c r="S391" s="596">
        <f ca="1">SUMIFS('Water Use Calcs'!$W:$W,'Water Use Calcs'!$D:$D,'End Uses'!D391,'Water Use Calcs'!$G:$G,'End Uses'!G391,'Water Use Calcs'!$I:$I,'End Uses'!I391,'Water Use Calcs'!$J:$J,'End Uses'!J391)</f>
        <v>0</v>
      </c>
      <c r="T391" s="593">
        <f t="shared" ca="1" si="38"/>
        <v>0</v>
      </c>
      <c r="U391" s="594" t="str">
        <f ca="1">IFERROR(T391/X387,"-")</f>
        <v>-</v>
      </c>
      <c r="V391" s="595">
        <f ca="1">SUMIFS($T:$T,$G:$G,G391,$I:$I,H391)</f>
        <v>0</v>
      </c>
      <c r="W391" s="547" t="str">
        <f ca="1">IFERROR(V391/X387,"-")</f>
        <v>-</v>
      </c>
      <c r="X391" s="584"/>
    </row>
    <row r="392" spans="3:24" x14ac:dyDescent="0.3">
      <c r="C392" s="576"/>
      <c r="D392" s="494" t="s">
        <v>471</v>
      </c>
      <c r="E392" s="657"/>
      <c r="F392" s="577"/>
      <c r="G392" s="494" t="s">
        <v>108</v>
      </c>
      <c r="H392" s="577"/>
      <c r="I392" s="450" t="s">
        <v>391</v>
      </c>
      <c r="J392" s="577" t="s">
        <v>41</v>
      </c>
      <c r="K392" s="400" t="s">
        <v>118</v>
      </c>
      <c r="L392" s="578">
        <f>SUMIFS('Airport Statistics'!$G:$G,'Airport Statistics'!$D:$D,G392,'Airport Statistics'!$F:$F,K392)</f>
        <v>0</v>
      </c>
      <c r="M392" s="579">
        <f ca="1">SUMIFS('Water Use Calcs'!$V:$V,'Water Use Calcs'!$D:$D,'End Uses'!D392,'Water Use Calcs'!$G:$G,'End Uses'!G392,'Water Use Calcs'!$I:$I,'End Uses'!I392,'Water Use Calcs'!$J:$J,'End Uses'!J392)</f>
        <v>0</v>
      </c>
      <c r="N392" s="580">
        <f t="shared" ca="1" si="40"/>
        <v>0</v>
      </c>
      <c r="O392" s="581" t="str">
        <f ca="1">IFERROR(N392/R387,"-")</f>
        <v>-</v>
      </c>
      <c r="P392" s="582"/>
      <c r="Q392" s="548"/>
      <c r="R392" s="584"/>
      <c r="S392" s="585">
        <f ca="1">SUMIFS('Water Use Calcs'!$W:$W,'Water Use Calcs'!$D:$D,'End Uses'!D392,'Water Use Calcs'!$G:$G,'End Uses'!G392,'Water Use Calcs'!$I:$I,'End Uses'!I392,'Water Use Calcs'!$J:$J,'End Uses'!J392)</f>
        <v>0</v>
      </c>
      <c r="T392" s="580">
        <f t="shared" ca="1" si="38"/>
        <v>0</v>
      </c>
      <c r="U392" s="581" t="str">
        <f ca="1">IFERROR(T392/X387,"-")</f>
        <v>-</v>
      </c>
      <c r="V392" s="582"/>
      <c r="W392" s="548"/>
      <c r="X392" s="584"/>
    </row>
    <row r="393" spans="3:24" x14ac:dyDescent="0.3">
      <c r="C393" s="576"/>
      <c r="D393" s="494" t="s">
        <v>471</v>
      </c>
      <c r="E393" s="657"/>
      <c r="F393" s="577"/>
      <c r="G393" s="494" t="s">
        <v>108</v>
      </c>
      <c r="H393" s="577"/>
      <c r="I393" s="450" t="s">
        <v>391</v>
      </c>
      <c r="J393" s="577" t="s">
        <v>20</v>
      </c>
      <c r="K393" s="400" t="s">
        <v>118</v>
      </c>
      <c r="L393" s="578">
        <f>SUMIFS('Airport Statistics'!$G:$G,'Airport Statistics'!$D:$D,G393,'Airport Statistics'!$F:$F,K393)</f>
        <v>0</v>
      </c>
      <c r="M393" s="579">
        <f ca="1">SUMIFS('Water Use Calcs'!$V:$V,'Water Use Calcs'!$D:$D,'End Uses'!D393,'Water Use Calcs'!$G:$G,'End Uses'!G393,'Water Use Calcs'!$I:$I,'End Uses'!I393,'Water Use Calcs'!$J:$J,'End Uses'!J393)</f>
        <v>0</v>
      </c>
      <c r="N393" s="580">
        <f t="shared" ca="1" si="40"/>
        <v>0</v>
      </c>
      <c r="O393" s="581" t="str">
        <f ca="1">IFERROR(N393/R387,"-")</f>
        <v>-</v>
      </c>
      <c r="P393" s="404"/>
      <c r="Q393" s="548"/>
      <c r="R393" s="584"/>
      <c r="S393" s="585">
        <f ca="1">SUMIFS('Water Use Calcs'!$W:$W,'Water Use Calcs'!$D:$D,'End Uses'!D393,'Water Use Calcs'!$G:$G,'End Uses'!G393,'Water Use Calcs'!$I:$I,'End Uses'!I393,'Water Use Calcs'!$J:$J,'End Uses'!J393)</f>
        <v>0</v>
      </c>
      <c r="T393" s="580">
        <f t="shared" ca="1" si="38"/>
        <v>0</v>
      </c>
      <c r="U393" s="581" t="str">
        <f ca="1">IFERROR(T393/X387,"-")</f>
        <v>-</v>
      </c>
      <c r="V393" s="404"/>
      <c r="W393" s="548"/>
      <c r="X393" s="584"/>
    </row>
    <row r="394" spans="3:24" x14ac:dyDescent="0.3">
      <c r="C394" s="576"/>
      <c r="D394" s="494" t="s">
        <v>471</v>
      </c>
      <c r="E394" s="657"/>
      <c r="F394" s="577"/>
      <c r="G394" s="494" t="s">
        <v>108</v>
      </c>
      <c r="H394" s="588" t="str">
        <f>I394</f>
        <v>Aircraft</v>
      </c>
      <c r="I394" s="455" t="s">
        <v>44</v>
      </c>
      <c r="J394" s="589" t="s">
        <v>27</v>
      </c>
      <c r="K394" s="19" t="s">
        <v>121</v>
      </c>
      <c r="L394" s="591">
        <f>SUMIFS('Airport Statistics'!$G:$G,'Airport Statistics'!$D:$D,G394,'Airport Statistics'!$F:$F,K394)</f>
        <v>0</v>
      </c>
      <c r="M394" s="592">
        <f ca="1">SUMIFS('Water Use Calcs'!$V:$V,'Water Use Calcs'!$D:$D,'End Uses'!D394,'Water Use Calcs'!$G:$G,'End Uses'!G394,'Water Use Calcs'!$I:$I,'End Uses'!I394,'Water Use Calcs'!$J:$J,'End Uses'!J394)</f>
        <v>0</v>
      </c>
      <c r="N394" s="593">
        <f t="shared" ca="1" si="40"/>
        <v>0</v>
      </c>
      <c r="O394" s="594" t="str">
        <f ca="1">IFERROR(N394/R387,"-")</f>
        <v>-</v>
      </c>
      <c r="P394" s="595">
        <f ca="1">SUMIFS($N:$N,$G:$G,G394,$I:$I,H394)</f>
        <v>0</v>
      </c>
      <c r="Q394" s="547" t="str">
        <f ca="1">IFERROR(P394/R387,"-")</f>
        <v>-</v>
      </c>
      <c r="R394" s="584"/>
      <c r="S394" s="596">
        <f ca="1">SUMIFS('Water Use Calcs'!$W:$W,'Water Use Calcs'!$D:$D,'End Uses'!D394,'Water Use Calcs'!$G:$G,'End Uses'!G394,'Water Use Calcs'!$I:$I,'End Uses'!I394,'Water Use Calcs'!$J:$J,'End Uses'!J394)</f>
        <v>0</v>
      </c>
      <c r="T394" s="593">
        <f t="shared" ca="1" si="38"/>
        <v>0</v>
      </c>
      <c r="U394" s="594" t="str">
        <f ca="1">IFERROR(T394/X387,"-")</f>
        <v>-</v>
      </c>
      <c r="V394" s="595">
        <f ca="1">SUMIFS($T:$T,$G:$G,G394,$I:$I,H394)</f>
        <v>0</v>
      </c>
      <c r="W394" s="547" t="str">
        <f ca="1">IFERROR(V394/X387,"-")</f>
        <v>-</v>
      </c>
      <c r="X394" s="584"/>
    </row>
    <row r="395" spans="3:24" x14ac:dyDescent="0.3">
      <c r="C395" s="576"/>
      <c r="D395" s="494" t="s">
        <v>471</v>
      </c>
      <c r="E395" s="657"/>
      <c r="F395" s="577"/>
      <c r="G395" s="494" t="s">
        <v>108</v>
      </c>
      <c r="H395" s="577"/>
      <c r="I395" s="450" t="s">
        <v>44</v>
      </c>
      <c r="J395" s="577" t="s">
        <v>28</v>
      </c>
      <c r="K395" s="635" t="s">
        <v>121</v>
      </c>
      <c r="L395" s="578">
        <f>SUMIFS('Airport Statistics'!$G:$G,'Airport Statistics'!$D:$D,G395,'Airport Statistics'!$F:$F,K395)</f>
        <v>0</v>
      </c>
      <c r="M395" s="579">
        <f ca="1">SUMIFS('Water Use Calcs'!$V:$V,'Water Use Calcs'!$D:$D,'End Uses'!D395,'Water Use Calcs'!$G:$G,'End Uses'!G395,'Water Use Calcs'!$I:$I,'End Uses'!I395,'Water Use Calcs'!$J:$J,'End Uses'!J395)</f>
        <v>0</v>
      </c>
      <c r="N395" s="580">
        <f t="shared" ca="1" si="40"/>
        <v>0</v>
      </c>
      <c r="O395" s="581" t="str">
        <f ca="1">IFERROR(N395/R387,"-")</f>
        <v>-</v>
      </c>
      <c r="P395" s="404"/>
      <c r="Q395" s="548"/>
      <c r="R395" s="584"/>
      <c r="S395" s="585">
        <f ca="1">SUMIFS('Water Use Calcs'!$W:$W,'Water Use Calcs'!$D:$D,'End Uses'!D395,'Water Use Calcs'!$G:$G,'End Uses'!G395,'Water Use Calcs'!$I:$I,'End Uses'!I395,'Water Use Calcs'!$J:$J,'End Uses'!J395)</f>
        <v>0</v>
      </c>
      <c r="T395" s="580">
        <f t="shared" ca="1" si="38"/>
        <v>0</v>
      </c>
      <c r="U395" s="581" t="str">
        <f ca="1">IFERROR(T395/X387,"-")</f>
        <v>-</v>
      </c>
      <c r="V395" s="404"/>
      <c r="W395" s="548"/>
      <c r="X395" s="584"/>
    </row>
    <row r="396" spans="3:24" x14ac:dyDescent="0.3">
      <c r="C396" s="576"/>
      <c r="D396" s="494" t="s">
        <v>471</v>
      </c>
      <c r="E396" s="657"/>
      <c r="F396" s="577"/>
      <c r="G396" s="494" t="s">
        <v>108</v>
      </c>
      <c r="H396" s="577"/>
      <c r="I396" s="450" t="s">
        <v>44</v>
      </c>
      <c r="J396" s="577" t="s">
        <v>29</v>
      </c>
      <c r="K396" s="635" t="s">
        <v>121</v>
      </c>
      <c r="L396" s="578">
        <f>SUMIFS('Airport Statistics'!$G:$G,'Airport Statistics'!$D:$D,G396,'Airport Statistics'!$F:$F,K396)</f>
        <v>0</v>
      </c>
      <c r="M396" s="579">
        <f ca="1">SUMIFS('Water Use Calcs'!$V:$V,'Water Use Calcs'!$D:$D,'End Uses'!D396,'Water Use Calcs'!$G:$G,'End Uses'!G396,'Water Use Calcs'!$I:$I,'End Uses'!I396,'Water Use Calcs'!$J:$J,'End Uses'!J396)</f>
        <v>0</v>
      </c>
      <c r="N396" s="580">
        <f t="shared" ca="1" si="40"/>
        <v>0</v>
      </c>
      <c r="O396" s="581" t="str">
        <f ca="1">IFERROR(N396/R387,"-")</f>
        <v>-</v>
      </c>
      <c r="P396" s="582"/>
      <c r="Q396" s="548"/>
      <c r="R396" s="584"/>
      <c r="S396" s="585">
        <f ca="1">SUMIFS('Water Use Calcs'!$W:$W,'Water Use Calcs'!$D:$D,'End Uses'!D396,'Water Use Calcs'!$G:$G,'End Uses'!G396,'Water Use Calcs'!$I:$I,'End Uses'!I396,'Water Use Calcs'!$J:$J,'End Uses'!J396)</f>
        <v>0</v>
      </c>
      <c r="T396" s="580">
        <f t="shared" ca="1" si="38"/>
        <v>0</v>
      </c>
      <c r="U396" s="581" t="str">
        <f ca="1">IFERROR(T396/X387,"-")</f>
        <v>-</v>
      </c>
      <c r="V396" s="582"/>
      <c r="W396" s="548"/>
      <c r="X396" s="584"/>
    </row>
    <row r="397" spans="3:24" x14ac:dyDescent="0.3">
      <c r="C397" s="576"/>
      <c r="D397" s="494" t="s">
        <v>471</v>
      </c>
      <c r="E397" s="657"/>
      <c r="F397" s="577"/>
      <c r="G397" s="494" t="s">
        <v>108</v>
      </c>
      <c r="H397" s="622" t="str">
        <f>I397</f>
        <v>Landscaping</v>
      </c>
      <c r="I397" s="623" t="s">
        <v>39</v>
      </c>
      <c r="J397" s="624" t="s">
        <v>42</v>
      </c>
      <c r="K397" s="20" t="s">
        <v>120</v>
      </c>
      <c r="L397" s="496">
        <f>SUMIFS('Airport Statistics'!$G:$G,'Airport Statistics'!$D:$D,G397,'Airport Statistics'!$F:$F,K397)</f>
        <v>0</v>
      </c>
      <c r="M397" s="626">
        <f ca="1">SUMIFS('Water Use Calcs'!$V:$V,'Water Use Calcs'!$D:$D,'End Uses'!D397,'Water Use Calcs'!$G:$G,'End Uses'!G397,'Water Use Calcs'!$I:$I,'End Uses'!I397,'Water Use Calcs'!$J:$J,'End Uses'!J397)</f>
        <v>0</v>
      </c>
      <c r="N397" s="627">
        <f t="shared" ca="1" si="40"/>
        <v>0</v>
      </c>
      <c r="O397" s="628" t="str">
        <f ca="1">IFERROR(N397/R387,"-")</f>
        <v>-</v>
      </c>
      <c r="P397" s="629">
        <f ca="1">SUMIFS($N:$N,$G:$G,G397,$I:$I,H397)</f>
        <v>0</v>
      </c>
      <c r="Q397" s="291" t="str">
        <f ca="1">IFERROR(P397/R387,"-")</f>
        <v>-</v>
      </c>
      <c r="R397" s="584"/>
      <c r="S397" s="630">
        <f ca="1">SUMIFS('Water Use Calcs'!$W:$W,'Water Use Calcs'!$D:$D,'End Uses'!D397,'Water Use Calcs'!$G:$G,'End Uses'!G397,'Water Use Calcs'!$I:$I,'End Uses'!I397,'Water Use Calcs'!$J:$J,'End Uses'!J397)</f>
        <v>0</v>
      </c>
      <c r="T397" s="627">
        <f t="shared" ca="1" si="38"/>
        <v>0</v>
      </c>
      <c r="U397" s="628" t="str">
        <f ca="1">IFERROR(T397/X387,"-")</f>
        <v>-</v>
      </c>
      <c r="V397" s="629">
        <f ca="1">SUMIFS($T:$T,$G:$G,G397,$I:$I,H397)</f>
        <v>0</v>
      </c>
      <c r="W397" s="291" t="str">
        <f ca="1">IFERROR(V397/X387,"-")</f>
        <v>-</v>
      </c>
      <c r="X397" s="584"/>
    </row>
    <row r="398" spans="3:24" x14ac:dyDescent="0.3">
      <c r="C398" s="576"/>
      <c r="D398" s="494" t="s">
        <v>471</v>
      </c>
      <c r="E398" s="657"/>
      <c r="F398" s="577"/>
      <c r="G398" s="494" t="s">
        <v>108</v>
      </c>
      <c r="H398" s="588" t="str">
        <f>I398</f>
        <v>Maintenance</v>
      </c>
      <c r="I398" s="455" t="s">
        <v>43</v>
      </c>
      <c r="J398" s="17" t="s">
        <v>111</v>
      </c>
      <c r="K398" s="599" t="s">
        <v>424</v>
      </c>
      <c r="L398" s="591">
        <f>SUMIFS('Airport Statistics'!$G:$G,'Airport Statistics'!$D:$D,G398,'Airport Statistics'!$F:$F,K398)</f>
        <v>0</v>
      </c>
      <c r="M398" s="592">
        <f ca="1">SUMIFS('Water Use Calcs'!$V:$V,'Water Use Calcs'!$D:$D,'End Uses'!D398,'Water Use Calcs'!$G:$G,'End Uses'!G398,'Water Use Calcs'!$I:$I,'End Uses'!I398,'Water Use Calcs'!$J:$J,'End Uses'!J398)</f>
        <v>0</v>
      </c>
      <c r="N398" s="593">
        <f t="shared" ca="1" si="40"/>
        <v>0</v>
      </c>
      <c r="O398" s="594" t="str">
        <f ca="1">IFERROR(N398/R387,"-")</f>
        <v>-</v>
      </c>
      <c r="P398" s="595">
        <f ca="1">SUMIFS($N:$N,$G:$G,G398,$I:$I,H398)</f>
        <v>0</v>
      </c>
      <c r="Q398" s="547" t="str">
        <f ca="1">IFERROR(P398/R387,"-")</f>
        <v>-</v>
      </c>
      <c r="R398" s="584"/>
      <c r="S398" s="596">
        <f ca="1">SUMIFS('Water Use Calcs'!$W:$W,'Water Use Calcs'!$D:$D,'End Uses'!D398,'Water Use Calcs'!$G:$G,'End Uses'!G398,'Water Use Calcs'!$I:$I,'End Uses'!I398,'Water Use Calcs'!$J:$J,'End Uses'!J398)</f>
        <v>0</v>
      </c>
      <c r="T398" s="593">
        <f t="shared" ca="1" si="38"/>
        <v>0</v>
      </c>
      <c r="U398" s="594" t="str">
        <f ca="1">IFERROR(T398/X387,"-")</f>
        <v>-</v>
      </c>
      <c r="V398" s="595">
        <f ca="1">SUMIFS($T:$T,$G:$G,G398,$I:$I,H398)</f>
        <v>0</v>
      </c>
      <c r="W398" s="547" t="str">
        <f ca="1">IFERROR(V398/X387,"-")</f>
        <v>-</v>
      </c>
      <c r="X398" s="584"/>
    </row>
    <row r="399" spans="3:24" x14ac:dyDescent="0.3">
      <c r="C399" s="576"/>
      <c r="D399" s="494" t="s">
        <v>471</v>
      </c>
      <c r="E399" s="657"/>
      <c r="F399" s="577"/>
      <c r="G399" s="494" t="s">
        <v>108</v>
      </c>
      <c r="H399" s="577"/>
      <c r="I399" s="450" t="s">
        <v>43</v>
      </c>
      <c r="J399" s="18" t="s">
        <v>7</v>
      </c>
      <c r="K399" s="183" t="s">
        <v>365</v>
      </c>
      <c r="L399" s="600"/>
      <c r="M399" s="601">
        <f ca="1">SUMIFS('Water Use Calcs'!$V:$V,'Water Use Calcs'!$D:$D,'End Uses'!D399,'Water Use Calcs'!$G:$G,'End Uses'!G399,'Water Use Calcs'!$I:$I,'End Uses'!I399,'Water Use Calcs'!$J:$J,'End Uses'!J399)</f>
        <v>0</v>
      </c>
      <c r="N399" s="580">
        <f ca="1">M399</f>
        <v>0</v>
      </c>
      <c r="O399" s="581" t="str">
        <f ca="1">IFERROR(N399/R387,"-")</f>
        <v>-</v>
      </c>
      <c r="P399" s="582"/>
      <c r="Q399" s="552"/>
      <c r="R399" s="584"/>
      <c r="S399" s="585">
        <f ca="1">SUMIFS('Water Use Calcs'!$W:$W,'Water Use Calcs'!$D:$D,'End Uses'!D399,'Water Use Calcs'!$G:$G,'End Uses'!G399,'Water Use Calcs'!$I:$I,'End Uses'!I399,'Water Use Calcs'!$J:$J,'End Uses'!J399)</f>
        <v>0</v>
      </c>
      <c r="T399" s="580">
        <f ca="1">S399</f>
        <v>0</v>
      </c>
      <c r="U399" s="581" t="str">
        <f ca="1">IFERROR(T399/X387,"-")</f>
        <v>-</v>
      </c>
      <c r="V399" s="582"/>
      <c r="W399" s="552"/>
      <c r="X399" s="584"/>
    </row>
    <row r="400" spans="3:24" x14ac:dyDescent="0.3">
      <c r="C400" s="576"/>
      <c r="D400" s="494" t="s">
        <v>471</v>
      </c>
      <c r="E400" s="657"/>
      <c r="F400" s="577"/>
      <c r="G400" s="494" t="s">
        <v>108</v>
      </c>
      <c r="H400" s="577"/>
      <c r="I400" s="450" t="s">
        <v>43</v>
      </c>
      <c r="J400" s="577" t="s">
        <v>9</v>
      </c>
      <c r="K400" s="635" t="s">
        <v>121</v>
      </c>
      <c r="L400" s="578">
        <f>SUMIFS('Airport Statistics'!$G:$G,'Airport Statistics'!$D:$D,G400,'Airport Statistics'!$F:$F,K400)</f>
        <v>0</v>
      </c>
      <c r="M400" s="579">
        <f>SUMIFS('Water Use Calcs'!$V:$V,'Water Use Calcs'!$D:$D,'End Uses'!D400,'Water Use Calcs'!$G:$G,'End Uses'!G400,'Water Use Calcs'!$I:$I,'End Uses'!I400,'Water Use Calcs'!$J:$J,'End Uses'!J400)</f>
        <v>0</v>
      </c>
      <c r="N400" s="580">
        <f t="shared" si="40"/>
        <v>0</v>
      </c>
      <c r="O400" s="581" t="str">
        <f ca="1">IFERROR(N400/R387,"-")</f>
        <v>-</v>
      </c>
      <c r="P400" s="582"/>
      <c r="Q400" s="552"/>
      <c r="R400" s="584"/>
      <c r="S400" s="585">
        <f>SUMIFS('Water Use Calcs'!$W:$W,'Water Use Calcs'!$D:$D,'End Uses'!D400,'Water Use Calcs'!$G:$G,'End Uses'!G400,'Water Use Calcs'!$I:$I,'End Uses'!I400,'Water Use Calcs'!$J:$J,'End Uses'!J400)</f>
        <v>0</v>
      </c>
      <c r="T400" s="580">
        <f t="shared" si="38"/>
        <v>0</v>
      </c>
      <c r="U400" s="581" t="str">
        <f ca="1">IFERROR(T400/X387,"-")</f>
        <v>-</v>
      </c>
      <c r="V400" s="582"/>
      <c r="W400" s="552"/>
      <c r="X400" s="584"/>
    </row>
    <row r="401" spans="3:24" x14ac:dyDescent="0.3">
      <c r="C401" s="576"/>
      <c r="D401" s="494" t="s">
        <v>471</v>
      </c>
      <c r="E401" s="657"/>
      <c r="F401" s="577"/>
      <c r="G401" s="494" t="s">
        <v>108</v>
      </c>
      <c r="H401" s="577"/>
      <c r="I401" s="450" t="s">
        <v>43</v>
      </c>
      <c r="J401" s="577" t="s">
        <v>426</v>
      </c>
      <c r="K401" s="635" t="s">
        <v>121</v>
      </c>
      <c r="L401" s="578">
        <f>SUMIFS('Airport Statistics'!$G:$G,'Airport Statistics'!$D:$D,G401,'Airport Statistics'!$F:$F,K401)</f>
        <v>0</v>
      </c>
      <c r="M401" s="579">
        <f ca="1">SUMIFS('Water Use Calcs'!$V:$V,'Water Use Calcs'!$D:$D,'End Uses'!D401,'Water Use Calcs'!$G:$G,'End Uses'!G401,'Water Use Calcs'!$I:$I,'End Uses'!I401,'Water Use Calcs'!$J:$J,'End Uses'!J401)</f>
        <v>0</v>
      </c>
      <c r="N401" s="580">
        <f t="shared" ca="1" si="40"/>
        <v>0</v>
      </c>
      <c r="O401" s="581" t="str">
        <f ca="1">IFERROR(N401/R387,"-")</f>
        <v>-</v>
      </c>
      <c r="P401" s="404"/>
      <c r="Q401" s="404"/>
      <c r="R401" s="584"/>
      <c r="S401" s="585">
        <f ca="1">SUMIFS('Water Use Calcs'!$W:$W,'Water Use Calcs'!$D:$D,'End Uses'!D401,'Water Use Calcs'!$G:$G,'End Uses'!G401,'Water Use Calcs'!$I:$I,'End Uses'!I401,'Water Use Calcs'!$J:$J,'End Uses'!J401)</f>
        <v>0</v>
      </c>
      <c r="T401" s="580">
        <f t="shared" ca="1" si="38"/>
        <v>0</v>
      </c>
      <c r="U401" s="581" t="str">
        <f ca="1">IFERROR(T401/X387,"-")</f>
        <v>-</v>
      </c>
      <c r="V401" s="404"/>
      <c r="W401" s="404"/>
      <c r="X401" s="584"/>
    </row>
    <row r="402" spans="3:24" x14ac:dyDescent="0.3">
      <c r="C402" s="576"/>
      <c r="D402" s="494" t="s">
        <v>471</v>
      </c>
      <c r="E402" s="657"/>
      <c r="F402" s="577"/>
      <c r="G402" s="494" t="s">
        <v>108</v>
      </c>
      <c r="H402" s="588" t="str">
        <f>I402</f>
        <v>Other</v>
      </c>
      <c r="I402" s="455" t="s">
        <v>8</v>
      </c>
      <c r="J402" s="589" t="s">
        <v>52</v>
      </c>
      <c r="K402" s="602" t="s">
        <v>362</v>
      </c>
      <c r="L402" s="591">
        <f>SUMIFS('Airport Statistics'!$G:$G,'Airport Statistics'!$D:$D,G402,'Airport Statistics'!$F:$F,K402)</f>
        <v>0</v>
      </c>
      <c r="M402" s="592">
        <f ca="1">SUMIFS('Water Use Calcs'!$V:$V,'Water Use Calcs'!$D:$D,'End Uses'!D402,'Water Use Calcs'!$G:$G,'End Uses'!G402,'Water Use Calcs'!$I:$I,'End Uses'!I402,'Water Use Calcs'!$J:$J,'End Uses'!J402)</f>
        <v>0</v>
      </c>
      <c r="N402" s="593">
        <f t="shared" ca="1" si="40"/>
        <v>0</v>
      </c>
      <c r="O402" s="594" t="str">
        <f ca="1">IFERROR(N402/R387,"-")</f>
        <v>-</v>
      </c>
      <c r="P402" s="595">
        <f ca="1">SUMIFS($N:$N,$G:$G,G402,$I:$I,H402)</f>
        <v>0</v>
      </c>
      <c r="Q402" s="547" t="str">
        <f ca="1">IFERROR(P402/R387,"-")</f>
        <v>-</v>
      </c>
      <c r="R402" s="584"/>
      <c r="S402" s="596">
        <f ca="1">SUMIFS('Water Use Calcs'!$W:$W,'Water Use Calcs'!$D:$D,'End Uses'!D402,'Water Use Calcs'!$G:$G,'End Uses'!G402,'Water Use Calcs'!$I:$I,'End Uses'!I402,'Water Use Calcs'!$J:$J,'End Uses'!J402)</f>
        <v>0</v>
      </c>
      <c r="T402" s="593">
        <f t="shared" ca="1" si="38"/>
        <v>0</v>
      </c>
      <c r="U402" s="594" t="str">
        <f ca="1">IFERROR(T402/X387,"-")</f>
        <v>-</v>
      </c>
      <c r="V402" s="595">
        <f ca="1">SUMIFS($T:$T,$G:$G,G402,$I:$I,H402)</f>
        <v>0</v>
      </c>
      <c r="W402" s="547" t="str">
        <f ca="1">IFERROR(V402/X387,"-")</f>
        <v>-</v>
      </c>
      <c r="X402" s="584"/>
    </row>
    <row r="403" spans="3:24" x14ac:dyDescent="0.3">
      <c r="C403" s="576"/>
      <c r="D403" s="494" t="s">
        <v>471</v>
      </c>
      <c r="E403" s="657"/>
      <c r="F403" s="577"/>
      <c r="G403" s="494" t="s">
        <v>108</v>
      </c>
      <c r="H403" s="577"/>
      <c r="I403" s="450" t="s">
        <v>8</v>
      </c>
      <c r="J403" s="577" t="s">
        <v>53</v>
      </c>
      <c r="K403" s="439" t="s">
        <v>363</v>
      </c>
      <c r="L403" s="578">
        <f>SUMIFS('Airport Statistics'!$G:$G,'Airport Statistics'!$D:$D,G403,'Airport Statistics'!$F:$F,K403)</f>
        <v>0</v>
      </c>
      <c r="M403" s="579">
        <f ca="1">SUMIFS('Water Use Calcs'!$V:$V,'Water Use Calcs'!$D:$D,'End Uses'!D403,'Water Use Calcs'!$G:$G,'End Uses'!G403,'Water Use Calcs'!$I:$I,'End Uses'!I403,'Water Use Calcs'!$J:$J,'End Uses'!J403)</f>
        <v>0</v>
      </c>
      <c r="N403" s="580">
        <f t="shared" ca="1" si="40"/>
        <v>0</v>
      </c>
      <c r="O403" s="581" t="str">
        <f ca="1">IFERROR(N403/R387,"-")</f>
        <v>-</v>
      </c>
      <c r="P403" s="404"/>
      <c r="Q403" s="404"/>
      <c r="R403" s="584"/>
      <c r="S403" s="585">
        <f ca="1">SUMIFS('Water Use Calcs'!$W:$W,'Water Use Calcs'!$D:$D,'End Uses'!D403,'Water Use Calcs'!$G:$G,'End Uses'!G403,'Water Use Calcs'!$I:$I,'End Uses'!I403,'Water Use Calcs'!$J:$J,'End Uses'!J403)</f>
        <v>0</v>
      </c>
      <c r="T403" s="580">
        <f t="shared" ca="1" si="38"/>
        <v>0</v>
      </c>
      <c r="U403" s="581" t="str">
        <f ca="1">IFERROR(T403/X387,"-")</f>
        <v>-</v>
      </c>
      <c r="V403" s="404"/>
      <c r="W403" s="404"/>
      <c r="X403" s="584"/>
    </row>
    <row r="404" spans="3:24" ht="15" thickBot="1" x14ac:dyDescent="0.35">
      <c r="C404" s="576"/>
      <c r="D404" s="494" t="s">
        <v>471</v>
      </c>
      <c r="E404" s="657"/>
      <c r="F404" s="577"/>
      <c r="G404" s="501" t="s">
        <v>108</v>
      </c>
      <c r="H404" s="116"/>
      <c r="I404" s="451" t="s">
        <v>8</v>
      </c>
      <c r="J404" s="116" t="s">
        <v>54</v>
      </c>
      <c r="K404" s="606" t="s">
        <v>364</v>
      </c>
      <c r="L404" s="607">
        <f>SUMIFS('Airport Statistics'!$G:$G,'Airport Statistics'!$D:$D,G404,'Airport Statistics'!$F:$F,K404)</f>
        <v>0</v>
      </c>
      <c r="M404" s="608">
        <f ca="1">SUMIFS('Water Use Calcs'!$V:$V,'Water Use Calcs'!$D:$D,'End Uses'!D404,'Water Use Calcs'!$G:$G,'End Uses'!G404,'Water Use Calcs'!$I:$I,'End Uses'!I404,'Water Use Calcs'!$J:$J,'End Uses'!J404)</f>
        <v>0</v>
      </c>
      <c r="N404" s="609">
        <f t="shared" ca="1" si="40"/>
        <v>0</v>
      </c>
      <c r="O404" s="616" t="str">
        <f ca="1">IFERROR(N404/R387,"-")</f>
        <v>-</v>
      </c>
      <c r="P404" s="611"/>
      <c r="Q404" s="611"/>
      <c r="R404" s="613"/>
      <c r="S404" s="614">
        <f ca="1">SUMIFS('Water Use Calcs'!$W:$W,'Water Use Calcs'!$D:$D,'End Uses'!D404,'Water Use Calcs'!$G:$G,'End Uses'!G404,'Water Use Calcs'!$I:$I,'End Uses'!I404,'Water Use Calcs'!$J:$J,'End Uses'!J404)</f>
        <v>0</v>
      </c>
      <c r="T404" s="609">
        <f t="shared" ca="1" si="38"/>
        <v>0</v>
      </c>
      <c r="U404" s="616" t="str">
        <f ca="1">IFERROR(T404/X387,"-")</f>
        <v>-</v>
      </c>
      <c r="V404" s="611"/>
      <c r="W404" s="611"/>
      <c r="X404" s="613"/>
    </row>
    <row r="405" spans="3:24" x14ac:dyDescent="0.3">
      <c r="C405" s="576"/>
      <c r="D405" s="494" t="s">
        <v>471</v>
      </c>
      <c r="E405" s="656" t="str">
        <f>G405</f>
        <v>Tenant D</v>
      </c>
      <c r="F405" s="565" t="str">
        <f>VLOOKUP(E405,'Airport Mapping'!$C$5:$D$39,2,FALSE)</f>
        <v xml:space="preserve"> </v>
      </c>
      <c r="G405" s="494" t="s">
        <v>109</v>
      </c>
      <c r="H405" s="564" t="str">
        <f>I405</f>
        <v>Restrooms</v>
      </c>
      <c r="I405" s="454" t="s">
        <v>37</v>
      </c>
      <c r="J405" s="567" t="s">
        <v>2</v>
      </c>
      <c r="K405" s="620" t="s">
        <v>6</v>
      </c>
      <c r="L405" s="568">
        <f>SUMIFS('Airport Statistics'!$G:$G,'Airport Statistics'!$D:$D,G405,'Airport Statistics'!$F:$F,K405)</f>
        <v>0</v>
      </c>
      <c r="M405" s="569">
        <f ca="1">SUMIFS('Water Use Calcs'!$V:$V,'Water Use Calcs'!$D:$D,'End Uses'!D405,'Water Use Calcs'!$G:$G,'End Uses'!G405,'Water Use Calcs'!$I:$I,'End Uses'!I405,'Water Use Calcs'!$J:$J,'End Uses'!J405)</f>
        <v>0</v>
      </c>
      <c r="N405" s="570">
        <f t="shared" ca="1" si="40"/>
        <v>0</v>
      </c>
      <c r="O405" s="571" t="str">
        <f ca="1">IFERROR(N405/R405,"-")</f>
        <v>-</v>
      </c>
      <c r="P405" s="572">
        <f ca="1">SUMIFS($N:$N,$G:$G,G405,$I:$I,H405)</f>
        <v>0</v>
      </c>
      <c r="Q405" s="546" t="str">
        <f ca="1">IFERROR(P405/R405,"-")</f>
        <v>-</v>
      </c>
      <c r="R405" s="573">
        <f ca="1">SUMIFS($N:$N,$G:$G,G405)</f>
        <v>0</v>
      </c>
      <c r="S405" s="574">
        <f ca="1">SUMIFS('Water Use Calcs'!$W:$W,'Water Use Calcs'!$D:$D,'End Uses'!D405,'Water Use Calcs'!$G:$G,'End Uses'!G405,'Water Use Calcs'!$I:$I,'End Uses'!I405,'Water Use Calcs'!$J:$J,'End Uses'!J405)</f>
        <v>0</v>
      </c>
      <c r="T405" s="570">
        <f t="shared" ca="1" si="38"/>
        <v>0</v>
      </c>
      <c r="U405" s="571" t="str">
        <f ca="1">IFERROR(T405/X405,"-")</f>
        <v>-</v>
      </c>
      <c r="V405" s="572">
        <f ca="1">SUMIFS($T:$T,$G:$G,G405,$I:$I,H405)</f>
        <v>0</v>
      </c>
      <c r="W405" s="546" t="str">
        <f ca="1">IFERROR(V405/X405,"-")</f>
        <v>-</v>
      </c>
      <c r="X405" s="573">
        <f ca="1">SUMIFS($T:$T,$G:$G,G405)</f>
        <v>0</v>
      </c>
    </row>
    <row r="406" spans="3:24" x14ac:dyDescent="0.3">
      <c r="C406" s="576"/>
      <c r="D406" s="494" t="s">
        <v>471</v>
      </c>
      <c r="E406" s="657"/>
      <c r="F406" s="577"/>
      <c r="G406" s="494" t="s">
        <v>109</v>
      </c>
      <c r="H406" s="577"/>
      <c r="I406" s="450" t="s">
        <v>37</v>
      </c>
      <c r="J406" s="577" t="s">
        <v>4</v>
      </c>
      <c r="K406" s="598" t="s">
        <v>6</v>
      </c>
      <c r="L406" s="578">
        <f>SUMIFS('Airport Statistics'!$G:$G,'Airport Statistics'!$D:$D,G406,'Airport Statistics'!$F:$F,K406)</f>
        <v>0</v>
      </c>
      <c r="M406" s="579">
        <f ca="1">SUMIFS('Water Use Calcs'!$V:$V,'Water Use Calcs'!$D:$D,'End Uses'!D406,'Water Use Calcs'!$G:$G,'End Uses'!G406,'Water Use Calcs'!$I:$I,'End Uses'!I406,'Water Use Calcs'!$J:$J,'End Uses'!J406)</f>
        <v>0</v>
      </c>
      <c r="N406" s="580">
        <f t="shared" ca="1" si="40"/>
        <v>0</v>
      </c>
      <c r="O406" s="581" t="str">
        <f ca="1">IFERROR(N406/R405,"-")</f>
        <v>-</v>
      </c>
      <c r="P406" s="582"/>
      <c r="Q406" s="583"/>
      <c r="R406" s="584"/>
      <c r="S406" s="585">
        <f ca="1">SUMIFS('Water Use Calcs'!$W:$W,'Water Use Calcs'!$D:$D,'End Uses'!D406,'Water Use Calcs'!$G:$G,'End Uses'!G406,'Water Use Calcs'!$I:$I,'End Uses'!I406,'Water Use Calcs'!$J:$J,'End Uses'!J406)</f>
        <v>0</v>
      </c>
      <c r="T406" s="580">
        <f t="shared" ca="1" si="38"/>
        <v>0</v>
      </c>
      <c r="U406" s="581" t="str">
        <f ca="1">IFERROR(T406/X405,"-")</f>
        <v>-</v>
      </c>
      <c r="V406" s="582"/>
      <c r="W406" s="583"/>
      <c r="X406" s="584"/>
    </row>
    <row r="407" spans="3:24" x14ac:dyDescent="0.3">
      <c r="C407" s="576"/>
      <c r="D407" s="494" t="s">
        <v>471</v>
      </c>
      <c r="E407" s="657"/>
      <c r="F407" s="577"/>
      <c r="G407" s="494" t="s">
        <v>109</v>
      </c>
      <c r="H407" s="577"/>
      <c r="I407" s="450" t="s">
        <v>37</v>
      </c>
      <c r="J407" s="577" t="s">
        <v>33</v>
      </c>
      <c r="K407" s="598" t="s">
        <v>6</v>
      </c>
      <c r="L407" s="578">
        <f>SUMIFS('Airport Statistics'!$G:$G,'Airport Statistics'!$D:$D,G407,'Airport Statistics'!$F:$F,K407)</f>
        <v>0</v>
      </c>
      <c r="M407" s="579">
        <f ca="1">SUMIFS('Water Use Calcs'!$V:$V,'Water Use Calcs'!$D:$D,'End Uses'!D407,'Water Use Calcs'!$G:$G,'End Uses'!G407,'Water Use Calcs'!$I:$I,'End Uses'!I407,'Water Use Calcs'!$J:$J,'End Uses'!J407)</f>
        <v>0</v>
      </c>
      <c r="N407" s="580">
        <f t="shared" ca="1" si="40"/>
        <v>0</v>
      </c>
      <c r="O407" s="581" t="str">
        <f ca="1">IFERROR(N407/R405,"-")</f>
        <v>-</v>
      </c>
      <c r="P407" s="582"/>
      <c r="Q407" s="583"/>
      <c r="R407" s="584"/>
      <c r="S407" s="585">
        <f ca="1">SUMIFS('Water Use Calcs'!$W:$W,'Water Use Calcs'!$D:$D,'End Uses'!D407,'Water Use Calcs'!$G:$G,'End Uses'!G407,'Water Use Calcs'!$I:$I,'End Uses'!I407,'Water Use Calcs'!$J:$J,'End Uses'!J407)</f>
        <v>0</v>
      </c>
      <c r="T407" s="580">
        <f t="shared" ca="1" si="38"/>
        <v>0</v>
      </c>
      <c r="U407" s="581" t="str">
        <f ca="1">IFERROR(T407/X405,"-")</f>
        <v>-</v>
      </c>
      <c r="V407" s="582"/>
      <c r="W407" s="583"/>
      <c r="X407" s="584"/>
    </row>
    <row r="408" spans="3:24" x14ac:dyDescent="0.3">
      <c r="C408" s="576"/>
      <c r="D408" s="494" t="s">
        <v>471</v>
      </c>
      <c r="E408" s="657"/>
      <c r="F408" s="577"/>
      <c r="G408" s="494" t="s">
        <v>109</v>
      </c>
      <c r="H408" s="622" t="str">
        <f>I408</f>
        <v>Break rooms</v>
      </c>
      <c r="I408" s="623" t="s">
        <v>5</v>
      </c>
      <c r="J408" s="624" t="s">
        <v>33</v>
      </c>
      <c r="K408" s="625" t="s">
        <v>6</v>
      </c>
      <c r="L408" s="496">
        <f>SUMIFS('Airport Statistics'!$G:$G,'Airport Statistics'!$D:$D,G408,'Airport Statistics'!$F:$F,K408)</f>
        <v>0</v>
      </c>
      <c r="M408" s="626">
        <f ca="1">SUMIFS('Water Use Calcs'!$V:$V,'Water Use Calcs'!$D:$D,'End Uses'!D408,'Water Use Calcs'!$G:$G,'End Uses'!G408,'Water Use Calcs'!$I:$I,'End Uses'!I408,'Water Use Calcs'!$J:$J,'End Uses'!J408)</f>
        <v>0</v>
      </c>
      <c r="N408" s="627">
        <f t="shared" ca="1" si="40"/>
        <v>0</v>
      </c>
      <c r="O408" s="628" t="str">
        <f ca="1">IFERROR(N408/R405,"-")</f>
        <v>-</v>
      </c>
      <c r="P408" s="629">
        <f ca="1">SUMIFS($N:$N,$G:$G,G408,$I:$I,H408)</f>
        <v>0</v>
      </c>
      <c r="Q408" s="291" t="str">
        <f ca="1">IFERROR(P408/R405,"-")</f>
        <v>-</v>
      </c>
      <c r="R408" s="584"/>
      <c r="S408" s="630">
        <f ca="1">SUMIFS('Water Use Calcs'!$W:$W,'Water Use Calcs'!$D:$D,'End Uses'!D408,'Water Use Calcs'!$G:$G,'End Uses'!G408,'Water Use Calcs'!$I:$I,'End Uses'!I408,'Water Use Calcs'!$J:$J,'End Uses'!J408)</f>
        <v>0</v>
      </c>
      <c r="T408" s="627">
        <f t="shared" ca="1" si="38"/>
        <v>0</v>
      </c>
      <c r="U408" s="628" t="str">
        <f ca="1">IFERROR(T408/X405,"-")</f>
        <v>-</v>
      </c>
      <c r="V408" s="629">
        <f ca="1">SUMIFS($T:$T,$G:$G,G408,$I:$I,H408)</f>
        <v>0</v>
      </c>
      <c r="W408" s="291" t="str">
        <f ca="1">IFERROR(V408/X405,"-")</f>
        <v>-</v>
      </c>
      <c r="X408" s="584"/>
    </row>
    <row r="409" spans="3:24" x14ac:dyDescent="0.3">
      <c r="C409" s="576"/>
      <c r="D409" s="494" t="s">
        <v>471</v>
      </c>
      <c r="E409" s="657"/>
      <c r="F409" s="577"/>
      <c r="G409" s="494" t="s">
        <v>109</v>
      </c>
      <c r="H409" s="588" t="str">
        <f>I409</f>
        <v>Flight kitchens</v>
      </c>
      <c r="I409" s="455" t="s">
        <v>391</v>
      </c>
      <c r="J409" s="589" t="s">
        <v>114</v>
      </c>
      <c r="K409" s="428" t="s">
        <v>118</v>
      </c>
      <c r="L409" s="591">
        <f>SUMIFS('Airport Statistics'!$G:$G,'Airport Statistics'!$D:$D,G409,'Airport Statistics'!$F:$F,K409)</f>
        <v>0</v>
      </c>
      <c r="M409" s="592">
        <f ca="1">SUMIFS('Water Use Calcs'!$V:$V,'Water Use Calcs'!$D:$D,'End Uses'!D409,'Water Use Calcs'!$G:$G,'End Uses'!G409,'Water Use Calcs'!$I:$I,'End Uses'!I409,'Water Use Calcs'!$J:$J,'End Uses'!J409)</f>
        <v>0</v>
      </c>
      <c r="N409" s="593">
        <f t="shared" ca="1" si="40"/>
        <v>0</v>
      </c>
      <c r="O409" s="594" t="str">
        <f ca="1">IFERROR(N409/R405,"-")</f>
        <v>-</v>
      </c>
      <c r="P409" s="595">
        <f ca="1">SUMIFS($N:$N,$G:$G,G409,$I:$I,H409)</f>
        <v>0</v>
      </c>
      <c r="Q409" s="547" t="str">
        <f ca="1">IFERROR(P409/R405,"-")</f>
        <v>-</v>
      </c>
      <c r="R409" s="584"/>
      <c r="S409" s="596">
        <f ca="1">SUMIFS('Water Use Calcs'!$W:$W,'Water Use Calcs'!$D:$D,'End Uses'!D409,'Water Use Calcs'!$G:$G,'End Uses'!G409,'Water Use Calcs'!$I:$I,'End Uses'!I409,'Water Use Calcs'!$J:$J,'End Uses'!J409)</f>
        <v>0</v>
      </c>
      <c r="T409" s="593">
        <f t="shared" ca="1" si="38"/>
        <v>0</v>
      </c>
      <c r="U409" s="594" t="str">
        <f ca="1">IFERROR(T409/X405,"-")</f>
        <v>-</v>
      </c>
      <c r="V409" s="595">
        <f ca="1">SUMIFS($T:$T,$G:$G,G409,$I:$I,H409)</f>
        <v>0</v>
      </c>
      <c r="W409" s="547" t="str">
        <f ca="1">IFERROR(V409/X405,"-")</f>
        <v>-</v>
      </c>
      <c r="X409" s="584"/>
    </row>
    <row r="410" spans="3:24" x14ac:dyDescent="0.3">
      <c r="C410" s="576"/>
      <c r="D410" s="494" t="s">
        <v>471</v>
      </c>
      <c r="E410" s="657"/>
      <c r="F410" s="577"/>
      <c r="G410" s="494" t="s">
        <v>109</v>
      </c>
      <c r="H410" s="577"/>
      <c r="I410" s="450" t="s">
        <v>391</v>
      </c>
      <c r="J410" s="577" t="s">
        <v>41</v>
      </c>
      <c r="K410" s="400" t="s">
        <v>118</v>
      </c>
      <c r="L410" s="578">
        <f>SUMIFS('Airport Statistics'!$G:$G,'Airport Statistics'!$D:$D,G410,'Airport Statistics'!$F:$F,K410)</f>
        <v>0</v>
      </c>
      <c r="M410" s="579">
        <f ca="1">SUMIFS('Water Use Calcs'!$V:$V,'Water Use Calcs'!$D:$D,'End Uses'!D410,'Water Use Calcs'!$G:$G,'End Uses'!G410,'Water Use Calcs'!$I:$I,'End Uses'!I410,'Water Use Calcs'!$J:$J,'End Uses'!J410)</f>
        <v>0</v>
      </c>
      <c r="N410" s="580">
        <f t="shared" ca="1" si="40"/>
        <v>0</v>
      </c>
      <c r="O410" s="581" t="str">
        <f ca="1">IFERROR(N410/R405,"-")</f>
        <v>-</v>
      </c>
      <c r="P410" s="582"/>
      <c r="Q410" s="548"/>
      <c r="R410" s="584"/>
      <c r="S410" s="585">
        <f ca="1">SUMIFS('Water Use Calcs'!$W:$W,'Water Use Calcs'!$D:$D,'End Uses'!D410,'Water Use Calcs'!$G:$G,'End Uses'!G410,'Water Use Calcs'!$I:$I,'End Uses'!I410,'Water Use Calcs'!$J:$J,'End Uses'!J410)</f>
        <v>0</v>
      </c>
      <c r="T410" s="580">
        <f t="shared" ca="1" si="38"/>
        <v>0</v>
      </c>
      <c r="U410" s="581" t="str">
        <f ca="1">IFERROR(T410/X405,"-")</f>
        <v>-</v>
      </c>
      <c r="V410" s="582"/>
      <c r="W410" s="548"/>
      <c r="X410" s="584"/>
    </row>
    <row r="411" spans="3:24" x14ac:dyDescent="0.3">
      <c r="C411" s="576"/>
      <c r="D411" s="494" t="s">
        <v>471</v>
      </c>
      <c r="E411" s="657"/>
      <c r="F411" s="577"/>
      <c r="G411" s="494" t="s">
        <v>109</v>
      </c>
      <c r="H411" s="577"/>
      <c r="I411" s="450" t="s">
        <v>391</v>
      </c>
      <c r="J411" s="577" t="s">
        <v>20</v>
      </c>
      <c r="K411" s="400" t="s">
        <v>118</v>
      </c>
      <c r="L411" s="578">
        <f>SUMIFS('Airport Statistics'!$G:$G,'Airport Statistics'!$D:$D,G411,'Airport Statistics'!$F:$F,K411)</f>
        <v>0</v>
      </c>
      <c r="M411" s="579">
        <f ca="1">SUMIFS('Water Use Calcs'!$V:$V,'Water Use Calcs'!$D:$D,'End Uses'!D411,'Water Use Calcs'!$G:$G,'End Uses'!G411,'Water Use Calcs'!$I:$I,'End Uses'!I411,'Water Use Calcs'!$J:$J,'End Uses'!J411)</f>
        <v>0</v>
      </c>
      <c r="N411" s="580">
        <f t="shared" ca="1" si="40"/>
        <v>0</v>
      </c>
      <c r="O411" s="581" t="str">
        <f ca="1">IFERROR(N411/R405,"-")</f>
        <v>-</v>
      </c>
      <c r="P411" s="404"/>
      <c r="Q411" s="548"/>
      <c r="R411" s="584"/>
      <c r="S411" s="585">
        <f ca="1">SUMIFS('Water Use Calcs'!$W:$W,'Water Use Calcs'!$D:$D,'End Uses'!D411,'Water Use Calcs'!$G:$G,'End Uses'!G411,'Water Use Calcs'!$I:$I,'End Uses'!I411,'Water Use Calcs'!$J:$J,'End Uses'!J411)</f>
        <v>0</v>
      </c>
      <c r="T411" s="580">
        <f t="shared" ca="1" si="38"/>
        <v>0</v>
      </c>
      <c r="U411" s="581" t="str">
        <f ca="1">IFERROR(T411/X405,"-")</f>
        <v>-</v>
      </c>
      <c r="V411" s="404"/>
      <c r="W411" s="548"/>
      <c r="X411" s="584"/>
    </row>
    <row r="412" spans="3:24" x14ac:dyDescent="0.3">
      <c r="C412" s="576"/>
      <c r="D412" s="494" t="s">
        <v>471</v>
      </c>
      <c r="E412" s="657"/>
      <c r="F412" s="577"/>
      <c r="G412" s="494" t="s">
        <v>109</v>
      </c>
      <c r="H412" s="588" t="str">
        <f>I412</f>
        <v>Aircraft</v>
      </c>
      <c r="I412" s="455" t="s">
        <v>44</v>
      </c>
      <c r="J412" s="589" t="s">
        <v>27</v>
      </c>
      <c r="K412" s="19" t="s">
        <v>121</v>
      </c>
      <c r="L412" s="591">
        <f>SUMIFS('Airport Statistics'!$G:$G,'Airport Statistics'!$D:$D,G412,'Airport Statistics'!$F:$F,K412)</f>
        <v>0</v>
      </c>
      <c r="M412" s="592">
        <f ca="1">SUMIFS('Water Use Calcs'!$V:$V,'Water Use Calcs'!$D:$D,'End Uses'!D412,'Water Use Calcs'!$G:$G,'End Uses'!G412,'Water Use Calcs'!$I:$I,'End Uses'!I412,'Water Use Calcs'!$J:$J,'End Uses'!J412)</f>
        <v>0</v>
      </c>
      <c r="N412" s="593">
        <f t="shared" ca="1" si="40"/>
        <v>0</v>
      </c>
      <c r="O412" s="594" t="str">
        <f ca="1">IFERROR(N412/R405,"-")</f>
        <v>-</v>
      </c>
      <c r="P412" s="595">
        <f ca="1">SUMIFS($N:$N,$G:$G,G412,$I:$I,H412)</f>
        <v>0</v>
      </c>
      <c r="Q412" s="547" t="str">
        <f ca="1">IFERROR(P412/R405,"-")</f>
        <v>-</v>
      </c>
      <c r="R412" s="584"/>
      <c r="S412" s="596">
        <f ca="1">SUMIFS('Water Use Calcs'!$W:$W,'Water Use Calcs'!$D:$D,'End Uses'!D412,'Water Use Calcs'!$G:$G,'End Uses'!G412,'Water Use Calcs'!$I:$I,'End Uses'!I412,'Water Use Calcs'!$J:$J,'End Uses'!J412)</f>
        <v>0</v>
      </c>
      <c r="T412" s="593">
        <f t="shared" ca="1" si="38"/>
        <v>0</v>
      </c>
      <c r="U412" s="594" t="str">
        <f ca="1">IFERROR(T412/X405,"-")</f>
        <v>-</v>
      </c>
      <c r="V412" s="595">
        <f ca="1">SUMIFS($T:$T,$G:$G,G412,$I:$I,H412)</f>
        <v>0</v>
      </c>
      <c r="W412" s="547" t="str">
        <f ca="1">IFERROR(V412/X405,"-")</f>
        <v>-</v>
      </c>
      <c r="X412" s="584"/>
    </row>
    <row r="413" spans="3:24" x14ac:dyDescent="0.3">
      <c r="C413" s="576"/>
      <c r="D413" s="494" t="s">
        <v>471</v>
      </c>
      <c r="E413" s="657"/>
      <c r="F413" s="577"/>
      <c r="G413" s="494" t="s">
        <v>109</v>
      </c>
      <c r="H413" s="577"/>
      <c r="I413" s="450" t="s">
        <v>44</v>
      </c>
      <c r="J413" s="577" t="s">
        <v>28</v>
      </c>
      <c r="K413" s="635" t="s">
        <v>121</v>
      </c>
      <c r="L413" s="578">
        <f>SUMIFS('Airport Statistics'!$G:$G,'Airport Statistics'!$D:$D,G413,'Airport Statistics'!$F:$F,K413)</f>
        <v>0</v>
      </c>
      <c r="M413" s="579">
        <f ca="1">SUMIFS('Water Use Calcs'!$V:$V,'Water Use Calcs'!$D:$D,'End Uses'!D413,'Water Use Calcs'!$G:$G,'End Uses'!G413,'Water Use Calcs'!$I:$I,'End Uses'!I413,'Water Use Calcs'!$J:$J,'End Uses'!J413)</f>
        <v>0</v>
      </c>
      <c r="N413" s="580">
        <f t="shared" ca="1" si="40"/>
        <v>0</v>
      </c>
      <c r="O413" s="581" t="str">
        <f ca="1">IFERROR(N413/R405,"-")</f>
        <v>-</v>
      </c>
      <c r="P413" s="404"/>
      <c r="Q413" s="548"/>
      <c r="R413" s="584"/>
      <c r="S413" s="585">
        <f ca="1">SUMIFS('Water Use Calcs'!$W:$W,'Water Use Calcs'!$D:$D,'End Uses'!D413,'Water Use Calcs'!$G:$G,'End Uses'!G413,'Water Use Calcs'!$I:$I,'End Uses'!I413,'Water Use Calcs'!$J:$J,'End Uses'!J413)</f>
        <v>0</v>
      </c>
      <c r="T413" s="580">
        <f t="shared" ca="1" si="38"/>
        <v>0</v>
      </c>
      <c r="U413" s="581" t="str">
        <f ca="1">IFERROR(T413/X405,"-")</f>
        <v>-</v>
      </c>
      <c r="V413" s="404"/>
      <c r="W413" s="548"/>
      <c r="X413" s="584"/>
    </row>
    <row r="414" spans="3:24" x14ac:dyDescent="0.3">
      <c r="C414" s="576"/>
      <c r="D414" s="494" t="s">
        <v>471</v>
      </c>
      <c r="E414" s="657"/>
      <c r="F414" s="577"/>
      <c r="G414" s="494" t="s">
        <v>109</v>
      </c>
      <c r="H414" s="577"/>
      <c r="I414" s="450" t="s">
        <v>44</v>
      </c>
      <c r="J414" s="577" t="s">
        <v>29</v>
      </c>
      <c r="K414" s="635" t="s">
        <v>121</v>
      </c>
      <c r="L414" s="578">
        <f>SUMIFS('Airport Statistics'!$G:$G,'Airport Statistics'!$D:$D,G414,'Airport Statistics'!$F:$F,K414)</f>
        <v>0</v>
      </c>
      <c r="M414" s="579">
        <f ca="1">SUMIFS('Water Use Calcs'!$V:$V,'Water Use Calcs'!$D:$D,'End Uses'!D414,'Water Use Calcs'!$G:$G,'End Uses'!G414,'Water Use Calcs'!$I:$I,'End Uses'!I414,'Water Use Calcs'!$J:$J,'End Uses'!J414)</f>
        <v>0</v>
      </c>
      <c r="N414" s="580">
        <f t="shared" ca="1" si="40"/>
        <v>0</v>
      </c>
      <c r="O414" s="581" t="str">
        <f ca="1">IFERROR(N414/R405,"-")</f>
        <v>-</v>
      </c>
      <c r="P414" s="582"/>
      <c r="Q414" s="548"/>
      <c r="R414" s="584"/>
      <c r="S414" s="585">
        <f ca="1">SUMIFS('Water Use Calcs'!$W:$W,'Water Use Calcs'!$D:$D,'End Uses'!D414,'Water Use Calcs'!$G:$G,'End Uses'!G414,'Water Use Calcs'!$I:$I,'End Uses'!I414,'Water Use Calcs'!$J:$J,'End Uses'!J414)</f>
        <v>0</v>
      </c>
      <c r="T414" s="580">
        <f t="shared" ca="1" si="38"/>
        <v>0</v>
      </c>
      <c r="U414" s="581" t="str">
        <f ca="1">IFERROR(T414/X405,"-")</f>
        <v>-</v>
      </c>
      <c r="V414" s="582"/>
      <c r="W414" s="548"/>
      <c r="X414" s="584"/>
    </row>
    <row r="415" spans="3:24" x14ac:dyDescent="0.3">
      <c r="C415" s="576"/>
      <c r="D415" s="494" t="s">
        <v>471</v>
      </c>
      <c r="E415" s="657"/>
      <c r="F415" s="577"/>
      <c r="G415" s="494" t="s">
        <v>109</v>
      </c>
      <c r="H415" s="622" t="str">
        <f>I415</f>
        <v>Landscaping</v>
      </c>
      <c r="I415" s="623" t="s">
        <v>39</v>
      </c>
      <c r="J415" s="624" t="s">
        <v>42</v>
      </c>
      <c r="K415" s="20" t="s">
        <v>120</v>
      </c>
      <c r="L415" s="496">
        <f>SUMIFS('Airport Statistics'!$G:$G,'Airport Statistics'!$D:$D,G415,'Airport Statistics'!$F:$F,K415)</f>
        <v>0</v>
      </c>
      <c r="M415" s="626">
        <f ca="1">SUMIFS('Water Use Calcs'!$V:$V,'Water Use Calcs'!$D:$D,'End Uses'!D415,'Water Use Calcs'!$G:$G,'End Uses'!G415,'Water Use Calcs'!$I:$I,'End Uses'!I415,'Water Use Calcs'!$J:$J,'End Uses'!J415)</f>
        <v>0</v>
      </c>
      <c r="N415" s="627">
        <f t="shared" ca="1" si="40"/>
        <v>0</v>
      </c>
      <c r="O415" s="628" t="str">
        <f ca="1">IFERROR(N415/R405,"-")</f>
        <v>-</v>
      </c>
      <c r="P415" s="629">
        <f ca="1">SUMIFS($N:$N,$G:$G,G415,$I:$I,H415)</f>
        <v>0</v>
      </c>
      <c r="Q415" s="291" t="str">
        <f ca="1">IFERROR(P415/R405,"-")</f>
        <v>-</v>
      </c>
      <c r="R415" s="584"/>
      <c r="S415" s="630">
        <f ca="1">SUMIFS('Water Use Calcs'!$W:$W,'Water Use Calcs'!$D:$D,'End Uses'!D415,'Water Use Calcs'!$G:$G,'End Uses'!G415,'Water Use Calcs'!$I:$I,'End Uses'!I415,'Water Use Calcs'!$J:$J,'End Uses'!J415)</f>
        <v>0</v>
      </c>
      <c r="T415" s="627">
        <f t="shared" ca="1" si="38"/>
        <v>0</v>
      </c>
      <c r="U415" s="628" t="str">
        <f ca="1">IFERROR(T415/X405,"-")</f>
        <v>-</v>
      </c>
      <c r="V415" s="629">
        <f ca="1">SUMIFS($T:$T,$G:$G,G415,$I:$I,H415)</f>
        <v>0</v>
      </c>
      <c r="W415" s="291" t="str">
        <f ca="1">IFERROR(V415/X405,"-")</f>
        <v>-</v>
      </c>
      <c r="X415" s="584"/>
    </row>
    <row r="416" spans="3:24" x14ac:dyDescent="0.3">
      <c r="C416" s="576"/>
      <c r="D416" s="494" t="s">
        <v>471</v>
      </c>
      <c r="E416" s="657"/>
      <c r="F416" s="577"/>
      <c r="G416" s="494" t="s">
        <v>109</v>
      </c>
      <c r="H416" s="588" t="str">
        <f>I416</f>
        <v>Maintenance</v>
      </c>
      <c r="I416" s="455" t="s">
        <v>43</v>
      </c>
      <c r="J416" s="17" t="s">
        <v>111</v>
      </c>
      <c r="K416" s="599" t="s">
        <v>424</v>
      </c>
      <c r="L416" s="591">
        <f>SUMIFS('Airport Statistics'!$G:$G,'Airport Statistics'!$D:$D,G416,'Airport Statistics'!$F:$F,K416)</f>
        <v>0</v>
      </c>
      <c r="M416" s="592">
        <f ca="1">SUMIFS('Water Use Calcs'!$V:$V,'Water Use Calcs'!$D:$D,'End Uses'!D416,'Water Use Calcs'!$G:$G,'End Uses'!G416,'Water Use Calcs'!$I:$I,'End Uses'!I416,'Water Use Calcs'!$J:$J,'End Uses'!J416)</f>
        <v>0</v>
      </c>
      <c r="N416" s="593">
        <f t="shared" ca="1" si="40"/>
        <v>0</v>
      </c>
      <c r="O416" s="594" t="str">
        <f ca="1">IFERROR(N416/R405,"-")</f>
        <v>-</v>
      </c>
      <c r="P416" s="595">
        <f ca="1">SUMIFS($N:$N,$G:$G,G416,$I:$I,H416)</f>
        <v>0</v>
      </c>
      <c r="Q416" s="547" t="str">
        <f ca="1">IFERROR(P416/R405,"-")</f>
        <v>-</v>
      </c>
      <c r="R416" s="584"/>
      <c r="S416" s="596">
        <f ca="1">SUMIFS('Water Use Calcs'!$W:$W,'Water Use Calcs'!$D:$D,'End Uses'!D416,'Water Use Calcs'!$G:$G,'End Uses'!G416,'Water Use Calcs'!$I:$I,'End Uses'!I416,'Water Use Calcs'!$J:$J,'End Uses'!J416)</f>
        <v>0</v>
      </c>
      <c r="T416" s="593">
        <f t="shared" ca="1" si="38"/>
        <v>0</v>
      </c>
      <c r="U416" s="594" t="str">
        <f ca="1">IFERROR(T416/X405,"-")</f>
        <v>-</v>
      </c>
      <c r="V416" s="595">
        <f ca="1">SUMIFS($T:$T,$G:$G,G416,$I:$I,H416)</f>
        <v>0</v>
      </c>
      <c r="W416" s="547" t="str">
        <f ca="1">IFERROR(V416/X405,"-")</f>
        <v>-</v>
      </c>
      <c r="X416" s="584"/>
    </row>
    <row r="417" spans="3:24" x14ac:dyDescent="0.3">
      <c r="C417" s="576"/>
      <c r="D417" s="494" t="s">
        <v>471</v>
      </c>
      <c r="E417" s="657"/>
      <c r="F417" s="577"/>
      <c r="G417" s="494" t="s">
        <v>109</v>
      </c>
      <c r="H417" s="577"/>
      <c r="I417" s="450" t="s">
        <v>43</v>
      </c>
      <c r="J417" s="18" t="s">
        <v>7</v>
      </c>
      <c r="K417" s="183" t="s">
        <v>365</v>
      </c>
      <c r="L417" s="600"/>
      <c r="M417" s="601">
        <f ca="1">SUMIFS('Water Use Calcs'!$V:$V,'Water Use Calcs'!$D:$D,'End Uses'!D417,'Water Use Calcs'!$G:$G,'End Uses'!G417,'Water Use Calcs'!$I:$I,'End Uses'!I417,'Water Use Calcs'!$J:$J,'End Uses'!J417)</f>
        <v>0</v>
      </c>
      <c r="N417" s="580">
        <f ca="1">M417</f>
        <v>0</v>
      </c>
      <c r="O417" s="581" t="str">
        <f ca="1">IFERROR(N417/R405,"-")</f>
        <v>-</v>
      </c>
      <c r="P417" s="582"/>
      <c r="Q417" s="552"/>
      <c r="R417" s="584"/>
      <c r="S417" s="585">
        <f ca="1">SUMIFS('Water Use Calcs'!$W:$W,'Water Use Calcs'!$D:$D,'End Uses'!D417,'Water Use Calcs'!$G:$G,'End Uses'!G417,'Water Use Calcs'!$I:$I,'End Uses'!I417,'Water Use Calcs'!$J:$J,'End Uses'!J417)</f>
        <v>0</v>
      </c>
      <c r="T417" s="580">
        <f ca="1">S417</f>
        <v>0</v>
      </c>
      <c r="U417" s="581" t="str">
        <f ca="1">IFERROR(T417/X405,"-")</f>
        <v>-</v>
      </c>
      <c r="V417" s="582"/>
      <c r="W417" s="552"/>
      <c r="X417" s="584"/>
    </row>
    <row r="418" spans="3:24" x14ac:dyDescent="0.3">
      <c r="C418" s="576"/>
      <c r="D418" s="494" t="s">
        <v>471</v>
      </c>
      <c r="E418" s="657"/>
      <c r="F418" s="577"/>
      <c r="G418" s="494" t="s">
        <v>109</v>
      </c>
      <c r="H418" s="577"/>
      <c r="I418" s="450" t="s">
        <v>43</v>
      </c>
      <c r="J418" s="577" t="s">
        <v>9</v>
      </c>
      <c r="K418" s="635" t="s">
        <v>121</v>
      </c>
      <c r="L418" s="578">
        <f>SUMIFS('Airport Statistics'!$G:$G,'Airport Statistics'!$D:$D,G418,'Airport Statistics'!$F:$F,K418)</f>
        <v>0</v>
      </c>
      <c r="M418" s="579">
        <f>SUMIFS('Water Use Calcs'!$V:$V,'Water Use Calcs'!$D:$D,'End Uses'!D418,'Water Use Calcs'!$G:$G,'End Uses'!G418,'Water Use Calcs'!$I:$I,'End Uses'!I418,'Water Use Calcs'!$J:$J,'End Uses'!J418)</f>
        <v>0</v>
      </c>
      <c r="N418" s="580">
        <f t="shared" si="40"/>
        <v>0</v>
      </c>
      <c r="O418" s="581" t="str">
        <f ca="1">IFERROR(N418/R405,"-")</f>
        <v>-</v>
      </c>
      <c r="P418" s="582"/>
      <c r="Q418" s="552"/>
      <c r="R418" s="584"/>
      <c r="S418" s="585">
        <f>SUMIFS('Water Use Calcs'!$W:$W,'Water Use Calcs'!$D:$D,'End Uses'!D418,'Water Use Calcs'!$G:$G,'End Uses'!G418,'Water Use Calcs'!$I:$I,'End Uses'!I418,'Water Use Calcs'!$J:$J,'End Uses'!J418)</f>
        <v>0</v>
      </c>
      <c r="T418" s="580">
        <f t="shared" si="38"/>
        <v>0</v>
      </c>
      <c r="U418" s="581" t="str">
        <f ca="1">IFERROR(T418/X405,"-")</f>
        <v>-</v>
      </c>
      <c r="V418" s="582"/>
      <c r="W418" s="552"/>
      <c r="X418" s="584"/>
    </row>
    <row r="419" spans="3:24" x14ac:dyDescent="0.3">
      <c r="C419" s="576"/>
      <c r="D419" s="494" t="s">
        <v>471</v>
      </c>
      <c r="E419" s="657"/>
      <c r="F419" s="577"/>
      <c r="G419" s="494" t="s">
        <v>109</v>
      </c>
      <c r="H419" s="577"/>
      <c r="I419" s="450" t="s">
        <v>43</v>
      </c>
      <c r="J419" s="577" t="s">
        <v>426</v>
      </c>
      <c r="K419" s="635" t="s">
        <v>121</v>
      </c>
      <c r="L419" s="578">
        <f>SUMIFS('Airport Statistics'!$G:$G,'Airport Statistics'!$D:$D,G419,'Airport Statistics'!$F:$F,K419)</f>
        <v>0</v>
      </c>
      <c r="M419" s="579">
        <f ca="1">SUMIFS('Water Use Calcs'!$V:$V,'Water Use Calcs'!$D:$D,'End Uses'!D419,'Water Use Calcs'!$G:$G,'End Uses'!G419,'Water Use Calcs'!$I:$I,'End Uses'!I419,'Water Use Calcs'!$J:$J,'End Uses'!J419)</f>
        <v>0</v>
      </c>
      <c r="N419" s="580">
        <f t="shared" ca="1" si="40"/>
        <v>0</v>
      </c>
      <c r="O419" s="581" t="str">
        <f ca="1">IFERROR(N419/R405,"-")</f>
        <v>-</v>
      </c>
      <c r="P419" s="404"/>
      <c r="Q419" s="404"/>
      <c r="R419" s="584"/>
      <c r="S419" s="585">
        <f ca="1">SUMIFS('Water Use Calcs'!$W:$W,'Water Use Calcs'!$D:$D,'End Uses'!D419,'Water Use Calcs'!$G:$G,'End Uses'!G419,'Water Use Calcs'!$I:$I,'End Uses'!I419,'Water Use Calcs'!$J:$J,'End Uses'!J419)</f>
        <v>0</v>
      </c>
      <c r="T419" s="580">
        <f t="shared" ca="1" si="38"/>
        <v>0</v>
      </c>
      <c r="U419" s="581" t="str">
        <f ca="1">IFERROR(T419/X405,"-")</f>
        <v>-</v>
      </c>
      <c r="V419" s="404"/>
      <c r="W419" s="404"/>
      <c r="X419" s="584"/>
    </row>
    <row r="420" spans="3:24" x14ac:dyDescent="0.3">
      <c r="C420" s="576"/>
      <c r="D420" s="494" t="s">
        <v>471</v>
      </c>
      <c r="E420" s="657"/>
      <c r="F420" s="577"/>
      <c r="G420" s="494" t="s">
        <v>109</v>
      </c>
      <c r="H420" s="588" t="str">
        <f>I420</f>
        <v>Other</v>
      </c>
      <c r="I420" s="455" t="s">
        <v>8</v>
      </c>
      <c r="J420" s="589" t="s">
        <v>52</v>
      </c>
      <c r="K420" s="602" t="s">
        <v>362</v>
      </c>
      <c r="L420" s="591">
        <f>SUMIFS('Airport Statistics'!$G:$G,'Airport Statistics'!$D:$D,G420,'Airport Statistics'!$F:$F,K420)</f>
        <v>0</v>
      </c>
      <c r="M420" s="592">
        <f ca="1">SUMIFS('Water Use Calcs'!$V:$V,'Water Use Calcs'!$D:$D,'End Uses'!D420,'Water Use Calcs'!$G:$G,'End Uses'!G420,'Water Use Calcs'!$I:$I,'End Uses'!I420,'Water Use Calcs'!$J:$J,'End Uses'!J420)</f>
        <v>0</v>
      </c>
      <c r="N420" s="593">
        <f t="shared" ca="1" si="40"/>
        <v>0</v>
      </c>
      <c r="O420" s="594" t="str">
        <f ca="1">IFERROR(N420/R405,"-")</f>
        <v>-</v>
      </c>
      <c r="P420" s="595">
        <f ca="1">SUMIFS($N:$N,$G:$G,G420,$I:$I,H420)</f>
        <v>0</v>
      </c>
      <c r="Q420" s="547" t="str">
        <f ca="1">IFERROR(P420/R405,"-")</f>
        <v>-</v>
      </c>
      <c r="R420" s="584"/>
      <c r="S420" s="596">
        <f ca="1">SUMIFS('Water Use Calcs'!$W:$W,'Water Use Calcs'!$D:$D,'End Uses'!D420,'Water Use Calcs'!$G:$G,'End Uses'!G420,'Water Use Calcs'!$I:$I,'End Uses'!I420,'Water Use Calcs'!$J:$J,'End Uses'!J420)</f>
        <v>0</v>
      </c>
      <c r="T420" s="593">
        <f t="shared" ca="1" si="38"/>
        <v>0</v>
      </c>
      <c r="U420" s="594" t="str">
        <f ca="1">IFERROR(T420/X405,"-")</f>
        <v>-</v>
      </c>
      <c r="V420" s="595">
        <f ca="1">SUMIFS($T:$T,$G:$G,G420,$I:$I,H420)</f>
        <v>0</v>
      </c>
      <c r="W420" s="547" t="str">
        <f ca="1">IFERROR(V420/X405,"-")</f>
        <v>-</v>
      </c>
      <c r="X420" s="584"/>
    </row>
    <row r="421" spans="3:24" x14ac:dyDescent="0.3">
      <c r="C421" s="576"/>
      <c r="D421" s="494" t="s">
        <v>471</v>
      </c>
      <c r="E421" s="657"/>
      <c r="F421" s="577"/>
      <c r="G421" s="494" t="s">
        <v>109</v>
      </c>
      <c r="H421" s="577"/>
      <c r="I421" s="450" t="s">
        <v>8</v>
      </c>
      <c r="J421" s="577" t="s">
        <v>53</v>
      </c>
      <c r="K421" s="439" t="s">
        <v>363</v>
      </c>
      <c r="L421" s="578">
        <f>SUMIFS('Airport Statistics'!$G:$G,'Airport Statistics'!$D:$D,G421,'Airport Statistics'!$F:$F,K421)</f>
        <v>0</v>
      </c>
      <c r="M421" s="579">
        <f ca="1">SUMIFS('Water Use Calcs'!$V:$V,'Water Use Calcs'!$D:$D,'End Uses'!D421,'Water Use Calcs'!$G:$G,'End Uses'!G421,'Water Use Calcs'!$I:$I,'End Uses'!I421,'Water Use Calcs'!$J:$J,'End Uses'!J421)</f>
        <v>0</v>
      </c>
      <c r="N421" s="580">
        <f t="shared" ca="1" si="40"/>
        <v>0</v>
      </c>
      <c r="O421" s="581" t="str">
        <f ca="1">IFERROR(N421/R405,"-")</f>
        <v>-</v>
      </c>
      <c r="P421" s="404"/>
      <c r="Q421" s="404"/>
      <c r="R421" s="584"/>
      <c r="S421" s="585">
        <f ca="1">SUMIFS('Water Use Calcs'!$W:$W,'Water Use Calcs'!$D:$D,'End Uses'!D421,'Water Use Calcs'!$G:$G,'End Uses'!G421,'Water Use Calcs'!$I:$I,'End Uses'!I421,'Water Use Calcs'!$J:$J,'End Uses'!J421)</f>
        <v>0</v>
      </c>
      <c r="T421" s="580">
        <f t="shared" ca="1" si="38"/>
        <v>0</v>
      </c>
      <c r="U421" s="581" t="str">
        <f ca="1">IFERROR(T421/X405,"-")</f>
        <v>-</v>
      </c>
      <c r="V421" s="404"/>
      <c r="W421" s="404"/>
      <c r="X421" s="584"/>
    </row>
    <row r="422" spans="3:24" ht="15" thickBot="1" x14ac:dyDescent="0.35">
      <c r="C422" s="576"/>
      <c r="D422" s="494" t="s">
        <v>471</v>
      </c>
      <c r="E422" s="657"/>
      <c r="F422" s="577"/>
      <c r="G422" s="501" t="s">
        <v>109</v>
      </c>
      <c r="H422" s="116"/>
      <c r="I422" s="451" t="s">
        <v>8</v>
      </c>
      <c r="J422" s="116" t="s">
        <v>54</v>
      </c>
      <c r="K422" s="606" t="s">
        <v>364</v>
      </c>
      <c r="L422" s="607">
        <f>SUMIFS('Airport Statistics'!$G:$G,'Airport Statistics'!$D:$D,G422,'Airport Statistics'!$F:$F,K422)</f>
        <v>0</v>
      </c>
      <c r="M422" s="608">
        <f ca="1">SUMIFS('Water Use Calcs'!$V:$V,'Water Use Calcs'!$D:$D,'End Uses'!D422,'Water Use Calcs'!$G:$G,'End Uses'!G422,'Water Use Calcs'!$I:$I,'End Uses'!I422,'Water Use Calcs'!$J:$J,'End Uses'!J422)</f>
        <v>0</v>
      </c>
      <c r="N422" s="609">
        <f t="shared" ca="1" si="40"/>
        <v>0</v>
      </c>
      <c r="O422" s="616" t="str">
        <f ca="1">IFERROR(N422/R405,"-")</f>
        <v>-</v>
      </c>
      <c r="P422" s="611"/>
      <c r="Q422" s="611"/>
      <c r="R422" s="613"/>
      <c r="S422" s="614">
        <f ca="1">SUMIFS('Water Use Calcs'!$W:$W,'Water Use Calcs'!$D:$D,'End Uses'!D422,'Water Use Calcs'!$G:$G,'End Uses'!G422,'Water Use Calcs'!$I:$I,'End Uses'!I422,'Water Use Calcs'!$J:$J,'End Uses'!J422)</f>
        <v>0</v>
      </c>
      <c r="T422" s="609">
        <f t="shared" ca="1" si="38"/>
        <v>0</v>
      </c>
      <c r="U422" s="616" t="str">
        <f ca="1">IFERROR(T422/X405,"-")</f>
        <v>-</v>
      </c>
      <c r="V422" s="611"/>
      <c r="W422" s="611"/>
      <c r="X422" s="613"/>
    </row>
    <row r="423" spans="3:24" x14ac:dyDescent="0.3">
      <c r="C423" s="576"/>
      <c r="D423" s="494" t="s">
        <v>471</v>
      </c>
      <c r="E423" s="656" t="str">
        <f>G423</f>
        <v>Tenant E</v>
      </c>
      <c r="F423" s="565" t="str">
        <f>VLOOKUP(E423,'Airport Mapping'!$C$5:$D$39,2,FALSE)</f>
        <v xml:space="preserve"> </v>
      </c>
      <c r="G423" s="494" t="s">
        <v>110</v>
      </c>
      <c r="H423" s="564" t="str">
        <f>I423</f>
        <v>Restrooms</v>
      </c>
      <c r="I423" s="454" t="s">
        <v>37</v>
      </c>
      <c r="J423" s="567" t="s">
        <v>2</v>
      </c>
      <c r="K423" s="620" t="s">
        <v>6</v>
      </c>
      <c r="L423" s="568">
        <f>SUMIFS('Airport Statistics'!$G:$G,'Airport Statistics'!$D:$D,G423,'Airport Statistics'!$F:$F,K423)</f>
        <v>0</v>
      </c>
      <c r="M423" s="569">
        <f ca="1">SUMIFS('Water Use Calcs'!$V:$V,'Water Use Calcs'!$D:$D,'End Uses'!D423,'Water Use Calcs'!$G:$G,'End Uses'!G423,'Water Use Calcs'!$I:$I,'End Uses'!I423,'Water Use Calcs'!$J:$J,'End Uses'!J423)</f>
        <v>0</v>
      </c>
      <c r="N423" s="570">
        <f t="shared" ca="1" si="40"/>
        <v>0</v>
      </c>
      <c r="O423" s="571" t="str">
        <f ca="1">IFERROR(N423/R423,"-")</f>
        <v>-</v>
      </c>
      <c r="P423" s="572">
        <f ca="1">SUMIFS($N:$N,$G:$G,G423,$I:$I,H423)</f>
        <v>0</v>
      </c>
      <c r="Q423" s="546" t="str">
        <f ca="1">IFERROR(P423/R423,"-")</f>
        <v>-</v>
      </c>
      <c r="R423" s="573">
        <f ca="1">SUMIFS($N:$N,$G:$G,G423)</f>
        <v>0</v>
      </c>
      <c r="S423" s="574">
        <f ca="1">SUMIFS('Water Use Calcs'!$W:$W,'Water Use Calcs'!$D:$D,'End Uses'!D423,'Water Use Calcs'!$G:$G,'End Uses'!G423,'Water Use Calcs'!$I:$I,'End Uses'!I423,'Water Use Calcs'!$J:$J,'End Uses'!J423)</f>
        <v>0</v>
      </c>
      <c r="T423" s="570">
        <f t="shared" ca="1" si="38"/>
        <v>0</v>
      </c>
      <c r="U423" s="571" t="str">
        <f ca="1">IFERROR(T423/X423,"-")</f>
        <v>-</v>
      </c>
      <c r="V423" s="572">
        <f ca="1">SUMIFS($T:$T,$G:$G,G423,$I:$I,H423)</f>
        <v>0</v>
      </c>
      <c r="W423" s="546" t="str">
        <f ca="1">IFERROR(V423/X423,"-")</f>
        <v>-</v>
      </c>
      <c r="X423" s="573">
        <f ca="1">SUMIFS($T:$T,$G:$G,G423)</f>
        <v>0</v>
      </c>
    </row>
    <row r="424" spans="3:24" x14ac:dyDescent="0.3">
      <c r="C424" s="576"/>
      <c r="D424" s="494" t="s">
        <v>471</v>
      </c>
      <c r="E424" s="657"/>
      <c r="F424" s="577"/>
      <c r="G424" s="494" t="s">
        <v>110</v>
      </c>
      <c r="H424" s="577"/>
      <c r="I424" s="450" t="s">
        <v>37</v>
      </c>
      <c r="J424" s="577" t="s">
        <v>4</v>
      </c>
      <c r="K424" s="598" t="s">
        <v>6</v>
      </c>
      <c r="L424" s="578">
        <f>SUMIFS('Airport Statistics'!$G:$G,'Airport Statistics'!$D:$D,G424,'Airport Statistics'!$F:$F,K424)</f>
        <v>0</v>
      </c>
      <c r="M424" s="579">
        <f ca="1">SUMIFS('Water Use Calcs'!$V:$V,'Water Use Calcs'!$D:$D,'End Uses'!D424,'Water Use Calcs'!$G:$G,'End Uses'!G424,'Water Use Calcs'!$I:$I,'End Uses'!I424,'Water Use Calcs'!$J:$J,'End Uses'!J424)</f>
        <v>0</v>
      </c>
      <c r="N424" s="580">
        <f t="shared" ca="1" si="40"/>
        <v>0</v>
      </c>
      <c r="O424" s="581" t="str">
        <f ca="1">IFERROR(N424/R423,"-")</f>
        <v>-</v>
      </c>
      <c r="P424" s="582"/>
      <c r="Q424" s="583"/>
      <c r="R424" s="584"/>
      <c r="S424" s="585">
        <f ca="1">SUMIFS('Water Use Calcs'!$W:$W,'Water Use Calcs'!$D:$D,'End Uses'!D424,'Water Use Calcs'!$G:$G,'End Uses'!G424,'Water Use Calcs'!$I:$I,'End Uses'!I424,'Water Use Calcs'!$J:$J,'End Uses'!J424)</f>
        <v>0</v>
      </c>
      <c r="T424" s="580">
        <f t="shared" ca="1" si="38"/>
        <v>0</v>
      </c>
      <c r="U424" s="581" t="str">
        <f ca="1">IFERROR(T424/X423,"-")</f>
        <v>-</v>
      </c>
      <c r="V424" s="582"/>
      <c r="W424" s="583"/>
      <c r="X424" s="584"/>
    </row>
    <row r="425" spans="3:24" x14ac:dyDescent="0.3">
      <c r="C425" s="576"/>
      <c r="D425" s="494" t="s">
        <v>471</v>
      </c>
      <c r="E425" s="657"/>
      <c r="F425" s="577"/>
      <c r="G425" s="494" t="s">
        <v>110</v>
      </c>
      <c r="H425" s="577"/>
      <c r="I425" s="450" t="s">
        <v>37</v>
      </c>
      <c r="J425" s="577" t="s">
        <v>33</v>
      </c>
      <c r="K425" s="598" t="s">
        <v>6</v>
      </c>
      <c r="L425" s="578">
        <f>SUMIFS('Airport Statistics'!$G:$G,'Airport Statistics'!$D:$D,G425,'Airport Statistics'!$F:$F,K425)</f>
        <v>0</v>
      </c>
      <c r="M425" s="579">
        <f ca="1">SUMIFS('Water Use Calcs'!$V:$V,'Water Use Calcs'!$D:$D,'End Uses'!D425,'Water Use Calcs'!$G:$G,'End Uses'!G425,'Water Use Calcs'!$I:$I,'End Uses'!I425,'Water Use Calcs'!$J:$J,'End Uses'!J425)</f>
        <v>0</v>
      </c>
      <c r="N425" s="580">
        <f t="shared" ca="1" si="40"/>
        <v>0</v>
      </c>
      <c r="O425" s="581" t="str">
        <f ca="1">IFERROR(N425/R423,"-")</f>
        <v>-</v>
      </c>
      <c r="P425" s="582"/>
      <c r="Q425" s="583"/>
      <c r="R425" s="584"/>
      <c r="S425" s="585">
        <f ca="1">SUMIFS('Water Use Calcs'!$W:$W,'Water Use Calcs'!$D:$D,'End Uses'!D425,'Water Use Calcs'!$G:$G,'End Uses'!G425,'Water Use Calcs'!$I:$I,'End Uses'!I425,'Water Use Calcs'!$J:$J,'End Uses'!J425)</f>
        <v>0</v>
      </c>
      <c r="T425" s="580">
        <f t="shared" ca="1" si="38"/>
        <v>0</v>
      </c>
      <c r="U425" s="581" t="str">
        <f ca="1">IFERROR(T425/X423,"-")</f>
        <v>-</v>
      </c>
      <c r="V425" s="582"/>
      <c r="W425" s="583"/>
      <c r="X425" s="584"/>
    </row>
    <row r="426" spans="3:24" x14ac:dyDescent="0.3">
      <c r="C426" s="576"/>
      <c r="D426" s="494" t="s">
        <v>471</v>
      </c>
      <c r="E426" s="657"/>
      <c r="F426" s="577"/>
      <c r="G426" s="494" t="s">
        <v>110</v>
      </c>
      <c r="H426" s="622" t="str">
        <f>I426</f>
        <v>Break rooms</v>
      </c>
      <c r="I426" s="623" t="s">
        <v>5</v>
      </c>
      <c r="J426" s="624" t="s">
        <v>33</v>
      </c>
      <c r="K426" s="625" t="s">
        <v>6</v>
      </c>
      <c r="L426" s="496">
        <f>SUMIFS('Airport Statistics'!$G:$G,'Airport Statistics'!$D:$D,G426,'Airport Statistics'!$F:$F,K426)</f>
        <v>0</v>
      </c>
      <c r="M426" s="626">
        <f ca="1">SUMIFS('Water Use Calcs'!$V:$V,'Water Use Calcs'!$D:$D,'End Uses'!D426,'Water Use Calcs'!$G:$G,'End Uses'!G426,'Water Use Calcs'!$I:$I,'End Uses'!I426,'Water Use Calcs'!$J:$J,'End Uses'!J426)</f>
        <v>0</v>
      </c>
      <c r="N426" s="627">
        <f t="shared" ca="1" si="40"/>
        <v>0</v>
      </c>
      <c r="O426" s="628" t="str">
        <f ca="1">IFERROR(N426/R423,"-")</f>
        <v>-</v>
      </c>
      <c r="P426" s="629">
        <f ca="1">SUMIFS($N:$N,$G:$G,G426,$I:$I,H426)</f>
        <v>0</v>
      </c>
      <c r="Q426" s="291" t="str">
        <f ca="1">IFERROR(P426/R423,"-")</f>
        <v>-</v>
      </c>
      <c r="R426" s="584"/>
      <c r="S426" s="630">
        <f ca="1">SUMIFS('Water Use Calcs'!$W:$W,'Water Use Calcs'!$D:$D,'End Uses'!D426,'Water Use Calcs'!$G:$G,'End Uses'!G426,'Water Use Calcs'!$I:$I,'End Uses'!I426,'Water Use Calcs'!$J:$J,'End Uses'!J426)</f>
        <v>0</v>
      </c>
      <c r="T426" s="627">
        <f t="shared" ref="T426:T440" ca="1" si="41">L426*S426</f>
        <v>0</v>
      </c>
      <c r="U426" s="628" t="str">
        <f ca="1">IFERROR(T426/X423,"-")</f>
        <v>-</v>
      </c>
      <c r="V426" s="629">
        <f ca="1">SUMIFS($T:$T,$G:$G,G426,$I:$I,H426)</f>
        <v>0</v>
      </c>
      <c r="W426" s="291" t="str">
        <f ca="1">IFERROR(V426/X423,"-")</f>
        <v>-</v>
      </c>
      <c r="X426" s="584"/>
    </row>
    <row r="427" spans="3:24" x14ac:dyDescent="0.3">
      <c r="C427" s="576"/>
      <c r="D427" s="494" t="s">
        <v>471</v>
      </c>
      <c r="E427" s="657"/>
      <c r="F427" s="577"/>
      <c r="G427" s="494" t="s">
        <v>110</v>
      </c>
      <c r="H427" s="588" t="str">
        <f>I427</f>
        <v>Flight kitchens</v>
      </c>
      <c r="I427" s="455" t="s">
        <v>391</v>
      </c>
      <c r="J427" s="589" t="s">
        <v>114</v>
      </c>
      <c r="K427" s="428" t="s">
        <v>118</v>
      </c>
      <c r="L427" s="591">
        <f>SUMIFS('Airport Statistics'!$G:$G,'Airport Statistics'!$D:$D,G427,'Airport Statistics'!$F:$F,K427)</f>
        <v>0</v>
      </c>
      <c r="M427" s="592">
        <f ca="1">SUMIFS('Water Use Calcs'!$V:$V,'Water Use Calcs'!$D:$D,'End Uses'!D427,'Water Use Calcs'!$G:$G,'End Uses'!G427,'Water Use Calcs'!$I:$I,'End Uses'!I427,'Water Use Calcs'!$J:$J,'End Uses'!J427)</f>
        <v>0</v>
      </c>
      <c r="N427" s="593">
        <f t="shared" ca="1" si="40"/>
        <v>0</v>
      </c>
      <c r="O427" s="594" t="str">
        <f ca="1">IFERROR(N427/R423,"-")</f>
        <v>-</v>
      </c>
      <c r="P427" s="595">
        <f ca="1">SUMIFS($N:$N,$G:$G,G427,$I:$I,H427)</f>
        <v>0</v>
      </c>
      <c r="Q427" s="547" t="str">
        <f ca="1">IFERROR(P427/R423,"-")</f>
        <v>-</v>
      </c>
      <c r="R427" s="584"/>
      <c r="S427" s="596">
        <f ca="1">SUMIFS('Water Use Calcs'!$W:$W,'Water Use Calcs'!$D:$D,'End Uses'!D427,'Water Use Calcs'!$G:$G,'End Uses'!G427,'Water Use Calcs'!$I:$I,'End Uses'!I427,'Water Use Calcs'!$J:$J,'End Uses'!J427)</f>
        <v>0</v>
      </c>
      <c r="T427" s="593">
        <f t="shared" ca="1" si="41"/>
        <v>0</v>
      </c>
      <c r="U427" s="594" t="str">
        <f ca="1">IFERROR(T427/X423,"-")</f>
        <v>-</v>
      </c>
      <c r="V427" s="595">
        <f ca="1">SUMIFS($T:$T,$G:$G,G427,$I:$I,H427)</f>
        <v>0</v>
      </c>
      <c r="W427" s="547" t="str">
        <f ca="1">IFERROR(V427/X423,"-")</f>
        <v>-</v>
      </c>
      <c r="X427" s="584"/>
    </row>
    <row r="428" spans="3:24" x14ac:dyDescent="0.3">
      <c r="C428" s="576"/>
      <c r="D428" s="494" t="s">
        <v>471</v>
      </c>
      <c r="E428" s="657"/>
      <c r="F428" s="577"/>
      <c r="G428" s="494" t="s">
        <v>110</v>
      </c>
      <c r="H428" s="577"/>
      <c r="I428" s="450" t="s">
        <v>391</v>
      </c>
      <c r="J428" s="577" t="s">
        <v>41</v>
      </c>
      <c r="K428" s="400" t="s">
        <v>118</v>
      </c>
      <c r="L428" s="578">
        <f>SUMIFS('Airport Statistics'!$G:$G,'Airport Statistics'!$D:$D,G428,'Airport Statistics'!$F:$F,K428)</f>
        <v>0</v>
      </c>
      <c r="M428" s="579">
        <f ca="1">SUMIFS('Water Use Calcs'!$V:$V,'Water Use Calcs'!$D:$D,'End Uses'!D428,'Water Use Calcs'!$G:$G,'End Uses'!G428,'Water Use Calcs'!$I:$I,'End Uses'!I428,'Water Use Calcs'!$J:$J,'End Uses'!J428)</f>
        <v>0</v>
      </c>
      <c r="N428" s="580">
        <f t="shared" ca="1" si="40"/>
        <v>0</v>
      </c>
      <c r="O428" s="581" t="str">
        <f ca="1">IFERROR(N428/R423,"-")</f>
        <v>-</v>
      </c>
      <c r="P428" s="582"/>
      <c r="Q428" s="548"/>
      <c r="R428" s="584"/>
      <c r="S428" s="585">
        <f ca="1">SUMIFS('Water Use Calcs'!$W:$W,'Water Use Calcs'!$D:$D,'End Uses'!D428,'Water Use Calcs'!$G:$G,'End Uses'!G428,'Water Use Calcs'!$I:$I,'End Uses'!I428,'Water Use Calcs'!$J:$J,'End Uses'!J428)</f>
        <v>0</v>
      </c>
      <c r="T428" s="580">
        <f t="shared" ca="1" si="41"/>
        <v>0</v>
      </c>
      <c r="U428" s="581" t="str">
        <f ca="1">IFERROR(T428/X423,"-")</f>
        <v>-</v>
      </c>
      <c r="V428" s="582"/>
      <c r="W428" s="548"/>
      <c r="X428" s="584"/>
    </row>
    <row r="429" spans="3:24" x14ac:dyDescent="0.3">
      <c r="C429" s="576"/>
      <c r="D429" s="494" t="s">
        <v>471</v>
      </c>
      <c r="E429" s="657"/>
      <c r="F429" s="577"/>
      <c r="G429" s="494" t="s">
        <v>110</v>
      </c>
      <c r="H429" s="577"/>
      <c r="I429" s="450" t="s">
        <v>391</v>
      </c>
      <c r="J429" s="577" t="s">
        <v>20</v>
      </c>
      <c r="K429" s="400" t="s">
        <v>118</v>
      </c>
      <c r="L429" s="578">
        <f>SUMIFS('Airport Statistics'!$G:$G,'Airport Statistics'!$D:$D,G429,'Airport Statistics'!$F:$F,K429)</f>
        <v>0</v>
      </c>
      <c r="M429" s="579">
        <f ca="1">SUMIFS('Water Use Calcs'!$V:$V,'Water Use Calcs'!$D:$D,'End Uses'!D429,'Water Use Calcs'!$G:$G,'End Uses'!G429,'Water Use Calcs'!$I:$I,'End Uses'!I429,'Water Use Calcs'!$J:$J,'End Uses'!J429)</f>
        <v>0</v>
      </c>
      <c r="N429" s="580">
        <f t="shared" ca="1" si="40"/>
        <v>0</v>
      </c>
      <c r="O429" s="581" t="str">
        <f ca="1">IFERROR(N429/R423,"-")</f>
        <v>-</v>
      </c>
      <c r="P429" s="404"/>
      <c r="Q429" s="548"/>
      <c r="R429" s="584"/>
      <c r="S429" s="585">
        <f ca="1">SUMIFS('Water Use Calcs'!$W:$W,'Water Use Calcs'!$D:$D,'End Uses'!D429,'Water Use Calcs'!$G:$G,'End Uses'!G429,'Water Use Calcs'!$I:$I,'End Uses'!I429,'Water Use Calcs'!$J:$J,'End Uses'!J429)</f>
        <v>0</v>
      </c>
      <c r="T429" s="580">
        <f t="shared" ca="1" si="41"/>
        <v>0</v>
      </c>
      <c r="U429" s="581" t="str">
        <f ca="1">IFERROR(T429/X423,"-")</f>
        <v>-</v>
      </c>
      <c r="V429" s="404"/>
      <c r="W429" s="548"/>
      <c r="X429" s="584"/>
    </row>
    <row r="430" spans="3:24" x14ac:dyDescent="0.3">
      <c r="C430" s="576"/>
      <c r="D430" s="494" t="s">
        <v>471</v>
      </c>
      <c r="E430" s="657"/>
      <c r="F430" s="577"/>
      <c r="G430" s="494" t="s">
        <v>110</v>
      </c>
      <c r="H430" s="588" t="str">
        <f>I430</f>
        <v>Aircraft</v>
      </c>
      <c r="I430" s="455" t="s">
        <v>44</v>
      </c>
      <c r="J430" s="589" t="s">
        <v>27</v>
      </c>
      <c r="K430" s="19" t="s">
        <v>121</v>
      </c>
      <c r="L430" s="591">
        <f>SUMIFS('Airport Statistics'!$G:$G,'Airport Statistics'!$D:$D,G430,'Airport Statistics'!$F:$F,K430)</f>
        <v>0</v>
      </c>
      <c r="M430" s="592">
        <f ca="1">SUMIFS('Water Use Calcs'!$V:$V,'Water Use Calcs'!$D:$D,'End Uses'!D430,'Water Use Calcs'!$G:$G,'End Uses'!G430,'Water Use Calcs'!$I:$I,'End Uses'!I430,'Water Use Calcs'!$J:$J,'End Uses'!J430)</f>
        <v>0</v>
      </c>
      <c r="N430" s="593">
        <f t="shared" ca="1" si="40"/>
        <v>0</v>
      </c>
      <c r="O430" s="594" t="str">
        <f ca="1">IFERROR(N430/R423,"-")</f>
        <v>-</v>
      </c>
      <c r="P430" s="595">
        <f ca="1">SUMIFS($N:$N,$G:$G,G430,$I:$I,H430)</f>
        <v>0</v>
      </c>
      <c r="Q430" s="547" t="str">
        <f ca="1">IFERROR(P430/R423,"-")</f>
        <v>-</v>
      </c>
      <c r="R430" s="584"/>
      <c r="S430" s="596">
        <f ca="1">SUMIFS('Water Use Calcs'!$W:$W,'Water Use Calcs'!$D:$D,'End Uses'!D430,'Water Use Calcs'!$G:$G,'End Uses'!G430,'Water Use Calcs'!$I:$I,'End Uses'!I430,'Water Use Calcs'!$J:$J,'End Uses'!J430)</f>
        <v>0</v>
      </c>
      <c r="T430" s="593">
        <f t="shared" ca="1" si="41"/>
        <v>0</v>
      </c>
      <c r="U430" s="594" t="str">
        <f ca="1">IFERROR(T430/X423,"-")</f>
        <v>-</v>
      </c>
      <c r="V430" s="595">
        <f ca="1">SUMIFS($T:$T,$G:$G,G430,$I:$I,H430)</f>
        <v>0</v>
      </c>
      <c r="W430" s="547" t="str">
        <f ca="1">IFERROR(V430/X423,"-")</f>
        <v>-</v>
      </c>
      <c r="X430" s="584"/>
    </row>
    <row r="431" spans="3:24" x14ac:dyDescent="0.3">
      <c r="C431" s="576"/>
      <c r="D431" s="494" t="s">
        <v>471</v>
      </c>
      <c r="E431" s="657"/>
      <c r="F431" s="577"/>
      <c r="G431" s="494" t="s">
        <v>110</v>
      </c>
      <c r="H431" s="577"/>
      <c r="I431" s="450" t="s">
        <v>44</v>
      </c>
      <c r="J431" s="577" t="s">
        <v>28</v>
      </c>
      <c r="K431" s="635" t="s">
        <v>121</v>
      </c>
      <c r="L431" s="578">
        <f>SUMIFS('Airport Statistics'!$G:$G,'Airport Statistics'!$D:$D,G431,'Airport Statistics'!$F:$F,K431)</f>
        <v>0</v>
      </c>
      <c r="M431" s="579">
        <f ca="1">SUMIFS('Water Use Calcs'!$V:$V,'Water Use Calcs'!$D:$D,'End Uses'!D431,'Water Use Calcs'!$G:$G,'End Uses'!G431,'Water Use Calcs'!$I:$I,'End Uses'!I431,'Water Use Calcs'!$J:$J,'End Uses'!J431)</f>
        <v>0</v>
      </c>
      <c r="N431" s="580">
        <f t="shared" ca="1" si="40"/>
        <v>0</v>
      </c>
      <c r="O431" s="581" t="str">
        <f ca="1">IFERROR(N431/R423,"-")</f>
        <v>-</v>
      </c>
      <c r="P431" s="404"/>
      <c r="Q431" s="548"/>
      <c r="R431" s="584"/>
      <c r="S431" s="585">
        <f ca="1">SUMIFS('Water Use Calcs'!$W:$W,'Water Use Calcs'!$D:$D,'End Uses'!D431,'Water Use Calcs'!$G:$G,'End Uses'!G431,'Water Use Calcs'!$I:$I,'End Uses'!I431,'Water Use Calcs'!$J:$J,'End Uses'!J431)</f>
        <v>0</v>
      </c>
      <c r="T431" s="580">
        <f t="shared" ca="1" si="41"/>
        <v>0</v>
      </c>
      <c r="U431" s="581" t="str">
        <f ca="1">IFERROR(T431/X423,"-")</f>
        <v>-</v>
      </c>
      <c r="V431" s="404"/>
      <c r="W431" s="548"/>
      <c r="X431" s="584"/>
    </row>
    <row r="432" spans="3:24" x14ac:dyDescent="0.3">
      <c r="C432" s="576"/>
      <c r="D432" s="494" t="s">
        <v>471</v>
      </c>
      <c r="E432" s="657"/>
      <c r="F432" s="577"/>
      <c r="G432" s="494" t="s">
        <v>110</v>
      </c>
      <c r="H432" s="577"/>
      <c r="I432" s="450" t="s">
        <v>44</v>
      </c>
      <c r="J432" s="577" t="s">
        <v>29</v>
      </c>
      <c r="K432" s="635" t="s">
        <v>121</v>
      </c>
      <c r="L432" s="578">
        <f>SUMIFS('Airport Statistics'!$G:$G,'Airport Statistics'!$D:$D,G432,'Airport Statistics'!$F:$F,K432)</f>
        <v>0</v>
      </c>
      <c r="M432" s="579">
        <f ca="1">SUMIFS('Water Use Calcs'!$V:$V,'Water Use Calcs'!$D:$D,'End Uses'!D432,'Water Use Calcs'!$G:$G,'End Uses'!G432,'Water Use Calcs'!$I:$I,'End Uses'!I432,'Water Use Calcs'!$J:$J,'End Uses'!J432)</f>
        <v>0</v>
      </c>
      <c r="N432" s="580">
        <f t="shared" ca="1" si="40"/>
        <v>0</v>
      </c>
      <c r="O432" s="581" t="str">
        <f ca="1">IFERROR(N432/R423,"-")</f>
        <v>-</v>
      </c>
      <c r="P432" s="582"/>
      <c r="Q432" s="548"/>
      <c r="R432" s="584"/>
      <c r="S432" s="585">
        <f ca="1">SUMIFS('Water Use Calcs'!$W:$W,'Water Use Calcs'!$D:$D,'End Uses'!D432,'Water Use Calcs'!$G:$G,'End Uses'!G432,'Water Use Calcs'!$I:$I,'End Uses'!I432,'Water Use Calcs'!$J:$J,'End Uses'!J432)</f>
        <v>0</v>
      </c>
      <c r="T432" s="580">
        <f t="shared" ca="1" si="41"/>
        <v>0</v>
      </c>
      <c r="U432" s="581" t="str">
        <f ca="1">IFERROR(T432/X423,"-")</f>
        <v>-</v>
      </c>
      <c r="V432" s="582"/>
      <c r="W432" s="548"/>
      <c r="X432" s="584"/>
    </row>
    <row r="433" spans="3:24" x14ac:dyDescent="0.3">
      <c r="C433" s="576"/>
      <c r="D433" s="494" t="s">
        <v>471</v>
      </c>
      <c r="E433" s="657"/>
      <c r="F433" s="577"/>
      <c r="G433" s="494" t="s">
        <v>110</v>
      </c>
      <c r="H433" s="622" t="str">
        <f>I433</f>
        <v>Landscaping</v>
      </c>
      <c r="I433" s="623" t="s">
        <v>39</v>
      </c>
      <c r="J433" s="624" t="s">
        <v>42</v>
      </c>
      <c r="K433" s="20" t="s">
        <v>120</v>
      </c>
      <c r="L433" s="496">
        <f>SUMIFS('Airport Statistics'!$G:$G,'Airport Statistics'!$D:$D,G433,'Airport Statistics'!$F:$F,K433)</f>
        <v>0</v>
      </c>
      <c r="M433" s="626">
        <f ca="1">SUMIFS('Water Use Calcs'!$V:$V,'Water Use Calcs'!$D:$D,'End Uses'!D433,'Water Use Calcs'!$G:$G,'End Uses'!G433,'Water Use Calcs'!$I:$I,'End Uses'!I433,'Water Use Calcs'!$J:$J,'End Uses'!J433)</f>
        <v>0</v>
      </c>
      <c r="N433" s="627">
        <f t="shared" ca="1" si="40"/>
        <v>0</v>
      </c>
      <c r="O433" s="628" t="str">
        <f ca="1">IFERROR(N433/R423,"-")</f>
        <v>-</v>
      </c>
      <c r="P433" s="629">
        <f ca="1">SUMIFS($N:$N,$G:$G,G433,$I:$I,H433)</f>
        <v>0</v>
      </c>
      <c r="Q433" s="291" t="str">
        <f ca="1">IFERROR(P433/R423,"-")</f>
        <v>-</v>
      </c>
      <c r="R433" s="584"/>
      <c r="S433" s="630">
        <f ca="1">SUMIFS('Water Use Calcs'!$W:$W,'Water Use Calcs'!$D:$D,'End Uses'!D433,'Water Use Calcs'!$G:$G,'End Uses'!G433,'Water Use Calcs'!$I:$I,'End Uses'!I433,'Water Use Calcs'!$J:$J,'End Uses'!J433)</f>
        <v>0</v>
      </c>
      <c r="T433" s="627">
        <f t="shared" ca="1" si="41"/>
        <v>0</v>
      </c>
      <c r="U433" s="628" t="str">
        <f ca="1">IFERROR(T433/X423,"-")</f>
        <v>-</v>
      </c>
      <c r="V433" s="629">
        <f ca="1">SUMIFS($T:$T,$G:$G,G433,$I:$I,H433)</f>
        <v>0</v>
      </c>
      <c r="W433" s="291" t="str">
        <f ca="1">IFERROR(V433/X423,"-")</f>
        <v>-</v>
      </c>
      <c r="X433" s="584"/>
    </row>
    <row r="434" spans="3:24" x14ac:dyDescent="0.3">
      <c r="C434" s="576"/>
      <c r="D434" s="494" t="s">
        <v>471</v>
      </c>
      <c r="E434" s="657"/>
      <c r="F434" s="577"/>
      <c r="G434" s="494" t="s">
        <v>110</v>
      </c>
      <c r="H434" s="588" t="str">
        <f>I434</f>
        <v>Maintenance</v>
      </c>
      <c r="I434" s="455" t="s">
        <v>43</v>
      </c>
      <c r="J434" s="17" t="s">
        <v>111</v>
      </c>
      <c r="K434" s="599" t="s">
        <v>424</v>
      </c>
      <c r="L434" s="591">
        <f>SUMIFS('Airport Statistics'!$G:$G,'Airport Statistics'!$D:$D,G434,'Airport Statistics'!$F:$F,K434)</f>
        <v>0</v>
      </c>
      <c r="M434" s="592">
        <f ca="1">SUMIFS('Water Use Calcs'!$V:$V,'Water Use Calcs'!$D:$D,'End Uses'!D434,'Water Use Calcs'!$G:$G,'End Uses'!G434,'Water Use Calcs'!$I:$I,'End Uses'!I434,'Water Use Calcs'!$J:$J,'End Uses'!J434)</f>
        <v>0</v>
      </c>
      <c r="N434" s="593">
        <f t="shared" ca="1" si="40"/>
        <v>0</v>
      </c>
      <c r="O434" s="594" t="str">
        <f ca="1">IFERROR(N434/R423,"-")</f>
        <v>-</v>
      </c>
      <c r="P434" s="595">
        <f ca="1">SUMIFS($N:$N,$G:$G,G434,$I:$I,H434)</f>
        <v>0</v>
      </c>
      <c r="Q434" s="547" t="str">
        <f ca="1">IFERROR(P434/R423,"-")</f>
        <v>-</v>
      </c>
      <c r="R434" s="584"/>
      <c r="S434" s="596">
        <f ca="1">SUMIFS('Water Use Calcs'!$W:$W,'Water Use Calcs'!$D:$D,'End Uses'!D434,'Water Use Calcs'!$G:$G,'End Uses'!G434,'Water Use Calcs'!$I:$I,'End Uses'!I434,'Water Use Calcs'!$J:$J,'End Uses'!J434)</f>
        <v>0</v>
      </c>
      <c r="T434" s="593">
        <f t="shared" ca="1" si="41"/>
        <v>0</v>
      </c>
      <c r="U434" s="594" t="str">
        <f ca="1">IFERROR(T434/X423,"-")</f>
        <v>-</v>
      </c>
      <c r="V434" s="595">
        <f ca="1">SUMIFS($T:$T,$G:$G,G434,$I:$I,H434)</f>
        <v>0</v>
      </c>
      <c r="W434" s="547" t="str">
        <f ca="1">IFERROR(V434/X423,"-")</f>
        <v>-</v>
      </c>
      <c r="X434" s="584"/>
    </row>
    <row r="435" spans="3:24" x14ac:dyDescent="0.3">
      <c r="C435" s="576"/>
      <c r="D435" s="494" t="s">
        <v>471</v>
      </c>
      <c r="E435" s="657"/>
      <c r="F435" s="577"/>
      <c r="G435" s="494" t="s">
        <v>110</v>
      </c>
      <c r="H435" s="577"/>
      <c r="I435" s="450" t="s">
        <v>43</v>
      </c>
      <c r="J435" s="18" t="s">
        <v>7</v>
      </c>
      <c r="K435" s="183" t="s">
        <v>365</v>
      </c>
      <c r="L435" s="600"/>
      <c r="M435" s="601">
        <f ca="1">SUMIFS('Water Use Calcs'!$V:$V,'Water Use Calcs'!$D:$D,'End Uses'!D435,'Water Use Calcs'!$G:$G,'End Uses'!G435,'Water Use Calcs'!$I:$I,'End Uses'!I435,'Water Use Calcs'!$J:$J,'End Uses'!J435)</f>
        <v>0</v>
      </c>
      <c r="N435" s="580">
        <f ca="1">M435</f>
        <v>0</v>
      </c>
      <c r="O435" s="581" t="str">
        <f ca="1">IFERROR(N435/R423,"-")</f>
        <v>-</v>
      </c>
      <c r="P435" s="582"/>
      <c r="Q435" s="552"/>
      <c r="R435" s="584"/>
      <c r="S435" s="585">
        <f ca="1">SUMIFS('Water Use Calcs'!$W:$W,'Water Use Calcs'!$D:$D,'End Uses'!D435,'Water Use Calcs'!$G:$G,'End Uses'!G435,'Water Use Calcs'!$I:$I,'End Uses'!I435,'Water Use Calcs'!$J:$J,'End Uses'!J435)</f>
        <v>0</v>
      </c>
      <c r="T435" s="580">
        <f ca="1">S435</f>
        <v>0</v>
      </c>
      <c r="U435" s="581" t="str">
        <f ca="1">IFERROR(T435/X423,"-")</f>
        <v>-</v>
      </c>
      <c r="V435" s="582"/>
      <c r="W435" s="552"/>
      <c r="X435" s="584"/>
    </row>
    <row r="436" spans="3:24" x14ac:dyDescent="0.3">
      <c r="C436" s="576"/>
      <c r="D436" s="494" t="s">
        <v>471</v>
      </c>
      <c r="E436" s="657"/>
      <c r="F436" s="577"/>
      <c r="G436" s="494" t="s">
        <v>110</v>
      </c>
      <c r="H436" s="577"/>
      <c r="I436" s="450" t="s">
        <v>43</v>
      </c>
      <c r="J436" s="577" t="s">
        <v>25</v>
      </c>
      <c r="K436" s="635" t="s">
        <v>121</v>
      </c>
      <c r="L436" s="578">
        <f>SUMIFS('Airport Statistics'!$G:$G,'Airport Statistics'!$D:$D,G436,'Airport Statistics'!$F:$F,K436)</f>
        <v>0</v>
      </c>
      <c r="M436" s="579">
        <f ca="1">SUMIFS('Water Use Calcs'!$V:$V,'Water Use Calcs'!$D:$D,'End Uses'!D436,'Water Use Calcs'!$G:$G,'End Uses'!G436,'Water Use Calcs'!$I:$I,'End Uses'!I436,'Water Use Calcs'!$J:$J,'End Uses'!J436)</f>
        <v>0</v>
      </c>
      <c r="N436" s="580">
        <f t="shared" ca="1" si="40"/>
        <v>0</v>
      </c>
      <c r="O436" s="581" t="str">
        <f ca="1">IFERROR(N436/R423,"-")</f>
        <v>-</v>
      </c>
      <c r="P436" s="582"/>
      <c r="Q436" s="552"/>
      <c r="R436" s="584"/>
      <c r="S436" s="585">
        <f ca="1">SUMIFS('Water Use Calcs'!$W:$W,'Water Use Calcs'!$D:$D,'End Uses'!D436,'Water Use Calcs'!$G:$G,'End Uses'!G436,'Water Use Calcs'!$I:$I,'End Uses'!I436,'Water Use Calcs'!$J:$J,'End Uses'!J436)</f>
        <v>0</v>
      </c>
      <c r="T436" s="580">
        <f t="shared" ca="1" si="41"/>
        <v>0</v>
      </c>
      <c r="U436" s="581" t="str">
        <f ca="1">IFERROR(T436/X423,"-")</f>
        <v>-</v>
      </c>
      <c r="V436" s="582"/>
      <c r="W436" s="552"/>
      <c r="X436" s="584"/>
    </row>
    <row r="437" spans="3:24" x14ac:dyDescent="0.3">
      <c r="C437" s="576"/>
      <c r="D437" s="494" t="s">
        <v>471</v>
      </c>
      <c r="E437" s="657"/>
      <c r="F437" s="577"/>
      <c r="G437" s="494" t="s">
        <v>110</v>
      </c>
      <c r="H437" s="577"/>
      <c r="I437" s="450" t="s">
        <v>43</v>
      </c>
      <c r="J437" s="577" t="s">
        <v>426</v>
      </c>
      <c r="K437" s="635" t="s">
        <v>121</v>
      </c>
      <c r="L437" s="578">
        <f>SUMIFS('Airport Statistics'!$G:$G,'Airport Statistics'!$D:$D,G437,'Airport Statistics'!$F:$F,K437)</f>
        <v>0</v>
      </c>
      <c r="M437" s="579">
        <f ca="1">SUMIFS('Water Use Calcs'!$V:$V,'Water Use Calcs'!$D:$D,'End Uses'!D437,'Water Use Calcs'!$G:$G,'End Uses'!G437,'Water Use Calcs'!$I:$I,'End Uses'!I437,'Water Use Calcs'!$J:$J,'End Uses'!J437)</f>
        <v>0</v>
      </c>
      <c r="N437" s="580">
        <f t="shared" ca="1" si="40"/>
        <v>0</v>
      </c>
      <c r="O437" s="581" t="str">
        <f ca="1">IFERROR(N437/R423,"-")</f>
        <v>-</v>
      </c>
      <c r="P437" s="404"/>
      <c r="Q437" s="404"/>
      <c r="R437" s="584"/>
      <c r="S437" s="585">
        <f ca="1">SUMIFS('Water Use Calcs'!$W:$W,'Water Use Calcs'!$D:$D,'End Uses'!D437,'Water Use Calcs'!$G:$G,'End Uses'!G437,'Water Use Calcs'!$I:$I,'End Uses'!I437,'Water Use Calcs'!$J:$J,'End Uses'!J437)</f>
        <v>0</v>
      </c>
      <c r="T437" s="580">
        <f t="shared" ca="1" si="41"/>
        <v>0</v>
      </c>
      <c r="U437" s="581" t="str">
        <f ca="1">IFERROR(T437/X423,"-")</f>
        <v>-</v>
      </c>
      <c r="V437" s="404"/>
      <c r="W437" s="404"/>
      <c r="X437" s="584"/>
    </row>
    <row r="438" spans="3:24" x14ac:dyDescent="0.3">
      <c r="C438" s="576"/>
      <c r="D438" s="494" t="s">
        <v>471</v>
      </c>
      <c r="E438" s="657"/>
      <c r="F438" s="577"/>
      <c r="G438" s="494" t="s">
        <v>110</v>
      </c>
      <c r="H438" s="588" t="str">
        <f>I438</f>
        <v>Other</v>
      </c>
      <c r="I438" s="455" t="s">
        <v>8</v>
      </c>
      <c r="J438" s="589" t="s">
        <v>52</v>
      </c>
      <c r="K438" s="602" t="s">
        <v>362</v>
      </c>
      <c r="L438" s="591">
        <f>SUMIFS('Airport Statistics'!$G:$G,'Airport Statistics'!$D:$D,G438,'Airport Statistics'!$F:$F,K438)</f>
        <v>0</v>
      </c>
      <c r="M438" s="592">
        <f ca="1">SUMIFS('Water Use Calcs'!$V:$V,'Water Use Calcs'!$D:$D,'End Uses'!D438,'Water Use Calcs'!$G:$G,'End Uses'!G438,'Water Use Calcs'!$I:$I,'End Uses'!I438,'Water Use Calcs'!$J:$J,'End Uses'!J438)</f>
        <v>0</v>
      </c>
      <c r="N438" s="593">
        <f t="shared" ca="1" si="40"/>
        <v>0</v>
      </c>
      <c r="O438" s="594" t="str">
        <f ca="1">IFERROR(N438/R423,"-")</f>
        <v>-</v>
      </c>
      <c r="P438" s="595">
        <f ca="1">SUMIFS($N:$N,$G:$G,G438,$I:$I,H438)</f>
        <v>0</v>
      </c>
      <c r="Q438" s="547" t="str">
        <f ca="1">IFERROR(P438/R423,"-")</f>
        <v>-</v>
      </c>
      <c r="R438" s="584"/>
      <c r="S438" s="596">
        <f ca="1">SUMIFS('Water Use Calcs'!$W:$W,'Water Use Calcs'!$D:$D,'End Uses'!D438,'Water Use Calcs'!$G:$G,'End Uses'!G438,'Water Use Calcs'!$I:$I,'End Uses'!I438,'Water Use Calcs'!$J:$J,'End Uses'!J438)</f>
        <v>0</v>
      </c>
      <c r="T438" s="593">
        <f t="shared" ca="1" si="41"/>
        <v>0</v>
      </c>
      <c r="U438" s="594" t="str">
        <f ca="1">IFERROR(T438/X423,"-")</f>
        <v>-</v>
      </c>
      <c r="V438" s="595">
        <f ca="1">SUMIFS($T:$T,$G:$G,G438,$I:$I,H438)</f>
        <v>0</v>
      </c>
      <c r="W438" s="547" t="str">
        <f ca="1">IFERROR(V438/X423,"-")</f>
        <v>-</v>
      </c>
      <c r="X438" s="584"/>
    </row>
    <row r="439" spans="3:24" x14ac:dyDescent="0.3">
      <c r="C439" s="576"/>
      <c r="D439" s="494" t="s">
        <v>471</v>
      </c>
      <c r="E439" s="657"/>
      <c r="F439" s="577"/>
      <c r="G439" s="494" t="s">
        <v>110</v>
      </c>
      <c r="H439" s="577"/>
      <c r="I439" s="450" t="s">
        <v>8</v>
      </c>
      <c r="J439" s="577" t="s">
        <v>53</v>
      </c>
      <c r="K439" s="439" t="s">
        <v>363</v>
      </c>
      <c r="L439" s="578">
        <f>SUMIFS('Airport Statistics'!$G:$G,'Airport Statistics'!$D:$D,G439,'Airport Statistics'!$F:$F,K439)</f>
        <v>0</v>
      </c>
      <c r="M439" s="579">
        <f ca="1">SUMIFS('Water Use Calcs'!$V:$V,'Water Use Calcs'!$D:$D,'End Uses'!D439,'Water Use Calcs'!$G:$G,'End Uses'!G439,'Water Use Calcs'!$I:$I,'End Uses'!I439,'Water Use Calcs'!$J:$J,'End Uses'!J439)</f>
        <v>0</v>
      </c>
      <c r="N439" s="580">
        <f t="shared" ca="1" si="40"/>
        <v>0</v>
      </c>
      <c r="O439" s="581" t="str">
        <f ca="1">IFERROR(N439/R423,"-")</f>
        <v>-</v>
      </c>
      <c r="P439" s="404"/>
      <c r="Q439" s="404"/>
      <c r="R439" s="584"/>
      <c r="S439" s="585">
        <f ca="1">SUMIFS('Water Use Calcs'!$W:$W,'Water Use Calcs'!$D:$D,'End Uses'!D439,'Water Use Calcs'!$G:$G,'End Uses'!G439,'Water Use Calcs'!$I:$I,'End Uses'!I439,'Water Use Calcs'!$J:$J,'End Uses'!J439)</f>
        <v>0</v>
      </c>
      <c r="T439" s="580">
        <f t="shared" ca="1" si="41"/>
        <v>0</v>
      </c>
      <c r="U439" s="581" t="str">
        <f ca="1">IFERROR(T439/X423,"-")</f>
        <v>-</v>
      </c>
      <c r="V439" s="404"/>
      <c r="W439" s="404"/>
      <c r="X439" s="584"/>
    </row>
    <row r="440" spans="3:24" ht="15" thickBot="1" x14ac:dyDescent="0.35">
      <c r="C440" s="605"/>
      <c r="D440" s="501" t="s">
        <v>471</v>
      </c>
      <c r="E440" s="658"/>
      <c r="F440" s="116"/>
      <c r="G440" s="501" t="s">
        <v>110</v>
      </c>
      <c r="H440" s="116"/>
      <c r="I440" s="451" t="s">
        <v>8</v>
      </c>
      <c r="J440" s="116" t="s">
        <v>54</v>
      </c>
      <c r="K440" s="606" t="s">
        <v>364</v>
      </c>
      <c r="L440" s="607">
        <f>SUMIFS('Airport Statistics'!$G:$G,'Airport Statistics'!$D:$D,G440,'Airport Statistics'!$F:$F,K440)</f>
        <v>0</v>
      </c>
      <c r="M440" s="608">
        <f ca="1">SUMIFS('Water Use Calcs'!$V:$V,'Water Use Calcs'!$D:$D,'End Uses'!D440,'Water Use Calcs'!$G:$G,'End Uses'!G440,'Water Use Calcs'!$I:$I,'End Uses'!I440,'Water Use Calcs'!$J:$J,'End Uses'!J440)</f>
        <v>0</v>
      </c>
      <c r="N440" s="609">
        <f t="shared" ca="1" si="40"/>
        <v>0</v>
      </c>
      <c r="O440" s="616" t="str">
        <f ca="1">IFERROR(N440/R423,"-")</f>
        <v>-</v>
      </c>
      <c r="P440" s="611"/>
      <c r="Q440" s="611"/>
      <c r="R440" s="613"/>
      <c r="S440" s="614">
        <f ca="1">SUMIFS('Water Use Calcs'!$W:$W,'Water Use Calcs'!$D:$D,'End Uses'!D440,'Water Use Calcs'!$G:$G,'End Uses'!G440,'Water Use Calcs'!$I:$I,'End Uses'!I440,'Water Use Calcs'!$J:$J,'End Uses'!J440)</f>
        <v>0</v>
      </c>
      <c r="T440" s="609">
        <f t="shared" ca="1" si="41"/>
        <v>0</v>
      </c>
      <c r="U440" s="616" t="str">
        <f ca="1">IFERROR(T440/X423,"-")</f>
        <v>-</v>
      </c>
      <c r="V440" s="611"/>
      <c r="W440" s="611"/>
      <c r="X440" s="613"/>
    </row>
    <row r="441" spans="3:24" x14ac:dyDescent="0.3">
      <c r="M441" s="181"/>
    </row>
    <row r="442" spans="3:24" x14ac:dyDescent="0.3">
      <c r="M442" s="181"/>
      <c r="N442" s="659"/>
      <c r="P442" s="659"/>
      <c r="Q442" s="659"/>
      <c r="R442" s="659"/>
      <c r="T442" s="659"/>
      <c r="V442" s="660"/>
      <c r="X442" s="659"/>
    </row>
    <row r="443" spans="3:24" x14ac:dyDescent="0.3">
      <c r="V443" s="661"/>
    </row>
  </sheetData>
  <sheetProtection algorithmName="SHA-512" hashValue="AAq7Or7BmbcOJS6Yog1DjOrliPFkNotqeIbU59Z2WqAtIRZlHM3IPolqmQIZ8HUrqWJwU6P+oLWFm4JsXm9AjA==" saltValue="XiFTfH+cZQT6euoHOdIxNg==" spinCount="100000" sheet="1" objects="1" scenarios="1"/>
  <mergeCells count="2">
    <mergeCell ref="N12:R12"/>
    <mergeCell ref="T12:X12"/>
  </mergeCells>
  <printOptions headings="1"/>
  <pageMargins left="0.45" right="0.45" top="0" bottom="0.5" header="0.3" footer="0.3"/>
  <pageSetup scale="71" fitToWidth="2" fitToHeight="0" orientation="landscape" r:id="rId1"/>
  <headerFooter>
    <oddHeader>&amp;C&amp;"-,Bold"&amp;12&amp;F, &amp;A</oddHeader>
    <oddFooter>&amp;R&amp;10Page &amp;P</oddFooter>
  </headerFooter>
  <colBreaks count="1" manualBreakCount="1">
    <brk id="15" min="11" max="404"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7030A0"/>
  </sheetPr>
  <dimension ref="B1:BE133"/>
  <sheetViews>
    <sheetView showGridLines="0" topLeftCell="A4" zoomScaleNormal="100" workbookViewId="0"/>
  </sheetViews>
  <sheetFormatPr defaultColWidth="8.88671875" defaultRowHeight="14.4" x14ac:dyDescent="0.3"/>
  <cols>
    <col min="1" max="1" width="2.88671875" style="13" customWidth="1"/>
    <col min="2" max="2" width="3.44140625" style="13" customWidth="1"/>
    <col min="3" max="3" width="27.6640625" style="13" bestFit="1" customWidth="1"/>
    <col min="4" max="4" width="12.6640625" style="13" customWidth="1"/>
    <col min="5" max="5" width="8.88671875" style="13"/>
    <col min="6" max="6" width="12.109375" style="13" customWidth="1"/>
    <col min="7" max="7" width="12.6640625" style="13" customWidth="1"/>
    <col min="8" max="9" width="10" style="13" customWidth="1"/>
    <col min="10" max="10" width="8.88671875" style="13"/>
    <col min="11" max="11" width="27" style="13" bestFit="1" customWidth="1"/>
    <col min="12" max="12" width="27" style="13" hidden="1" customWidth="1"/>
    <col min="13" max="13" width="25.6640625" style="125" customWidth="1"/>
    <col min="14" max="14" width="14.88671875" style="13" customWidth="1"/>
    <col min="15" max="15" width="8.88671875" style="124"/>
    <col min="16" max="17" width="12.5546875" style="13" bestFit="1" customWidth="1"/>
    <col min="18" max="18" width="8.88671875" style="13"/>
    <col min="19" max="19" width="9.6640625" style="13" customWidth="1"/>
    <col min="20" max="20" width="8.88671875" style="13"/>
    <col min="21" max="21" width="16.33203125" style="13" customWidth="1"/>
    <col min="22" max="22" width="12.33203125" style="13" customWidth="1"/>
    <col min="23" max="23" width="9" style="13" customWidth="1"/>
    <col min="24" max="24" width="12.44140625" style="13" bestFit="1" customWidth="1"/>
    <col min="25" max="25" width="11" style="13" customWidth="1"/>
    <col min="26" max="26" width="9.33203125" style="13" customWidth="1"/>
    <col min="27" max="27" width="10" style="13" customWidth="1"/>
    <col min="28" max="28" width="8.88671875" style="13"/>
    <col min="29" max="29" width="28.33203125" style="13" customWidth="1"/>
    <col min="30" max="30" width="28.33203125" style="125" hidden="1" customWidth="1"/>
    <col min="31" max="31" width="28.33203125" style="13" customWidth="1"/>
    <col min="32" max="36" width="14.88671875" style="13" customWidth="1"/>
    <col min="37" max="37" width="9.88671875" style="13" customWidth="1"/>
    <col min="38" max="38" width="12" style="13" customWidth="1"/>
    <col min="39" max="39" width="21" style="13" bestFit="1" customWidth="1"/>
    <col min="40" max="40" width="13.109375" style="13" customWidth="1"/>
    <col min="41" max="45" width="12.33203125" style="13" customWidth="1"/>
    <col min="46" max="46" width="8.88671875" style="13"/>
    <col min="47" max="47" width="33.33203125" style="13" customWidth="1"/>
    <col min="48" max="48" width="33.33203125" style="125" hidden="1" customWidth="1"/>
    <col min="49" max="49" width="13.33203125" style="13" bestFit="1" customWidth="1"/>
    <col min="50" max="50" width="13.33203125" style="125" hidden="1" customWidth="1"/>
    <col min="51" max="51" width="23" style="13" bestFit="1" customWidth="1"/>
    <col min="52" max="52" width="16.33203125" style="13" customWidth="1"/>
    <col min="53" max="53" width="8.88671875" style="13"/>
    <col min="54" max="54" width="15.5546875" style="13" customWidth="1"/>
    <col min="55" max="55" width="12.109375" style="13" customWidth="1"/>
    <col min="56" max="56" width="8.88671875" style="13"/>
    <col min="57" max="57" width="10.33203125" style="13" customWidth="1"/>
    <col min="58" max="16384" width="8.88671875" style="13"/>
  </cols>
  <sheetData>
    <row r="1" spans="2:57" s="125" customFormat="1" ht="15" x14ac:dyDescent="0.25">
      <c r="B1" s="5" t="s">
        <v>604</v>
      </c>
      <c r="O1" s="214"/>
    </row>
    <row r="2" spans="2:57" ht="15" x14ac:dyDescent="0.25">
      <c r="B2" s="176" t="s">
        <v>607</v>
      </c>
      <c r="C2" s="176"/>
      <c r="D2" s="176"/>
      <c r="E2" s="176"/>
      <c r="F2" s="176"/>
      <c r="G2" s="176"/>
      <c r="H2" s="176"/>
      <c r="I2" s="176"/>
      <c r="J2" s="176"/>
      <c r="K2" s="176"/>
    </row>
    <row r="3" spans="2:57" x14ac:dyDescent="0.3">
      <c r="B3" s="177" t="s">
        <v>555</v>
      </c>
      <c r="C3" s="176" t="s">
        <v>714</v>
      </c>
      <c r="D3" s="176"/>
      <c r="E3" s="176"/>
      <c r="F3" s="176"/>
      <c r="G3" s="176"/>
      <c r="H3" s="176"/>
      <c r="I3" s="176"/>
      <c r="J3" s="176"/>
      <c r="K3" s="176"/>
    </row>
    <row r="4" spans="2:57" x14ac:dyDescent="0.3">
      <c r="B4" s="177" t="s">
        <v>555</v>
      </c>
      <c r="C4" s="176" t="s">
        <v>715</v>
      </c>
      <c r="D4" s="176"/>
      <c r="E4" s="176"/>
      <c r="F4" s="176"/>
      <c r="G4" s="176"/>
      <c r="H4" s="176"/>
      <c r="I4" s="176"/>
      <c r="J4" s="176"/>
      <c r="K4" s="176"/>
    </row>
    <row r="5" spans="2:57" x14ac:dyDescent="0.3">
      <c r="B5" s="177" t="s">
        <v>555</v>
      </c>
      <c r="C5" s="176" t="s">
        <v>716</v>
      </c>
      <c r="D5" s="176"/>
      <c r="E5" s="176"/>
      <c r="F5" s="176"/>
      <c r="G5" s="176"/>
      <c r="H5" s="176"/>
      <c r="I5" s="176"/>
      <c r="J5" s="176"/>
      <c r="K5" s="176"/>
    </row>
    <row r="6" spans="2:57" x14ac:dyDescent="0.3">
      <c r="B6" s="177" t="s">
        <v>555</v>
      </c>
      <c r="C6" s="176" t="s">
        <v>717</v>
      </c>
      <c r="D6" s="176"/>
      <c r="E6" s="176"/>
      <c r="F6" s="176"/>
      <c r="G6" s="176"/>
      <c r="H6" s="176"/>
      <c r="I6" s="176"/>
      <c r="J6" s="176"/>
      <c r="K6" s="176"/>
    </row>
    <row r="7" spans="2:57" x14ac:dyDescent="0.3">
      <c r="B7" s="177" t="s">
        <v>555</v>
      </c>
      <c r="C7" s="176" t="s">
        <v>718</v>
      </c>
      <c r="D7" s="176"/>
      <c r="E7" s="176"/>
      <c r="F7" s="176"/>
      <c r="G7" s="176"/>
      <c r="H7" s="176"/>
      <c r="I7" s="176"/>
      <c r="J7" s="176"/>
      <c r="K7" s="176"/>
    </row>
    <row r="8" spans="2:57" x14ac:dyDescent="0.3">
      <c r="B8" s="177" t="s">
        <v>555</v>
      </c>
      <c r="C8" s="176" t="s">
        <v>719</v>
      </c>
      <c r="D8" s="176"/>
      <c r="E8" s="176"/>
      <c r="F8" s="176"/>
      <c r="G8" s="176"/>
      <c r="H8" s="176"/>
      <c r="I8" s="176"/>
      <c r="J8" s="176"/>
      <c r="K8" s="176"/>
    </row>
    <row r="9" spans="2:57" x14ac:dyDescent="0.3">
      <c r="B9" s="177" t="s">
        <v>555</v>
      </c>
      <c r="C9" s="176" t="s">
        <v>605</v>
      </c>
      <c r="D9" s="176"/>
      <c r="E9" s="176"/>
      <c r="F9" s="176"/>
      <c r="G9" s="176"/>
      <c r="H9" s="176"/>
      <c r="I9" s="176"/>
      <c r="J9" s="176"/>
      <c r="K9" s="176"/>
    </row>
    <row r="10" spans="2:57" ht="15" x14ac:dyDescent="0.25">
      <c r="B10" s="177"/>
      <c r="C10" s="176" t="s">
        <v>606</v>
      </c>
      <c r="D10" s="176"/>
      <c r="E10" s="176"/>
      <c r="F10" s="176"/>
      <c r="G10" s="176"/>
      <c r="H10" s="176"/>
      <c r="I10" s="176"/>
      <c r="J10" s="176"/>
      <c r="K10" s="176"/>
    </row>
    <row r="11" spans="2:57" ht="15" x14ac:dyDescent="0.25">
      <c r="B11" s="124"/>
    </row>
    <row r="12" spans="2:57" ht="15.6" customHeight="1" thickBot="1" x14ac:dyDescent="0.3">
      <c r="L12" s="225" t="s">
        <v>291</v>
      </c>
      <c r="AD12" s="225" t="s">
        <v>291</v>
      </c>
    </row>
    <row r="13" spans="2:57" ht="15.75" thickBot="1" x14ac:dyDescent="0.3">
      <c r="C13" s="25" t="s">
        <v>714</v>
      </c>
      <c r="D13" s="26"/>
      <c r="E13" s="26"/>
      <c r="F13" s="26"/>
      <c r="G13" s="26"/>
      <c r="H13" s="27"/>
      <c r="I13" s="27"/>
      <c r="K13" s="1424" t="s">
        <v>715</v>
      </c>
      <c r="L13" s="1425"/>
      <c r="M13" s="1425"/>
      <c r="N13" s="1425"/>
      <c r="O13" s="1425"/>
      <c r="P13" s="1425"/>
      <c r="Q13" s="1425"/>
      <c r="R13" s="1425"/>
      <c r="S13" s="1426"/>
      <c r="U13" s="25" t="s">
        <v>716</v>
      </c>
      <c r="V13" s="26"/>
      <c r="W13" s="26"/>
      <c r="X13" s="26"/>
      <c r="Y13" s="26"/>
      <c r="Z13" s="27"/>
      <c r="AA13" s="27"/>
      <c r="AC13" s="28" t="s">
        <v>717</v>
      </c>
      <c r="AD13" s="662"/>
      <c r="AE13" s="29"/>
      <c r="AF13" s="29"/>
      <c r="AG13" s="29"/>
      <c r="AH13" s="29"/>
      <c r="AI13" s="29"/>
      <c r="AJ13" s="30"/>
      <c r="AK13" s="30"/>
      <c r="AM13" s="25" t="s">
        <v>718</v>
      </c>
      <c r="AN13" s="26"/>
      <c r="AO13" s="26"/>
      <c r="AP13" s="26"/>
      <c r="AQ13" s="26"/>
      <c r="AR13" s="27"/>
      <c r="AS13" s="27"/>
      <c r="AU13" s="25" t="s">
        <v>719</v>
      </c>
      <c r="AV13" s="663"/>
      <c r="AW13" s="26"/>
      <c r="AX13" s="663"/>
      <c r="AY13" s="26"/>
      <c r="AZ13" s="26"/>
      <c r="BA13" s="26"/>
      <c r="BB13" s="26"/>
      <c r="BC13" s="26"/>
      <c r="BD13" s="27"/>
      <c r="BE13" s="27"/>
    </row>
    <row r="14" spans="2:57" ht="30.75" thickBot="1" x14ac:dyDescent="0.3">
      <c r="C14" s="365" t="s">
        <v>101</v>
      </c>
      <c r="D14" s="365" t="s">
        <v>141</v>
      </c>
      <c r="E14" s="1067" t="s">
        <v>47</v>
      </c>
      <c r="F14" s="365" t="s">
        <v>142</v>
      </c>
      <c r="G14" s="365" t="s">
        <v>279</v>
      </c>
      <c r="H14" s="365" t="s">
        <v>143</v>
      </c>
      <c r="I14" s="365" t="s">
        <v>393</v>
      </c>
      <c r="K14" s="1068" t="s">
        <v>101</v>
      </c>
      <c r="L14" s="471" t="s">
        <v>102</v>
      </c>
      <c r="M14" s="479" t="s">
        <v>102</v>
      </c>
      <c r="N14" s="365" t="s">
        <v>113</v>
      </c>
      <c r="O14" s="365" t="s">
        <v>47</v>
      </c>
      <c r="P14" s="365" t="s">
        <v>142</v>
      </c>
      <c r="Q14" s="365" t="s">
        <v>279</v>
      </c>
      <c r="R14" s="1068" t="s">
        <v>143</v>
      </c>
      <c r="S14" s="365" t="s">
        <v>393</v>
      </c>
      <c r="U14" s="365" t="s">
        <v>103</v>
      </c>
      <c r="V14" s="1068" t="s">
        <v>113</v>
      </c>
      <c r="W14" s="1023" t="s">
        <v>47</v>
      </c>
      <c r="X14" s="1068" t="s">
        <v>142</v>
      </c>
      <c r="Y14" s="365" t="s">
        <v>279</v>
      </c>
      <c r="Z14" s="1068" t="s">
        <v>143</v>
      </c>
      <c r="AA14" s="365" t="s">
        <v>393</v>
      </c>
      <c r="AC14" s="1068" t="s">
        <v>101</v>
      </c>
      <c r="AD14" s="1069"/>
      <c r="AE14" s="1023" t="s">
        <v>103</v>
      </c>
      <c r="AF14" s="1070" t="s">
        <v>113</v>
      </c>
      <c r="AG14" s="1068" t="s">
        <v>47</v>
      </c>
      <c r="AH14" s="1067" t="s">
        <v>142</v>
      </c>
      <c r="AI14" s="365" t="s">
        <v>279</v>
      </c>
      <c r="AJ14" s="365" t="s">
        <v>143</v>
      </c>
      <c r="AK14" s="365" t="s">
        <v>393</v>
      </c>
      <c r="AL14" s="697"/>
      <c r="AM14" s="1070" t="s">
        <v>0</v>
      </c>
      <c r="AN14" s="1068" t="s">
        <v>113</v>
      </c>
      <c r="AO14" s="1023" t="s">
        <v>47</v>
      </c>
      <c r="AP14" s="1068" t="s">
        <v>142</v>
      </c>
      <c r="AQ14" s="365" t="s">
        <v>279</v>
      </c>
      <c r="AR14" s="1068" t="s">
        <v>143</v>
      </c>
      <c r="AS14" s="365" t="s">
        <v>393</v>
      </c>
      <c r="AU14" s="1068" t="s">
        <v>105</v>
      </c>
      <c r="AV14" s="223" t="s">
        <v>291</v>
      </c>
      <c r="AW14" s="1023" t="s">
        <v>40</v>
      </c>
      <c r="AX14" s="223" t="s">
        <v>291</v>
      </c>
      <c r="AY14" s="1071" t="s">
        <v>0</v>
      </c>
      <c r="AZ14" s="1068" t="s">
        <v>113</v>
      </c>
      <c r="BA14" s="1023" t="s">
        <v>47</v>
      </c>
      <c r="BB14" s="1068" t="s">
        <v>142</v>
      </c>
      <c r="BC14" s="365" t="s">
        <v>279</v>
      </c>
      <c r="BD14" s="1068" t="s">
        <v>143</v>
      </c>
      <c r="BE14" s="365" t="s">
        <v>393</v>
      </c>
    </row>
    <row r="15" spans="2:57" ht="15" x14ac:dyDescent="0.25">
      <c r="C15" s="1072" t="s">
        <v>1</v>
      </c>
      <c r="D15" s="1073">
        <f ca="1">SUMIFS('End Uses'!N:N,'End Uses'!D:D,'Summary Tables'!C15)</f>
        <v>0</v>
      </c>
      <c r="E15" s="664" t="str">
        <f ca="1">IFERROR(D15/D$25,"-")</f>
        <v>-</v>
      </c>
      <c r="F15" s="1074">
        <f ca="1">SUMIFS('End Uses'!T:T,'End Uses'!D:D,'Summary Tables'!C15)</f>
        <v>0</v>
      </c>
      <c r="G15" s="1075">
        <f ca="1">D15-F15</f>
        <v>0</v>
      </c>
      <c r="H15" s="664">
        <f t="shared" ref="H15:H25" ca="1" si="0">IFERROR(G15/D15,0)</f>
        <v>0</v>
      </c>
      <c r="I15" s="665" t="str">
        <f ca="1">IFERROR(D15/F15,"-")</f>
        <v>-</v>
      </c>
      <c r="K15" s="1072" t="s">
        <v>1</v>
      </c>
      <c r="L15" s="1076" t="s">
        <v>84</v>
      </c>
      <c r="M15" s="1077" t="str">
        <f>VLOOKUP(L15,'Airport Mapping'!$C$5:$D$39,2,FALSE)</f>
        <v xml:space="preserve"> </v>
      </c>
      <c r="N15" s="1078">
        <f ca="1">SUMIFS('End Uses'!N:N,'End Uses'!G:G,'Summary Tables'!L15)</f>
        <v>0</v>
      </c>
      <c r="O15" s="675" t="str">
        <f t="shared" ref="O15:O26" ca="1" si="1">IFERROR(N15/$N$50, "-")</f>
        <v>-</v>
      </c>
      <c r="P15" s="1078">
        <f ca="1">SUMIFS('End Uses'!T:T,'End Uses'!G:G,'Summary Tables'!L15)</f>
        <v>0</v>
      </c>
      <c r="Q15" s="1079">
        <f ca="1">N15-P15</f>
        <v>0</v>
      </c>
      <c r="R15" s="664">
        <f ca="1">IFERROR(Q15/N15,0)</f>
        <v>0</v>
      </c>
      <c r="S15" s="665" t="str">
        <f ca="1">IFERROR(N15/P15,"-")</f>
        <v>-</v>
      </c>
      <c r="U15" s="1080" t="s">
        <v>37</v>
      </c>
      <c r="V15" s="1081">
        <f ca="1">SUMIFS('End Uses'!N:N,'End Uses'!I:I,'Summary Tables'!U15)</f>
        <v>0</v>
      </c>
      <c r="W15" s="1082" t="str">
        <f ca="1">IFERROR(V15/$V$24,"-")</f>
        <v>-</v>
      </c>
      <c r="X15" s="1073">
        <f ca="1">SUMIFS('End Uses'!T:T,'End Uses'!I:I,'Summary Tables'!U15)</f>
        <v>0</v>
      </c>
      <c r="Y15" s="1083">
        <f ca="1">V15-X15</f>
        <v>0</v>
      </c>
      <c r="Z15" s="664">
        <f t="shared" ref="Z15:Z24" ca="1" si="2">IFERROR(Y15/V15,0)</f>
        <v>0</v>
      </c>
      <c r="AA15" s="665" t="str">
        <f ca="1">IFERROR(V15/X15,"-")</f>
        <v>-</v>
      </c>
      <c r="AC15" s="1072" t="s">
        <v>1</v>
      </c>
      <c r="AD15" s="1084" t="s">
        <v>1</v>
      </c>
      <c r="AE15" s="1085" t="s">
        <v>37</v>
      </c>
      <c r="AF15" s="1081">
        <f ca="1">SUMIFS('End Uses'!N:N,'End Uses'!D:D,'Summary Tables'!AD15,'End Uses'!I:I,'Summary Tables'!AE15)</f>
        <v>0</v>
      </c>
      <c r="AG15" s="1082" t="str">
        <f t="shared" ref="AG15:AG61" ca="1" si="3">IFERROR(AF15/$AF$62,"-")</f>
        <v>-</v>
      </c>
      <c r="AH15" s="1073">
        <f ca="1">SUMIFS('End Uses'!T:T,'End Uses'!D:D,'Summary Tables'!AD15,'End Uses'!I:I,'Summary Tables'!AE15)</f>
        <v>0</v>
      </c>
      <c r="AI15" s="1083">
        <f ca="1">AF15-AH15</f>
        <v>0</v>
      </c>
      <c r="AJ15" s="664">
        <f t="shared" ref="AJ15:AJ37" ca="1" si="4">IFERROR(AI15/AF15,0)</f>
        <v>0</v>
      </c>
      <c r="AK15" s="665" t="str">
        <f ca="1">IFERROR(AF15/AH15,"-")</f>
        <v>-</v>
      </c>
      <c r="AL15" s="182"/>
      <c r="AM15" s="1080" t="s">
        <v>2</v>
      </c>
      <c r="AN15" s="1081">
        <f ca="1">SUMIFS('End Uses'!N:N,'End Uses'!J:J,'Summary Tables'!AM15)</f>
        <v>0</v>
      </c>
      <c r="AO15" s="1082" t="str">
        <f t="shared" ref="AO15:AO37" ca="1" si="5">IFERROR(AN15/$AN$38,"-")</f>
        <v>-</v>
      </c>
      <c r="AP15" s="1086">
        <f ca="1">SUMIFS('End Uses'!T:T,'End Uses'!J:J,'Summary Tables'!AM15)</f>
        <v>0</v>
      </c>
      <c r="AQ15" s="1087">
        <f ca="1">AN15-AP15</f>
        <v>0</v>
      </c>
      <c r="AR15" s="664">
        <f t="shared" ref="AR15:AR26" ca="1" si="6">IFERROR(AQ15/AN15,0)</f>
        <v>0</v>
      </c>
      <c r="AS15" s="665" t="str">
        <f ca="1">IFERROR(AN15/AP15,"-")</f>
        <v>-</v>
      </c>
      <c r="AU15" s="1088" t="s">
        <v>1</v>
      </c>
      <c r="AV15" s="485" t="s">
        <v>1</v>
      </c>
      <c r="AW15" s="1072" t="s">
        <v>37</v>
      </c>
      <c r="AX15" s="1089" t="s">
        <v>37</v>
      </c>
      <c r="AY15" s="1072" t="s">
        <v>2</v>
      </c>
      <c r="AZ15" s="1081">
        <f ca="1">SUMIFS('End Uses'!N:N,'End Uses'!D:D,'Summary Tables'!AV15,'End Uses'!I:I,'Summary Tables'!AX15,'End Uses'!J:J,'Summary Tables'!AY15)</f>
        <v>0</v>
      </c>
      <c r="BA15" s="664" t="str">
        <f t="shared" ref="BA15:BA46" ca="1" si="7">IFERROR(AZ15/$AZ$129,"-")</f>
        <v>-</v>
      </c>
      <c r="BB15" s="1086">
        <f ca="1">SUMIFS('End Uses'!T:T,'End Uses'!D:D,'Summary Tables'!AV15,'End Uses'!I:I,'Summary Tables'!AX15,'End Uses'!J:J,'Summary Tables'!AY15)</f>
        <v>0</v>
      </c>
      <c r="BC15" s="1087">
        <f ca="1">AZ15-BB15</f>
        <v>0</v>
      </c>
      <c r="BD15" s="664">
        <f t="shared" ref="BD15:BD88" ca="1" si="8">IFERROR(BC15/AZ15,0)</f>
        <v>0</v>
      </c>
      <c r="BE15" s="665" t="str">
        <f ca="1">IFERROR(AZ15/BB15,"-")</f>
        <v>-</v>
      </c>
    </row>
    <row r="16" spans="2:57" ht="15" x14ac:dyDescent="0.25">
      <c r="C16" s="1090" t="s">
        <v>412</v>
      </c>
      <c r="D16" s="1091">
        <f ca="1">SUMIFS('End Uses'!N:N,'End Uses'!D:D,'Summary Tables'!C16)</f>
        <v>0</v>
      </c>
      <c r="E16" s="666" t="str">
        <f t="shared" ref="E16:E24" ca="1" si="9">IFERROR(D16/D$25,"-")</f>
        <v>-</v>
      </c>
      <c r="F16" s="1092">
        <f ca="1">SUMIFS('End Uses'!T:T,'End Uses'!D:D,'Summary Tables'!C16)</f>
        <v>0</v>
      </c>
      <c r="G16" s="1093">
        <f t="shared" ref="G16:G24" ca="1" si="10">D16-F16</f>
        <v>0</v>
      </c>
      <c r="H16" s="666">
        <f t="shared" ca="1" si="0"/>
        <v>0</v>
      </c>
      <c r="I16" s="667" t="str">
        <f ca="1">IFERROR(D16/F16,"-")</f>
        <v>-</v>
      </c>
      <c r="K16" s="1094"/>
      <c r="L16" s="1095" t="s">
        <v>85</v>
      </c>
      <c r="M16" s="1096" t="str">
        <f>VLOOKUP(L16,'Airport Mapping'!$C$5:$D$39,2,FALSE)</f>
        <v xml:space="preserve"> </v>
      </c>
      <c r="N16" s="1097">
        <f ca="1">SUMIFS('End Uses'!N:N,'End Uses'!G:G,'Summary Tables'!L16)</f>
        <v>0</v>
      </c>
      <c r="O16" s="676" t="str">
        <f t="shared" ca="1" si="1"/>
        <v>-</v>
      </c>
      <c r="P16" s="1097">
        <f ca="1">SUMIFS('End Uses'!T:T,'End Uses'!G:G,'Summary Tables'!L16)</f>
        <v>0</v>
      </c>
      <c r="Q16" s="1098">
        <f t="shared" ref="Q16:Q40" ca="1" si="11">N16-P16</f>
        <v>0</v>
      </c>
      <c r="R16" s="666">
        <f t="shared" ref="R16:R40" ca="1" si="12">IFERROR(Q16/N16,0)</f>
        <v>0</v>
      </c>
      <c r="S16" s="667" t="str">
        <f ca="1">IFERROR(N16/P16,"-")</f>
        <v>-</v>
      </c>
      <c r="U16" s="1099" t="s">
        <v>38</v>
      </c>
      <c r="V16" s="1100">
        <f ca="1">SUMIFS('End Uses'!N:N,'End Uses'!I:I,'Summary Tables'!U16)</f>
        <v>0</v>
      </c>
      <c r="W16" s="1101" t="str">
        <f t="shared" ref="W16:W23" ca="1" si="13">IFERROR(V16/$V$24,"-")</f>
        <v>-</v>
      </c>
      <c r="X16" s="1091">
        <f ca="1">SUMIFS('End Uses'!T:T,'End Uses'!I:I,'Summary Tables'!U16)</f>
        <v>0</v>
      </c>
      <c r="Y16" s="1102">
        <f t="shared" ref="Y16:Y23" ca="1" si="14">V16-X16</f>
        <v>0</v>
      </c>
      <c r="Z16" s="666">
        <f t="shared" ca="1" si="2"/>
        <v>0</v>
      </c>
      <c r="AA16" s="667" t="str">
        <f ca="1">IFERROR(V16/X16,"-")</f>
        <v>-</v>
      </c>
      <c r="AC16" s="1090"/>
      <c r="AD16" s="1103" t="s">
        <v>1</v>
      </c>
      <c r="AE16" s="994" t="s">
        <v>38</v>
      </c>
      <c r="AF16" s="1100">
        <f ca="1">SUMIFS('End Uses'!N:N,'End Uses'!D:D,'Summary Tables'!AD16,'End Uses'!I:I,'Summary Tables'!AE16)</f>
        <v>0</v>
      </c>
      <c r="AG16" s="1101" t="str">
        <f t="shared" ca="1" si="3"/>
        <v>-</v>
      </c>
      <c r="AH16" s="1091">
        <f ca="1">SUMIFS('End Uses'!T:T,'End Uses'!D:D,'Summary Tables'!AD16,'End Uses'!I:I,'Summary Tables'!AE16)</f>
        <v>0</v>
      </c>
      <c r="AI16" s="1102">
        <f t="shared" ref="AI16:AI37" ca="1" si="15">AF16-AH16</f>
        <v>0</v>
      </c>
      <c r="AJ16" s="666">
        <f t="shared" ca="1" si="4"/>
        <v>0</v>
      </c>
      <c r="AK16" s="667" t="str">
        <f ca="1">IFERROR(AF16/AH16,"-")</f>
        <v>-</v>
      </c>
      <c r="AL16" s="182"/>
      <c r="AM16" s="1099" t="s">
        <v>4</v>
      </c>
      <c r="AN16" s="1100">
        <f ca="1">SUMIFS('End Uses'!N:N,'End Uses'!J:J,'Summary Tables'!AM16)</f>
        <v>0</v>
      </c>
      <c r="AO16" s="1101" t="str">
        <f t="shared" ca="1" si="5"/>
        <v>-</v>
      </c>
      <c r="AP16" s="1104">
        <f ca="1">SUMIFS('End Uses'!T:T,'End Uses'!J:J,'Summary Tables'!AM16)</f>
        <v>0</v>
      </c>
      <c r="AQ16" s="1105">
        <f t="shared" ref="AQ16:AQ26" ca="1" si="16">AN16-AP16</f>
        <v>0</v>
      </c>
      <c r="AR16" s="666">
        <f t="shared" ca="1" si="6"/>
        <v>0</v>
      </c>
      <c r="AS16" s="667" t="str">
        <f ca="1">IFERROR(AN16/AP16,"-")</f>
        <v>-</v>
      </c>
      <c r="AU16" s="993"/>
      <c r="AV16" s="224" t="s">
        <v>1</v>
      </c>
      <c r="AW16" s="1090"/>
      <c r="AX16" s="1106" t="s">
        <v>37</v>
      </c>
      <c r="AY16" s="1090" t="s">
        <v>4</v>
      </c>
      <c r="AZ16" s="1100">
        <f ca="1">SUMIFS('End Uses'!N:N,'End Uses'!D:D,'Summary Tables'!AV16,'End Uses'!I:I,'Summary Tables'!AX16,'End Uses'!J:J,'Summary Tables'!AY16)</f>
        <v>0</v>
      </c>
      <c r="BA16" s="666" t="str">
        <f t="shared" ca="1" si="7"/>
        <v>-</v>
      </c>
      <c r="BB16" s="1104">
        <f ca="1">SUMIFS('End Uses'!T:T,'End Uses'!D:D,'Summary Tables'!AV16,'End Uses'!I:I,'Summary Tables'!AX16,'End Uses'!J:J,'Summary Tables'!AY16)</f>
        <v>0</v>
      </c>
      <c r="BC16" s="1105">
        <f t="shared" ref="BC16:BC89" ca="1" si="17">AZ16-BB16</f>
        <v>0</v>
      </c>
      <c r="BD16" s="666">
        <f t="shared" ca="1" si="8"/>
        <v>0</v>
      </c>
      <c r="BE16" s="667" t="str">
        <f ca="1">IFERROR(AZ16/BB16,"-")</f>
        <v>-</v>
      </c>
    </row>
    <row r="17" spans="3:57" ht="15.75" thickBot="1" x14ac:dyDescent="0.3">
      <c r="C17" s="1090" t="s">
        <v>11</v>
      </c>
      <c r="D17" s="1091">
        <f ca="1">SUMIFS('End Uses'!N:N,'End Uses'!D:D,'Summary Tables'!C17)</f>
        <v>0</v>
      </c>
      <c r="E17" s="666" t="str">
        <f t="shared" ca="1" si="9"/>
        <v>-</v>
      </c>
      <c r="F17" s="1092">
        <f ca="1">SUMIFS('End Uses'!T:T,'End Uses'!D:D,'Summary Tables'!C17)</f>
        <v>0</v>
      </c>
      <c r="G17" s="1093">
        <f t="shared" ca="1" si="10"/>
        <v>0</v>
      </c>
      <c r="H17" s="666">
        <f t="shared" ca="1" si="0"/>
        <v>0</v>
      </c>
      <c r="I17" s="667" t="str">
        <f t="shared" ref="I17:I25" ca="1" si="18">IFERROR(D17/F17,"-")</f>
        <v>-</v>
      </c>
      <c r="K17" s="636"/>
      <c r="L17" s="1095" t="s">
        <v>86</v>
      </c>
      <c r="M17" s="1096" t="str">
        <f>VLOOKUP(L17,'Airport Mapping'!$C$5:$D$39,2,FALSE)</f>
        <v xml:space="preserve"> </v>
      </c>
      <c r="N17" s="1097">
        <f ca="1">SUMIFS('End Uses'!N:N,'End Uses'!G:G,'Summary Tables'!L17)</f>
        <v>0</v>
      </c>
      <c r="O17" s="676" t="str">
        <f t="shared" ca="1" si="1"/>
        <v>-</v>
      </c>
      <c r="P17" s="1097">
        <f ca="1">SUMIFS('End Uses'!T:T,'End Uses'!G:G,'Summary Tables'!L17)</f>
        <v>0</v>
      </c>
      <c r="Q17" s="1098">
        <f t="shared" ca="1" si="11"/>
        <v>0</v>
      </c>
      <c r="R17" s="666">
        <f t="shared" ca="1" si="12"/>
        <v>0</v>
      </c>
      <c r="S17" s="667" t="str">
        <f t="shared" ref="S17:S40" ca="1" si="19">IFERROR(N17/P17,"-")</f>
        <v>-</v>
      </c>
      <c r="U17" s="1099" t="s">
        <v>5</v>
      </c>
      <c r="V17" s="1100">
        <f ca="1">SUMIFS('End Uses'!N:N,'End Uses'!I:I,'Summary Tables'!U17)</f>
        <v>0</v>
      </c>
      <c r="W17" s="1101" t="str">
        <f t="shared" ca="1" si="13"/>
        <v>-</v>
      </c>
      <c r="X17" s="1091">
        <f ca="1">SUMIFS('End Uses'!T:T,'End Uses'!I:I,'Summary Tables'!U17)</f>
        <v>0</v>
      </c>
      <c r="Y17" s="1102">
        <f t="shared" ca="1" si="14"/>
        <v>0</v>
      </c>
      <c r="Z17" s="666">
        <f t="shared" ca="1" si="2"/>
        <v>0</v>
      </c>
      <c r="AA17" s="667" t="str">
        <f t="shared" ref="AA17:AA24" ca="1" si="20">IFERROR(V17/X17,"-")</f>
        <v>-</v>
      </c>
      <c r="AC17" s="1090"/>
      <c r="AD17" s="1103" t="s">
        <v>1</v>
      </c>
      <c r="AE17" s="994" t="s">
        <v>39</v>
      </c>
      <c r="AF17" s="1100">
        <f ca="1">SUMIFS('End Uses'!N:N,'End Uses'!D:D,'Summary Tables'!AD17,'End Uses'!I:I,'Summary Tables'!AE17)</f>
        <v>0</v>
      </c>
      <c r="AG17" s="1101" t="str">
        <f t="shared" ca="1" si="3"/>
        <v>-</v>
      </c>
      <c r="AH17" s="1091">
        <f ca="1">SUMIFS('End Uses'!T:T,'End Uses'!D:D,'Summary Tables'!AD17,'End Uses'!I:I,'Summary Tables'!AE17)</f>
        <v>0</v>
      </c>
      <c r="AI17" s="1102">
        <f t="shared" ca="1" si="15"/>
        <v>0</v>
      </c>
      <c r="AJ17" s="666">
        <f t="shared" ca="1" si="4"/>
        <v>0</v>
      </c>
      <c r="AK17" s="667" t="str">
        <f t="shared" ref="AK17:AK37" ca="1" si="21">IFERROR(AF17/AH17,"-")</f>
        <v>-</v>
      </c>
      <c r="AL17" s="182"/>
      <c r="AM17" s="1099" t="s">
        <v>33</v>
      </c>
      <c r="AN17" s="1100">
        <f ca="1">SUMIFS('End Uses'!N:N,'End Uses'!J:J,'Summary Tables'!AM17)</f>
        <v>0</v>
      </c>
      <c r="AO17" s="1101" t="str">
        <f t="shared" ca="1" si="5"/>
        <v>-</v>
      </c>
      <c r="AP17" s="1104">
        <f ca="1">SUMIFS('End Uses'!T:T,'End Uses'!J:J,'Summary Tables'!AM17)</f>
        <v>0</v>
      </c>
      <c r="AQ17" s="1105">
        <f t="shared" ca="1" si="16"/>
        <v>0</v>
      </c>
      <c r="AR17" s="666">
        <f t="shared" ca="1" si="6"/>
        <v>0</v>
      </c>
      <c r="AS17" s="667" t="str">
        <f t="shared" ref="AS17:AS26" ca="1" si="22">IFERROR(AN17/AP17,"-")</f>
        <v>-</v>
      </c>
      <c r="AU17" s="993"/>
      <c r="AV17" s="224" t="s">
        <v>1</v>
      </c>
      <c r="AW17" s="1094"/>
      <c r="AX17" s="1107" t="s">
        <v>37</v>
      </c>
      <c r="AY17" s="1094" t="s">
        <v>33</v>
      </c>
      <c r="AZ17" s="1108">
        <f ca="1">SUMIFS('End Uses'!N:N,'End Uses'!D:D,'Summary Tables'!AV17,'End Uses'!I:I,'Summary Tables'!AX17,'End Uses'!J:J,'Summary Tables'!AY17)</f>
        <v>0</v>
      </c>
      <c r="BA17" s="689" t="str">
        <f t="shared" ca="1" si="7"/>
        <v>-</v>
      </c>
      <c r="BB17" s="1109">
        <f ca="1">SUMIFS('End Uses'!T:T,'End Uses'!D:D,'Summary Tables'!AV17,'End Uses'!I:I,'Summary Tables'!AX17,'End Uses'!J:J,'Summary Tables'!AY17)</f>
        <v>0</v>
      </c>
      <c r="BC17" s="1110">
        <f t="shared" ca="1" si="17"/>
        <v>0</v>
      </c>
      <c r="BD17" s="689">
        <f t="shared" ca="1" si="8"/>
        <v>0</v>
      </c>
      <c r="BE17" s="690" t="str">
        <f t="shared" ref="BE17:BE90" ca="1" si="23">IFERROR(AZ17/BB17,"-")</f>
        <v>-</v>
      </c>
    </row>
    <row r="18" spans="3:57" ht="15" x14ac:dyDescent="0.25">
      <c r="C18" s="1090" t="s">
        <v>420</v>
      </c>
      <c r="D18" s="1091">
        <f ca="1">SUMIFS('End Uses'!N:N,'End Uses'!D:D,'Summary Tables'!C18)</f>
        <v>0</v>
      </c>
      <c r="E18" s="666" t="str">
        <f t="shared" ca="1" si="9"/>
        <v>-</v>
      </c>
      <c r="F18" s="1092">
        <f ca="1">SUMIFS('End Uses'!T:T,'End Uses'!D:D,'Summary Tables'!C18)</f>
        <v>0</v>
      </c>
      <c r="G18" s="1093">
        <f t="shared" ca="1" si="10"/>
        <v>0</v>
      </c>
      <c r="H18" s="666">
        <f t="shared" ca="1" si="0"/>
        <v>0</v>
      </c>
      <c r="I18" s="667" t="str">
        <f t="shared" ca="1" si="18"/>
        <v>-</v>
      </c>
      <c r="K18" s="636"/>
      <c r="L18" s="1095" t="s">
        <v>87</v>
      </c>
      <c r="M18" s="1096" t="str">
        <f>VLOOKUP(L18,'Airport Mapping'!$C$5:$D$39,2,FALSE)</f>
        <v xml:space="preserve"> </v>
      </c>
      <c r="N18" s="1097">
        <f ca="1">SUMIFS('End Uses'!N:N,'End Uses'!G:G,'Summary Tables'!L18)</f>
        <v>0</v>
      </c>
      <c r="O18" s="676" t="str">
        <f t="shared" ca="1" si="1"/>
        <v>-</v>
      </c>
      <c r="P18" s="1097">
        <f ca="1">SUMIFS('End Uses'!T:T,'End Uses'!G:G,'Summary Tables'!L18)</f>
        <v>0</v>
      </c>
      <c r="Q18" s="1098">
        <f t="shared" ca="1" si="11"/>
        <v>0</v>
      </c>
      <c r="R18" s="666">
        <f t="shared" ca="1" si="12"/>
        <v>0</v>
      </c>
      <c r="S18" s="667" t="str">
        <f t="shared" ca="1" si="19"/>
        <v>-</v>
      </c>
      <c r="U18" s="1099" t="s">
        <v>45</v>
      </c>
      <c r="V18" s="1100">
        <f ca="1">SUMIFS('End Uses'!N:N,'End Uses'!I:I,'Summary Tables'!U18)</f>
        <v>0</v>
      </c>
      <c r="W18" s="1101" t="str">
        <f t="shared" ca="1" si="13"/>
        <v>-</v>
      </c>
      <c r="X18" s="1091">
        <f ca="1">SUMIFS('End Uses'!T:T,'End Uses'!I:I,'Summary Tables'!U18)</f>
        <v>0</v>
      </c>
      <c r="Y18" s="1102">
        <f t="shared" ca="1" si="14"/>
        <v>0</v>
      </c>
      <c r="Z18" s="666">
        <f t="shared" ca="1" si="2"/>
        <v>0</v>
      </c>
      <c r="AA18" s="667" t="str">
        <f t="shared" ca="1" si="20"/>
        <v>-</v>
      </c>
      <c r="AC18" s="1090"/>
      <c r="AD18" s="1103" t="s">
        <v>1</v>
      </c>
      <c r="AE18" s="994" t="s">
        <v>43</v>
      </c>
      <c r="AF18" s="1100">
        <f ca="1">SUMIFS('End Uses'!N:N,'End Uses'!D:D,'Summary Tables'!AD18,'End Uses'!I:I,'Summary Tables'!AE18)</f>
        <v>0</v>
      </c>
      <c r="AG18" s="1101" t="str">
        <f t="shared" ca="1" si="3"/>
        <v>-</v>
      </c>
      <c r="AH18" s="1091">
        <f ca="1">SUMIFS('End Uses'!T:T,'End Uses'!D:D,'Summary Tables'!AD18,'End Uses'!I:I,'Summary Tables'!AE18)</f>
        <v>0</v>
      </c>
      <c r="AI18" s="1102">
        <f t="shared" ca="1" si="15"/>
        <v>0</v>
      </c>
      <c r="AJ18" s="666">
        <f t="shared" ca="1" si="4"/>
        <v>0</v>
      </c>
      <c r="AK18" s="667" t="str">
        <f t="shared" ca="1" si="21"/>
        <v>-</v>
      </c>
      <c r="AL18" s="182"/>
      <c r="AM18" s="1099" t="s">
        <v>114</v>
      </c>
      <c r="AN18" s="1100">
        <f ca="1">SUMIFS('End Uses'!N:N,'End Uses'!J:J,'Summary Tables'!AM18)</f>
        <v>0</v>
      </c>
      <c r="AO18" s="1101" t="str">
        <f t="shared" ca="1" si="5"/>
        <v>-</v>
      </c>
      <c r="AP18" s="1104">
        <f ca="1">SUMIFS('End Uses'!T:T,'End Uses'!J:J,'Summary Tables'!AM18)</f>
        <v>0</v>
      </c>
      <c r="AQ18" s="1105">
        <f t="shared" ca="1" si="16"/>
        <v>0</v>
      </c>
      <c r="AR18" s="666">
        <f t="shared" ca="1" si="6"/>
        <v>0</v>
      </c>
      <c r="AS18" s="667" t="str">
        <f t="shared" ca="1" si="22"/>
        <v>-</v>
      </c>
      <c r="AU18" s="993"/>
      <c r="AV18" s="224" t="s">
        <v>1</v>
      </c>
      <c r="AW18" s="1072" t="s">
        <v>38</v>
      </c>
      <c r="AX18" s="1089" t="s">
        <v>38</v>
      </c>
      <c r="AY18" s="1072" t="s">
        <v>114</v>
      </c>
      <c r="AZ18" s="1081">
        <f ca="1">SUMIFS('End Uses'!N:N,'End Uses'!D:D,'Summary Tables'!AV18,'End Uses'!I:I,'Summary Tables'!AX18,'End Uses'!J:J,'Summary Tables'!AY18)</f>
        <v>0</v>
      </c>
      <c r="BA18" s="664" t="str">
        <f t="shared" ca="1" si="7"/>
        <v>-</v>
      </c>
      <c r="BB18" s="1086">
        <f ca="1">SUMIFS('End Uses'!T:T,'End Uses'!D:D,'Summary Tables'!AV18,'End Uses'!I:I,'Summary Tables'!AX18,'End Uses'!J:J,'Summary Tables'!AY18)</f>
        <v>0</v>
      </c>
      <c r="BC18" s="1087">
        <f t="shared" ca="1" si="17"/>
        <v>0</v>
      </c>
      <c r="BD18" s="664">
        <f t="shared" ca="1" si="8"/>
        <v>0</v>
      </c>
      <c r="BE18" s="665" t="str">
        <f t="shared" ca="1" si="23"/>
        <v>-</v>
      </c>
    </row>
    <row r="19" spans="3:57" ht="15" thickBot="1" x14ac:dyDescent="0.35">
      <c r="C19" s="1090" t="s">
        <v>13</v>
      </c>
      <c r="D19" s="1091">
        <f ca="1">SUMIFS('End Uses'!N:N,'End Uses'!D:D,'Summary Tables'!C19)</f>
        <v>0</v>
      </c>
      <c r="E19" s="666" t="str">
        <f t="shared" ca="1" si="9"/>
        <v>-</v>
      </c>
      <c r="F19" s="1092">
        <f ca="1">SUMIFS('End Uses'!T:T,'End Uses'!D:D,'Summary Tables'!C19)</f>
        <v>0</v>
      </c>
      <c r="G19" s="1093">
        <f t="shared" ca="1" si="10"/>
        <v>0</v>
      </c>
      <c r="H19" s="666">
        <f t="shared" ca="1" si="0"/>
        <v>0</v>
      </c>
      <c r="I19" s="667" t="str">
        <f t="shared" ca="1" si="18"/>
        <v>-</v>
      </c>
      <c r="K19" s="992"/>
      <c r="L19" s="1111" t="s">
        <v>88</v>
      </c>
      <c r="M19" s="1112" t="str">
        <f>VLOOKUP(L19,'Airport Mapping'!$C$5:$D$39,2,FALSE)</f>
        <v xml:space="preserve"> </v>
      </c>
      <c r="N19" s="1113">
        <f ca="1">SUMIFS('End Uses'!N:N,'End Uses'!G:G,'Summary Tables'!L19)</f>
        <v>0</v>
      </c>
      <c r="O19" s="677" t="str">
        <f t="shared" ca="1" si="1"/>
        <v>-</v>
      </c>
      <c r="P19" s="1113">
        <f ca="1">SUMIFS('End Uses'!T:T,'End Uses'!G:G,'Summary Tables'!L19)</f>
        <v>0</v>
      </c>
      <c r="Q19" s="1114">
        <f t="shared" ca="1" si="11"/>
        <v>0</v>
      </c>
      <c r="R19" s="668">
        <f t="shared" ca="1" si="12"/>
        <v>0</v>
      </c>
      <c r="S19" s="669" t="str">
        <f t="shared" ca="1" si="19"/>
        <v>-</v>
      </c>
      <c r="U19" s="1099" t="s">
        <v>391</v>
      </c>
      <c r="V19" s="1100">
        <f ca="1">SUMIFS('End Uses'!N:N,'End Uses'!I:I,'Summary Tables'!U19)</f>
        <v>0</v>
      </c>
      <c r="W19" s="1101" t="str">
        <f t="shared" ca="1" si="13"/>
        <v>-</v>
      </c>
      <c r="X19" s="1091">
        <f ca="1">SUMIFS('End Uses'!T:T,'End Uses'!I:I,'Summary Tables'!U19)</f>
        <v>0</v>
      </c>
      <c r="Y19" s="1102">
        <f t="shared" ca="1" si="14"/>
        <v>0</v>
      </c>
      <c r="Z19" s="666">
        <f t="shared" ca="1" si="2"/>
        <v>0</v>
      </c>
      <c r="AA19" s="667" t="str">
        <f t="shared" ca="1" si="20"/>
        <v>-</v>
      </c>
      <c r="AC19" s="1115"/>
      <c r="AD19" s="1116" t="s">
        <v>1</v>
      </c>
      <c r="AE19" s="1117" t="s">
        <v>8</v>
      </c>
      <c r="AF19" s="1118">
        <f ca="1">SUMIFS('End Uses'!N:N,'End Uses'!D:D,'Summary Tables'!AD19,'End Uses'!I:I,'Summary Tables'!AE19)</f>
        <v>0</v>
      </c>
      <c r="AG19" s="1119" t="str">
        <f t="shared" ca="1" si="3"/>
        <v>-</v>
      </c>
      <c r="AH19" s="1120">
        <f ca="1">SUMIFS('End Uses'!T:T,'End Uses'!D:D,'Summary Tables'!AD19,'End Uses'!I:I,'Summary Tables'!AE19)</f>
        <v>0</v>
      </c>
      <c r="AI19" s="1121">
        <f t="shared" ca="1" si="15"/>
        <v>0</v>
      </c>
      <c r="AJ19" s="668">
        <f t="shared" ca="1" si="4"/>
        <v>0</v>
      </c>
      <c r="AK19" s="669" t="str">
        <f t="shared" ca="1" si="21"/>
        <v>-</v>
      </c>
      <c r="AL19" s="182"/>
      <c r="AM19" s="1099" t="s">
        <v>127</v>
      </c>
      <c r="AN19" s="1100">
        <f ca="1">SUMIFS('End Uses'!N:N,'End Uses'!J:J,'Summary Tables'!AM19)</f>
        <v>0</v>
      </c>
      <c r="AO19" s="1101" t="str">
        <f t="shared" ca="1" si="5"/>
        <v>-</v>
      </c>
      <c r="AP19" s="1104">
        <f ca="1">SUMIFS('End Uses'!T:T,'End Uses'!J:J,'Summary Tables'!AM19)</f>
        <v>0</v>
      </c>
      <c r="AQ19" s="1105">
        <f t="shared" ca="1" si="16"/>
        <v>0</v>
      </c>
      <c r="AR19" s="666">
        <f t="shared" ca="1" si="6"/>
        <v>0</v>
      </c>
      <c r="AS19" s="667" t="str">
        <f t="shared" ca="1" si="22"/>
        <v>-</v>
      </c>
      <c r="AU19" s="993"/>
      <c r="AV19" s="224" t="s">
        <v>1</v>
      </c>
      <c r="AW19" s="1090"/>
      <c r="AX19" s="1106" t="s">
        <v>38</v>
      </c>
      <c r="AY19" s="1090" t="s">
        <v>127</v>
      </c>
      <c r="AZ19" s="1100">
        <f ca="1">SUMIFS('End Uses'!N:N,'End Uses'!D:D,'Summary Tables'!AV19,'End Uses'!I:I,'Summary Tables'!AX19,'End Uses'!J:J,'Summary Tables'!AY19)</f>
        <v>0</v>
      </c>
      <c r="BA19" s="666" t="str">
        <f t="shared" ca="1" si="7"/>
        <v>-</v>
      </c>
      <c r="BB19" s="1104">
        <f ca="1">SUMIFS('End Uses'!T:T,'End Uses'!D:D,'Summary Tables'!AV19,'End Uses'!I:I,'Summary Tables'!AX19,'End Uses'!J:J,'Summary Tables'!AY19)</f>
        <v>0</v>
      </c>
      <c r="BC19" s="1105">
        <f t="shared" ca="1" si="17"/>
        <v>0</v>
      </c>
      <c r="BD19" s="666">
        <f t="shared" ca="1" si="8"/>
        <v>0</v>
      </c>
      <c r="BE19" s="667" t="str">
        <f t="shared" ca="1" si="23"/>
        <v>-</v>
      </c>
    </row>
    <row r="20" spans="3:57" x14ac:dyDescent="0.3">
      <c r="C20" s="1090" t="s">
        <v>418</v>
      </c>
      <c r="D20" s="1091">
        <f ca="1">SUMIFS('End Uses'!N:N,'End Uses'!D:D,'Summary Tables'!C20)</f>
        <v>0</v>
      </c>
      <c r="E20" s="666" t="str">
        <f t="shared" ca="1" si="9"/>
        <v>-</v>
      </c>
      <c r="F20" s="1092">
        <f ca="1">SUMIFS('End Uses'!T:T,'End Uses'!D:D,'Summary Tables'!C20)</f>
        <v>0</v>
      </c>
      <c r="G20" s="1093">
        <f t="shared" ca="1" si="10"/>
        <v>0</v>
      </c>
      <c r="H20" s="666">
        <f t="shared" ca="1" si="0"/>
        <v>0</v>
      </c>
      <c r="I20" s="667" t="str">
        <f t="shared" ca="1" si="18"/>
        <v>-</v>
      </c>
      <c r="K20" s="1055" t="s">
        <v>412</v>
      </c>
      <c r="L20" s="1122" t="s">
        <v>383</v>
      </c>
      <c r="M20" s="1077" t="str">
        <f>VLOOKUP(L20,'Airport Mapping'!$C$5:$D$39,2,FALSE)</f>
        <v xml:space="preserve"> </v>
      </c>
      <c r="N20" s="1078">
        <f ca="1">SUMIFS('End Uses'!N:N,'End Uses'!G:G,'Summary Tables'!L20)</f>
        <v>0</v>
      </c>
      <c r="O20" s="675" t="str">
        <f t="shared" ca="1" si="1"/>
        <v>-</v>
      </c>
      <c r="P20" s="1078">
        <f ca="1">SUMIFS('End Uses'!T:T,'End Uses'!G:G,'Summary Tables'!L20)</f>
        <v>0</v>
      </c>
      <c r="Q20" s="1079">
        <f t="shared" ca="1" si="11"/>
        <v>0</v>
      </c>
      <c r="R20" s="664">
        <f t="shared" ca="1" si="12"/>
        <v>0</v>
      </c>
      <c r="S20" s="665" t="str">
        <f t="shared" ca="1" si="19"/>
        <v>-</v>
      </c>
      <c r="U20" s="1099" t="s">
        <v>44</v>
      </c>
      <c r="V20" s="1100">
        <f ca="1">SUMIFS('End Uses'!N:N,'End Uses'!I:I,'Summary Tables'!U20)</f>
        <v>0</v>
      </c>
      <c r="W20" s="1101" t="str">
        <f t="shared" ca="1" si="13"/>
        <v>-</v>
      </c>
      <c r="X20" s="1091">
        <f ca="1">SUMIFS('End Uses'!T:T,'End Uses'!I:I,'Summary Tables'!U20)</f>
        <v>0</v>
      </c>
      <c r="Y20" s="1102">
        <f t="shared" ca="1" si="14"/>
        <v>0</v>
      </c>
      <c r="Z20" s="666">
        <f t="shared" ca="1" si="2"/>
        <v>0</v>
      </c>
      <c r="AA20" s="667" t="str">
        <f t="shared" ca="1" si="20"/>
        <v>-</v>
      </c>
      <c r="AC20" s="1072" t="s">
        <v>412</v>
      </c>
      <c r="AD20" s="1084" t="s">
        <v>412</v>
      </c>
      <c r="AE20" s="1085" t="s">
        <v>37</v>
      </c>
      <c r="AF20" s="1081">
        <f ca="1">SUMIFS('End Uses'!N:N,'End Uses'!D:D,'Summary Tables'!AD20,'End Uses'!I:I,'Summary Tables'!AE20)</f>
        <v>0</v>
      </c>
      <c r="AG20" s="1082" t="str">
        <f t="shared" ca="1" si="3"/>
        <v>-</v>
      </c>
      <c r="AH20" s="1073">
        <f ca="1">SUMIFS('End Uses'!T:T,'End Uses'!D:D,'Summary Tables'!AD20,'End Uses'!I:I,'Summary Tables'!AE20)</f>
        <v>0</v>
      </c>
      <c r="AI20" s="1083">
        <f t="shared" ca="1" si="15"/>
        <v>0</v>
      </c>
      <c r="AJ20" s="664">
        <f t="shared" ca="1" si="4"/>
        <v>0</v>
      </c>
      <c r="AK20" s="665" t="str">
        <f t="shared" ca="1" si="21"/>
        <v>-</v>
      </c>
      <c r="AL20" s="182"/>
      <c r="AM20" s="1099" t="s">
        <v>41</v>
      </c>
      <c r="AN20" s="1100">
        <f ca="1">SUMIFS('End Uses'!N:N,'End Uses'!J:J,'Summary Tables'!AM20)</f>
        <v>0</v>
      </c>
      <c r="AO20" s="1101" t="str">
        <f t="shared" ca="1" si="5"/>
        <v>-</v>
      </c>
      <c r="AP20" s="1104">
        <f ca="1">SUMIFS('End Uses'!T:T,'End Uses'!J:J,'Summary Tables'!AM20)</f>
        <v>0</v>
      </c>
      <c r="AQ20" s="1105">
        <f t="shared" ca="1" si="16"/>
        <v>0</v>
      </c>
      <c r="AR20" s="666">
        <f t="shared" ca="1" si="6"/>
        <v>0</v>
      </c>
      <c r="AS20" s="667" t="str">
        <f t="shared" ca="1" si="22"/>
        <v>-</v>
      </c>
      <c r="AU20" s="993"/>
      <c r="AV20" s="224" t="s">
        <v>1</v>
      </c>
      <c r="AW20" s="1090"/>
      <c r="AX20" s="1106" t="s">
        <v>38</v>
      </c>
      <c r="AY20" s="1090" t="s">
        <v>41</v>
      </c>
      <c r="AZ20" s="1100">
        <f ca="1">SUMIFS('End Uses'!N:N,'End Uses'!D:D,'Summary Tables'!AV20,'End Uses'!I:I,'Summary Tables'!AX20,'End Uses'!J:J,'Summary Tables'!AY20)</f>
        <v>0</v>
      </c>
      <c r="BA20" s="666" t="str">
        <f t="shared" ca="1" si="7"/>
        <v>-</v>
      </c>
      <c r="BB20" s="1104">
        <f ca="1">SUMIFS('End Uses'!T:T,'End Uses'!D:D,'Summary Tables'!AV20,'End Uses'!I:I,'Summary Tables'!AX20,'End Uses'!J:J,'Summary Tables'!AY20)</f>
        <v>0</v>
      </c>
      <c r="BC20" s="1105">
        <f t="shared" ca="1" si="17"/>
        <v>0</v>
      </c>
      <c r="BD20" s="666">
        <f t="shared" ca="1" si="8"/>
        <v>0</v>
      </c>
      <c r="BE20" s="667" t="str">
        <f t="shared" ca="1" si="23"/>
        <v>-</v>
      </c>
    </row>
    <row r="21" spans="3:57" x14ac:dyDescent="0.3">
      <c r="C21" s="1090" t="s">
        <v>16</v>
      </c>
      <c r="D21" s="1091">
        <f ca="1">SUMIFS('End Uses'!N:N,'End Uses'!D:D,'Summary Tables'!C21)</f>
        <v>0</v>
      </c>
      <c r="E21" s="666" t="str">
        <f t="shared" ca="1" si="9"/>
        <v>-</v>
      </c>
      <c r="F21" s="1092">
        <f ca="1">SUMIFS('End Uses'!T:T,'End Uses'!D:D,'Summary Tables'!C21)</f>
        <v>0</v>
      </c>
      <c r="G21" s="1093">
        <f t="shared" ca="1" si="10"/>
        <v>0</v>
      </c>
      <c r="H21" s="666">
        <f t="shared" ca="1" si="0"/>
        <v>0</v>
      </c>
      <c r="I21" s="667" t="str">
        <f t="shared" ca="1" si="18"/>
        <v>-</v>
      </c>
      <c r="K21" s="636"/>
      <c r="L21" s="623" t="s">
        <v>384</v>
      </c>
      <c r="M21" s="1096" t="str">
        <f>VLOOKUP(L21,'Airport Mapping'!$C$5:$D$39,2,FALSE)</f>
        <v xml:space="preserve"> </v>
      </c>
      <c r="N21" s="1097">
        <f ca="1">SUMIFS('End Uses'!N:N,'End Uses'!G:G,'Summary Tables'!L21)</f>
        <v>0</v>
      </c>
      <c r="O21" s="676" t="str">
        <f t="shared" ca="1" si="1"/>
        <v>-</v>
      </c>
      <c r="P21" s="1097">
        <f ca="1">SUMIFS('End Uses'!T:T,'End Uses'!G:G,'Summary Tables'!L21)</f>
        <v>0</v>
      </c>
      <c r="Q21" s="1098">
        <f t="shared" ca="1" si="11"/>
        <v>0</v>
      </c>
      <c r="R21" s="666">
        <f t="shared" ca="1" si="12"/>
        <v>0</v>
      </c>
      <c r="S21" s="667" t="str">
        <f t="shared" ca="1" si="19"/>
        <v>-</v>
      </c>
      <c r="U21" s="1099" t="s">
        <v>39</v>
      </c>
      <c r="V21" s="1100">
        <f ca="1">SUMIFS('End Uses'!N:N,'End Uses'!I:I,'Summary Tables'!U21)</f>
        <v>0</v>
      </c>
      <c r="W21" s="1101" t="str">
        <f t="shared" ca="1" si="13"/>
        <v>-</v>
      </c>
      <c r="X21" s="1091">
        <f ca="1">SUMIFS('End Uses'!T:T,'End Uses'!I:I,'Summary Tables'!U21)</f>
        <v>0</v>
      </c>
      <c r="Y21" s="1102">
        <f t="shared" ca="1" si="14"/>
        <v>0</v>
      </c>
      <c r="Z21" s="666">
        <f t="shared" ca="1" si="2"/>
        <v>0</v>
      </c>
      <c r="AA21" s="667" t="str">
        <f t="shared" ca="1" si="20"/>
        <v>-</v>
      </c>
      <c r="AC21" s="1090"/>
      <c r="AD21" s="1103" t="s">
        <v>412</v>
      </c>
      <c r="AE21" s="994" t="s">
        <v>5</v>
      </c>
      <c r="AF21" s="1100">
        <f ca="1">SUMIFS('End Uses'!N:N,'End Uses'!D:D,'Summary Tables'!AD21,'End Uses'!I:I,'Summary Tables'!AE21)</f>
        <v>0</v>
      </c>
      <c r="AG21" s="1101" t="str">
        <f t="shared" ca="1" si="3"/>
        <v>-</v>
      </c>
      <c r="AH21" s="1091">
        <f ca="1">SUMIFS('End Uses'!T:T,'End Uses'!D:D,'Summary Tables'!AD21,'End Uses'!I:I,'Summary Tables'!AE21)</f>
        <v>0</v>
      </c>
      <c r="AI21" s="1102">
        <f t="shared" ca="1" si="15"/>
        <v>0</v>
      </c>
      <c r="AJ21" s="666">
        <f t="shared" ca="1" si="4"/>
        <v>0</v>
      </c>
      <c r="AK21" s="667" t="str">
        <f t="shared" ca="1" si="21"/>
        <v>-</v>
      </c>
      <c r="AL21" s="182"/>
      <c r="AM21" s="1099" t="s">
        <v>20</v>
      </c>
      <c r="AN21" s="1100">
        <f ca="1">SUMIFS('End Uses'!N:N,'End Uses'!J:J,'Summary Tables'!AM21)</f>
        <v>0</v>
      </c>
      <c r="AO21" s="1101" t="str">
        <f t="shared" ca="1" si="5"/>
        <v>-</v>
      </c>
      <c r="AP21" s="1104">
        <f ca="1">SUMIFS('End Uses'!T:T,'End Uses'!J:J,'Summary Tables'!AM21)</f>
        <v>0</v>
      </c>
      <c r="AQ21" s="1105">
        <f t="shared" ca="1" si="16"/>
        <v>0</v>
      </c>
      <c r="AR21" s="666">
        <f t="shared" ca="1" si="6"/>
        <v>0</v>
      </c>
      <c r="AS21" s="667" t="str">
        <f t="shared" ca="1" si="22"/>
        <v>-</v>
      </c>
      <c r="AU21" s="993"/>
      <c r="AV21" s="224" t="s">
        <v>1</v>
      </c>
      <c r="AW21" s="1090"/>
      <c r="AX21" s="1103" t="s">
        <v>38</v>
      </c>
      <c r="AY21" s="1090" t="s">
        <v>20</v>
      </c>
      <c r="AZ21" s="1100">
        <f ca="1">SUMIFS('End Uses'!N:N,'End Uses'!D:D,'Summary Tables'!AV21,'End Uses'!I:I,'Summary Tables'!AX21,'End Uses'!J:J,'Summary Tables'!AY21)</f>
        <v>0</v>
      </c>
      <c r="BA21" s="666" t="str">
        <f t="shared" ca="1" si="7"/>
        <v>-</v>
      </c>
      <c r="BB21" s="1104">
        <f ca="1">SUMIFS('End Uses'!T:T,'End Uses'!D:D,'Summary Tables'!AV21,'End Uses'!I:I,'Summary Tables'!AX21,'End Uses'!J:J,'Summary Tables'!AY21)</f>
        <v>0</v>
      </c>
      <c r="BC21" s="1105">
        <f t="shared" ca="1" si="17"/>
        <v>0</v>
      </c>
      <c r="BD21" s="666">
        <f t="shared" ca="1" si="8"/>
        <v>0</v>
      </c>
      <c r="BE21" s="667" t="str">
        <f t="shared" ca="1" si="23"/>
        <v>-</v>
      </c>
    </row>
    <row r="22" spans="3:57" ht="15" thickBot="1" x14ac:dyDescent="0.35">
      <c r="C22" s="1090" t="s">
        <v>417</v>
      </c>
      <c r="D22" s="1091">
        <f ca="1">SUMIFS('End Uses'!N:N,'End Uses'!D:D,'Summary Tables'!C22)</f>
        <v>0</v>
      </c>
      <c r="E22" s="666" t="str">
        <f t="shared" ca="1" si="9"/>
        <v>-</v>
      </c>
      <c r="F22" s="1092">
        <f ca="1">SUMIFS('End Uses'!T:T,'End Uses'!D:D,'Summary Tables'!C22)</f>
        <v>0</v>
      </c>
      <c r="G22" s="1093">
        <f t="shared" ca="1" si="10"/>
        <v>0</v>
      </c>
      <c r="H22" s="666">
        <f t="shared" ca="1" si="0"/>
        <v>0</v>
      </c>
      <c r="I22" s="667" t="str">
        <f t="shared" ca="1" si="18"/>
        <v>-</v>
      </c>
      <c r="K22" s="636"/>
      <c r="L22" s="623" t="s">
        <v>385</v>
      </c>
      <c r="M22" s="1096" t="str">
        <f>VLOOKUP(L22,'Airport Mapping'!$C$5:$D$39,2,FALSE)</f>
        <v xml:space="preserve"> </v>
      </c>
      <c r="N22" s="1097">
        <f ca="1">SUMIFS('End Uses'!N:N,'End Uses'!G:G,'Summary Tables'!L22)</f>
        <v>0</v>
      </c>
      <c r="O22" s="676" t="str">
        <f t="shared" ca="1" si="1"/>
        <v>-</v>
      </c>
      <c r="P22" s="1097">
        <f ca="1">SUMIFS('End Uses'!T:T,'End Uses'!G:G,'Summary Tables'!L22)</f>
        <v>0</v>
      </c>
      <c r="Q22" s="1098">
        <f t="shared" ca="1" si="11"/>
        <v>0</v>
      </c>
      <c r="R22" s="666">
        <f t="shared" ca="1" si="12"/>
        <v>0</v>
      </c>
      <c r="S22" s="667" t="str">
        <f t="shared" ca="1" si="19"/>
        <v>-</v>
      </c>
      <c r="U22" s="1099" t="s">
        <v>43</v>
      </c>
      <c r="V22" s="1100">
        <f ca="1">SUMIFS('End Uses'!N:N,'End Uses'!I:I,'Summary Tables'!U22)</f>
        <v>0</v>
      </c>
      <c r="W22" s="1101" t="str">
        <f t="shared" ca="1" si="13"/>
        <v>-</v>
      </c>
      <c r="X22" s="1091">
        <f ca="1">SUMIFS('End Uses'!T:T,'End Uses'!I:I,'Summary Tables'!U22)</f>
        <v>0</v>
      </c>
      <c r="Y22" s="1102">
        <f t="shared" ca="1" si="14"/>
        <v>0</v>
      </c>
      <c r="Z22" s="666">
        <f t="shared" ca="1" si="2"/>
        <v>0</v>
      </c>
      <c r="AA22" s="667" t="str">
        <f t="shared" ca="1" si="20"/>
        <v>-</v>
      </c>
      <c r="AC22" s="1090"/>
      <c r="AD22" s="1103" t="s">
        <v>412</v>
      </c>
      <c r="AE22" s="994" t="s">
        <v>39</v>
      </c>
      <c r="AF22" s="1100">
        <f ca="1">SUMIFS('End Uses'!N:N,'End Uses'!D:D,'Summary Tables'!AD22,'End Uses'!I:I,'Summary Tables'!AE22)</f>
        <v>0</v>
      </c>
      <c r="AG22" s="1101" t="str">
        <f t="shared" ca="1" si="3"/>
        <v>-</v>
      </c>
      <c r="AH22" s="1091">
        <f ca="1">SUMIFS('End Uses'!T:T,'End Uses'!D:D,'Summary Tables'!AD22,'End Uses'!I:I,'Summary Tables'!AE22)</f>
        <v>0</v>
      </c>
      <c r="AI22" s="1102">
        <f t="shared" ca="1" si="15"/>
        <v>0</v>
      </c>
      <c r="AJ22" s="666">
        <f t="shared" ca="1" si="4"/>
        <v>0</v>
      </c>
      <c r="AK22" s="667" t="str">
        <f t="shared" ca="1" si="21"/>
        <v>-</v>
      </c>
      <c r="AL22" s="182"/>
      <c r="AM22" s="1099" t="s">
        <v>18</v>
      </c>
      <c r="AN22" s="1100">
        <f ca="1">SUMIFS('End Uses'!N:N,'End Uses'!J:J,'Summary Tables'!AM22)</f>
        <v>0</v>
      </c>
      <c r="AO22" s="1101" t="str">
        <f t="shared" ca="1" si="5"/>
        <v>-</v>
      </c>
      <c r="AP22" s="1104">
        <f ca="1">SUMIFS('End Uses'!T:T,'End Uses'!J:J,'Summary Tables'!AM22)</f>
        <v>0</v>
      </c>
      <c r="AQ22" s="1105">
        <f t="shared" ca="1" si="16"/>
        <v>0</v>
      </c>
      <c r="AR22" s="666">
        <f t="shared" ca="1" si="6"/>
        <v>0</v>
      </c>
      <c r="AS22" s="667" t="str">
        <f t="shared" ca="1" si="22"/>
        <v>-</v>
      </c>
      <c r="AU22" s="993"/>
      <c r="AV22" s="224" t="s">
        <v>1</v>
      </c>
      <c r="AW22" s="1094"/>
      <c r="AX22" s="1107" t="s">
        <v>39</v>
      </c>
      <c r="AY22" s="1094" t="s">
        <v>42</v>
      </c>
      <c r="AZ22" s="1108">
        <f ca="1">SUMIFS('End Uses'!N:N,'End Uses'!D:D,'Summary Tables'!AV22,'End Uses'!I:I,'Summary Tables'!AX22,'End Uses'!J:J,'Summary Tables'!AY22)</f>
        <v>0</v>
      </c>
      <c r="BA22" s="689" t="str">
        <f t="shared" ca="1" si="7"/>
        <v>-</v>
      </c>
      <c r="BB22" s="1109">
        <f ca="1">SUMIFS('End Uses'!T:T,'End Uses'!D:D,'Summary Tables'!AV22,'End Uses'!I:I,'Summary Tables'!AX22,'End Uses'!J:J,'Summary Tables'!AY22)</f>
        <v>0</v>
      </c>
      <c r="BC22" s="1110">
        <f t="shared" ca="1" si="17"/>
        <v>0</v>
      </c>
      <c r="BD22" s="689">
        <f t="shared" ca="1" si="8"/>
        <v>0</v>
      </c>
      <c r="BE22" s="690" t="str">
        <f t="shared" ca="1" si="23"/>
        <v>-</v>
      </c>
    </row>
    <row r="23" spans="3:57" ht="15" thickBot="1" x14ac:dyDescent="0.35">
      <c r="C23" s="1090" t="s">
        <v>419</v>
      </c>
      <c r="D23" s="1091">
        <f ca="1">SUMIFS('End Uses'!N:N,'End Uses'!D:D,'Summary Tables'!C23)</f>
        <v>0</v>
      </c>
      <c r="E23" s="666" t="str">
        <f t="shared" ca="1" si="9"/>
        <v>-</v>
      </c>
      <c r="F23" s="1092">
        <f ca="1">SUMIFS('End Uses'!T:T,'End Uses'!D:D,'Summary Tables'!C23)</f>
        <v>0</v>
      </c>
      <c r="G23" s="1093">
        <f t="shared" ca="1" si="10"/>
        <v>0</v>
      </c>
      <c r="H23" s="666">
        <f t="shared" ca="1" si="0"/>
        <v>0</v>
      </c>
      <c r="I23" s="667" t="str">
        <f t="shared" ca="1" si="18"/>
        <v>-</v>
      </c>
      <c r="K23" s="636"/>
      <c r="L23" s="623" t="s">
        <v>386</v>
      </c>
      <c r="M23" s="1096" t="str">
        <f>VLOOKUP(L23,'Airport Mapping'!$C$5:$D$39,2,FALSE)</f>
        <v xml:space="preserve"> </v>
      </c>
      <c r="N23" s="1097">
        <f ca="1">SUMIFS('End Uses'!N:N,'End Uses'!G:G,'Summary Tables'!L23)</f>
        <v>0</v>
      </c>
      <c r="O23" s="676" t="str">
        <f t="shared" ca="1" si="1"/>
        <v>-</v>
      </c>
      <c r="P23" s="1097">
        <f ca="1">SUMIFS('End Uses'!T:T,'End Uses'!G:G,'Summary Tables'!L23)</f>
        <v>0</v>
      </c>
      <c r="Q23" s="1098">
        <f t="shared" ca="1" si="11"/>
        <v>0</v>
      </c>
      <c r="R23" s="666">
        <f t="shared" ca="1" si="12"/>
        <v>0</v>
      </c>
      <c r="S23" s="667" t="str">
        <f t="shared" ca="1" si="19"/>
        <v>-</v>
      </c>
      <c r="U23" s="1123" t="s">
        <v>8</v>
      </c>
      <c r="V23" s="1118">
        <f ca="1">SUMIFS('End Uses'!N:N,'End Uses'!I:I,'Summary Tables'!U23)</f>
        <v>0</v>
      </c>
      <c r="W23" s="1119" t="str">
        <f t="shared" ca="1" si="13"/>
        <v>-</v>
      </c>
      <c r="X23" s="1120">
        <f ca="1">SUMIFS('End Uses'!T:T,'End Uses'!I:I,'Summary Tables'!U23)</f>
        <v>0</v>
      </c>
      <c r="Y23" s="1121">
        <f t="shared" ca="1" si="14"/>
        <v>0</v>
      </c>
      <c r="Z23" s="668">
        <f t="shared" ca="1" si="2"/>
        <v>0</v>
      </c>
      <c r="AA23" s="669" t="str">
        <f t="shared" ca="1" si="20"/>
        <v>-</v>
      </c>
      <c r="AC23" s="1090"/>
      <c r="AD23" s="1103" t="s">
        <v>412</v>
      </c>
      <c r="AE23" s="994" t="s">
        <v>43</v>
      </c>
      <c r="AF23" s="1100">
        <f ca="1">SUMIFS('End Uses'!N:N,'End Uses'!D:D,'Summary Tables'!AD23,'End Uses'!I:I,'Summary Tables'!AE23)</f>
        <v>0</v>
      </c>
      <c r="AG23" s="1101" t="str">
        <f t="shared" ca="1" si="3"/>
        <v>-</v>
      </c>
      <c r="AH23" s="1091">
        <f ca="1">SUMIFS('End Uses'!T:T,'End Uses'!D:D,'Summary Tables'!AD23,'End Uses'!I:I,'Summary Tables'!AE23)</f>
        <v>0</v>
      </c>
      <c r="AI23" s="1102">
        <f t="shared" ca="1" si="15"/>
        <v>0</v>
      </c>
      <c r="AJ23" s="666">
        <f t="shared" ca="1" si="4"/>
        <v>0</v>
      </c>
      <c r="AK23" s="667" t="str">
        <f t="shared" ca="1" si="21"/>
        <v>-</v>
      </c>
      <c r="AL23" s="182"/>
      <c r="AM23" s="1099" t="s">
        <v>112</v>
      </c>
      <c r="AN23" s="1100">
        <f ca="1">SUMIFS('End Uses'!N:N,'End Uses'!J:J,'Summary Tables'!AM23)</f>
        <v>0</v>
      </c>
      <c r="AO23" s="1101" t="str">
        <f t="shared" ca="1" si="5"/>
        <v>-</v>
      </c>
      <c r="AP23" s="1104">
        <f ca="1">SUMIFS('End Uses'!T:T,'End Uses'!J:J,'Summary Tables'!AM23)</f>
        <v>0</v>
      </c>
      <c r="AQ23" s="1105">
        <f t="shared" ca="1" si="16"/>
        <v>0</v>
      </c>
      <c r="AR23" s="666">
        <f t="shared" ca="1" si="6"/>
        <v>0</v>
      </c>
      <c r="AS23" s="667" t="str">
        <f t="shared" ca="1" si="22"/>
        <v>-</v>
      </c>
      <c r="AU23" s="993"/>
      <c r="AV23" s="224" t="s">
        <v>1</v>
      </c>
      <c r="AW23" s="1072" t="s">
        <v>43</v>
      </c>
      <c r="AX23" s="1089" t="s">
        <v>43</v>
      </c>
      <c r="AY23" s="1072" t="s">
        <v>111</v>
      </c>
      <c r="AZ23" s="1081">
        <f ca="1">SUMIFS('End Uses'!N:N,'End Uses'!D:D,'Summary Tables'!AV23,'End Uses'!I:I,'Summary Tables'!AX23,'End Uses'!J:J,'Summary Tables'!AY23)</f>
        <v>0</v>
      </c>
      <c r="BA23" s="664" t="str">
        <f t="shared" ca="1" si="7"/>
        <v>-</v>
      </c>
      <c r="BB23" s="1086">
        <f ca="1">SUMIFS('End Uses'!T:T,'End Uses'!D:D,'Summary Tables'!AV23,'End Uses'!I:I,'Summary Tables'!AX23,'End Uses'!J:J,'Summary Tables'!AY23)</f>
        <v>0</v>
      </c>
      <c r="BC23" s="1087">
        <f t="shared" ca="1" si="17"/>
        <v>0</v>
      </c>
      <c r="BD23" s="664">
        <f t="shared" ca="1" si="8"/>
        <v>0</v>
      </c>
      <c r="BE23" s="665" t="str">
        <f t="shared" ca="1" si="23"/>
        <v>-</v>
      </c>
    </row>
    <row r="24" spans="3:57" ht="15" thickBot="1" x14ac:dyDescent="0.35">
      <c r="C24" s="1115" t="s">
        <v>471</v>
      </c>
      <c r="D24" s="1120">
        <f ca="1">SUMIFS('End Uses'!N:N,'End Uses'!D:D,'Summary Tables'!C24)</f>
        <v>0</v>
      </c>
      <c r="E24" s="668" t="str">
        <f t="shared" ca="1" si="9"/>
        <v>-</v>
      </c>
      <c r="F24" s="1124">
        <f ca="1">SUMIFS('End Uses'!T:T,'End Uses'!D:D,'Summary Tables'!C24)</f>
        <v>0</v>
      </c>
      <c r="G24" s="1125">
        <f t="shared" ca="1" si="10"/>
        <v>0</v>
      </c>
      <c r="H24" s="668">
        <f t="shared" ca="1" si="0"/>
        <v>0</v>
      </c>
      <c r="I24" s="669" t="str">
        <f t="shared" ca="1" si="18"/>
        <v>-</v>
      </c>
      <c r="K24" s="1055"/>
      <c r="L24" s="455" t="s">
        <v>387</v>
      </c>
      <c r="M24" s="1126" t="str">
        <f>VLOOKUP(L24,'Airport Mapping'!$C$5:$D$39,2,FALSE)</f>
        <v xml:space="preserve"> </v>
      </c>
      <c r="N24" s="1127">
        <f ca="1">SUMIFS('End Uses'!N:N,'End Uses'!G:G,'Summary Tables'!L24)</f>
        <v>0</v>
      </c>
      <c r="O24" s="819" t="str">
        <f t="shared" ca="1" si="1"/>
        <v>-</v>
      </c>
      <c r="P24" s="1127">
        <f ca="1">SUMIFS('End Uses'!T:T,'End Uses'!G:G,'Summary Tables'!L24)</f>
        <v>0</v>
      </c>
      <c r="Q24" s="1128">
        <f t="shared" ca="1" si="11"/>
        <v>0</v>
      </c>
      <c r="R24" s="689">
        <f t="shared" ca="1" si="12"/>
        <v>0</v>
      </c>
      <c r="S24" s="690" t="str">
        <f t="shared" ca="1" si="19"/>
        <v>-</v>
      </c>
      <c r="U24" s="523" t="s">
        <v>46</v>
      </c>
      <c r="V24" s="1129">
        <f ca="1">SUM(V15:V23)</f>
        <v>0</v>
      </c>
      <c r="W24" s="1130">
        <f ca="1">SUM(W15:W23)</f>
        <v>0</v>
      </c>
      <c r="X24" s="1131">
        <f ca="1">SUM(X15:X23)</f>
        <v>0</v>
      </c>
      <c r="Y24" s="1132">
        <f ca="1">SUM(Y15:Y23)</f>
        <v>0</v>
      </c>
      <c r="Z24" s="679">
        <f t="shared" ca="1" si="2"/>
        <v>0</v>
      </c>
      <c r="AA24" s="673" t="str">
        <f t="shared" ca="1" si="20"/>
        <v>-</v>
      </c>
      <c r="AC24" s="1115"/>
      <c r="AD24" s="1116" t="s">
        <v>412</v>
      </c>
      <c r="AE24" s="1117" t="s">
        <v>8</v>
      </c>
      <c r="AF24" s="1118">
        <f ca="1">SUMIFS('End Uses'!N:N,'End Uses'!D:D,'Summary Tables'!AD24,'End Uses'!I:I,'Summary Tables'!AE24)</f>
        <v>0</v>
      </c>
      <c r="AG24" s="1119" t="str">
        <f t="shared" ca="1" si="3"/>
        <v>-</v>
      </c>
      <c r="AH24" s="1120">
        <f ca="1">SUMIFS('End Uses'!T:T,'End Uses'!D:D,'Summary Tables'!AD24,'End Uses'!I:I,'Summary Tables'!AE24)</f>
        <v>0</v>
      </c>
      <c r="AI24" s="1121">
        <f t="shared" ca="1" si="15"/>
        <v>0</v>
      </c>
      <c r="AJ24" s="668">
        <f t="shared" ca="1" si="4"/>
        <v>0</v>
      </c>
      <c r="AK24" s="669" t="str">
        <f t="shared" ca="1" si="21"/>
        <v>-</v>
      </c>
      <c r="AL24" s="182"/>
      <c r="AM24" s="1099" t="s">
        <v>21</v>
      </c>
      <c r="AN24" s="1100">
        <f ca="1">SUMIFS('End Uses'!N:N,'End Uses'!J:J,'Summary Tables'!AM24)</f>
        <v>0</v>
      </c>
      <c r="AO24" s="1101" t="str">
        <f t="shared" ca="1" si="5"/>
        <v>-</v>
      </c>
      <c r="AP24" s="1104">
        <f ca="1">SUMIFS('End Uses'!T:T,'End Uses'!J:J,'Summary Tables'!AM24)</f>
        <v>0</v>
      </c>
      <c r="AQ24" s="1105">
        <f t="shared" ca="1" si="16"/>
        <v>0</v>
      </c>
      <c r="AR24" s="666">
        <f t="shared" ca="1" si="6"/>
        <v>0</v>
      </c>
      <c r="AS24" s="667" t="str">
        <f t="shared" ca="1" si="22"/>
        <v>-</v>
      </c>
      <c r="AU24" s="993"/>
      <c r="AV24" s="224" t="s">
        <v>1</v>
      </c>
      <c r="AW24" s="1090"/>
      <c r="AX24" s="1106" t="s">
        <v>43</v>
      </c>
      <c r="AY24" s="1090" t="s">
        <v>7</v>
      </c>
      <c r="AZ24" s="1100">
        <f ca="1">SUMIFS('End Uses'!N:N,'End Uses'!D:D,'Summary Tables'!AV24,'End Uses'!I:I,'Summary Tables'!AX24,'End Uses'!J:J,'Summary Tables'!AY24)</f>
        <v>0</v>
      </c>
      <c r="BA24" s="666" t="str">
        <f t="shared" ca="1" si="7"/>
        <v>-</v>
      </c>
      <c r="BB24" s="1104">
        <f ca="1">SUMIFS('End Uses'!T:T,'End Uses'!D:D,'Summary Tables'!AV24,'End Uses'!I:I,'Summary Tables'!AX24,'End Uses'!J:J,'Summary Tables'!AY24)</f>
        <v>0</v>
      </c>
      <c r="BC24" s="1105">
        <f t="shared" ca="1" si="17"/>
        <v>0</v>
      </c>
      <c r="BD24" s="666">
        <f t="shared" ca="1" si="8"/>
        <v>0</v>
      </c>
      <c r="BE24" s="667" t="str">
        <f t="shared" ca="1" si="23"/>
        <v>-</v>
      </c>
    </row>
    <row r="25" spans="3:57" ht="15" thickBot="1" x14ac:dyDescent="0.35">
      <c r="C25" s="1133" t="s">
        <v>46</v>
      </c>
      <c r="D25" s="670">
        <f ca="1">SUM(D15:D24)</f>
        <v>0</v>
      </c>
      <c r="E25" s="671">
        <f ca="1">SUM(E15:E24)</f>
        <v>0</v>
      </c>
      <c r="F25" s="670">
        <f ca="1">SUM(F15:F24)</f>
        <v>0</v>
      </c>
      <c r="G25" s="670">
        <f ca="1">SUM(G15:G24)</f>
        <v>0</v>
      </c>
      <c r="H25" s="672">
        <f t="shared" ca="1" si="0"/>
        <v>0</v>
      </c>
      <c r="I25" s="673" t="str">
        <f t="shared" ca="1" si="18"/>
        <v>-</v>
      </c>
      <c r="K25" s="1055" t="s">
        <v>11</v>
      </c>
      <c r="L25" s="1289" t="s">
        <v>89</v>
      </c>
      <c r="M25" s="1134" t="str">
        <f>VLOOKUP(L25,'Airport Mapping'!$C$5:$D$39,2,FALSE)</f>
        <v xml:space="preserve"> </v>
      </c>
      <c r="N25" s="1078">
        <f ca="1">SUMIFS('End Uses'!N:N,'End Uses'!G:G,'Summary Tables'!L25)</f>
        <v>0</v>
      </c>
      <c r="O25" s="821" t="str">
        <f t="shared" ca="1" si="1"/>
        <v>-</v>
      </c>
      <c r="P25" s="1078">
        <f ca="1">SUMIFS('End Uses'!T:T,'End Uses'!G:G,'Summary Tables'!L25)</f>
        <v>0</v>
      </c>
      <c r="Q25" s="1135">
        <f t="shared" ca="1" si="11"/>
        <v>0</v>
      </c>
      <c r="R25" s="664">
        <f t="shared" ca="1" si="12"/>
        <v>0</v>
      </c>
      <c r="S25" s="823" t="str">
        <f t="shared" ca="1" si="19"/>
        <v>-</v>
      </c>
      <c r="U25" s="182"/>
      <c r="V25" s="182"/>
      <c r="W25" s="182"/>
      <c r="X25" s="182"/>
      <c r="Y25" s="182"/>
      <c r="Z25" s="182"/>
      <c r="AC25" s="1072" t="s">
        <v>11</v>
      </c>
      <c r="AD25" s="1084" t="s">
        <v>11</v>
      </c>
      <c r="AE25" s="1085" t="s">
        <v>37</v>
      </c>
      <c r="AF25" s="1081">
        <f ca="1">SUMIFS('End Uses'!N:N,'End Uses'!D:D,'Summary Tables'!AD25,'End Uses'!I:I,'Summary Tables'!AE25)</f>
        <v>0</v>
      </c>
      <c r="AG25" s="1082" t="str">
        <f t="shared" ca="1" si="3"/>
        <v>-</v>
      </c>
      <c r="AH25" s="1073">
        <f ca="1">SUMIFS('End Uses'!T:T,'End Uses'!D:D,'Summary Tables'!AD25,'End Uses'!I:I,'Summary Tables'!AE25)</f>
        <v>0</v>
      </c>
      <c r="AI25" s="1083">
        <f t="shared" ca="1" si="15"/>
        <v>0</v>
      </c>
      <c r="AJ25" s="664">
        <f t="shared" ca="1" si="4"/>
        <v>0</v>
      </c>
      <c r="AK25" s="665" t="str">
        <f t="shared" ca="1" si="21"/>
        <v>-</v>
      </c>
      <c r="AL25" s="182"/>
      <c r="AM25" s="1099" t="s">
        <v>111</v>
      </c>
      <c r="AN25" s="1100">
        <f ca="1">SUMIFS('End Uses'!N:N,'End Uses'!J:J,'Summary Tables'!AM25)</f>
        <v>0</v>
      </c>
      <c r="AO25" s="1101" t="str">
        <f t="shared" ca="1" si="5"/>
        <v>-</v>
      </c>
      <c r="AP25" s="1104">
        <f ca="1">SUMIFS('End Uses'!T:T,'End Uses'!J:J,'Summary Tables'!AM25)</f>
        <v>0</v>
      </c>
      <c r="AQ25" s="1105">
        <f t="shared" ca="1" si="16"/>
        <v>0</v>
      </c>
      <c r="AR25" s="666">
        <f t="shared" ca="1" si="6"/>
        <v>0</v>
      </c>
      <c r="AS25" s="667" t="str">
        <f t="shared" ca="1" si="22"/>
        <v>-</v>
      </c>
      <c r="AU25" s="993"/>
      <c r="AV25" s="224" t="s">
        <v>1</v>
      </c>
      <c r="AW25" s="1094"/>
      <c r="AX25" s="1107" t="s">
        <v>43</v>
      </c>
      <c r="AY25" s="1094" t="s">
        <v>426</v>
      </c>
      <c r="AZ25" s="1108">
        <f ca="1">SUMIFS('End Uses'!N:N,'End Uses'!D:D,'Summary Tables'!AV25,'End Uses'!I:I,'Summary Tables'!AX25,'End Uses'!J:J,'Summary Tables'!AY25)</f>
        <v>0</v>
      </c>
      <c r="BA25" s="689" t="str">
        <f t="shared" ca="1" si="7"/>
        <v>-</v>
      </c>
      <c r="BB25" s="1109">
        <f ca="1">SUMIFS('End Uses'!T:T,'End Uses'!D:D,'Summary Tables'!AV25,'End Uses'!I:I,'Summary Tables'!AX25,'End Uses'!J:J,'Summary Tables'!AY25)</f>
        <v>0</v>
      </c>
      <c r="BC25" s="1110">
        <f t="shared" ca="1" si="17"/>
        <v>0</v>
      </c>
      <c r="BD25" s="689">
        <f t="shared" ca="1" si="8"/>
        <v>0</v>
      </c>
      <c r="BE25" s="690" t="str">
        <f t="shared" ca="1" si="23"/>
        <v>-</v>
      </c>
    </row>
    <row r="26" spans="3:57" x14ac:dyDescent="0.3">
      <c r="K26" s="636"/>
      <c r="L26" s="434" t="s">
        <v>90</v>
      </c>
      <c r="M26" s="1136" t="str">
        <f>VLOOKUP(L26,'Airport Mapping'!$C$5:$D$39,2,FALSE)</f>
        <v xml:space="preserve"> </v>
      </c>
      <c r="N26" s="1097">
        <f ca="1">SUMIFS('End Uses'!N:N,'End Uses'!G:G,'Summary Tables'!L26)</f>
        <v>0</v>
      </c>
      <c r="O26" s="820" t="str">
        <f t="shared" ca="1" si="1"/>
        <v>-</v>
      </c>
      <c r="P26" s="1097">
        <f ca="1">SUMIFS('End Uses'!T:T,'End Uses'!G:G,'Summary Tables'!L26)</f>
        <v>0</v>
      </c>
      <c r="Q26" s="1137">
        <f t="shared" ca="1" si="11"/>
        <v>0</v>
      </c>
      <c r="R26" s="666">
        <f t="shared" ca="1" si="12"/>
        <v>0</v>
      </c>
      <c r="S26" s="824" t="str">
        <f t="shared" ca="1" si="19"/>
        <v>-</v>
      </c>
      <c r="U26" s="182"/>
      <c r="V26" s="182"/>
      <c r="W26" s="182"/>
      <c r="X26" s="182"/>
      <c r="Y26" s="182"/>
      <c r="Z26" s="182"/>
      <c r="AC26" s="1090"/>
      <c r="AD26" s="1103" t="s">
        <v>11</v>
      </c>
      <c r="AE26" s="994" t="s">
        <v>5</v>
      </c>
      <c r="AF26" s="1100">
        <f ca="1">SUMIFS('End Uses'!N:N,'End Uses'!D:D,'Summary Tables'!AD26,'End Uses'!I:I,'Summary Tables'!AE26)</f>
        <v>0</v>
      </c>
      <c r="AG26" s="1101" t="str">
        <f t="shared" ca="1" si="3"/>
        <v>-</v>
      </c>
      <c r="AH26" s="1091">
        <f ca="1">SUMIFS('End Uses'!T:T,'End Uses'!D:D,'Summary Tables'!AD26,'End Uses'!I:I,'Summary Tables'!AE26)</f>
        <v>0</v>
      </c>
      <c r="AI26" s="1102">
        <f t="shared" ca="1" si="15"/>
        <v>0</v>
      </c>
      <c r="AJ26" s="666">
        <f t="shared" ca="1" si="4"/>
        <v>0</v>
      </c>
      <c r="AK26" s="667" t="str">
        <f t="shared" ca="1" si="21"/>
        <v>-</v>
      </c>
      <c r="AL26" s="182"/>
      <c r="AM26" s="1099" t="s">
        <v>7</v>
      </c>
      <c r="AN26" s="1100">
        <f ca="1">SUMIFS('End Uses'!N:N,'End Uses'!J:J,'Summary Tables'!AM26)</f>
        <v>0</v>
      </c>
      <c r="AO26" s="1101" t="str">
        <f t="shared" ca="1" si="5"/>
        <v>-</v>
      </c>
      <c r="AP26" s="1104">
        <f ca="1">SUMIFS('End Uses'!T:T,'End Uses'!J:J,'Summary Tables'!AM26)</f>
        <v>0</v>
      </c>
      <c r="AQ26" s="1105">
        <f t="shared" ca="1" si="16"/>
        <v>0</v>
      </c>
      <c r="AR26" s="666">
        <f t="shared" ca="1" si="6"/>
        <v>0</v>
      </c>
      <c r="AS26" s="667" t="str">
        <f t="shared" ca="1" si="22"/>
        <v>-</v>
      </c>
      <c r="AU26" s="993"/>
      <c r="AV26" s="224" t="str">
        <f>AV25</f>
        <v>Terminals</v>
      </c>
      <c r="AW26" s="1072" t="s">
        <v>8</v>
      </c>
      <c r="AX26" s="1089" t="s">
        <v>8</v>
      </c>
      <c r="AY26" s="1072" t="s">
        <v>52</v>
      </c>
      <c r="AZ26" s="1081">
        <f ca="1">SUMIFS('End Uses'!N:N,'End Uses'!D:D,'Summary Tables'!AV26,'End Uses'!I:I,'Summary Tables'!AX26,'End Uses'!J:J,'Summary Tables'!AY26)</f>
        <v>0</v>
      </c>
      <c r="BA26" s="664" t="str">
        <f t="shared" ca="1" si="7"/>
        <v>-</v>
      </c>
      <c r="BB26" s="1086">
        <f ca="1">SUMIFS('End Uses'!T:T,'End Uses'!D:D,'Summary Tables'!AV26,'End Uses'!I:I,'Summary Tables'!AX26,'End Uses'!J:J,'Summary Tables'!AY26)</f>
        <v>0</v>
      </c>
      <c r="BC26" s="1087">
        <f t="shared" ref="BC26:BC27" ca="1" si="24">AZ26-BB26</f>
        <v>0</v>
      </c>
      <c r="BD26" s="664">
        <f t="shared" ref="BD26:BD27" ca="1" si="25">IFERROR(BC26/AZ26,0)</f>
        <v>0</v>
      </c>
      <c r="BE26" s="665" t="str">
        <f t="shared" ref="BE26:BE27" ca="1" si="26">IFERROR(AZ26/BB26,"-")</f>
        <v>-</v>
      </c>
    </row>
    <row r="27" spans="3:57" x14ac:dyDescent="0.3">
      <c r="C27" s="1138" t="s">
        <v>392</v>
      </c>
      <c r="D27" s="674" t="str">
        <f ca="1">IFERROR(D25/F25,"-")</f>
        <v>-</v>
      </c>
      <c r="E27" s="2" t="s">
        <v>381</v>
      </c>
      <c r="K27" s="636"/>
      <c r="L27" s="434" t="s">
        <v>766</v>
      </c>
      <c r="M27" s="1136" t="str">
        <f>VLOOKUP(L27,'Airport Mapping'!$C$5:$D$39,2,FALSE)</f>
        <v xml:space="preserve"> </v>
      </c>
      <c r="N27" s="1097">
        <f ca="1">SUMIFS('End Uses'!N:N,'End Uses'!G:G,'Summary Tables'!L27)</f>
        <v>0</v>
      </c>
      <c r="O27" s="820" t="str">
        <f t="shared" ref="O27:O29" ca="1" si="27">IFERROR(N27/$N$50, "-")</f>
        <v>-</v>
      </c>
      <c r="P27" s="1097">
        <f ca="1">SUMIFS('End Uses'!T:T,'End Uses'!G:G,'Summary Tables'!L27)</f>
        <v>0</v>
      </c>
      <c r="Q27" s="1137">
        <f t="shared" ref="Q27:Q29" ca="1" si="28">N27-P27</f>
        <v>0</v>
      </c>
      <c r="R27" s="666">
        <f t="shared" ref="R27:R29" ca="1" si="29">IFERROR(Q27/N27,0)</f>
        <v>0</v>
      </c>
      <c r="S27" s="824" t="str">
        <f t="shared" ref="S27:S29" ca="1" si="30">IFERROR(N27/P27,"-")</f>
        <v>-</v>
      </c>
      <c r="U27" s="182"/>
      <c r="V27" s="182"/>
      <c r="W27" s="182"/>
      <c r="X27" s="182"/>
      <c r="Y27" s="182"/>
      <c r="Z27" s="182"/>
      <c r="AC27" s="1090"/>
      <c r="AD27" s="1103" t="s">
        <v>11</v>
      </c>
      <c r="AE27" s="994" t="s">
        <v>39</v>
      </c>
      <c r="AF27" s="1100">
        <f ca="1">SUMIFS('End Uses'!N:N,'End Uses'!D:D,'Summary Tables'!AD27,'End Uses'!I:I,'Summary Tables'!AE27)</f>
        <v>0</v>
      </c>
      <c r="AG27" s="1101" t="str">
        <f t="shared" ca="1" si="3"/>
        <v>-</v>
      </c>
      <c r="AH27" s="1091">
        <f ca="1">SUMIFS('End Uses'!T:T,'End Uses'!D:D,'Summary Tables'!AD27,'End Uses'!I:I,'Summary Tables'!AE27)</f>
        <v>0</v>
      </c>
      <c r="AI27" s="1102">
        <f t="shared" ca="1" si="15"/>
        <v>0</v>
      </c>
      <c r="AJ27" s="666">
        <f t="shared" ca="1" si="4"/>
        <v>0</v>
      </c>
      <c r="AK27" s="667" t="str">
        <f t="shared" ca="1" si="21"/>
        <v>-</v>
      </c>
      <c r="AL27" s="182"/>
      <c r="AM27" s="1099" t="s">
        <v>42</v>
      </c>
      <c r="AN27" s="1100">
        <f ca="1">SUMIFS('End Uses'!N:N,'End Uses'!J:J,'Summary Tables'!AM27)</f>
        <v>0</v>
      </c>
      <c r="AO27" s="1101" t="str">
        <f t="shared" ca="1" si="5"/>
        <v>-</v>
      </c>
      <c r="AP27" s="1104">
        <f ca="1">SUMIFS('End Uses'!T:T,'End Uses'!J:J,'Summary Tables'!AM27)</f>
        <v>0</v>
      </c>
      <c r="AQ27" s="1105">
        <f t="shared" ref="AQ27:AQ37" ca="1" si="31">AN27-AP27</f>
        <v>0</v>
      </c>
      <c r="AR27" s="666">
        <f t="shared" ref="AR27:AR38" ca="1" si="32">IFERROR(AQ27/AN27,0)</f>
        <v>0</v>
      </c>
      <c r="AS27" s="667" t="str">
        <f t="shared" ref="AS27:AS38" ca="1" si="33">IFERROR(AN27/AP27,"-")</f>
        <v>-</v>
      </c>
      <c r="AT27" s="180"/>
      <c r="AU27" s="993"/>
      <c r="AV27" s="224" t="str">
        <f>AV26</f>
        <v>Terminals</v>
      </c>
      <c r="AW27" s="1090"/>
      <c r="AX27" s="1106" t="s">
        <v>8</v>
      </c>
      <c r="AY27" s="1090" t="s">
        <v>53</v>
      </c>
      <c r="AZ27" s="1100">
        <f ca="1">SUMIFS('End Uses'!N:N,'End Uses'!D:D,'Summary Tables'!AV27,'End Uses'!I:I,'Summary Tables'!AX27,'End Uses'!J:J,'Summary Tables'!AY27)</f>
        <v>0</v>
      </c>
      <c r="BA27" s="666" t="str">
        <f t="shared" ca="1" si="7"/>
        <v>-</v>
      </c>
      <c r="BB27" s="1104">
        <f ca="1">SUMIFS('End Uses'!T:T,'End Uses'!D:D,'Summary Tables'!AV27,'End Uses'!I:I,'Summary Tables'!AX27,'End Uses'!J:J,'Summary Tables'!AY27)</f>
        <v>0</v>
      </c>
      <c r="BC27" s="1105">
        <f t="shared" ca="1" si="24"/>
        <v>0</v>
      </c>
      <c r="BD27" s="666">
        <f t="shared" ca="1" si="25"/>
        <v>0</v>
      </c>
      <c r="BE27" s="667" t="str">
        <f t="shared" ca="1" si="26"/>
        <v>-</v>
      </c>
    </row>
    <row r="28" spans="3:57" ht="15" thickBot="1" x14ac:dyDescent="0.35">
      <c r="C28" s="45" t="s">
        <v>276</v>
      </c>
      <c r="D28" s="1139"/>
      <c r="K28" s="636"/>
      <c r="L28" s="434" t="s">
        <v>767</v>
      </c>
      <c r="M28" s="1136" t="str">
        <f>VLOOKUP(L28,'Airport Mapping'!$C$5:$D$39,2,FALSE)</f>
        <v xml:space="preserve"> </v>
      </c>
      <c r="N28" s="1097">
        <f ca="1">SUMIFS('End Uses'!N:N,'End Uses'!G:G,'Summary Tables'!L28)</f>
        <v>0</v>
      </c>
      <c r="O28" s="820" t="str">
        <f t="shared" ca="1" si="27"/>
        <v>-</v>
      </c>
      <c r="P28" s="1097">
        <f ca="1">SUMIFS('End Uses'!T:T,'End Uses'!G:G,'Summary Tables'!L28)</f>
        <v>0</v>
      </c>
      <c r="Q28" s="1137">
        <f t="shared" ca="1" si="28"/>
        <v>0</v>
      </c>
      <c r="R28" s="666">
        <f t="shared" ca="1" si="29"/>
        <v>0</v>
      </c>
      <c r="S28" s="824" t="str">
        <f t="shared" ca="1" si="30"/>
        <v>-</v>
      </c>
      <c r="U28" s="182"/>
      <c r="V28" s="182"/>
      <c r="W28" s="182"/>
      <c r="X28" s="182"/>
      <c r="Y28" s="182"/>
      <c r="Z28" s="182"/>
      <c r="AC28" s="1090"/>
      <c r="AD28" s="1103" t="s">
        <v>11</v>
      </c>
      <c r="AE28" s="994" t="s">
        <v>43</v>
      </c>
      <c r="AF28" s="1100">
        <f ca="1">SUMIFS('End Uses'!N:N,'End Uses'!D:D,'Summary Tables'!AD28,'End Uses'!I:I,'Summary Tables'!AE28)</f>
        <v>0</v>
      </c>
      <c r="AG28" s="1101" t="str">
        <f t="shared" ca="1" si="3"/>
        <v>-</v>
      </c>
      <c r="AH28" s="1091">
        <f ca="1">SUMIFS('End Uses'!T:T,'End Uses'!D:D,'Summary Tables'!AD28,'End Uses'!I:I,'Summary Tables'!AE28)</f>
        <v>0</v>
      </c>
      <c r="AI28" s="1102">
        <f t="shared" ca="1" si="15"/>
        <v>0</v>
      </c>
      <c r="AJ28" s="666">
        <f t="shared" ca="1" si="4"/>
        <v>0</v>
      </c>
      <c r="AK28" s="667" t="str">
        <f t="shared" ca="1" si="21"/>
        <v>-</v>
      </c>
      <c r="AL28" s="182"/>
      <c r="AM28" s="1099" t="s">
        <v>9</v>
      </c>
      <c r="AN28" s="1100">
        <f ca="1">SUMIFS('End Uses'!N:N,'End Uses'!J:J,'Summary Tables'!AM28)</f>
        <v>0</v>
      </c>
      <c r="AO28" s="1101" t="str">
        <f t="shared" ca="1" si="5"/>
        <v>-</v>
      </c>
      <c r="AP28" s="1104">
        <f ca="1">SUMIFS('End Uses'!T:T,'End Uses'!J:J,'Summary Tables'!AM28)</f>
        <v>0</v>
      </c>
      <c r="AQ28" s="1105">
        <f t="shared" ca="1" si="31"/>
        <v>0</v>
      </c>
      <c r="AR28" s="666">
        <f t="shared" ca="1" si="32"/>
        <v>0</v>
      </c>
      <c r="AS28" s="667" t="str">
        <f t="shared" ca="1" si="33"/>
        <v>-</v>
      </c>
      <c r="AU28" s="1140"/>
      <c r="AV28" s="226" t="str">
        <f>AV27</f>
        <v>Terminals</v>
      </c>
      <c r="AW28" s="1115"/>
      <c r="AX28" s="1141" t="s">
        <v>8</v>
      </c>
      <c r="AY28" s="1115" t="s">
        <v>54</v>
      </c>
      <c r="AZ28" s="1118">
        <f ca="1">SUMIFS('End Uses'!N:N,'End Uses'!D:D,'Summary Tables'!AV28,'End Uses'!I:I,'Summary Tables'!AX28,'End Uses'!J:J,'Summary Tables'!AY28)</f>
        <v>0</v>
      </c>
      <c r="BA28" s="668" t="str">
        <f t="shared" ca="1" si="7"/>
        <v>-</v>
      </c>
      <c r="BB28" s="1142">
        <f ca="1">SUMIFS('End Uses'!T:T,'End Uses'!D:D,'Summary Tables'!AV28,'End Uses'!I:I,'Summary Tables'!AX28,'End Uses'!J:J,'Summary Tables'!AY28)</f>
        <v>0</v>
      </c>
      <c r="BC28" s="1143">
        <f t="shared" ref="BC28" ca="1" si="34">AZ28-BB28</f>
        <v>0</v>
      </c>
      <c r="BD28" s="668">
        <f t="shared" ref="BD28" ca="1" si="35">IFERROR(BC28/AZ28,0)</f>
        <v>0</v>
      </c>
      <c r="BE28" s="669" t="str">
        <f t="shared" ref="BE28" ca="1" si="36">IFERROR(AZ28/BB28,"-")</f>
        <v>-</v>
      </c>
    </row>
    <row r="29" spans="3:57" ht="15" thickBot="1" x14ac:dyDescent="0.35">
      <c r="C29" s="182"/>
      <c r="I29" s="22"/>
      <c r="K29" s="992"/>
      <c r="L29" s="1290" t="s">
        <v>765</v>
      </c>
      <c r="M29" s="1144" t="str">
        <f>VLOOKUP(L29,'Airport Mapping'!$C$5:$D$39,2,FALSE)</f>
        <v xml:space="preserve"> </v>
      </c>
      <c r="N29" s="1113">
        <f ca="1">SUMIFS('End Uses'!N:N,'End Uses'!G:G,'Summary Tables'!L29)</f>
        <v>0</v>
      </c>
      <c r="O29" s="822" t="str">
        <f t="shared" ca="1" si="27"/>
        <v>-</v>
      </c>
      <c r="P29" s="1113">
        <f ca="1">SUMIFS('End Uses'!T:T,'End Uses'!G:G,'Summary Tables'!L29)</f>
        <v>0</v>
      </c>
      <c r="Q29" s="1145">
        <f t="shared" ca="1" si="28"/>
        <v>0</v>
      </c>
      <c r="R29" s="668">
        <f t="shared" ca="1" si="29"/>
        <v>0</v>
      </c>
      <c r="S29" s="825" t="str">
        <f t="shared" ca="1" si="30"/>
        <v>-</v>
      </c>
      <c r="AA29" s="22"/>
      <c r="AC29" s="1115"/>
      <c r="AD29" s="1116" t="s">
        <v>11</v>
      </c>
      <c r="AE29" s="1117" t="s">
        <v>8</v>
      </c>
      <c r="AF29" s="1118">
        <f ca="1">SUMIFS('End Uses'!N:N,'End Uses'!D:D,'Summary Tables'!AD29,'End Uses'!I:I,'Summary Tables'!AE29)</f>
        <v>0</v>
      </c>
      <c r="AG29" s="1119" t="str">
        <f t="shared" ca="1" si="3"/>
        <v>-</v>
      </c>
      <c r="AH29" s="1120">
        <f ca="1">SUMIFS('End Uses'!T:T,'End Uses'!D:D,'Summary Tables'!AD29,'End Uses'!I:I,'Summary Tables'!AE29)</f>
        <v>0</v>
      </c>
      <c r="AI29" s="1121">
        <f t="shared" ca="1" si="15"/>
        <v>0</v>
      </c>
      <c r="AJ29" s="668">
        <f t="shared" ca="1" si="4"/>
        <v>0</v>
      </c>
      <c r="AK29" s="669" t="str">
        <f t="shared" ca="1" si="21"/>
        <v>-</v>
      </c>
      <c r="AL29" s="182"/>
      <c r="AM29" s="1099" t="s">
        <v>426</v>
      </c>
      <c r="AN29" s="1100">
        <f ca="1">SUMIFS('End Uses'!N:N,'End Uses'!J:J,'Summary Tables'!AM29)</f>
        <v>0</v>
      </c>
      <c r="AO29" s="1101" t="str">
        <f t="shared" ca="1" si="5"/>
        <v>-</v>
      </c>
      <c r="AP29" s="1104">
        <f ca="1">SUMIFS('End Uses'!T:T,'End Uses'!J:J,'Summary Tables'!AM29)</f>
        <v>0</v>
      </c>
      <c r="AQ29" s="1105">
        <f t="shared" ca="1" si="31"/>
        <v>0</v>
      </c>
      <c r="AR29" s="666">
        <f t="shared" ca="1" si="32"/>
        <v>0</v>
      </c>
      <c r="AS29" s="667" t="str">
        <f t="shared" ca="1" si="33"/>
        <v>-</v>
      </c>
      <c r="AU29" s="1088" t="s">
        <v>412</v>
      </c>
      <c r="AV29" s="493" t="s">
        <v>412</v>
      </c>
      <c r="AW29" s="1072" t="s">
        <v>37</v>
      </c>
      <c r="AX29" s="1089" t="s">
        <v>37</v>
      </c>
      <c r="AY29" s="1072" t="s">
        <v>2</v>
      </c>
      <c r="AZ29" s="1081">
        <f ca="1">SUMIFS('End Uses'!N:N,'End Uses'!D:D,'Summary Tables'!AV29,'End Uses'!I:I,'Summary Tables'!AX29,'End Uses'!J:J,'Summary Tables'!AY29)</f>
        <v>0</v>
      </c>
      <c r="BA29" s="664" t="str">
        <f t="shared" ca="1" si="7"/>
        <v>-</v>
      </c>
      <c r="BB29" s="1086">
        <f ca="1">SUMIFS('End Uses'!T:T,'End Uses'!D:D,'Summary Tables'!AV29,'End Uses'!I:I,'Summary Tables'!AX29,'End Uses'!J:J,'Summary Tables'!AY29)</f>
        <v>0</v>
      </c>
      <c r="BC29" s="1087">
        <f t="shared" ca="1" si="17"/>
        <v>0</v>
      </c>
      <c r="BD29" s="664">
        <f t="shared" ca="1" si="8"/>
        <v>0</v>
      </c>
      <c r="BE29" s="665" t="str">
        <f t="shared" ca="1" si="23"/>
        <v>-</v>
      </c>
    </row>
    <row r="30" spans="3:57" x14ac:dyDescent="0.3">
      <c r="C30" s="182"/>
      <c r="I30" s="698"/>
      <c r="K30" s="1146" t="s">
        <v>420</v>
      </c>
      <c r="L30" s="587" t="s">
        <v>421</v>
      </c>
      <c r="M30" s="1147" t="str">
        <f>VLOOKUP(L30,'Airport Mapping'!$C$5:$D$39,2,FALSE)</f>
        <v xml:space="preserve"> </v>
      </c>
      <c r="N30" s="1148">
        <f ca="1">SUMIFS('End Uses'!N:N,'End Uses'!G:G,'Summary Tables'!L30)</f>
        <v>0</v>
      </c>
      <c r="O30" s="680" t="str">
        <f t="shared" ref="O30:O50" ca="1" si="37">IFERROR(N30/$N$50, "-")</f>
        <v>-</v>
      </c>
      <c r="P30" s="1148">
        <f ca="1">SUMIFS('End Uses'!T:T,'End Uses'!G:G,'Summary Tables'!L30)</f>
        <v>0</v>
      </c>
      <c r="Q30" s="1149">
        <f t="shared" ca="1" si="11"/>
        <v>0</v>
      </c>
      <c r="R30" s="681">
        <f t="shared" ca="1" si="12"/>
        <v>0</v>
      </c>
      <c r="S30" s="682" t="str">
        <f t="shared" ca="1" si="19"/>
        <v>-</v>
      </c>
      <c r="AA30" s="698"/>
      <c r="AC30" s="1072" t="s">
        <v>420</v>
      </c>
      <c r="AD30" s="1084" t="s">
        <v>420</v>
      </c>
      <c r="AE30" s="1085" t="s">
        <v>37</v>
      </c>
      <c r="AF30" s="1081">
        <f ca="1">SUMIFS('End Uses'!N:N,'End Uses'!D:D,'Summary Tables'!AD30,'End Uses'!I:I,'Summary Tables'!AE30)</f>
        <v>0</v>
      </c>
      <c r="AG30" s="1082" t="str">
        <f t="shared" ca="1" si="3"/>
        <v>-</v>
      </c>
      <c r="AH30" s="1073">
        <f ca="1">SUMIFS('End Uses'!T:T,'End Uses'!D:D,'Summary Tables'!AD30,'End Uses'!I:I,'Summary Tables'!AE30)</f>
        <v>0</v>
      </c>
      <c r="AI30" s="1083">
        <f t="shared" ca="1" si="15"/>
        <v>0</v>
      </c>
      <c r="AJ30" s="664">
        <f t="shared" ca="1" si="4"/>
        <v>0</v>
      </c>
      <c r="AK30" s="665" t="str">
        <f t="shared" ca="1" si="21"/>
        <v>-</v>
      </c>
      <c r="AL30" s="182"/>
      <c r="AM30" s="1099" t="s">
        <v>14</v>
      </c>
      <c r="AN30" s="1100">
        <f ca="1">SUMIFS('End Uses'!N:N,'End Uses'!J:J,'Summary Tables'!AM30)</f>
        <v>0</v>
      </c>
      <c r="AO30" s="1101" t="str">
        <f t="shared" ca="1" si="5"/>
        <v>-</v>
      </c>
      <c r="AP30" s="1104">
        <f ca="1">SUMIFS('End Uses'!T:T,'End Uses'!J:J,'Summary Tables'!AM30)</f>
        <v>0</v>
      </c>
      <c r="AQ30" s="1105">
        <f t="shared" ca="1" si="31"/>
        <v>0</v>
      </c>
      <c r="AR30" s="666">
        <f t="shared" ca="1" si="32"/>
        <v>0</v>
      </c>
      <c r="AS30" s="667" t="str">
        <f t="shared" ca="1" si="33"/>
        <v>-</v>
      </c>
      <c r="AU30" s="993"/>
      <c r="AV30" s="493" t="s">
        <v>412</v>
      </c>
      <c r="AW30" s="1090"/>
      <c r="AX30" s="1106" t="s">
        <v>37</v>
      </c>
      <c r="AY30" s="1090" t="s">
        <v>4</v>
      </c>
      <c r="AZ30" s="1100">
        <f ca="1">SUMIFS('End Uses'!N:N,'End Uses'!D:D,'Summary Tables'!AV30,'End Uses'!I:I,'Summary Tables'!AX30,'End Uses'!J:J,'Summary Tables'!AY30)</f>
        <v>0</v>
      </c>
      <c r="BA30" s="666" t="str">
        <f t="shared" ca="1" si="7"/>
        <v>-</v>
      </c>
      <c r="BB30" s="1104">
        <f ca="1">SUMIFS('End Uses'!T:T,'End Uses'!D:D,'Summary Tables'!AV30,'End Uses'!I:I,'Summary Tables'!AX30,'End Uses'!J:J,'Summary Tables'!AY30)</f>
        <v>0</v>
      </c>
      <c r="BC30" s="1105">
        <f t="shared" ca="1" si="17"/>
        <v>0</v>
      </c>
      <c r="BD30" s="666">
        <f t="shared" ca="1" si="8"/>
        <v>0</v>
      </c>
      <c r="BE30" s="667" t="str">
        <f t="shared" ca="1" si="23"/>
        <v>-</v>
      </c>
    </row>
    <row r="31" spans="3:57" ht="15" thickBot="1" x14ac:dyDescent="0.35">
      <c r="I31" s="23"/>
      <c r="K31" s="992"/>
      <c r="L31" s="1150" t="s">
        <v>422</v>
      </c>
      <c r="M31" s="1112" t="str">
        <f>VLOOKUP(L31,'Airport Mapping'!$C$5:$D$39,2,FALSE)</f>
        <v xml:space="preserve"> </v>
      </c>
      <c r="N31" s="1113">
        <f ca="1">SUMIFS('End Uses'!N:N,'End Uses'!G:G,'Summary Tables'!L31)</f>
        <v>0</v>
      </c>
      <c r="O31" s="677" t="str">
        <f t="shared" ca="1" si="37"/>
        <v>-</v>
      </c>
      <c r="P31" s="1113">
        <f ca="1">SUMIFS('End Uses'!T:T,'End Uses'!G:G,'Summary Tables'!L31)</f>
        <v>0</v>
      </c>
      <c r="Q31" s="1114">
        <f t="shared" ca="1" si="11"/>
        <v>0</v>
      </c>
      <c r="R31" s="668">
        <f t="shared" ca="1" si="12"/>
        <v>0</v>
      </c>
      <c r="S31" s="669" t="str">
        <f t="shared" ca="1" si="19"/>
        <v>-</v>
      </c>
      <c r="AA31" s="23"/>
      <c r="AC31" s="1090"/>
      <c r="AD31" s="1103" t="s">
        <v>420</v>
      </c>
      <c r="AE31" s="994" t="s">
        <v>5</v>
      </c>
      <c r="AF31" s="1100">
        <f ca="1">SUMIFS('End Uses'!N:N,'End Uses'!D:D,'Summary Tables'!AD31,'End Uses'!I:I,'Summary Tables'!AE31)</f>
        <v>0</v>
      </c>
      <c r="AG31" s="1101" t="str">
        <f t="shared" ca="1" si="3"/>
        <v>-</v>
      </c>
      <c r="AH31" s="1091">
        <f ca="1">SUMIFS('End Uses'!T:T,'End Uses'!D:D,'Summary Tables'!AD31,'End Uses'!I:I,'Summary Tables'!AE31)</f>
        <v>0</v>
      </c>
      <c r="AI31" s="1102">
        <f t="shared" ca="1" si="15"/>
        <v>0</v>
      </c>
      <c r="AJ31" s="666">
        <f t="shared" ca="1" si="4"/>
        <v>0</v>
      </c>
      <c r="AK31" s="667" t="str">
        <f t="shared" ca="1" si="21"/>
        <v>-</v>
      </c>
      <c r="AL31" s="182"/>
      <c r="AM31" s="1099" t="s">
        <v>24</v>
      </c>
      <c r="AN31" s="1100">
        <f ca="1">SUMIFS('End Uses'!N:N,'End Uses'!J:J,'Summary Tables'!AM31)</f>
        <v>0</v>
      </c>
      <c r="AO31" s="1101" t="str">
        <f t="shared" ca="1" si="5"/>
        <v>-</v>
      </c>
      <c r="AP31" s="1104">
        <f ca="1">SUMIFS('End Uses'!T:T,'End Uses'!J:J,'Summary Tables'!AM31)</f>
        <v>0</v>
      </c>
      <c r="AQ31" s="1105">
        <f t="shared" ca="1" si="31"/>
        <v>0</v>
      </c>
      <c r="AR31" s="666">
        <f t="shared" ca="1" si="32"/>
        <v>0</v>
      </c>
      <c r="AS31" s="667" t="str">
        <f t="shared" ca="1" si="33"/>
        <v>-</v>
      </c>
      <c r="AU31" s="993"/>
      <c r="AV31" s="493" t="s">
        <v>412</v>
      </c>
      <c r="AW31" s="1090"/>
      <c r="AX31" s="1106" t="s">
        <v>37</v>
      </c>
      <c r="AY31" s="1090" t="s">
        <v>33</v>
      </c>
      <c r="AZ31" s="1100">
        <f ca="1">SUMIFS('End Uses'!N:N,'End Uses'!D:D,'Summary Tables'!AV31,'End Uses'!I:I,'Summary Tables'!AX31,'End Uses'!J:J,'Summary Tables'!AY31)</f>
        <v>0</v>
      </c>
      <c r="BA31" s="666" t="str">
        <f t="shared" ca="1" si="7"/>
        <v>-</v>
      </c>
      <c r="BB31" s="1104">
        <f ca="1">SUMIFS('End Uses'!T:T,'End Uses'!D:D,'Summary Tables'!AV31,'End Uses'!I:I,'Summary Tables'!AX31,'End Uses'!J:J,'Summary Tables'!AY31)</f>
        <v>0</v>
      </c>
      <c r="BC31" s="1105">
        <f t="shared" ca="1" si="17"/>
        <v>0</v>
      </c>
      <c r="BD31" s="666">
        <f t="shared" ca="1" si="8"/>
        <v>0</v>
      </c>
      <c r="BE31" s="667" t="str">
        <f t="shared" ca="1" si="23"/>
        <v>-</v>
      </c>
    </row>
    <row r="32" spans="3:57" x14ac:dyDescent="0.3">
      <c r="I32" s="23"/>
      <c r="K32" s="1055" t="s">
        <v>13</v>
      </c>
      <c r="L32" s="1122" t="s">
        <v>91</v>
      </c>
      <c r="M32" s="1077" t="str">
        <f>VLOOKUP(L32,'Airport Mapping'!$C$5:$D$39,2,FALSE)</f>
        <v xml:space="preserve"> </v>
      </c>
      <c r="N32" s="1078">
        <f ca="1">SUMIFS('End Uses'!N:N,'End Uses'!G:G,'Summary Tables'!L32)</f>
        <v>0</v>
      </c>
      <c r="O32" s="675" t="str">
        <f t="shared" ca="1" si="37"/>
        <v>-</v>
      </c>
      <c r="P32" s="1078">
        <f ca="1">SUMIFS('End Uses'!T:T,'End Uses'!G:G,'Summary Tables'!L32)</f>
        <v>0</v>
      </c>
      <c r="Q32" s="1079">
        <f t="shared" ca="1" si="11"/>
        <v>0</v>
      </c>
      <c r="R32" s="664">
        <f t="shared" ca="1" si="12"/>
        <v>0</v>
      </c>
      <c r="S32" s="665" t="str">
        <f t="shared" ca="1" si="19"/>
        <v>-</v>
      </c>
      <c r="AA32" s="23"/>
      <c r="AC32" s="1090"/>
      <c r="AD32" s="1103" t="s">
        <v>420</v>
      </c>
      <c r="AE32" s="994" t="s">
        <v>39</v>
      </c>
      <c r="AF32" s="1100">
        <f ca="1">SUMIFS('End Uses'!N:N,'End Uses'!D:D,'Summary Tables'!AD32,'End Uses'!I:I,'Summary Tables'!AE32)</f>
        <v>0</v>
      </c>
      <c r="AG32" s="1101" t="str">
        <f t="shared" ca="1" si="3"/>
        <v>-</v>
      </c>
      <c r="AH32" s="1091">
        <f ca="1">SUMIFS('End Uses'!T:T,'End Uses'!D:D,'Summary Tables'!AD32,'End Uses'!I:I,'Summary Tables'!AE32)</f>
        <v>0</v>
      </c>
      <c r="AI32" s="1102">
        <f t="shared" ca="1" si="15"/>
        <v>0</v>
      </c>
      <c r="AJ32" s="666">
        <f t="shared" ca="1" si="4"/>
        <v>0</v>
      </c>
      <c r="AK32" s="667" t="str">
        <f t="shared" ca="1" si="21"/>
        <v>-</v>
      </c>
      <c r="AL32" s="182"/>
      <c r="AM32" s="1099" t="s">
        <v>25</v>
      </c>
      <c r="AN32" s="1100">
        <f ca="1">SUMIFS('End Uses'!N:N,'End Uses'!J:J,'Summary Tables'!AM32)</f>
        <v>0</v>
      </c>
      <c r="AO32" s="1101" t="str">
        <f t="shared" ca="1" si="5"/>
        <v>-</v>
      </c>
      <c r="AP32" s="1104">
        <f ca="1">SUMIFS('End Uses'!T:T,'End Uses'!J:J,'Summary Tables'!AM32)</f>
        <v>0</v>
      </c>
      <c r="AQ32" s="1105">
        <f t="shared" ca="1" si="31"/>
        <v>0</v>
      </c>
      <c r="AR32" s="666">
        <f t="shared" ca="1" si="32"/>
        <v>0</v>
      </c>
      <c r="AS32" s="667" t="str">
        <f t="shared" ca="1" si="33"/>
        <v>-</v>
      </c>
      <c r="AU32" s="993"/>
      <c r="AV32" s="493" t="s">
        <v>412</v>
      </c>
      <c r="AW32" s="1090" t="s">
        <v>5</v>
      </c>
      <c r="AX32" s="1106" t="s">
        <v>5</v>
      </c>
      <c r="AY32" s="1090" t="s">
        <v>33</v>
      </c>
      <c r="AZ32" s="1100">
        <f ca="1">SUMIFS('End Uses'!N:N,'End Uses'!D:D,'Summary Tables'!AV32,'End Uses'!I:I,'Summary Tables'!AX32,'End Uses'!J:J,'Summary Tables'!AY32)</f>
        <v>0</v>
      </c>
      <c r="BA32" s="666" t="str">
        <f t="shared" ca="1" si="7"/>
        <v>-</v>
      </c>
      <c r="BB32" s="1104">
        <f ca="1">SUMIFS('End Uses'!T:T,'End Uses'!D:D,'Summary Tables'!AV32,'End Uses'!I:I,'Summary Tables'!AX32,'End Uses'!J:J,'Summary Tables'!AY32)</f>
        <v>0</v>
      </c>
      <c r="BC32" s="1105">
        <f t="shared" ca="1" si="17"/>
        <v>0</v>
      </c>
      <c r="BD32" s="666">
        <f t="shared" ca="1" si="8"/>
        <v>0</v>
      </c>
      <c r="BE32" s="667" t="str">
        <f t="shared" ca="1" si="23"/>
        <v>-</v>
      </c>
    </row>
    <row r="33" spans="3:57" x14ac:dyDescent="0.3">
      <c r="I33" s="23"/>
      <c r="K33" s="636"/>
      <c r="L33" s="623" t="s">
        <v>92</v>
      </c>
      <c r="M33" s="1096" t="str">
        <f>VLOOKUP(L33,'Airport Mapping'!$C$5:$D$39,2,FALSE)</f>
        <v xml:space="preserve"> </v>
      </c>
      <c r="N33" s="1097">
        <f ca="1">SUMIFS('End Uses'!N:N,'End Uses'!G:G,'Summary Tables'!L33)</f>
        <v>0</v>
      </c>
      <c r="O33" s="676" t="str">
        <f t="shared" ca="1" si="37"/>
        <v>-</v>
      </c>
      <c r="P33" s="1097">
        <f ca="1">SUMIFS('End Uses'!T:T,'End Uses'!G:G,'Summary Tables'!L33)</f>
        <v>0</v>
      </c>
      <c r="Q33" s="1098">
        <f t="shared" ca="1" si="11"/>
        <v>0</v>
      </c>
      <c r="R33" s="666">
        <f t="shared" ca="1" si="12"/>
        <v>0</v>
      </c>
      <c r="S33" s="667" t="str">
        <f t="shared" ca="1" si="19"/>
        <v>-</v>
      </c>
      <c r="AA33" s="23"/>
      <c r="AC33" s="1090"/>
      <c r="AD33" s="1103" t="s">
        <v>420</v>
      </c>
      <c r="AE33" s="994" t="s">
        <v>43</v>
      </c>
      <c r="AF33" s="1100">
        <f ca="1">SUMIFS('End Uses'!N:N,'End Uses'!D:D,'Summary Tables'!AD33,'End Uses'!I:I,'Summary Tables'!AE33)</f>
        <v>0</v>
      </c>
      <c r="AG33" s="1101" t="str">
        <f t="shared" ca="1" si="3"/>
        <v>-</v>
      </c>
      <c r="AH33" s="1091">
        <f ca="1">SUMIFS('End Uses'!T:T,'End Uses'!D:D,'Summary Tables'!AD33,'End Uses'!I:I,'Summary Tables'!AE33)</f>
        <v>0</v>
      </c>
      <c r="AI33" s="1102">
        <f t="shared" ca="1" si="15"/>
        <v>0</v>
      </c>
      <c r="AJ33" s="666">
        <f t="shared" ca="1" si="4"/>
        <v>0</v>
      </c>
      <c r="AK33" s="667" t="str">
        <f t="shared" ca="1" si="21"/>
        <v>-</v>
      </c>
      <c r="AL33" s="182"/>
      <c r="AM33" s="1099" t="s">
        <v>26</v>
      </c>
      <c r="AN33" s="1100">
        <f ca="1">SUMIFS('End Uses'!N:N,'End Uses'!J:J,'Summary Tables'!AM33)</f>
        <v>0</v>
      </c>
      <c r="AO33" s="1101" t="str">
        <f t="shared" ca="1" si="5"/>
        <v>-</v>
      </c>
      <c r="AP33" s="1104">
        <f ca="1">SUMIFS('End Uses'!T:T,'End Uses'!J:J,'Summary Tables'!AM33)</f>
        <v>0</v>
      </c>
      <c r="AQ33" s="1105">
        <f t="shared" ca="1" si="31"/>
        <v>0</v>
      </c>
      <c r="AR33" s="666">
        <f t="shared" ca="1" si="32"/>
        <v>0</v>
      </c>
      <c r="AS33" s="667" t="str">
        <f t="shared" ca="1" si="33"/>
        <v>-</v>
      </c>
      <c r="AU33" s="993"/>
      <c r="AV33" s="493" t="s">
        <v>412</v>
      </c>
      <c r="AW33" s="1090" t="s">
        <v>39</v>
      </c>
      <c r="AX33" s="1106" t="s">
        <v>39</v>
      </c>
      <c r="AY33" s="1090" t="s">
        <v>42</v>
      </c>
      <c r="AZ33" s="1100">
        <f ca="1">SUMIFS('End Uses'!N:N,'End Uses'!D:D,'Summary Tables'!AV33,'End Uses'!I:I,'Summary Tables'!AX33,'End Uses'!J:J,'Summary Tables'!AY33)</f>
        <v>0</v>
      </c>
      <c r="BA33" s="666" t="str">
        <f t="shared" ca="1" si="7"/>
        <v>-</v>
      </c>
      <c r="BB33" s="1104">
        <f ca="1">SUMIFS('End Uses'!T:T,'End Uses'!D:D,'Summary Tables'!AV33,'End Uses'!I:I,'Summary Tables'!AX33,'End Uses'!J:J,'Summary Tables'!AY33)</f>
        <v>0</v>
      </c>
      <c r="BC33" s="1105">
        <f t="shared" ca="1" si="17"/>
        <v>0</v>
      </c>
      <c r="BD33" s="666">
        <f t="shared" ca="1" si="8"/>
        <v>0</v>
      </c>
      <c r="BE33" s="667" t="str">
        <f t="shared" ca="1" si="23"/>
        <v>-</v>
      </c>
    </row>
    <row r="34" spans="3:57" ht="15" thickBot="1" x14ac:dyDescent="0.35">
      <c r="I34" s="23"/>
      <c r="K34" s="636"/>
      <c r="L34" s="623" t="s">
        <v>93</v>
      </c>
      <c r="M34" s="1096" t="str">
        <f>VLOOKUP(L34,'Airport Mapping'!$C$5:$D$39,2,FALSE)</f>
        <v xml:space="preserve"> </v>
      </c>
      <c r="N34" s="1097">
        <f ca="1">SUMIFS('End Uses'!N:N,'End Uses'!G:G,'Summary Tables'!L34)</f>
        <v>0</v>
      </c>
      <c r="O34" s="676" t="str">
        <f t="shared" ca="1" si="37"/>
        <v>-</v>
      </c>
      <c r="P34" s="1097">
        <f ca="1">SUMIFS('End Uses'!T:T,'End Uses'!G:G,'Summary Tables'!L34)</f>
        <v>0</v>
      </c>
      <c r="Q34" s="1098">
        <f t="shared" ca="1" si="11"/>
        <v>0</v>
      </c>
      <c r="R34" s="666">
        <f t="shared" ca="1" si="12"/>
        <v>0</v>
      </c>
      <c r="S34" s="667" t="str">
        <f t="shared" ca="1" si="19"/>
        <v>-</v>
      </c>
      <c r="AA34" s="23"/>
      <c r="AC34" s="1115"/>
      <c r="AD34" s="1116" t="s">
        <v>420</v>
      </c>
      <c r="AE34" s="1117" t="s">
        <v>8</v>
      </c>
      <c r="AF34" s="1118">
        <f ca="1">SUMIFS('End Uses'!N:N,'End Uses'!D:D,'Summary Tables'!AD34,'End Uses'!I:I,'Summary Tables'!AE34)</f>
        <v>0</v>
      </c>
      <c r="AG34" s="1119" t="str">
        <f t="shared" ca="1" si="3"/>
        <v>-</v>
      </c>
      <c r="AH34" s="1120">
        <f ca="1">SUMIFS('End Uses'!T:T,'End Uses'!D:D,'Summary Tables'!AD34,'End Uses'!I:I,'Summary Tables'!AE34)</f>
        <v>0</v>
      </c>
      <c r="AI34" s="1121">
        <f t="shared" ca="1" si="15"/>
        <v>0</v>
      </c>
      <c r="AJ34" s="668">
        <f t="shared" ca="1" si="4"/>
        <v>0</v>
      </c>
      <c r="AK34" s="669" t="str">
        <f t="shared" ca="1" si="21"/>
        <v>-</v>
      </c>
      <c r="AL34" s="182"/>
      <c r="AM34" s="1099" t="s">
        <v>27</v>
      </c>
      <c r="AN34" s="1100">
        <f ca="1">SUMIFS('End Uses'!N:N,'End Uses'!J:J,'Summary Tables'!AM34)</f>
        <v>0</v>
      </c>
      <c r="AO34" s="1101" t="str">
        <f t="shared" ca="1" si="5"/>
        <v>-</v>
      </c>
      <c r="AP34" s="1104">
        <f ca="1">SUMIFS('End Uses'!T:T,'End Uses'!J:J,'Summary Tables'!AM34)</f>
        <v>0</v>
      </c>
      <c r="AQ34" s="1105">
        <f t="shared" ca="1" si="31"/>
        <v>0</v>
      </c>
      <c r="AR34" s="666">
        <f t="shared" ca="1" si="32"/>
        <v>0</v>
      </c>
      <c r="AS34" s="667" t="str">
        <f t="shared" ca="1" si="33"/>
        <v>-</v>
      </c>
      <c r="AU34" s="993"/>
      <c r="AV34" s="493" t="s">
        <v>412</v>
      </c>
      <c r="AW34" s="1090" t="s">
        <v>43</v>
      </c>
      <c r="AX34" s="1106" t="s">
        <v>43</v>
      </c>
      <c r="AY34" s="1090" t="s">
        <v>111</v>
      </c>
      <c r="AZ34" s="1100">
        <f ca="1">SUMIFS('End Uses'!N:N,'End Uses'!D:D,'Summary Tables'!AV34,'End Uses'!I:I,'Summary Tables'!AX34,'End Uses'!J:J,'Summary Tables'!AY34)</f>
        <v>0</v>
      </c>
      <c r="BA34" s="666" t="str">
        <f t="shared" ca="1" si="7"/>
        <v>-</v>
      </c>
      <c r="BB34" s="1104">
        <f ca="1">SUMIFS('End Uses'!T:T,'End Uses'!D:D,'Summary Tables'!AV34,'End Uses'!I:I,'Summary Tables'!AX34,'End Uses'!J:J,'Summary Tables'!AY34)</f>
        <v>0</v>
      </c>
      <c r="BC34" s="1105">
        <f t="shared" ca="1" si="17"/>
        <v>0</v>
      </c>
      <c r="BD34" s="666">
        <f t="shared" ca="1" si="8"/>
        <v>0</v>
      </c>
      <c r="BE34" s="667" t="str">
        <f t="shared" ca="1" si="23"/>
        <v>-</v>
      </c>
    </row>
    <row r="35" spans="3:57" x14ac:dyDescent="0.3">
      <c r="I35" s="24"/>
      <c r="K35" s="636"/>
      <c r="L35" s="623" t="s">
        <v>94</v>
      </c>
      <c r="M35" s="1096" t="str">
        <f>VLOOKUP(L35,'Airport Mapping'!$C$5:$D$39,2,FALSE)</f>
        <v xml:space="preserve"> </v>
      </c>
      <c r="N35" s="1097">
        <f ca="1">SUMIFS('End Uses'!N:N,'End Uses'!G:G,'Summary Tables'!L35)</f>
        <v>0</v>
      </c>
      <c r="O35" s="676" t="str">
        <f t="shared" ca="1" si="37"/>
        <v>-</v>
      </c>
      <c r="P35" s="1097">
        <f ca="1">SUMIFS('End Uses'!T:T,'End Uses'!G:G,'Summary Tables'!L35)</f>
        <v>0</v>
      </c>
      <c r="Q35" s="1098">
        <f t="shared" ca="1" si="11"/>
        <v>0</v>
      </c>
      <c r="R35" s="666">
        <f t="shared" ca="1" si="12"/>
        <v>0</v>
      </c>
      <c r="S35" s="667" t="str">
        <f t="shared" ca="1" si="19"/>
        <v>-</v>
      </c>
      <c r="AA35" s="24"/>
      <c r="AC35" s="1072" t="s">
        <v>13</v>
      </c>
      <c r="AD35" s="1084" t="s">
        <v>13</v>
      </c>
      <c r="AE35" s="1085" t="s">
        <v>39</v>
      </c>
      <c r="AF35" s="1081">
        <f ca="1">SUMIFS('End Uses'!N:N,'End Uses'!D:D,'Summary Tables'!AD35,'End Uses'!I:I,'Summary Tables'!AE35)</f>
        <v>0</v>
      </c>
      <c r="AG35" s="1082" t="str">
        <f t="shared" ca="1" si="3"/>
        <v>-</v>
      </c>
      <c r="AH35" s="1073">
        <f ca="1">SUMIFS('End Uses'!T:T,'End Uses'!D:D,'Summary Tables'!AD35,'End Uses'!I:I,'Summary Tables'!AE35)</f>
        <v>0</v>
      </c>
      <c r="AI35" s="1083">
        <f t="shared" ca="1" si="15"/>
        <v>0</v>
      </c>
      <c r="AJ35" s="664">
        <f t="shared" ca="1" si="4"/>
        <v>0</v>
      </c>
      <c r="AK35" s="665" t="str">
        <f t="shared" ca="1" si="21"/>
        <v>-</v>
      </c>
      <c r="AL35" s="182"/>
      <c r="AM35" s="1099" t="s">
        <v>28</v>
      </c>
      <c r="AN35" s="1100">
        <f ca="1">SUMIFS('End Uses'!N:N,'End Uses'!J:J,'Summary Tables'!AM35)</f>
        <v>0</v>
      </c>
      <c r="AO35" s="1101" t="str">
        <f t="shared" ca="1" si="5"/>
        <v>-</v>
      </c>
      <c r="AP35" s="1104">
        <f ca="1">SUMIFS('End Uses'!T:T,'End Uses'!J:J,'Summary Tables'!AM35)</f>
        <v>0</v>
      </c>
      <c r="AQ35" s="1105">
        <f t="shared" ca="1" si="31"/>
        <v>0</v>
      </c>
      <c r="AR35" s="666">
        <f t="shared" ca="1" si="32"/>
        <v>0</v>
      </c>
      <c r="AS35" s="667" t="str">
        <f t="shared" ca="1" si="33"/>
        <v>-</v>
      </c>
      <c r="AU35" s="993"/>
      <c r="AV35" s="493" t="s">
        <v>412</v>
      </c>
      <c r="AW35" s="1090"/>
      <c r="AX35" s="1106" t="s">
        <v>43</v>
      </c>
      <c r="AY35" s="1090" t="s">
        <v>7</v>
      </c>
      <c r="AZ35" s="1100">
        <f ca="1">SUMIFS('End Uses'!N:N,'End Uses'!D:D,'Summary Tables'!AV35,'End Uses'!I:I,'Summary Tables'!AX35,'End Uses'!J:J,'Summary Tables'!AY35)</f>
        <v>0</v>
      </c>
      <c r="BA35" s="666" t="str">
        <f t="shared" ca="1" si="7"/>
        <v>-</v>
      </c>
      <c r="BB35" s="1104">
        <f ca="1">SUMIFS('End Uses'!T:T,'End Uses'!D:D,'Summary Tables'!AV35,'End Uses'!I:I,'Summary Tables'!AX35,'End Uses'!J:J,'Summary Tables'!AY35)</f>
        <v>0</v>
      </c>
      <c r="BC35" s="1105">
        <f t="shared" ca="1" si="17"/>
        <v>0</v>
      </c>
      <c r="BD35" s="666">
        <f t="shared" ca="1" si="8"/>
        <v>0</v>
      </c>
      <c r="BE35" s="667" t="str">
        <f t="shared" ca="1" si="23"/>
        <v>-</v>
      </c>
    </row>
    <row r="36" spans="3:57" ht="15" thickBot="1" x14ac:dyDescent="0.35">
      <c r="I36" s="24"/>
      <c r="K36" s="992"/>
      <c r="L36" s="1150" t="s">
        <v>95</v>
      </c>
      <c r="M36" s="1112" t="str">
        <f>VLOOKUP(L36,'Airport Mapping'!$C$5:$D$39,2,FALSE)</f>
        <v xml:space="preserve"> </v>
      </c>
      <c r="N36" s="1113">
        <f ca="1">SUMIFS('End Uses'!N:N,'End Uses'!G:G,'Summary Tables'!L36)</f>
        <v>0</v>
      </c>
      <c r="O36" s="677" t="str">
        <f t="shared" ca="1" si="37"/>
        <v>-</v>
      </c>
      <c r="P36" s="1113">
        <f ca="1">SUMIFS('End Uses'!T:T,'End Uses'!G:G,'Summary Tables'!L36)</f>
        <v>0</v>
      </c>
      <c r="Q36" s="1114">
        <f t="shared" ca="1" si="11"/>
        <v>0</v>
      </c>
      <c r="R36" s="668">
        <f t="shared" ca="1" si="12"/>
        <v>0</v>
      </c>
      <c r="S36" s="669" t="str">
        <f t="shared" ca="1" si="19"/>
        <v>-</v>
      </c>
      <c r="AA36" s="24"/>
      <c r="AC36" s="1090"/>
      <c r="AD36" s="1103" t="s">
        <v>13</v>
      </c>
      <c r="AE36" s="994" t="s">
        <v>43</v>
      </c>
      <c r="AF36" s="1100">
        <f ca="1">SUMIFS('End Uses'!N:N,'End Uses'!D:D,'Summary Tables'!AD36,'End Uses'!I:I,'Summary Tables'!AE36)</f>
        <v>0</v>
      </c>
      <c r="AG36" s="1101" t="str">
        <f t="shared" ca="1" si="3"/>
        <v>-</v>
      </c>
      <c r="AH36" s="1091">
        <f ca="1">SUMIFS('End Uses'!T:T,'End Uses'!D:D,'Summary Tables'!AD36,'End Uses'!I:I,'Summary Tables'!AE36)</f>
        <v>0</v>
      </c>
      <c r="AI36" s="1102">
        <f t="shared" ca="1" si="15"/>
        <v>0</v>
      </c>
      <c r="AJ36" s="666">
        <f t="shared" ca="1" si="4"/>
        <v>0</v>
      </c>
      <c r="AK36" s="667" t="str">
        <f t="shared" ca="1" si="21"/>
        <v>-</v>
      </c>
      <c r="AL36" s="182"/>
      <c r="AM36" s="1099" t="s">
        <v>29</v>
      </c>
      <c r="AN36" s="1100">
        <f ca="1">SUMIFS('End Uses'!N:N,'End Uses'!J:J,'Summary Tables'!AM36)</f>
        <v>0</v>
      </c>
      <c r="AO36" s="1101" t="str">
        <f t="shared" ca="1" si="5"/>
        <v>-</v>
      </c>
      <c r="AP36" s="1104">
        <f ca="1">SUMIFS('End Uses'!T:T,'End Uses'!J:J,'Summary Tables'!AM36)</f>
        <v>0</v>
      </c>
      <c r="AQ36" s="1105">
        <f t="shared" ca="1" si="31"/>
        <v>0</v>
      </c>
      <c r="AR36" s="666">
        <f t="shared" ca="1" si="32"/>
        <v>0</v>
      </c>
      <c r="AS36" s="667" t="str">
        <f t="shared" ca="1" si="33"/>
        <v>-</v>
      </c>
      <c r="AU36" s="993"/>
      <c r="AV36" s="493" t="s">
        <v>412</v>
      </c>
      <c r="AW36" s="1090" t="s">
        <v>8</v>
      </c>
      <c r="AX36" s="1106" t="s">
        <v>8</v>
      </c>
      <c r="AY36" s="1090" t="s">
        <v>52</v>
      </c>
      <c r="AZ36" s="1100">
        <f ca="1">SUMIFS('End Uses'!N:N,'End Uses'!D:D,'Summary Tables'!AV36,'End Uses'!I:I,'Summary Tables'!AX36,'End Uses'!J:J,'Summary Tables'!AY36)</f>
        <v>0</v>
      </c>
      <c r="BA36" s="666" t="str">
        <f t="shared" ca="1" si="7"/>
        <v>-</v>
      </c>
      <c r="BB36" s="1104">
        <f ca="1">SUMIFS('End Uses'!T:T,'End Uses'!D:D,'Summary Tables'!AV36,'End Uses'!I:I,'Summary Tables'!AX36,'End Uses'!J:J,'Summary Tables'!AY36)</f>
        <v>0</v>
      </c>
      <c r="BC36" s="1105">
        <f t="shared" ca="1" si="17"/>
        <v>0</v>
      </c>
      <c r="BD36" s="666">
        <f t="shared" ca="1" si="8"/>
        <v>0</v>
      </c>
      <c r="BE36" s="667" t="str">
        <f t="shared" ca="1" si="23"/>
        <v>-</v>
      </c>
    </row>
    <row r="37" spans="3:57" ht="15" thickBot="1" x14ac:dyDescent="0.35">
      <c r="I37" s="23"/>
      <c r="K37" s="1133" t="s">
        <v>418</v>
      </c>
      <c r="L37" s="515" t="s">
        <v>418</v>
      </c>
      <c r="M37" s="1151" t="str">
        <f>VLOOKUP(L37,'Airport Mapping'!$C$5:$D$39,2,FALSE)</f>
        <v xml:space="preserve"> </v>
      </c>
      <c r="N37" s="1152">
        <f ca="1">SUMIFS('End Uses'!N:N,'End Uses'!G:G,'Summary Tables'!L37)</f>
        <v>0</v>
      </c>
      <c r="O37" s="678" t="str">
        <f t="shared" ca="1" si="37"/>
        <v>-</v>
      </c>
      <c r="P37" s="1152">
        <f ca="1">SUMIFS('End Uses'!T:T,'End Uses'!G:G,'Summary Tables'!L37)</f>
        <v>0</v>
      </c>
      <c r="Q37" s="1153">
        <f t="shared" ca="1" si="11"/>
        <v>0</v>
      </c>
      <c r="R37" s="679">
        <f t="shared" ca="1" si="12"/>
        <v>0</v>
      </c>
      <c r="S37" s="673" t="str">
        <f t="shared" ca="1" si="19"/>
        <v>-</v>
      </c>
      <c r="AA37" s="23"/>
      <c r="AC37" s="1115"/>
      <c r="AD37" s="1116" t="s">
        <v>13</v>
      </c>
      <c r="AE37" s="1117" t="s">
        <v>8</v>
      </c>
      <c r="AF37" s="1118">
        <f ca="1">SUMIFS('End Uses'!N:N,'End Uses'!D:D,'Summary Tables'!AD37,'End Uses'!I:I,'Summary Tables'!AE37)</f>
        <v>0</v>
      </c>
      <c r="AG37" s="1119" t="str">
        <f t="shared" ca="1" si="3"/>
        <v>-</v>
      </c>
      <c r="AH37" s="1120">
        <f ca="1">SUMIFS('End Uses'!T:T,'End Uses'!D:D,'Summary Tables'!AD37,'End Uses'!I:I,'Summary Tables'!AE37)</f>
        <v>0</v>
      </c>
      <c r="AI37" s="1121">
        <f t="shared" ca="1" si="15"/>
        <v>0</v>
      </c>
      <c r="AJ37" s="668">
        <f t="shared" ca="1" si="4"/>
        <v>0</v>
      </c>
      <c r="AK37" s="669" t="str">
        <f t="shared" ca="1" si="21"/>
        <v>-</v>
      </c>
      <c r="AL37" s="182"/>
      <c r="AM37" s="1123" t="s">
        <v>8</v>
      </c>
      <c r="AN37" s="1118">
        <f ca="1">SUMIFS('End Uses'!N:N,'End Uses'!I:I,'Summary Tables'!AM37)</f>
        <v>0</v>
      </c>
      <c r="AO37" s="1119" t="str">
        <f t="shared" ca="1" si="5"/>
        <v>-</v>
      </c>
      <c r="AP37" s="1142">
        <f ca="1">SUMIFS('End Uses'!T:T,'End Uses'!I:I,'Summary Tables'!AM37)</f>
        <v>0</v>
      </c>
      <c r="AQ37" s="1143">
        <f t="shared" ca="1" si="31"/>
        <v>0</v>
      </c>
      <c r="AR37" s="668">
        <f t="shared" ca="1" si="32"/>
        <v>0</v>
      </c>
      <c r="AS37" s="669" t="str">
        <f t="shared" ca="1" si="33"/>
        <v>-</v>
      </c>
      <c r="AU37" s="993"/>
      <c r="AV37" s="493" t="s">
        <v>412</v>
      </c>
      <c r="AW37" s="1090"/>
      <c r="AX37" s="1106" t="s">
        <v>8</v>
      </c>
      <c r="AY37" s="1090" t="s">
        <v>53</v>
      </c>
      <c r="AZ37" s="1100">
        <f ca="1">SUMIFS('End Uses'!N:N,'End Uses'!D:D,'Summary Tables'!AV37,'End Uses'!I:I,'Summary Tables'!AX37,'End Uses'!J:J,'Summary Tables'!AY37)</f>
        <v>0</v>
      </c>
      <c r="BA37" s="666" t="str">
        <f t="shared" ca="1" si="7"/>
        <v>-</v>
      </c>
      <c r="BB37" s="1104">
        <f ca="1">SUMIFS('End Uses'!T:T,'End Uses'!D:D,'Summary Tables'!AV37,'End Uses'!I:I,'Summary Tables'!AX37,'End Uses'!J:J,'Summary Tables'!AY37)</f>
        <v>0</v>
      </c>
      <c r="BC37" s="1105">
        <f t="shared" ca="1" si="17"/>
        <v>0</v>
      </c>
      <c r="BD37" s="666">
        <f t="shared" ca="1" si="8"/>
        <v>0</v>
      </c>
      <c r="BE37" s="667" t="str">
        <f t="shared" ca="1" si="23"/>
        <v>-</v>
      </c>
    </row>
    <row r="38" spans="3:57" ht="15" thickBot="1" x14ac:dyDescent="0.35">
      <c r="I38" s="23"/>
      <c r="K38" s="1055" t="s">
        <v>16</v>
      </c>
      <c r="L38" s="1122" t="s">
        <v>96</v>
      </c>
      <c r="M38" s="1077" t="str">
        <f>VLOOKUP(L38,'Airport Mapping'!$C$5:$D$39,2,FALSE)</f>
        <v xml:space="preserve"> </v>
      </c>
      <c r="N38" s="1078">
        <f ca="1">SUMIFS('End Uses'!N:N,'End Uses'!G:G,'Summary Tables'!L38)</f>
        <v>0</v>
      </c>
      <c r="O38" s="675" t="str">
        <f t="shared" ca="1" si="37"/>
        <v>-</v>
      </c>
      <c r="P38" s="1078">
        <f ca="1">SUMIFS('End Uses'!T:T,'End Uses'!G:G,'Summary Tables'!L38)</f>
        <v>0</v>
      </c>
      <c r="Q38" s="1079">
        <f t="shared" ca="1" si="11"/>
        <v>0</v>
      </c>
      <c r="R38" s="664">
        <f t="shared" ca="1" si="12"/>
        <v>0</v>
      </c>
      <c r="S38" s="665" t="str">
        <f t="shared" ca="1" si="19"/>
        <v>-</v>
      </c>
      <c r="AA38" s="23"/>
      <c r="AC38" s="1072" t="s">
        <v>418</v>
      </c>
      <c r="AD38" s="1084" t="s">
        <v>418</v>
      </c>
      <c r="AE38" s="1085" t="s">
        <v>37</v>
      </c>
      <c r="AF38" s="1081">
        <f ca="1">SUMIFS('End Uses'!N:N,'End Uses'!D:D,'Summary Tables'!AD38,'End Uses'!I:I,'Summary Tables'!AE38)</f>
        <v>0</v>
      </c>
      <c r="AG38" s="1082" t="str">
        <f t="shared" ca="1" si="3"/>
        <v>-</v>
      </c>
      <c r="AH38" s="1073">
        <f ca="1">SUMIFS('End Uses'!T:T,'End Uses'!D:D,'Summary Tables'!AD38,'End Uses'!I:I,'Summary Tables'!AE38)</f>
        <v>0</v>
      </c>
      <c r="AI38" s="1083">
        <f t="shared" ref="AI38:AI49" ca="1" si="38">AF38-AH38</f>
        <v>0</v>
      </c>
      <c r="AJ38" s="664">
        <f t="shared" ref="AJ38:AJ62" ca="1" si="39">IFERROR(AI38/AF38,0)</f>
        <v>0</v>
      </c>
      <c r="AK38" s="665" t="str">
        <f t="shared" ref="AK38:AK62" ca="1" si="40">IFERROR(AF38/AH38,"-")</f>
        <v>-</v>
      </c>
      <c r="AL38" s="182"/>
      <c r="AM38" s="523" t="s">
        <v>46</v>
      </c>
      <c r="AN38" s="670">
        <f ca="1">SUM(AN15:AN37)</f>
        <v>0</v>
      </c>
      <c r="AO38" s="688">
        <f ca="1">SUM(AO15:AO37)</f>
        <v>0</v>
      </c>
      <c r="AP38" s="670">
        <f ca="1">SUM(AP15:AP37)</f>
        <v>0</v>
      </c>
      <c r="AQ38" s="670">
        <f ca="1">SUM(AQ15:AQ37)</f>
        <v>0</v>
      </c>
      <c r="AR38" s="679">
        <f t="shared" ca="1" si="32"/>
        <v>0</v>
      </c>
      <c r="AS38" s="673" t="str">
        <f t="shared" ca="1" si="33"/>
        <v>-</v>
      </c>
      <c r="AU38" s="1140"/>
      <c r="AV38" s="493" t="s">
        <v>412</v>
      </c>
      <c r="AW38" s="1094"/>
      <c r="AX38" s="1107" t="s">
        <v>8</v>
      </c>
      <c r="AY38" s="1094" t="s">
        <v>54</v>
      </c>
      <c r="AZ38" s="1108">
        <f ca="1">SUMIFS('End Uses'!N:N,'End Uses'!D:D,'Summary Tables'!AV38,'End Uses'!I:I,'Summary Tables'!AX38,'End Uses'!J:J,'Summary Tables'!AY38)</f>
        <v>0</v>
      </c>
      <c r="BA38" s="689" t="str">
        <f t="shared" ca="1" si="7"/>
        <v>-</v>
      </c>
      <c r="BB38" s="1109">
        <f ca="1">SUMIFS('End Uses'!T:T,'End Uses'!D:D,'Summary Tables'!AV38,'End Uses'!I:I,'Summary Tables'!AX38,'End Uses'!J:J,'Summary Tables'!AY38)</f>
        <v>0</v>
      </c>
      <c r="BC38" s="1110">
        <f t="shared" ca="1" si="17"/>
        <v>0</v>
      </c>
      <c r="BD38" s="689">
        <f t="shared" ca="1" si="8"/>
        <v>0</v>
      </c>
      <c r="BE38" s="690" t="str">
        <f t="shared" ca="1" si="23"/>
        <v>-</v>
      </c>
    </row>
    <row r="39" spans="3:57" x14ac:dyDescent="0.3">
      <c r="I39" s="23"/>
      <c r="K39" s="636"/>
      <c r="L39" s="623" t="s">
        <v>97</v>
      </c>
      <c r="M39" s="1096" t="str">
        <f>VLOOKUP(L39,'Airport Mapping'!$C$5:$D$39,2,FALSE)</f>
        <v xml:space="preserve"> </v>
      </c>
      <c r="N39" s="1097">
        <f ca="1">SUMIFS('End Uses'!N:N,'End Uses'!G:G,'Summary Tables'!L39)</f>
        <v>0</v>
      </c>
      <c r="O39" s="676" t="str">
        <f t="shared" ca="1" si="37"/>
        <v>-</v>
      </c>
      <c r="P39" s="1097">
        <f ca="1">SUMIFS('End Uses'!T:T,'End Uses'!G:G,'Summary Tables'!L39)</f>
        <v>0</v>
      </c>
      <c r="Q39" s="1098">
        <f t="shared" ca="1" si="11"/>
        <v>0</v>
      </c>
      <c r="R39" s="666">
        <f t="shared" ca="1" si="12"/>
        <v>0</v>
      </c>
      <c r="S39" s="667" t="str">
        <f t="shared" ca="1" si="19"/>
        <v>-</v>
      </c>
      <c r="AA39" s="23"/>
      <c r="AC39" s="1090"/>
      <c r="AD39" s="1103" t="s">
        <v>418</v>
      </c>
      <c r="AE39" s="994" t="s">
        <v>5</v>
      </c>
      <c r="AF39" s="1100">
        <f ca="1">SUMIFS('End Uses'!N:N,'End Uses'!D:D,'Summary Tables'!AD39,'End Uses'!I:I,'Summary Tables'!AE39)</f>
        <v>0</v>
      </c>
      <c r="AG39" s="1101" t="str">
        <f t="shared" ca="1" si="3"/>
        <v>-</v>
      </c>
      <c r="AH39" s="1091">
        <f ca="1">SUMIFS('End Uses'!T:T,'End Uses'!D:D,'Summary Tables'!AD39,'End Uses'!I:I,'Summary Tables'!AE39)</f>
        <v>0</v>
      </c>
      <c r="AI39" s="1102">
        <f t="shared" ca="1" si="38"/>
        <v>0</v>
      </c>
      <c r="AJ39" s="666">
        <f t="shared" ca="1" si="39"/>
        <v>0</v>
      </c>
      <c r="AK39" s="667" t="str">
        <f t="shared" ca="1" si="40"/>
        <v>-</v>
      </c>
      <c r="AL39" s="182"/>
      <c r="AU39" s="1012" t="s">
        <v>11</v>
      </c>
      <c r="AV39" s="485" t="s">
        <v>11</v>
      </c>
      <c r="AW39" s="1072" t="s">
        <v>37</v>
      </c>
      <c r="AX39" s="1089" t="s">
        <v>37</v>
      </c>
      <c r="AY39" s="1072" t="s">
        <v>2</v>
      </c>
      <c r="AZ39" s="1081">
        <f ca="1">SUMIFS('End Uses'!N:N,'End Uses'!D:D,'Summary Tables'!AV39,'End Uses'!I:I,'Summary Tables'!AX39,'End Uses'!J:J,'Summary Tables'!AY39)</f>
        <v>0</v>
      </c>
      <c r="BA39" s="664" t="str">
        <f t="shared" ca="1" si="7"/>
        <v>-</v>
      </c>
      <c r="BB39" s="1086">
        <f ca="1">SUMIFS('End Uses'!T:T,'End Uses'!D:D,'Summary Tables'!AV39,'End Uses'!I:I,'Summary Tables'!AX39,'End Uses'!J:J,'Summary Tables'!AY39)</f>
        <v>0</v>
      </c>
      <c r="BC39" s="1087">
        <f t="shared" ca="1" si="17"/>
        <v>0</v>
      </c>
      <c r="BD39" s="664">
        <f t="shared" ca="1" si="8"/>
        <v>0</v>
      </c>
      <c r="BE39" s="665" t="str">
        <f t="shared" ca="1" si="23"/>
        <v>-</v>
      </c>
    </row>
    <row r="40" spans="3:57" x14ac:dyDescent="0.3">
      <c r="I40" s="23"/>
      <c r="K40" s="636"/>
      <c r="L40" s="623" t="s">
        <v>98</v>
      </c>
      <c r="M40" s="1096" t="str">
        <f>VLOOKUP(L40,'Airport Mapping'!$C$5:$D$39,2,FALSE)</f>
        <v xml:space="preserve"> </v>
      </c>
      <c r="N40" s="1097">
        <f ca="1">SUMIFS('End Uses'!N:N,'End Uses'!G:G,'Summary Tables'!L40)</f>
        <v>0</v>
      </c>
      <c r="O40" s="676" t="str">
        <f t="shared" ca="1" si="37"/>
        <v>-</v>
      </c>
      <c r="P40" s="1097">
        <f ca="1">SUMIFS('End Uses'!T:T,'End Uses'!G:G,'Summary Tables'!L40)</f>
        <v>0</v>
      </c>
      <c r="Q40" s="1098">
        <f t="shared" ca="1" si="11"/>
        <v>0</v>
      </c>
      <c r="R40" s="666">
        <f t="shared" ca="1" si="12"/>
        <v>0</v>
      </c>
      <c r="S40" s="667" t="str">
        <f t="shared" ca="1" si="19"/>
        <v>-</v>
      </c>
      <c r="AA40" s="23"/>
      <c r="AC40" s="1090"/>
      <c r="AD40" s="1103" t="s">
        <v>418</v>
      </c>
      <c r="AE40" s="994" t="s">
        <v>39</v>
      </c>
      <c r="AF40" s="1100">
        <f ca="1">SUMIFS('End Uses'!N:N,'End Uses'!D:D,'Summary Tables'!AD40,'End Uses'!I:I,'Summary Tables'!AE40)</f>
        <v>0</v>
      </c>
      <c r="AG40" s="1101" t="str">
        <f t="shared" ca="1" si="3"/>
        <v>-</v>
      </c>
      <c r="AH40" s="1091">
        <f ca="1">SUMIFS('End Uses'!T:T,'End Uses'!D:D,'Summary Tables'!AD40,'End Uses'!I:I,'Summary Tables'!AE40)</f>
        <v>0</v>
      </c>
      <c r="AI40" s="1102">
        <f t="shared" ca="1" si="38"/>
        <v>0</v>
      </c>
      <c r="AJ40" s="666">
        <f t="shared" ca="1" si="39"/>
        <v>0</v>
      </c>
      <c r="AK40" s="667" t="str">
        <f t="shared" ca="1" si="40"/>
        <v>-</v>
      </c>
      <c r="AL40" s="182"/>
      <c r="AU40" s="206"/>
      <c r="AV40" s="224" t="s">
        <v>11</v>
      </c>
      <c r="AW40" s="1090"/>
      <c r="AX40" s="1106" t="s">
        <v>37</v>
      </c>
      <c r="AY40" s="1090" t="s">
        <v>4</v>
      </c>
      <c r="AZ40" s="1100">
        <f ca="1">SUMIFS('End Uses'!N:N,'End Uses'!D:D,'Summary Tables'!AV40,'End Uses'!I:I,'Summary Tables'!AX40,'End Uses'!J:J,'Summary Tables'!AY40)</f>
        <v>0</v>
      </c>
      <c r="BA40" s="666" t="str">
        <f t="shared" ca="1" si="7"/>
        <v>-</v>
      </c>
      <c r="BB40" s="1104">
        <f ca="1">SUMIFS('End Uses'!T:T,'End Uses'!D:D,'Summary Tables'!AV40,'End Uses'!I:I,'Summary Tables'!AX40,'End Uses'!J:J,'Summary Tables'!AY40)</f>
        <v>0</v>
      </c>
      <c r="BC40" s="1105">
        <f t="shared" ca="1" si="17"/>
        <v>0</v>
      </c>
      <c r="BD40" s="666">
        <f t="shared" ca="1" si="8"/>
        <v>0</v>
      </c>
      <c r="BE40" s="667" t="str">
        <f t="shared" ca="1" si="23"/>
        <v>-</v>
      </c>
    </row>
    <row r="41" spans="3:57" ht="15" thickBot="1" x14ac:dyDescent="0.35">
      <c r="I41" s="23"/>
      <c r="K41" s="621"/>
      <c r="L41" s="623" t="s">
        <v>99</v>
      </c>
      <c r="M41" s="1096" t="str">
        <f>VLOOKUP(L41,'Airport Mapping'!$C$5:$D$39,2,FALSE)</f>
        <v xml:space="preserve"> </v>
      </c>
      <c r="N41" s="1097">
        <f ca="1">SUMIFS('End Uses'!N:N,'End Uses'!G:G,'Summary Tables'!L41)</f>
        <v>0</v>
      </c>
      <c r="O41" s="676" t="str">
        <f t="shared" ca="1" si="37"/>
        <v>-</v>
      </c>
      <c r="P41" s="1097">
        <f ca="1">SUMIFS('End Uses'!T:T,'End Uses'!G:G,'Summary Tables'!L41)</f>
        <v>0</v>
      </c>
      <c r="Q41" s="1098">
        <f t="shared" ref="Q41:Q49" ca="1" si="41">N41-P41</f>
        <v>0</v>
      </c>
      <c r="R41" s="666">
        <f t="shared" ref="R41:R50" ca="1" si="42">IFERROR(Q41/N41,0)</f>
        <v>0</v>
      </c>
      <c r="S41" s="667" t="str">
        <f t="shared" ref="S41:S50" ca="1" si="43">IFERROR(N41/P41,"-")</f>
        <v>-</v>
      </c>
      <c r="AA41" s="23"/>
      <c r="AC41" s="1090"/>
      <c r="AD41" s="1103" t="s">
        <v>418</v>
      </c>
      <c r="AE41" s="994" t="s">
        <v>43</v>
      </c>
      <c r="AF41" s="1100">
        <f ca="1">SUMIFS('End Uses'!N:N,'End Uses'!D:D,'Summary Tables'!AD41,'End Uses'!I:I,'Summary Tables'!AE41)</f>
        <v>0</v>
      </c>
      <c r="AG41" s="1101" t="str">
        <f t="shared" ca="1" si="3"/>
        <v>-</v>
      </c>
      <c r="AH41" s="1091">
        <f ca="1">SUMIFS('End Uses'!T:T,'End Uses'!D:D,'Summary Tables'!AD41,'End Uses'!I:I,'Summary Tables'!AE41)</f>
        <v>0</v>
      </c>
      <c r="AI41" s="1102">
        <f t="shared" ca="1" si="38"/>
        <v>0</v>
      </c>
      <c r="AJ41" s="666">
        <f t="shared" ca="1" si="39"/>
        <v>0</v>
      </c>
      <c r="AK41" s="667" t="str">
        <f t="shared" ca="1" si="40"/>
        <v>-</v>
      </c>
      <c r="AL41" s="182"/>
      <c r="AU41" s="206"/>
      <c r="AV41" s="224" t="s">
        <v>11</v>
      </c>
      <c r="AW41" s="1094"/>
      <c r="AX41" s="1107" t="s">
        <v>37</v>
      </c>
      <c r="AY41" s="1094" t="s">
        <v>33</v>
      </c>
      <c r="AZ41" s="1108">
        <f ca="1">SUMIFS('End Uses'!N:N,'End Uses'!D:D,'Summary Tables'!AV41,'End Uses'!I:I,'Summary Tables'!AX41,'End Uses'!J:J,'Summary Tables'!AY41)</f>
        <v>0</v>
      </c>
      <c r="BA41" s="689" t="str">
        <f t="shared" ca="1" si="7"/>
        <v>-</v>
      </c>
      <c r="BB41" s="1109">
        <f ca="1">SUMIFS('End Uses'!T:T,'End Uses'!D:D,'Summary Tables'!AV41,'End Uses'!I:I,'Summary Tables'!AX41,'End Uses'!J:J,'Summary Tables'!AY41)</f>
        <v>0</v>
      </c>
      <c r="BC41" s="1110">
        <f t="shared" ca="1" si="17"/>
        <v>0</v>
      </c>
      <c r="BD41" s="689">
        <f t="shared" ca="1" si="8"/>
        <v>0</v>
      </c>
      <c r="BE41" s="690" t="str">
        <f t="shared" ca="1" si="23"/>
        <v>-</v>
      </c>
    </row>
    <row r="42" spans="3:57" ht="15" thickBot="1" x14ac:dyDescent="0.35">
      <c r="I42" s="23"/>
      <c r="K42" s="992"/>
      <c r="L42" s="1150" t="s">
        <v>100</v>
      </c>
      <c r="M42" s="1112" t="str">
        <f>VLOOKUP(L42,'Airport Mapping'!$C$5:$D$39,2,FALSE)</f>
        <v xml:space="preserve"> </v>
      </c>
      <c r="N42" s="1113">
        <f ca="1">SUMIFS('End Uses'!N:N,'End Uses'!G:G,'Summary Tables'!L42)</f>
        <v>0</v>
      </c>
      <c r="O42" s="677" t="str">
        <f t="shared" ca="1" si="37"/>
        <v>-</v>
      </c>
      <c r="P42" s="1113">
        <f ca="1">SUMIFS('End Uses'!T:T,'End Uses'!G:G,'Summary Tables'!L42)</f>
        <v>0</v>
      </c>
      <c r="Q42" s="1114">
        <f t="shared" ca="1" si="41"/>
        <v>0</v>
      </c>
      <c r="R42" s="668">
        <f t="shared" ca="1" si="42"/>
        <v>0</v>
      </c>
      <c r="S42" s="669" t="str">
        <f t="shared" ca="1" si="43"/>
        <v>-</v>
      </c>
      <c r="AA42" s="23"/>
      <c r="AC42" s="1115"/>
      <c r="AD42" s="1116" t="s">
        <v>418</v>
      </c>
      <c r="AE42" s="1117" t="s">
        <v>8</v>
      </c>
      <c r="AF42" s="1118">
        <f ca="1">SUMIFS('End Uses'!N:N,'End Uses'!D:D,'Summary Tables'!AD42,'End Uses'!I:I,'Summary Tables'!AE42)</f>
        <v>0</v>
      </c>
      <c r="AG42" s="1119" t="str">
        <f t="shared" ca="1" si="3"/>
        <v>-</v>
      </c>
      <c r="AH42" s="1120">
        <f ca="1">SUMIFS('End Uses'!T:T,'End Uses'!D:D,'Summary Tables'!AD42,'End Uses'!I:I,'Summary Tables'!AE42)</f>
        <v>0</v>
      </c>
      <c r="AI42" s="1121">
        <f t="shared" ca="1" si="38"/>
        <v>0</v>
      </c>
      <c r="AJ42" s="668">
        <f t="shared" ca="1" si="39"/>
        <v>0</v>
      </c>
      <c r="AK42" s="669" t="str">
        <f t="shared" ca="1" si="40"/>
        <v>-</v>
      </c>
      <c r="AL42" s="182"/>
      <c r="AU42" s="206"/>
      <c r="AV42" s="224" t="s">
        <v>11</v>
      </c>
      <c r="AW42" s="1133" t="s">
        <v>5</v>
      </c>
      <c r="AX42" s="956" t="s">
        <v>5</v>
      </c>
      <c r="AY42" s="1133" t="s">
        <v>33</v>
      </c>
      <c r="AZ42" s="1129">
        <f ca="1">SUMIFS('End Uses'!N:N,'End Uses'!D:D,'Summary Tables'!AV42,'End Uses'!I:I,'Summary Tables'!AX42,'End Uses'!J:J,'Summary Tables'!AY42)</f>
        <v>0</v>
      </c>
      <c r="BA42" s="679" t="str">
        <f t="shared" ca="1" si="7"/>
        <v>-</v>
      </c>
      <c r="BB42" s="1154">
        <f ca="1">SUMIFS('End Uses'!T:T,'End Uses'!D:D,'Summary Tables'!AV42,'End Uses'!I:I,'Summary Tables'!AX42,'End Uses'!J:J,'Summary Tables'!AY42)</f>
        <v>0</v>
      </c>
      <c r="BC42" s="1155">
        <f t="shared" ca="1" si="17"/>
        <v>0</v>
      </c>
      <c r="BD42" s="679">
        <f t="shared" ca="1" si="8"/>
        <v>0</v>
      </c>
      <c r="BE42" s="673" t="str">
        <f t="shared" ca="1" si="23"/>
        <v>-</v>
      </c>
    </row>
    <row r="43" spans="3:57" ht="15" thickBot="1" x14ac:dyDescent="0.35">
      <c r="I43" s="23"/>
      <c r="K43" s="523" t="s">
        <v>417</v>
      </c>
      <c r="L43" s="524" t="s">
        <v>417</v>
      </c>
      <c r="M43" s="1151" t="str">
        <f>VLOOKUP(L43,'Airport Mapping'!$C$5:$D$39,2,FALSE)</f>
        <v xml:space="preserve"> </v>
      </c>
      <c r="N43" s="1152">
        <f ca="1">SUMIFS('End Uses'!N:N,'End Uses'!G:G,'Summary Tables'!L43)</f>
        <v>0</v>
      </c>
      <c r="O43" s="678" t="str">
        <f t="shared" ca="1" si="37"/>
        <v>-</v>
      </c>
      <c r="P43" s="1152">
        <f ca="1">SUMIFS('End Uses'!T:T,'End Uses'!G:G,'Summary Tables'!L43)</f>
        <v>0</v>
      </c>
      <c r="Q43" s="1153">
        <f t="shared" ca="1" si="41"/>
        <v>0</v>
      </c>
      <c r="R43" s="679">
        <f t="shared" ca="1" si="42"/>
        <v>0</v>
      </c>
      <c r="S43" s="673" t="str">
        <f t="shared" ca="1" si="43"/>
        <v>-</v>
      </c>
      <c r="AA43" s="23"/>
      <c r="AC43" s="1072" t="s">
        <v>16</v>
      </c>
      <c r="AD43" s="1084" t="s">
        <v>16</v>
      </c>
      <c r="AE43" s="1085" t="s">
        <v>45</v>
      </c>
      <c r="AF43" s="1081">
        <f ca="1">SUMIFS('End Uses'!N:N,'End Uses'!D:D,'Summary Tables'!AD43,'End Uses'!I:I,'Summary Tables'!AE43)</f>
        <v>0</v>
      </c>
      <c r="AG43" s="1082" t="str">
        <f t="shared" ca="1" si="3"/>
        <v>-</v>
      </c>
      <c r="AH43" s="1073">
        <f ca="1">SUMIFS('End Uses'!T:T,'End Uses'!D:D,'Summary Tables'!AD43,'End Uses'!I:I,'Summary Tables'!AE43)</f>
        <v>0</v>
      </c>
      <c r="AI43" s="1083">
        <f t="shared" ca="1" si="38"/>
        <v>0</v>
      </c>
      <c r="AJ43" s="664">
        <f t="shared" ca="1" si="39"/>
        <v>0</v>
      </c>
      <c r="AK43" s="665" t="str">
        <f t="shared" ca="1" si="40"/>
        <v>-</v>
      </c>
      <c r="AL43" s="182"/>
      <c r="AU43" s="206"/>
      <c r="AV43" s="224" t="s">
        <v>11</v>
      </c>
      <c r="AW43" s="1133" t="s">
        <v>39</v>
      </c>
      <c r="AX43" s="956" t="s">
        <v>39</v>
      </c>
      <c r="AY43" s="1133" t="s">
        <v>42</v>
      </c>
      <c r="AZ43" s="1129">
        <f ca="1">SUMIFS('End Uses'!N:N,'End Uses'!D:D,'Summary Tables'!AV43,'End Uses'!I:I,'Summary Tables'!AX43,'End Uses'!J:J,'Summary Tables'!AY43)</f>
        <v>0</v>
      </c>
      <c r="BA43" s="679" t="str">
        <f t="shared" ca="1" si="7"/>
        <v>-</v>
      </c>
      <c r="BB43" s="1154">
        <f ca="1">SUMIFS('End Uses'!T:T,'End Uses'!D:D,'Summary Tables'!AV43,'End Uses'!I:I,'Summary Tables'!AX43,'End Uses'!J:J,'Summary Tables'!AY43)</f>
        <v>0</v>
      </c>
      <c r="BC43" s="1155">
        <f t="shared" ca="1" si="17"/>
        <v>0</v>
      </c>
      <c r="BD43" s="679">
        <f t="shared" ca="1" si="8"/>
        <v>0</v>
      </c>
      <c r="BE43" s="673" t="str">
        <f t="shared" ca="1" si="23"/>
        <v>-</v>
      </c>
    </row>
    <row r="44" spans="3:57" ht="15" thickBot="1" x14ac:dyDescent="0.35">
      <c r="K44" s="1133" t="s">
        <v>419</v>
      </c>
      <c r="L44" s="1156" t="s">
        <v>419</v>
      </c>
      <c r="M44" s="1157" t="str">
        <f>VLOOKUP(L44,'Airport Mapping'!$C$5:$D$39,2,FALSE)</f>
        <v xml:space="preserve"> </v>
      </c>
      <c r="N44" s="1152">
        <f ca="1">SUMIFS('End Uses'!N:N,'End Uses'!G:G,'Summary Tables'!L44)</f>
        <v>0</v>
      </c>
      <c r="O44" s="678" t="str">
        <f t="shared" ca="1" si="37"/>
        <v>-</v>
      </c>
      <c r="P44" s="1152">
        <f ca="1">SUMIFS('End Uses'!T:T,'End Uses'!G:G,'Summary Tables'!L44)</f>
        <v>0</v>
      </c>
      <c r="Q44" s="1153">
        <f t="shared" ca="1" si="41"/>
        <v>0</v>
      </c>
      <c r="R44" s="679">
        <f t="shared" ca="1" si="42"/>
        <v>0</v>
      </c>
      <c r="S44" s="673" t="str">
        <f t="shared" ca="1" si="43"/>
        <v>-</v>
      </c>
      <c r="AC44" s="1090"/>
      <c r="AD44" s="1103" t="s">
        <v>16</v>
      </c>
      <c r="AE44" s="994" t="s">
        <v>38</v>
      </c>
      <c r="AF44" s="1100">
        <f ca="1">SUMIFS('End Uses'!N:N,'End Uses'!D:D,'Summary Tables'!AD44,'End Uses'!I:I,'Summary Tables'!AE44)</f>
        <v>0</v>
      </c>
      <c r="AG44" s="1101" t="str">
        <f t="shared" ca="1" si="3"/>
        <v>-</v>
      </c>
      <c r="AH44" s="1091">
        <f ca="1">SUMIFS('End Uses'!T:T,'End Uses'!D:D,'Summary Tables'!AD44,'End Uses'!I:I,'Summary Tables'!AE44)</f>
        <v>0</v>
      </c>
      <c r="AI44" s="1102">
        <f t="shared" ca="1" si="38"/>
        <v>0</v>
      </c>
      <c r="AJ44" s="666">
        <f t="shared" ca="1" si="39"/>
        <v>0</v>
      </c>
      <c r="AK44" s="667" t="str">
        <f t="shared" ca="1" si="40"/>
        <v>-</v>
      </c>
      <c r="AL44" s="182"/>
      <c r="AU44" s="206"/>
      <c r="AV44" s="224" t="s">
        <v>11</v>
      </c>
      <c r="AW44" s="1072" t="s">
        <v>43</v>
      </c>
      <c r="AX44" s="1089" t="s">
        <v>43</v>
      </c>
      <c r="AY44" s="1072" t="s">
        <v>111</v>
      </c>
      <c r="AZ44" s="1081">
        <f ca="1">SUMIFS('End Uses'!N:N,'End Uses'!D:D,'Summary Tables'!AV44,'End Uses'!I:I,'Summary Tables'!AX44,'End Uses'!J:J,'Summary Tables'!AY44)</f>
        <v>0</v>
      </c>
      <c r="BA44" s="664" t="str">
        <f t="shared" ca="1" si="7"/>
        <v>-</v>
      </c>
      <c r="BB44" s="1086">
        <f ca="1">SUMIFS('End Uses'!T:T,'End Uses'!D:D,'Summary Tables'!AV44,'End Uses'!I:I,'Summary Tables'!AX44,'End Uses'!J:J,'Summary Tables'!AY44)</f>
        <v>0</v>
      </c>
      <c r="BC44" s="1087">
        <f t="shared" ca="1" si="17"/>
        <v>0</v>
      </c>
      <c r="BD44" s="664">
        <f t="shared" ca="1" si="8"/>
        <v>0</v>
      </c>
      <c r="BE44" s="665" t="str">
        <f t="shared" ca="1" si="23"/>
        <v>-</v>
      </c>
    </row>
    <row r="45" spans="3:57" x14ac:dyDescent="0.3">
      <c r="D45" s="182"/>
      <c r="K45" s="636" t="s">
        <v>471</v>
      </c>
      <c r="L45" s="1158" t="s">
        <v>106</v>
      </c>
      <c r="M45" s="1147" t="str">
        <f>VLOOKUP(L45,'Airport Mapping'!$C$5:$D$39,2,FALSE)</f>
        <v xml:space="preserve"> </v>
      </c>
      <c r="N45" s="1148">
        <f ca="1">SUMIFS('End Uses'!N:N,'End Uses'!G:G,'Summary Tables'!L45)</f>
        <v>0</v>
      </c>
      <c r="O45" s="680" t="str">
        <f t="shared" ca="1" si="37"/>
        <v>-</v>
      </c>
      <c r="P45" s="1148">
        <f ca="1">SUMIFS('End Uses'!T:T,'End Uses'!G:G,'Summary Tables'!L45)</f>
        <v>0</v>
      </c>
      <c r="Q45" s="1149">
        <f t="shared" ca="1" si="41"/>
        <v>0</v>
      </c>
      <c r="R45" s="681">
        <f t="shared" ca="1" si="42"/>
        <v>0</v>
      </c>
      <c r="S45" s="682" t="str">
        <f t="shared" ca="1" si="43"/>
        <v>-</v>
      </c>
      <c r="AC45" s="1090"/>
      <c r="AD45" s="1103" t="s">
        <v>16</v>
      </c>
      <c r="AE45" s="994" t="s">
        <v>43</v>
      </c>
      <c r="AF45" s="1100">
        <f ca="1">SUMIFS('End Uses'!N:N,'End Uses'!D:D,'Summary Tables'!AD45,'End Uses'!I:I,'Summary Tables'!AE45)</f>
        <v>0</v>
      </c>
      <c r="AG45" s="1101" t="str">
        <f t="shared" ca="1" si="3"/>
        <v>-</v>
      </c>
      <c r="AH45" s="1091">
        <f ca="1">SUMIFS('End Uses'!T:T,'End Uses'!D:D,'Summary Tables'!AD45,'End Uses'!I:I,'Summary Tables'!AE45)</f>
        <v>0</v>
      </c>
      <c r="AI45" s="1102">
        <f t="shared" ca="1" si="38"/>
        <v>0</v>
      </c>
      <c r="AJ45" s="666">
        <f t="shared" ca="1" si="39"/>
        <v>0</v>
      </c>
      <c r="AK45" s="667" t="str">
        <f t="shared" ca="1" si="40"/>
        <v>-</v>
      </c>
      <c r="AL45" s="182"/>
      <c r="AU45" s="206"/>
      <c r="AV45" s="224" t="s">
        <v>11</v>
      </c>
      <c r="AW45" s="1090"/>
      <c r="AX45" s="1106" t="s">
        <v>43</v>
      </c>
      <c r="AY45" s="1090" t="s">
        <v>7</v>
      </c>
      <c r="AZ45" s="1100">
        <f ca="1">SUMIFS('End Uses'!N:N,'End Uses'!D:D,'Summary Tables'!AV45,'End Uses'!I:I,'Summary Tables'!AX45,'End Uses'!J:J,'Summary Tables'!AY45)</f>
        <v>0</v>
      </c>
      <c r="BA45" s="666" t="str">
        <f t="shared" ca="1" si="7"/>
        <v>-</v>
      </c>
      <c r="BB45" s="1104">
        <f ca="1">SUMIFS('End Uses'!T:T,'End Uses'!D:D,'Summary Tables'!AV45,'End Uses'!I:I,'Summary Tables'!AX45,'End Uses'!J:J,'Summary Tables'!AY45)</f>
        <v>0</v>
      </c>
      <c r="BC45" s="1105">
        <f t="shared" ca="1" si="17"/>
        <v>0</v>
      </c>
      <c r="BD45" s="666">
        <f t="shared" ca="1" si="8"/>
        <v>0</v>
      </c>
      <c r="BE45" s="667" t="str">
        <f t="shared" ca="1" si="23"/>
        <v>-</v>
      </c>
    </row>
    <row r="46" spans="3:57" x14ac:dyDescent="0.3">
      <c r="D46" s="182"/>
      <c r="K46" s="636"/>
      <c r="L46" s="1095" t="s">
        <v>107</v>
      </c>
      <c r="M46" s="1096" t="str">
        <f>VLOOKUP(L46,'Airport Mapping'!$C$5:$D$39,2,FALSE)</f>
        <v xml:space="preserve"> </v>
      </c>
      <c r="N46" s="1097">
        <f ca="1">SUMIFS('End Uses'!N:N,'End Uses'!G:G,'Summary Tables'!L46)</f>
        <v>0</v>
      </c>
      <c r="O46" s="676" t="str">
        <f t="shared" ca="1" si="37"/>
        <v>-</v>
      </c>
      <c r="P46" s="1097">
        <f ca="1">SUMIFS('End Uses'!T:T,'End Uses'!G:G,'Summary Tables'!L46)</f>
        <v>0</v>
      </c>
      <c r="Q46" s="1098">
        <f t="shared" ca="1" si="41"/>
        <v>0</v>
      </c>
      <c r="R46" s="666">
        <f t="shared" ca="1" si="42"/>
        <v>0</v>
      </c>
      <c r="S46" s="667" t="str">
        <f t="shared" ca="1" si="43"/>
        <v>-</v>
      </c>
      <c r="AC46" s="1090"/>
      <c r="AD46" s="1103" t="s">
        <v>16</v>
      </c>
      <c r="AE46" s="994" t="s">
        <v>39</v>
      </c>
      <c r="AF46" s="1100">
        <f ca="1">SUMIFS('End Uses'!N:N,'End Uses'!D:D,'Summary Tables'!AD46,'End Uses'!I:I,'Summary Tables'!AE46)</f>
        <v>0</v>
      </c>
      <c r="AG46" s="1101" t="str">
        <f t="shared" ca="1" si="3"/>
        <v>-</v>
      </c>
      <c r="AH46" s="1091">
        <f ca="1">SUMIFS('End Uses'!T:T,'End Uses'!D:D,'Summary Tables'!AD46,'End Uses'!I:I,'Summary Tables'!AE46)</f>
        <v>0</v>
      </c>
      <c r="AI46" s="1102">
        <f t="shared" ca="1" si="38"/>
        <v>0</v>
      </c>
      <c r="AJ46" s="666">
        <f t="shared" ca="1" si="39"/>
        <v>0</v>
      </c>
      <c r="AK46" s="667" t="str">
        <f t="shared" ca="1" si="40"/>
        <v>-</v>
      </c>
      <c r="AL46" s="182"/>
      <c r="AU46" s="206"/>
      <c r="AV46" s="224" t="s">
        <v>11</v>
      </c>
      <c r="AW46" s="1090"/>
      <c r="AX46" s="1106" t="s">
        <v>43</v>
      </c>
      <c r="AY46" s="1090" t="s">
        <v>9</v>
      </c>
      <c r="AZ46" s="1100">
        <f ca="1">SUMIFS('End Uses'!N:N,'End Uses'!D:D,'Summary Tables'!AV46,'End Uses'!I:I,'Summary Tables'!AX46,'End Uses'!J:J,'Summary Tables'!AY46)</f>
        <v>0</v>
      </c>
      <c r="BA46" s="666" t="str">
        <f t="shared" ca="1" si="7"/>
        <v>-</v>
      </c>
      <c r="BB46" s="1104">
        <f ca="1">SUMIFS('End Uses'!T:T,'End Uses'!D:D,'Summary Tables'!AV46,'End Uses'!I:I,'Summary Tables'!AX46,'End Uses'!J:J,'Summary Tables'!AY46)</f>
        <v>0</v>
      </c>
      <c r="BC46" s="1105">
        <f t="shared" ca="1" si="17"/>
        <v>0</v>
      </c>
      <c r="BD46" s="666">
        <f t="shared" ca="1" si="8"/>
        <v>0</v>
      </c>
      <c r="BE46" s="667" t="str">
        <f t="shared" ca="1" si="23"/>
        <v>-</v>
      </c>
    </row>
    <row r="47" spans="3:57" ht="15" thickBot="1" x14ac:dyDescent="0.35">
      <c r="C47" s="45"/>
      <c r="D47" s="45"/>
      <c r="K47" s="636"/>
      <c r="L47" s="1095" t="s">
        <v>108</v>
      </c>
      <c r="M47" s="1096" t="str">
        <f>VLOOKUP(L47,'Airport Mapping'!$C$5:$D$39,2,FALSE)</f>
        <v xml:space="preserve"> </v>
      </c>
      <c r="N47" s="1097">
        <f ca="1">SUMIFS('End Uses'!N:N,'End Uses'!G:G,'Summary Tables'!L47)</f>
        <v>0</v>
      </c>
      <c r="O47" s="676" t="str">
        <f t="shared" ca="1" si="37"/>
        <v>-</v>
      </c>
      <c r="P47" s="1097">
        <f ca="1">SUMIFS('End Uses'!T:T,'End Uses'!G:G,'Summary Tables'!L47)</f>
        <v>0</v>
      </c>
      <c r="Q47" s="1098">
        <f t="shared" ca="1" si="41"/>
        <v>0</v>
      </c>
      <c r="R47" s="666">
        <f t="shared" ca="1" si="42"/>
        <v>0</v>
      </c>
      <c r="S47" s="667" t="str">
        <f t="shared" ca="1" si="43"/>
        <v>-</v>
      </c>
      <c r="U47" s="182"/>
      <c r="V47" s="182"/>
      <c r="W47" s="182"/>
      <c r="X47" s="182"/>
      <c r="Y47" s="182"/>
      <c r="Z47" s="182"/>
      <c r="AC47" s="1115"/>
      <c r="AD47" s="1116" t="s">
        <v>16</v>
      </c>
      <c r="AE47" s="1117" t="s">
        <v>8</v>
      </c>
      <c r="AF47" s="1118">
        <f ca="1">SUMIFS('End Uses'!N:N,'End Uses'!D:D,'Summary Tables'!AD47,'End Uses'!I:I,'Summary Tables'!AE47)</f>
        <v>0</v>
      </c>
      <c r="AG47" s="1119" t="str">
        <f t="shared" ca="1" si="3"/>
        <v>-</v>
      </c>
      <c r="AH47" s="1120">
        <f ca="1">SUMIFS('End Uses'!T:T,'End Uses'!D:D,'Summary Tables'!AD47,'End Uses'!I:I,'Summary Tables'!AE47)</f>
        <v>0</v>
      </c>
      <c r="AI47" s="1121">
        <f t="shared" ca="1" si="38"/>
        <v>0</v>
      </c>
      <c r="AJ47" s="668">
        <f t="shared" ca="1" si="39"/>
        <v>0</v>
      </c>
      <c r="AK47" s="669" t="str">
        <f t="shared" ca="1" si="40"/>
        <v>-</v>
      </c>
      <c r="AL47" s="182"/>
      <c r="AU47" s="206"/>
      <c r="AV47" s="224" t="s">
        <v>11</v>
      </c>
      <c r="AW47" s="1094"/>
      <c r="AX47" s="617" t="s">
        <v>43</v>
      </c>
      <c r="AY47" s="1094" t="s">
        <v>426</v>
      </c>
      <c r="AZ47" s="1108">
        <f ca="1">SUMIFS('End Uses'!N:N,'End Uses'!D:D,'Summary Tables'!AV47,'End Uses'!I:I,'Summary Tables'!AX47,'End Uses'!J:J,'Summary Tables'!AY47)</f>
        <v>0</v>
      </c>
      <c r="BA47" s="689" t="str">
        <f t="shared" ref="BA47:BA78" ca="1" si="44">IFERROR(AZ47/$AZ$129,"-")</f>
        <v>-</v>
      </c>
      <c r="BB47" s="1109">
        <f ca="1">SUMIFS('End Uses'!T:T,'End Uses'!D:D,'Summary Tables'!AV47,'End Uses'!I:I,'Summary Tables'!AX47,'End Uses'!J:J,'Summary Tables'!AY47)</f>
        <v>0</v>
      </c>
      <c r="BC47" s="1110">
        <f t="shared" ca="1" si="17"/>
        <v>0</v>
      </c>
      <c r="BD47" s="689">
        <f t="shared" ca="1" si="8"/>
        <v>0</v>
      </c>
      <c r="BE47" s="690" t="str">
        <f t="shared" ca="1" si="23"/>
        <v>-</v>
      </c>
    </row>
    <row r="48" spans="3:57" x14ac:dyDescent="0.3">
      <c r="K48" s="636"/>
      <c r="L48" s="1095" t="s">
        <v>109</v>
      </c>
      <c r="M48" s="1096" t="str">
        <f>VLOOKUP(L48,'Airport Mapping'!$C$5:$D$39,2,FALSE)</f>
        <v xml:space="preserve"> </v>
      </c>
      <c r="N48" s="1097">
        <f ca="1">SUMIFS('End Uses'!N:N,'End Uses'!G:G,'Summary Tables'!L48)</f>
        <v>0</v>
      </c>
      <c r="O48" s="676" t="str">
        <f t="shared" ca="1" si="37"/>
        <v>-</v>
      </c>
      <c r="P48" s="1097">
        <f ca="1">SUMIFS('End Uses'!T:T,'End Uses'!G:G,'Summary Tables'!L48)</f>
        <v>0</v>
      </c>
      <c r="Q48" s="1098">
        <f t="shared" ca="1" si="41"/>
        <v>0</v>
      </c>
      <c r="R48" s="666">
        <f t="shared" ca="1" si="42"/>
        <v>0</v>
      </c>
      <c r="S48" s="667" t="str">
        <f t="shared" ca="1" si="43"/>
        <v>-</v>
      </c>
      <c r="U48" s="182"/>
      <c r="V48" s="182"/>
      <c r="W48" s="182"/>
      <c r="X48" s="182"/>
      <c r="Y48" s="182"/>
      <c r="Z48" s="182"/>
      <c r="AC48" s="1072" t="s">
        <v>417</v>
      </c>
      <c r="AD48" s="1159" t="s">
        <v>417</v>
      </c>
      <c r="AE48" s="1085" t="s">
        <v>43</v>
      </c>
      <c r="AF48" s="1081">
        <f ca="1">SUMIFS('End Uses'!N:N,'End Uses'!D:D,'Summary Tables'!AD48,'End Uses'!I:I,'Summary Tables'!AE48)</f>
        <v>0</v>
      </c>
      <c r="AG48" s="1082" t="str">
        <f t="shared" ca="1" si="3"/>
        <v>-</v>
      </c>
      <c r="AH48" s="1073">
        <f ca="1">SUMIFS('End Uses'!T:T,'End Uses'!D:D,'Summary Tables'!AD48,'End Uses'!I:I,'Summary Tables'!AE48)</f>
        <v>0</v>
      </c>
      <c r="AI48" s="1083">
        <f t="shared" ca="1" si="38"/>
        <v>0</v>
      </c>
      <c r="AJ48" s="664">
        <f t="shared" ca="1" si="39"/>
        <v>0</v>
      </c>
      <c r="AK48" s="665" t="str">
        <f t="shared" ca="1" si="40"/>
        <v>-</v>
      </c>
      <c r="AL48" s="182"/>
      <c r="AU48" s="993"/>
      <c r="AV48" s="224" t="str">
        <f>AV47</f>
        <v>Rental Car Center</v>
      </c>
      <c r="AW48" s="1072" t="s">
        <v>8</v>
      </c>
      <c r="AX48" s="1089" t="s">
        <v>8</v>
      </c>
      <c r="AY48" s="1072" t="s">
        <v>52</v>
      </c>
      <c r="AZ48" s="1081">
        <f ca="1">SUMIFS('End Uses'!N:N,'End Uses'!D:D,'Summary Tables'!AV48,'End Uses'!I:I,'Summary Tables'!AX48,'End Uses'!J:J,'Summary Tables'!AY48)</f>
        <v>0</v>
      </c>
      <c r="BA48" s="664" t="str">
        <f t="shared" ca="1" si="44"/>
        <v>-</v>
      </c>
      <c r="BB48" s="1086">
        <f ca="1">SUMIFS('End Uses'!T:T,'End Uses'!D:D,'Summary Tables'!AV48,'End Uses'!I:I,'Summary Tables'!AX48,'End Uses'!J:J,'Summary Tables'!AY48)</f>
        <v>0</v>
      </c>
      <c r="BC48" s="1087">
        <f t="shared" ca="1" si="17"/>
        <v>0</v>
      </c>
      <c r="BD48" s="664">
        <f t="shared" ca="1" si="8"/>
        <v>0</v>
      </c>
      <c r="BE48" s="665" t="str">
        <f t="shared" ca="1" si="23"/>
        <v>-</v>
      </c>
    </row>
    <row r="49" spans="11:57" ht="15" thickBot="1" x14ac:dyDescent="0.35">
      <c r="K49" s="992"/>
      <c r="L49" s="1111" t="s">
        <v>110</v>
      </c>
      <c r="M49" s="1112" t="str">
        <f>VLOOKUP(L49,'Airport Mapping'!$C$5:$D$39,2,FALSE)</f>
        <v xml:space="preserve"> </v>
      </c>
      <c r="N49" s="1113">
        <f ca="1">SUMIFS('End Uses'!N:N,'End Uses'!G:G,'Summary Tables'!L49)</f>
        <v>0</v>
      </c>
      <c r="O49" s="677" t="str">
        <f t="shared" ca="1" si="37"/>
        <v>-</v>
      </c>
      <c r="P49" s="1113">
        <f ca="1">SUMIFS('End Uses'!T:T,'End Uses'!G:G,'Summary Tables'!L49)</f>
        <v>0</v>
      </c>
      <c r="Q49" s="1114">
        <f t="shared" ca="1" si="41"/>
        <v>0</v>
      </c>
      <c r="R49" s="668">
        <f t="shared" ca="1" si="42"/>
        <v>0</v>
      </c>
      <c r="S49" s="669" t="str">
        <f t="shared" ca="1" si="43"/>
        <v>-</v>
      </c>
      <c r="U49" s="182"/>
      <c r="V49" s="182"/>
      <c r="W49" s="182"/>
      <c r="X49" s="182"/>
      <c r="Y49" s="182"/>
      <c r="Z49" s="182"/>
      <c r="AC49" s="1115"/>
      <c r="AD49" s="1160" t="s">
        <v>417</v>
      </c>
      <c r="AE49" s="1117" t="s">
        <v>8</v>
      </c>
      <c r="AF49" s="1118">
        <f ca="1">SUMIFS('End Uses'!N:N,'End Uses'!D:D,'Summary Tables'!AD49,'End Uses'!I:I,'Summary Tables'!AE49)</f>
        <v>0</v>
      </c>
      <c r="AG49" s="1119" t="str">
        <f t="shared" ca="1" si="3"/>
        <v>-</v>
      </c>
      <c r="AH49" s="1120">
        <f ca="1">SUMIFS('End Uses'!T:T,'End Uses'!D:D,'Summary Tables'!AD49,'End Uses'!I:I,'Summary Tables'!AE49)</f>
        <v>0</v>
      </c>
      <c r="AI49" s="1121">
        <f t="shared" ca="1" si="38"/>
        <v>0</v>
      </c>
      <c r="AJ49" s="668">
        <f t="shared" ca="1" si="39"/>
        <v>0</v>
      </c>
      <c r="AK49" s="669" t="str">
        <f t="shared" ca="1" si="40"/>
        <v>-</v>
      </c>
      <c r="AL49" s="182"/>
      <c r="AU49" s="993"/>
      <c r="AV49" s="224" t="str">
        <f>AV48</f>
        <v>Rental Car Center</v>
      </c>
      <c r="AW49" s="1090"/>
      <c r="AX49" s="1106" t="s">
        <v>8</v>
      </c>
      <c r="AY49" s="1090" t="s">
        <v>53</v>
      </c>
      <c r="AZ49" s="1100">
        <f ca="1">SUMIFS('End Uses'!N:N,'End Uses'!D:D,'Summary Tables'!AV49,'End Uses'!I:I,'Summary Tables'!AX49,'End Uses'!J:J,'Summary Tables'!AY49)</f>
        <v>0</v>
      </c>
      <c r="BA49" s="666" t="str">
        <f t="shared" ca="1" si="44"/>
        <v>-</v>
      </c>
      <c r="BB49" s="1104">
        <f ca="1">SUMIFS('End Uses'!T:T,'End Uses'!D:D,'Summary Tables'!AV49,'End Uses'!I:I,'Summary Tables'!AX49,'End Uses'!J:J,'Summary Tables'!AY49)</f>
        <v>0</v>
      </c>
      <c r="BC49" s="1105">
        <f t="shared" ca="1" si="17"/>
        <v>0</v>
      </c>
      <c r="BD49" s="666">
        <f t="shared" ca="1" si="8"/>
        <v>0</v>
      </c>
      <c r="BE49" s="667" t="str">
        <f t="shared" ca="1" si="23"/>
        <v>-</v>
      </c>
    </row>
    <row r="50" spans="11:57" ht="15" thickBot="1" x14ac:dyDescent="0.35">
      <c r="K50" s="1133" t="s">
        <v>46</v>
      </c>
      <c r="L50" s="1161"/>
      <c r="M50" s="1162"/>
      <c r="N50" s="670">
        <f ca="1">SUM(N15:N49)</f>
        <v>0</v>
      </c>
      <c r="O50" s="683" t="str">
        <f t="shared" ca="1" si="37"/>
        <v>-</v>
      </c>
      <c r="P50" s="670">
        <f ca="1">SUM(P15:P49)</f>
        <v>0</v>
      </c>
      <c r="Q50" s="684">
        <f ca="1">SUM(Q15:Q49)</f>
        <v>0</v>
      </c>
      <c r="R50" s="679">
        <f t="shared" ca="1" si="42"/>
        <v>0</v>
      </c>
      <c r="S50" s="673" t="str">
        <f t="shared" ca="1" si="43"/>
        <v>-</v>
      </c>
      <c r="U50" s="182"/>
      <c r="V50" s="182"/>
      <c r="W50" s="182"/>
      <c r="X50" s="182"/>
      <c r="Y50" s="182"/>
      <c r="Z50" s="182"/>
      <c r="AC50" s="1072" t="s">
        <v>419</v>
      </c>
      <c r="AD50" s="1084" t="s">
        <v>419</v>
      </c>
      <c r="AE50" s="1085" t="s">
        <v>37</v>
      </c>
      <c r="AF50" s="1081">
        <f ca="1">SUMIFS('End Uses'!N:N,'End Uses'!D:D,'Summary Tables'!AD50,'End Uses'!I:I,'Summary Tables'!AE50)</f>
        <v>0</v>
      </c>
      <c r="AG50" s="1082" t="str">
        <f t="shared" ca="1" si="3"/>
        <v>-</v>
      </c>
      <c r="AH50" s="1073">
        <f ca="1">SUMIFS('End Uses'!T:T,'End Uses'!D:D,'Summary Tables'!AD50,'End Uses'!I:I,'Summary Tables'!AE50)</f>
        <v>0</v>
      </c>
      <c r="AI50" s="1083">
        <f t="shared" ref="AI50:AI51" ca="1" si="45">AF50-AH50</f>
        <v>0</v>
      </c>
      <c r="AJ50" s="664">
        <f t="shared" ca="1" si="39"/>
        <v>0</v>
      </c>
      <c r="AK50" s="665" t="str">
        <f t="shared" ca="1" si="40"/>
        <v>-</v>
      </c>
      <c r="AL50" s="182"/>
      <c r="AU50" s="1140"/>
      <c r="AV50" s="226" t="str">
        <f>AV49</f>
        <v>Rental Car Center</v>
      </c>
      <c r="AW50" s="1094"/>
      <c r="AX50" s="1107" t="s">
        <v>8</v>
      </c>
      <c r="AY50" s="1094" t="s">
        <v>54</v>
      </c>
      <c r="AZ50" s="1108">
        <f ca="1">SUMIFS('End Uses'!N:N,'End Uses'!D:D,'Summary Tables'!AV50,'End Uses'!I:I,'Summary Tables'!AX50,'End Uses'!J:J,'Summary Tables'!AY50)</f>
        <v>0</v>
      </c>
      <c r="BA50" s="689" t="str">
        <f t="shared" ca="1" si="44"/>
        <v>-</v>
      </c>
      <c r="BB50" s="1109">
        <f ca="1">SUMIFS('End Uses'!T:T,'End Uses'!D:D,'Summary Tables'!AV50,'End Uses'!I:I,'Summary Tables'!AX50,'End Uses'!J:J,'Summary Tables'!AY50)</f>
        <v>0</v>
      </c>
      <c r="BC50" s="1110">
        <f t="shared" ca="1" si="17"/>
        <v>0</v>
      </c>
      <c r="BD50" s="689">
        <f t="shared" ca="1" si="8"/>
        <v>0</v>
      </c>
      <c r="BE50" s="690" t="str">
        <f t="shared" ca="1" si="23"/>
        <v>-</v>
      </c>
    </row>
    <row r="51" spans="11:57" x14ac:dyDescent="0.3">
      <c r="L51" s="125"/>
      <c r="U51" s="182"/>
      <c r="V51" s="182"/>
      <c r="W51" s="182"/>
      <c r="X51" s="182"/>
      <c r="Y51" s="182"/>
      <c r="Z51" s="182"/>
      <c r="AC51" s="1090"/>
      <c r="AD51" s="1103" t="s">
        <v>419</v>
      </c>
      <c r="AE51" s="994" t="s">
        <v>5</v>
      </c>
      <c r="AF51" s="1100">
        <f ca="1">SUMIFS('End Uses'!N:N,'End Uses'!D:D,'Summary Tables'!AD51,'End Uses'!I:I,'Summary Tables'!AE51)</f>
        <v>0</v>
      </c>
      <c r="AG51" s="1101" t="str">
        <f t="shared" ca="1" si="3"/>
        <v>-</v>
      </c>
      <c r="AH51" s="1091">
        <f ca="1">SUMIFS('End Uses'!T:T,'End Uses'!D:D,'Summary Tables'!AD51,'End Uses'!I:I,'Summary Tables'!AE51)</f>
        <v>0</v>
      </c>
      <c r="AI51" s="1102">
        <f t="shared" ca="1" si="45"/>
        <v>0</v>
      </c>
      <c r="AJ51" s="666">
        <f t="shared" ca="1" si="39"/>
        <v>0</v>
      </c>
      <c r="AK51" s="667" t="str">
        <f t="shared" ca="1" si="40"/>
        <v>-</v>
      </c>
      <c r="AL51" s="182"/>
      <c r="AU51" s="1012" t="s">
        <v>420</v>
      </c>
      <c r="AV51" s="493" t="s">
        <v>420</v>
      </c>
      <c r="AW51" s="1072" t="s">
        <v>37</v>
      </c>
      <c r="AX51" s="1089" t="s">
        <v>37</v>
      </c>
      <c r="AY51" s="1072" t="s">
        <v>2</v>
      </c>
      <c r="AZ51" s="1081">
        <f ca="1">SUMIFS('End Uses'!N:N,'End Uses'!D:D,'Summary Tables'!AV51,'End Uses'!I:I,'Summary Tables'!AX51,'End Uses'!J:J,'Summary Tables'!AY51)</f>
        <v>0</v>
      </c>
      <c r="BA51" s="664" t="str">
        <f t="shared" ca="1" si="44"/>
        <v>-</v>
      </c>
      <c r="BB51" s="1086">
        <f ca="1">SUMIFS('End Uses'!T:T,'End Uses'!D:D,'Summary Tables'!AV51,'End Uses'!I:I,'Summary Tables'!AX51,'End Uses'!J:J,'Summary Tables'!AY51)</f>
        <v>0</v>
      </c>
      <c r="BC51" s="1087">
        <f t="shared" ca="1" si="17"/>
        <v>0</v>
      </c>
      <c r="BD51" s="664">
        <f t="shared" ca="1" si="8"/>
        <v>0</v>
      </c>
      <c r="BE51" s="665" t="str">
        <f t="shared" ca="1" si="23"/>
        <v>-</v>
      </c>
    </row>
    <row r="52" spans="11:57" x14ac:dyDescent="0.3">
      <c r="L52" s="125"/>
      <c r="U52" s="182"/>
      <c r="V52" s="182"/>
      <c r="W52" s="182"/>
      <c r="X52" s="182"/>
      <c r="Y52" s="182"/>
      <c r="Z52" s="182"/>
      <c r="AC52" s="1163"/>
      <c r="AD52" s="1103" t="s">
        <v>419</v>
      </c>
      <c r="AE52" s="994" t="s">
        <v>43</v>
      </c>
      <c r="AF52" s="1100">
        <f ca="1">SUMIFS('End Uses'!N:N,'End Uses'!D:D,'Summary Tables'!AD52,'End Uses'!I:I,'Summary Tables'!AE52)</f>
        <v>0</v>
      </c>
      <c r="AG52" s="1101" t="str">
        <f t="shared" ca="1" si="3"/>
        <v>-</v>
      </c>
      <c r="AH52" s="1091">
        <f ca="1">SUMIFS('End Uses'!T:T,'End Uses'!D:D,'Summary Tables'!AD52,'End Uses'!I:I,'Summary Tables'!AE52)</f>
        <v>0</v>
      </c>
      <c r="AI52" s="1102">
        <f t="shared" ref="AI52:AI61" ca="1" si="46">AF52-AH52</f>
        <v>0</v>
      </c>
      <c r="AJ52" s="666">
        <f t="shared" ca="1" si="39"/>
        <v>0</v>
      </c>
      <c r="AK52" s="667" t="str">
        <f t="shared" ca="1" si="40"/>
        <v>-</v>
      </c>
      <c r="AL52" s="182"/>
      <c r="AU52" s="206"/>
      <c r="AV52" s="493" t="s">
        <v>420</v>
      </c>
      <c r="AW52" s="1090"/>
      <c r="AX52" s="1106" t="s">
        <v>37</v>
      </c>
      <c r="AY52" s="1090" t="s">
        <v>4</v>
      </c>
      <c r="AZ52" s="1100">
        <f ca="1">SUMIFS('End Uses'!N:N,'End Uses'!D:D,'Summary Tables'!AV52,'End Uses'!I:I,'Summary Tables'!AX52,'End Uses'!J:J,'Summary Tables'!AY52)</f>
        <v>0</v>
      </c>
      <c r="BA52" s="666" t="str">
        <f t="shared" ca="1" si="44"/>
        <v>-</v>
      </c>
      <c r="BB52" s="1104">
        <f ca="1">SUMIFS('End Uses'!T:T,'End Uses'!D:D,'Summary Tables'!AV52,'End Uses'!I:I,'Summary Tables'!AX52,'End Uses'!J:J,'Summary Tables'!AY52)</f>
        <v>0</v>
      </c>
      <c r="BC52" s="1105">
        <f t="shared" ca="1" si="17"/>
        <v>0</v>
      </c>
      <c r="BD52" s="666">
        <f t="shared" ca="1" si="8"/>
        <v>0</v>
      </c>
      <c r="BE52" s="667" t="str">
        <f t="shared" ca="1" si="23"/>
        <v>-</v>
      </c>
    </row>
    <row r="53" spans="11:57" ht="15" thickBot="1" x14ac:dyDescent="0.35">
      <c r="K53" s="182"/>
      <c r="L53" s="85"/>
      <c r="M53" s="45"/>
      <c r="N53" s="3"/>
      <c r="O53" s="34"/>
      <c r="P53" s="3"/>
      <c r="Q53" s="3"/>
      <c r="R53" s="1"/>
      <c r="S53" s="63"/>
      <c r="U53" s="182"/>
      <c r="V53" s="182"/>
      <c r="W53" s="182"/>
      <c r="X53" s="182"/>
      <c r="Y53" s="182"/>
      <c r="Z53" s="182"/>
      <c r="AC53" s="1163"/>
      <c r="AD53" s="1103" t="s">
        <v>419</v>
      </c>
      <c r="AE53" s="994" t="s">
        <v>44</v>
      </c>
      <c r="AF53" s="1100">
        <f ca="1">SUMIFS('End Uses'!N:N,'End Uses'!D:D,'Summary Tables'!AD53,'End Uses'!I:I,'Summary Tables'!AE53)</f>
        <v>0</v>
      </c>
      <c r="AG53" s="1101" t="str">
        <f t="shared" ca="1" si="3"/>
        <v>-</v>
      </c>
      <c r="AH53" s="1091">
        <f ca="1">SUMIFS('End Uses'!T:T,'End Uses'!D:D,'Summary Tables'!AD53,'End Uses'!I:I,'Summary Tables'!AE53)</f>
        <v>0</v>
      </c>
      <c r="AI53" s="1102">
        <f t="shared" ref="AI53" ca="1" si="47">AF53-AH53</f>
        <v>0</v>
      </c>
      <c r="AJ53" s="666">
        <f t="shared" ref="AJ53" ca="1" si="48">IFERROR(AI53/AF53,0)</f>
        <v>0</v>
      </c>
      <c r="AK53" s="667" t="str">
        <f t="shared" ref="AK53" ca="1" si="49">IFERROR(AF53/AH53,"-")</f>
        <v>-</v>
      </c>
      <c r="AL53" s="182"/>
      <c r="AU53" s="206"/>
      <c r="AV53" s="493" t="s">
        <v>420</v>
      </c>
      <c r="AW53" s="1094"/>
      <c r="AX53" s="1107" t="s">
        <v>37</v>
      </c>
      <c r="AY53" s="1094" t="s">
        <v>33</v>
      </c>
      <c r="AZ53" s="1108">
        <f ca="1">SUMIFS('End Uses'!N:N,'End Uses'!D:D,'Summary Tables'!AV53,'End Uses'!I:I,'Summary Tables'!AX53,'End Uses'!J:J,'Summary Tables'!AY53)</f>
        <v>0</v>
      </c>
      <c r="BA53" s="689" t="str">
        <f t="shared" ca="1" si="44"/>
        <v>-</v>
      </c>
      <c r="BB53" s="1109">
        <f ca="1">SUMIFS('End Uses'!T:T,'End Uses'!D:D,'Summary Tables'!AV53,'End Uses'!I:I,'Summary Tables'!AX53,'End Uses'!J:J,'Summary Tables'!AY53)</f>
        <v>0</v>
      </c>
      <c r="BC53" s="1110">
        <f t="shared" ca="1" si="17"/>
        <v>0</v>
      </c>
      <c r="BD53" s="689">
        <f t="shared" ca="1" si="8"/>
        <v>0</v>
      </c>
      <c r="BE53" s="690" t="str">
        <f t="shared" ca="1" si="23"/>
        <v>-</v>
      </c>
    </row>
    <row r="54" spans="11:57" ht="15" thickBot="1" x14ac:dyDescent="0.35">
      <c r="K54" s="182"/>
      <c r="L54" s="85"/>
      <c r="M54" s="45"/>
      <c r="N54" s="3"/>
      <c r="O54" s="34"/>
      <c r="P54" s="3"/>
      <c r="Q54" s="3"/>
      <c r="R54" s="1"/>
      <c r="S54" s="63"/>
      <c r="U54" s="182"/>
      <c r="V54" s="182"/>
      <c r="W54" s="182"/>
      <c r="X54" s="182"/>
      <c r="Y54" s="182"/>
      <c r="Z54" s="182"/>
      <c r="AC54" s="1115"/>
      <c r="AD54" s="1116" t="s">
        <v>419</v>
      </c>
      <c r="AE54" s="1117" t="s">
        <v>8</v>
      </c>
      <c r="AF54" s="1118">
        <f ca="1">SUMIFS('End Uses'!N:N,'End Uses'!D:D,'Summary Tables'!AD54,'End Uses'!I:I,'Summary Tables'!AE54)</f>
        <v>0</v>
      </c>
      <c r="AG54" s="1119" t="str">
        <f t="shared" ca="1" si="3"/>
        <v>-</v>
      </c>
      <c r="AH54" s="1120">
        <f ca="1">SUMIFS('End Uses'!T:T,'End Uses'!D:D,'Summary Tables'!AD54,'End Uses'!I:I,'Summary Tables'!AE54)</f>
        <v>0</v>
      </c>
      <c r="AI54" s="1121">
        <f t="shared" ca="1" si="46"/>
        <v>0</v>
      </c>
      <c r="AJ54" s="668">
        <f t="shared" ca="1" si="39"/>
        <v>0</v>
      </c>
      <c r="AK54" s="669" t="str">
        <f t="shared" ca="1" si="40"/>
        <v>-</v>
      </c>
      <c r="AL54" s="182"/>
      <c r="AU54" s="206"/>
      <c r="AV54" s="493" t="s">
        <v>420</v>
      </c>
      <c r="AW54" s="1133" t="s">
        <v>5</v>
      </c>
      <c r="AX54" s="956" t="s">
        <v>5</v>
      </c>
      <c r="AY54" s="1133" t="s">
        <v>33</v>
      </c>
      <c r="AZ54" s="1129">
        <f ca="1">SUMIFS('End Uses'!N:N,'End Uses'!D:D,'Summary Tables'!AV54,'End Uses'!I:I,'Summary Tables'!AX54,'End Uses'!J:J,'Summary Tables'!AY54)</f>
        <v>0</v>
      </c>
      <c r="BA54" s="679" t="str">
        <f t="shared" ca="1" si="44"/>
        <v>-</v>
      </c>
      <c r="BB54" s="1154">
        <f ca="1">SUMIFS('End Uses'!T:T,'End Uses'!D:D,'Summary Tables'!AV54,'End Uses'!I:I,'Summary Tables'!AX54,'End Uses'!J:J,'Summary Tables'!AY54)</f>
        <v>0</v>
      </c>
      <c r="BC54" s="1155">
        <f t="shared" ca="1" si="17"/>
        <v>0</v>
      </c>
      <c r="BD54" s="679">
        <f t="shared" ca="1" si="8"/>
        <v>0</v>
      </c>
      <c r="BE54" s="673" t="str">
        <f t="shared" ca="1" si="23"/>
        <v>-</v>
      </c>
    </row>
    <row r="55" spans="11:57" ht="15" thickBot="1" x14ac:dyDescent="0.35">
      <c r="K55" s="182"/>
      <c r="L55" s="182"/>
      <c r="M55" s="85"/>
      <c r="N55" s="45"/>
      <c r="U55" s="182"/>
      <c r="V55" s="182"/>
      <c r="W55" s="182"/>
      <c r="X55" s="182"/>
      <c r="Y55" s="182"/>
      <c r="Z55" s="182"/>
      <c r="AC55" s="1146" t="s">
        <v>471</v>
      </c>
      <c r="AD55" s="655" t="s">
        <v>471</v>
      </c>
      <c r="AE55" s="996" t="s">
        <v>37</v>
      </c>
      <c r="AF55" s="1164">
        <f ca="1">SUMIFS('End Uses'!N:N,'End Uses'!D:D,'Summary Tables'!AD55,'End Uses'!I:I,'Summary Tables'!AE55)</f>
        <v>0</v>
      </c>
      <c r="AG55" s="1165" t="str">
        <f t="shared" ca="1" si="3"/>
        <v>-</v>
      </c>
      <c r="AH55" s="1166">
        <f ca="1">SUMIFS('End Uses'!T:T,'End Uses'!D:D,'Summary Tables'!AD55,'End Uses'!I:I,'Summary Tables'!AE55)</f>
        <v>0</v>
      </c>
      <c r="AI55" s="1167">
        <f t="shared" ca="1" si="46"/>
        <v>0</v>
      </c>
      <c r="AJ55" s="681">
        <f t="shared" ca="1" si="39"/>
        <v>0</v>
      </c>
      <c r="AK55" s="682" t="str">
        <f t="shared" ca="1" si="40"/>
        <v>-</v>
      </c>
      <c r="AL55" s="182"/>
      <c r="AU55" s="206"/>
      <c r="AV55" s="493" t="s">
        <v>420</v>
      </c>
      <c r="AW55" s="1133" t="s">
        <v>39</v>
      </c>
      <c r="AX55" s="956" t="s">
        <v>39</v>
      </c>
      <c r="AY55" s="1133" t="s">
        <v>42</v>
      </c>
      <c r="AZ55" s="1129">
        <f ca="1">SUMIFS('End Uses'!N:N,'End Uses'!D:D,'Summary Tables'!AV55,'End Uses'!I:I,'Summary Tables'!AX55,'End Uses'!J:J,'Summary Tables'!AY55)</f>
        <v>0</v>
      </c>
      <c r="BA55" s="679" t="str">
        <f t="shared" ca="1" si="44"/>
        <v>-</v>
      </c>
      <c r="BB55" s="1154">
        <f ca="1">SUMIFS('End Uses'!T:T,'End Uses'!D:D,'Summary Tables'!AV55,'End Uses'!I:I,'Summary Tables'!AX55,'End Uses'!J:J,'Summary Tables'!AY55)</f>
        <v>0</v>
      </c>
      <c r="BC55" s="1155">
        <f t="shared" ca="1" si="17"/>
        <v>0</v>
      </c>
      <c r="BD55" s="679">
        <f t="shared" ca="1" si="8"/>
        <v>0</v>
      </c>
      <c r="BE55" s="673" t="str">
        <f t="shared" ca="1" si="23"/>
        <v>-</v>
      </c>
    </row>
    <row r="56" spans="11:57" x14ac:dyDescent="0.3">
      <c r="K56" s="182"/>
      <c r="L56" s="182"/>
      <c r="M56" s="85"/>
      <c r="N56" s="45"/>
      <c r="U56" s="182"/>
      <c r="V56" s="182"/>
      <c r="W56" s="182"/>
      <c r="X56" s="182"/>
      <c r="Y56" s="182"/>
      <c r="Z56" s="182"/>
      <c r="AC56" s="1090"/>
      <c r="AD56" s="1103" t="s">
        <v>471</v>
      </c>
      <c r="AE56" s="994" t="s">
        <v>5</v>
      </c>
      <c r="AF56" s="1100">
        <f ca="1">SUMIFS('End Uses'!N:N,'End Uses'!D:D,'Summary Tables'!AD56,'End Uses'!I:I,'Summary Tables'!AE56)</f>
        <v>0</v>
      </c>
      <c r="AG56" s="1101" t="str">
        <f t="shared" ca="1" si="3"/>
        <v>-</v>
      </c>
      <c r="AH56" s="1091">
        <f ca="1">SUMIFS('End Uses'!T:T,'End Uses'!D:D,'Summary Tables'!AD56,'End Uses'!I:I,'Summary Tables'!AE56)</f>
        <v>0</v>
      </c>
      <c r="AI56" s="1102">
        <f t="shared" ca="1" si="46"/>
        <v>0</v>
      </c>
      <c r="AJ56" s="666">
        <f t="shared" ca="1" si="39"/>
        <v>0</v>
      </c>
      <c r="AK56" s="667" t="str">
        <f t="shared" ca="1" si="40"/>
        <v>-</v>
      </c>
      <c r="AL56" s="182"/>
      <c r="AU56" s="206"/>
      <c r="AV56" s="493" t="s">
        <v>420</v>
      </c>
      <c r="AW56" s="1072" t="s">
        <v>43</v>
      </c>
      <c r="AX56" s="1089" t="s">
        <v>43</v>
      </c>
      <c r="AY56" s="1072" t="s">
        <v>111</v>
      </c>
      <c r="AZ56" s="1081">
        <f ca="1">SUMIFS('End Uses'!N:N,'End Uses'!D:D,'Summary Tables'!AV56,'End Uses'!I:I,'Summary Tables'!AX56,'End Uses'!J:J,'Summary Tables'!AY56)</f>
        <v>0</v>
      </c>
      <c r="BA56" s="664" t="str">
        <f t="shared" ca="1" si="44"/>
        <v>-</v>
      </c>
      <c r="BB56" s="1086">
        <f ca="1">SUMIFS('End Uses'!T:T,'End Uses'!D:D,'Summary Tables'!AV56,'End Uses'!I:I,'Summary Tables'!AX56,'End Uses'!J:J,'Summary Tables'!AY56)</f>
        <v>0</v>
      </c>
      <c r="BC56" s="1087">
        <f t="shared" ca="1" si="17"/>
        <v>0</v>
      </c>
      <c r="BD56" s="664">
        <f t="shared" ca="1" si="8"/>
        <v>0</v>
      </c>
      <c r="BE56" s="665" t="str">
        <f t="shared" ca="1" si="23"/>
        <v>-</v>
      </c>
    </row>
    <row r="57" spans="11:57" x14ac:dyDescent="0.3">
      <c r="K57" s="182"/>
      <c r="L57" s="182"/>
      <c r="M57" s="85"/>
      <c r="N57" s="45"/>
      <c r="U57" s="182"/>
      <c r="V57" s="182"/>
      <c r="W57" s="182"/>
      <c r="X57" s="182"/>
      <c r="Y57" s="182"/>
      <c r="Z57" s="182"/>
      <c r="AC57" s="1090"/>
      <c r="AD57" s="1103" t="s">
        <v>471</v>
      </c>
      <c r="AE57" s="994" t="s">
        <v>391</v>
      </c>
      <c r="AF57" s="1100">
        <f ca="1">SUMIFS('End Uses'!N:N,'End Uses'!D:D,'Summary Tables'!AD57,'End Uses'!I:I,'Summary Tables'!AE57)</f>
        <v>0</v>
      </c>
      <c r="AG57" s="1101" t="str">
        <f t="shared" ca="1" si="3"/>
        <v>-</v>
      </c>
      <c r="AH57" s="1091">
        <f ca="1">SUMIFS('End Uses'!T:T,'End Uses'!D:D,'Summary Tables'!AD57,'End Uses'!I:I,'Summary Tables'!AE57)</f>
        <v>0</v>
      </c>
      <c r="AI57" s="1102">
        <f t="shared" ca="1" si="46"/>
        <v>0</v>
      </c>
      <c r="AJ57" s="666">
        <f t="shared" ca="1" si="39"/>
        <v>0</v>
      </c>
      <c r="AK57" s="667" t="str">
        <f t="shared" ca="1" si="40"/>
        <v>-</v>
      </c>
      <c r="AL57" s="182"/>
      <c r="AU57" s="206"/>
      <c r="AV57" s="493" t="s">
        <v>420</v>
      </c>
      <c r="AW57" s="1090"/>
      <c r="AX57" s="1106" t="s">
        <v>43</v>
      </c>
      <c r="AY57" s="1090" t="s">
        <v>7</v>
      </c>
      <c r="AZ57" s="1100">
        <f ca="1">SUMIFS('End Uses'!N:N,'End Uses'!D:D,'Summary Tables'!AV57,'End Uses'!I:I,'Summary Tables'!AX57,'End Uses'!J:J,'Summary Tables'!AY57)</f>
        <v>0</v>
      </c>
      <c r="BA57" s="666" t="str">
        <f t="shared" ca="1" si="44"/>
        <v>-</v>
      </c>
      <c r="BB57" s="1104">
        <f ca="1">SUMIFS('End Uses'!T:T,'End Uses'!D:D,'Summary Tables'!AV57,'End Uses'!I:I,'Summary Tables'!AX57,'End Uses'!J:J,'Summary Tables'!AY57)</f>
        <v>0</v>
      </c>
      <c r="BC57" s="1105">
        <f t="shared" ca="1" si="17"/>
        <v>0</v>
      </c>
      <c r="BD57" s="666">
        <f t="shared" ca="1" si="8"/>
        <v>0</v>
      </c>
      <c r="BE57" s="667" t="str">
        <f t="shared" ca="1" si="23"/>
        <v>-</v>
      </c>
    </row>
    <row r="58" spans="11:57" x14ac:dyDescent="0.3">
      <c r="K58" s="45"/>
      <c r="L58" s="45"/>
      <c r="M58" s="85"/>
      <c r="N58" s="45"/>
      <c r="U58" s="182"/>
      <c r="V58" s="182"/>
      <c r="W58" s="182"/>
      <c r="X58" s="182"/>
      <c r="Y58" s="182"/>
      <c r="Z58" s="182"/>
      <c r="AC58" s="1090"/>
      <c r="AD58" s="1103" t="s">
        <v>471</v>
      </c>
      <c r="AE58" s="994" t="s">
        <v>44</v>
      </c>
      <c r="AF58" s="1100">
        <f ca="1">SUMIFS('End Uses'!N:N,'End Uses'!D:D,'Summary Tables'!AD58,'End Uses'!I:I,'Summary Tables'!AE58)</f>
        <v>0</v>
      </c>
      <c r="AG58" s="1101" t="str">
        <f t="shared" ca="1" si="3"/>
        <v>-</v>
      </c>
      <c r="AH58" s="1091">
        <f ca="1">SUMIFS('End Uses'!T:T,'End Uses'!D:D,'Summary Tables'!AD58,'End Uses'!I:I,'Summary Tables'!AE58)</f>
        <v>0</v>
      </c>
      <c r="AI58" s="1102">
        <f t="shared" ca="1" si="46"/>
        <v>0</v>
      </c>
      <c r="AJ58" s="666">
        <f t="shared" ca="1" si="39"/>
        <v>0</v>
      </c>
      <c r="AK58" s="667" t="str">
        <f t="shared" ca="1" si="40"/>
        <v>-</v>
      </c>
      <c r="AL58" s="182"/>
      <c r="AU58" s="206"/>
      <c r="AV58" s="493" t="s">
        <v>420</v>
      </c>
      <c r="AW58" s="1090"/>
      <c r="AX58" s="1106" t="s">
        <v>43</v>
      </c>
      <c r="AY58" s="1090" t="s">
        <v>9</v>
      </c>
      <c r="AZ58" s="1100">
        <f ca="1">SUMIFS('End Uses'!N:N,'End Uses'!D:D,'Summary Tables'!AV58,'End Uses'!I:I,'Summary Tables'!AX58,'End Uses'!J:J,'Summary Tables'!AY58)</f>
        <v>0</v>
      </c>
      <c r="BA58" s="666" t="str">
        <f t="shared" ca="1" si="44"/>
        <v>-</v>
      </c>
      <c r="BB58" s="1104">
        <f ca="1">SUMIFS('End Uses'!T:T,'End Uses'!D:D,'Summary Tables'!AV58,'End Uses'!I:I,'Summary Tables'!AX58,'End Uses'!J:J,'Summary Tables'!AY58)</f>
        <v>0</v>
      </c>
      <c r="BC58" s="1105">
        <f t="shared" ca="1" si="17"/>
        <v>0</v>
      </c>
      <c r="BD58" s="666">
        <f t="shared" ca="1" si="8"/>
        <v>0</v>
      </c>
      <c r="BE58" s="667" t="str">
        <f t="shared" ca="1" si="23"/>
        <v>-</v>
      </c>
    </row>
    <row r="59" spans="11:57" ht="15" thickBot="1" x14ac:dyDescent="0.35">
      <c r="K59" s="45"/>
      <c r="L59" s="45"/>
      <c r="M59" s="85"/>
      <c r="N59" s="45"/>
      <c r="U59" s="182"/>
      <c r="V59" s="182"/>
      <c r="W59" s="182"/>
      <c r="X59" s="182"/>
      <c r="Y59" s="182"/>
      <c r="Z59" s="182"/>
      <c r="AC59" s="1090"/>
      <c r="AD59" s="1103" t="s">
        <v>471</v>
      </c>
      <c r="AE59" s="994" t="s">
        <v>39</v>
      </c>
      <c r="AF59" s="1100">
        <f ca="1">SUMIFS('End Uses'!N:N,'End Uses'!D:D,'Summary Tables'!AD59,'End Uses'!I:I,'Summary Tables'!AE59)</f>
        <v>0</v>
      </c>
      <c r="AG59" s="1101" t="str">
        <f t="shared" ca="1" si="3"/>
        <v>-</v>
      </c>
      <c r="AH59" s="1091">
        <f ca="1">SUMIFS('End Uses'!T:T,'End Uses'!D:D,'Summary Tables'!AD59,'End Uses'!I:I,'Summary Tables'!AE59)</f>
        <v>0</v>
      </c>
      <c r="AI59" s="1102">
        <f t="shared" ca="1" si="46"/>
        <v>0</v>
      </c>
      <c r="AJ59" s="666">
        <f t="shared" ca="1" si="39"/>
        <v>0</v>
      </c>
      <c r="AK59" s="667" t="str">
        <f t="shared" ca="1" si="40"/>
        <v>-</v>
      </c>
      <c r="AL59" s="182"/>
      <c r="AU59" s="206"/>
      <c r="AV59" s="493" t="s">
        <v>420</v>
      </c>
      <c r="AW59" s="1094"/>
      <c r="AX59" s="617" t="s">
        <v>43</v>
      </c>
      <c r="AY59" s="1094" t="s">
        <v>426</v>
      </c>
      <c r="AZ59" s="1108">
        <f ca="1">SUMIFS('End Uses'!N:N,'End Uses'!D:D,'Summary Tables'!AV59,'End Uses'!I:I,'Summary Tables'!AX59,'End Uses'!J:J,'Summary Tables'!AY59)</f>
        <v>0</v>
      </c>
      <c r="BA59" s="689" t="str">
        <f t="shared" ca="1" si="44"/>
        <v>-</v>
      </c>
      <c r="BB59" s="1109">
        <f ca="1">SUMIFS('End Uses'!T:T,'End Uses'!D:D,'Summary Tables'!AV59,'End Uses'!I:I,'Summary Tables'!AX59,'End Uses'!J:J,'Summary Tables'!AY59)</f>
        <v>0</v>
      </c>
      <c r="BC59" s="1110">
        <f t="shared" ca="1" si="17"/>
        <v>0</v>
      </c>
      <c r="BD59" s="689">
        <f t="shared" ca="1" si="8"/>
        <v>0</v>
      </c>
      <c r="BE59" s="690" t="str">
        <f t="shared" ca="1" si="23"/>
        <v>-</v>
      </c>
    </row>
    <row r="60" spans="11:57" x14ac:dyDescent="0.3">
      <c r="K60" s="45"/>
      <c r="L60" s="45"/>
      <c r="M60" s="85"/>
      <c r="N60" s="45"/>
      <c r="U60" s="182"/>
      <c r="V60" s="182"/>
      <c r="W60" s="182"/>
      <c r="X60" s="182"/>
      <c r="Y60" s="182"/>
      <c r="Z60" s="182"/>
      <c r="AC60" s="1090"/>
      <c r="AD60" s="1103" t="s">
        <v>471</v>
      </c>
      <c r="AE60" s="994" t="s">
        <v>43</v>
      </c>
      <c r="AF60" s="1100">
        <f ca="1">SUMIFS('End Uses'!N:N,'End Uses'!D:D,'Summary Tables'!AD60,'End Uses'!I:I,'Summary Tables'!AE60)</f>
        <v>0</v>
      </c>
      <c r="AG60" s="1101" t="str">
        <f t="shared" ca="1" si="3"/>
        <v>-</v>
      </c>
      <c r="AH60" s="1091">
        <f ca="1">SUMIFS('End Uses'!T:T,'End Uses'!D:D,'Summary Tables'!AD60,'End Uses'!I:I,'Summary Tables'!AE60)</f>
        <v>0</v>
      </c>
      <c r="AI60" s="1102">
        <f t="shared" ca="1" si="46"/>
        <v>0</v>
      </c>
      <c r="AJ60" s="666">
        <f t="shared" ca="1" si="39"/>
        <v>0</v>
      </c>
      <c r="AK60" s="667" t="str">
        <f t="shared" ca="1" si="40"/>
        <v>-</v>
      </c>
      <c r="AL60" s="182"/>
      <c r="AU60" s="993"/>
      <c r="AV60" s="493" t="s">
        <v>420</v>
      </c>
      <c r="AW60" s="1072" t="s">
        <v>8</v>
      </c>
      <c r="AX60" s="1089" t="s">
        <v>8</v>
      </c>
      <c r="AY60" s="1072" t="s">
        <v>52</v>
      </c>
      <c r="AZ60" s="1081">
        <f ca="1">SUMIFS('End Uses'!N:N,'End Uses'!D:D,'Summary Tables'!AV60,'End Uses'!I:I,'Summary Tables'!AX60,'End Uses'!J:J,'Summary Tables'!AY60)</f>
        <v>0</v>
      </c>
      <c r="BA60" s="664" t="str">
        <f t="shared" ca="1" si="44"/>
        <v>-</v>
      </c>
      <c r="BB60" s="1086">
        <f ca="1">SUMIFS('End Uses'!T:T,'End Uses'!D:D,'Summary Tables'!AV60,'End Uses'!I:I,'Summary Tables'!AX60,'End Uses'!J:J,'Summary Tables'!AY60)</f>
        <v>0</v>
      </c>
      <c r="BC60" s="1087">
        <f t="shared" ref="BC60:BC62" ca="1" si="50">AZ60-BB60</f>
        <v>0</v>
      </c>
      <c r="BD60" s="664">
        <f t="shared" ref="BD60:BD62" ca="1" si="51">IFERROR(BC60/AZ60,0)</f>
        <v>0</v>
      </c>
      <c r="BE60" s="665" t="str">
        <f t="shared" ref="BE60:BE62" ca="1" si="52">IFERROR(AZ60/BB60,"-")</f>
        <v>-</v>
      </c>
    </row>
    <row r="61" spans="11:57" ht="15" thickBot="1" x14ac:dyDescent="0.35">
      <c r="K61" s="45"/>
      <c r="L61" s="45"/>
      <c r="M61" s="85"/>
      <c r="N61" s="45"/>
      <c r="U61" s="182"/>
      <c r="V61" s="182"/>
      <c r="W61" s="182"/>
      <c r="X61" s="182"/>
      <c r="Y61" s="182"/>
      <c r="Z61" s="182"/>
      <c r="AC61" s="1115"/>
      <c r="AD61" s="1116" t="s">
        <v>471</v>
      </c>
      <c r="AE61" s="1117" t="s">
        <v>8</v>
      </c>
      <c r="AF61" s="1118">
        <f ca="1">SUMIFS('End Uses'!N:N,'End Uses'!D:D,'Summary Tables'!AD61,'End Uses'!I:I,'Summary Tables'!AE61)</f>
        <v>0</v>
      </c>
      <c r="AG61" s="1119" t="str">
        <f t="shared" ca="1" si="3"/>
        <v>-</v>
      </c>
      <c r="AH61" s="1120">
        <f ca="1">SUMIFS('End Uses'!T:T,'End Uses'!D:D,'Summary Tables'!AD61,'End Uses'!I:I,'Summary Tables'!AE61)</f>
        <v>0</v>
      </c>
      <c r="AI61" s="1121">
        <f t="shared" ca="1" si="46"/>
        <v>0</v>
      </c>
      <c r="AJ61" s="668">
        <f t="shared" ca="1" si="39"/>
        <v>0</v>
      </c>
      <c r="AK61" s="669" t="str">
        <f t="shared" ca="1" si="40"/>
        <v>-</v>
      </c>
      <c r="AL61" s="182"/>
      <c r="AU61" s="993"/>
      <c r="AV61" s="493" t="s">
        <v>420</v>
      </c>
      <c r="AW61" s="1090"/>
      <c r="AX61" s="1106" t="s">
        <v>8</v>
      </c>
      <c r="AY61" s="1090" t="s">
        <v>53</v>
      </c>
      <c r="AZ61" s="1100">
        <f ca="1">SUMIFS('End Uses'!N:N,'End Uses'!D:D,'Summary Tables'!AV61,'End Uses'!I:I,'Summary Tables'!AX61,'End Uses'!J:J,'Summary Tables'!AY61)</f>
        <v>0</v>
      </c>
      <c r="BA61" s="666" t="str">
        <f t="shared" ca="1" si="44"/>
        <v>-</v>
      </c>
      <c r="BB61" s="1104">
        <f ca="1">SUMIFS('End Uses'!T:T,'End Uses'!D:D,'Summary Tables'!AV61,'End Uses'!I:I,'Summary Tables'!AX61,'End Uses'!J:J,'Summary Tables'!AY61)</f>
        <v>0</v>
      </c>
      <c r="BC61" s="1105">
        <f t="shared" ca="1" si="50"/>
        <v>0</v>
      </c>
      <c r="BD61" s="666">
        <f t="shared" ca="1" si="51"/>
        <v>0</v>
      </c>
      <c r="BE61" s="667" t="str">
        <f t="shared" ca="1" si="52"/>
        <v>-</v>
      </c>
    </row>
    <row r="62" spans="11:57" ht="15" thickBot="1" x14ac:dyDescent="0.35">
      <c r="U62" s="182"/>
      <c r="V62" s="182"/>
      <c r="W62" s="182"/>
      <c r="X62" s="182"/>
      <c r="Y62" s="182"/>
      <c r="Z62" s="182"/>
      <c r="AC62" s="1151" t="s">
        <v>46</v>
      </c>
      <c r="AD62" s="1168"/>
      <c r="AE62" s="1169"/>
      <c r="AF62" s="670">
        <f ca="1">SUM(AF15:AF61)</f>
        <v>0</v>
      </c>
      <c r="AG62" s="685">
        <f ca="1">SUM(AG15:AG61)</f>
        <v>0</v>
      </c>
      <c r="AH62" s="686">
        <f ca="1">SUM(AH15:AH61)</f>
        <v>0</v>
      </c>
      <c r="AI62" s="687">
        <f ca="1">SUM(AI15:AI61)</f>
        <v>0</v>
      </c>
      <c r="AJ62" s="679">
        <f t="shared" ca="1" si="39"/>
        <v>0</v>
      </c>
      <c r="AK62" s="673" t="str">
        <f t="shared" ca="1" si="40"/>
        <v>-</v>
      </c>
      <c r="AL62" s="182"/>
      <c r="AU62" s="1140"/>
      <c r="AV62" s="493" t="s">
        <v>420</v>
      </c>
      <c r="AW62" s="1115"/>
      <c r="AX62" s="1141" t="s">
        <v>8</v>
      </c>
      <c r="AY62" s="1115" t="s">
        <v>54</v>
      </c>
      <c r="AZ62" s="1118">
        <f ca="1">SUMIFS('End Uses'!N:N,'End Uses'!D:D,'Summary Tables'!AV62,'End Uses'!I:I,'Summary Tables'!AX62,'End Uses'!J:J,'Summary Tables'!AY62)</f>
        <v>0</v>
      </c>
      <c r="BA62" s="668" t="str">
        <f t="shared" ca="1" si="44"/>
        <v>-</v>
      </c>
      <c r="BB62" s="1142">
        <f ca="1">SUMIFS('End Uses'!T:T,'End Uses'!D:D,'Summary Tables'!AV62,'End Uses'!I:I,'Summary Tables'!AX62,'End Uses'!J:J,'Summary Tables'!AY62)</f>
        <v>0</v>
      </c>
      <c r="BC62" s="1143">
        <f t="shared" ca="1" si="50"/>
        <v>0</v>
      </c>
      <c r="BD62" s="668">
        <f t="shared" ca="1" si="51"/>
        <v>0</v>
      </c>
      <c r="BE62" s="669" t="str">
        <f t="shared" ca="1" si="52"/>
        <v>-</v>
      </c>
    </row>
    <row r="63" spans="11:57" ht="15" thickBot="1" x14ac:dyDescent="0.35">
      <c r="U63" s="182"/>
      <c r="V63" s="182"/>
      <c r="W63" s="182"/>
      <c r="X63" s="182"/>
      <c r="Y63" s="182"/>
      <c r="Z63" s="182"/>
      <c r="AK63" s="63"/>
      <c r="AL63" s="182"/>
      <c r="AU63" s="1012" t="s">
        <v>13</v>
      </c>
      <c r="AV63" s="485" t="s">
        <v>13</v>
      </c>
      <c r="AW63" s="1133" t="s">
        <v>39</v>
      </c>
      <c r="AX63" s="956" t="s">
        <v>39</v>
      </c>
      <c r="AY63" s="1133" t="s">
        <v>42</v>
      </c>
      <c r="AZ63" s="1129">
        <f ca="1">SUMIFS('End Uses'!N:N,'End Uses'!D:D,'Summary Tables'!AV63,'End Uses'!I:I,'Summary Tables'!AX63,'End Uses'!J:J,'Summary Tables'!AY63)</f>
        <v>0</v>
      </c>
      <c r="BA63" s="679" t="str">
        <f t="shared" ca="1" si="44"/>
        <v>-</v>
      </c>
      <c r="BB63" s="1154">
        <f ca="1">SUMIFS('End Uses'!T:T,'End Uses'!D:D,'Summary Tables'!AV63,'End Uses'!I:I,'Summary Tables'!AX63,'End Uses'!J:J,'Summary Tables'!AY63)</f>
        <v>0</v>
      </c>
      <c r="BC63" s="1155">
        <f t="shared" ca="1" si="17"/>
        <v>0</v>
      </c>
      <c r="BD63" s="679">
        <f t="shared" ca="1" si="8"/>
        <v>0</v>
      </c>
      <c r="BE63" s="673" t="str">
        <f t="shared" ca="1" si="23"/>
        <v>-</v>
      </c>
    </row>
    <row r="64" spans="11:57" x14ac:dyDescent="0.3">
      <c r="U64" s="182"/>
      <c r="V64" s="182"/>
      <c r="W64" s="182"/>
      <c r="X64" s="182"/>
      <c r="Y64" s="182"/>
      <c r="Z64" s="182"/>
      <c r="AK64" s="63"/>
      <c r="AL64" s="182"/>
      <c r="AU64" s="206"/>
      <c r="AV64" s="224" t="s">
        <v>13</v>
      </c>
      <c r="AW64" s="1072" t="s">
        <v>43</v>
      </c>
      <c r="AX64" s="1089" t="s">
        <v>43</v>
      </c>
      <c r="AY64" s="1072" t="s">
        <v>9</v>
      </c>
      <c r="AZ64" s="1081">
        <f ca="1">SUMIFS('End Uses'!N:N,'End Uses'!D:D,'Summary Tables'!AV64,'End Uses'!I:I,'Summary Tables'!AX64,'End Uses'!J:J,'Summary Tables'!AY64)</f>
        <v>0</v>
      </c>
      <c r="BA64" s="664" t="str">
        <f t="shared" ca="1" si="44"/>
        <v>-</v>
      </c>
      <c r="BB64" s="1086">
        <f ca="1">SUMIFS('End Uses'!T:T,'End Uses'!D:D,'Summary Tables'!AV64,'End Uses'!I:I,'Summary Tables'!AX64,'End Uses'!J:J,'Summary Tables'!AY64)</f>
        <v>0</v>
      </c>
      <c r="BC64" s="1087">
        <f t="shared" ca="1" si="17"/>
        <v>0</v>
      </c>
      <c r="BD64" s="664">
        <f t="shared" ca="1" si="8"/>
        <v>0</v>
      </c>
      <c r="BE64" s="665" t="str">
        <f t="shared" ca="1" si="23"/>
        <v>-</v>
      </c>
    </row>
    <row r="65" spans="21:57" ht="15" thickBot="1" x14ac:dyDescent="0.35">
      <c r="U65" s="182"/>
      <c r="V65" s="182"/>
      <c r="W65" s="182"/>
      <c r="X65" s="182"/>
      <c r="Y65" s="182"/>
      <c r="Z65" s="182"/>
      <c r="AK65" s="45"/>
      <c r="AL65" s="45"/>
      <c r="AU65" s="206"/>
      <c r="AV65" s="224" t="s">
        <v>13</v>
      </c>
      <c r="AW65" s="1094"/>
      <c r="AX65" s="1107" t="s">
        <v>43</v>
      </c>
      <c r="AY65" s="1094" t="s">
        <v>426</v>
      </c>
      <c r="AZ65" s="1108">
        <f ca="1">SUMIFS('End Uses'!N:N,'End Uses'!D:D,'Summary Tables'!AV65,'End Uses'!I:I,'Summary Tables'!AX65,'End Uses'!J:J,'Summary Tables'!AY65)</f>
        <v>0</v>
      </c>
      <c r="BA65" s="689" t="str">
        <f t="shared" ca="1" si="44"/>
        <v>-</v>
      </c>
      <c r="BB65" s="1109">
        <f ca="1">SUMIFS('End Uses'!T:T,'End Uses'!D:D,'Summary Tables'!AV65,'End Uses'!I:I,'Summary Tables'!AX65,'End Uses'!J:J,'Summary Tables'!AY65)</f>
        <v>0</v>
      </c>
      <c r="BC65" s="1110">
        <f t="shared" ca="1" si="17"/>
        <v>0</v>
      </c>
      <c r="BD65" s="689">
        <f t="shared" ca="1" si="8"/>
        <v>0</v>
      </c>
      <c r="BE65" s="690" t="str">
        <f t="shared" ca="1" si="23"/>
        <v>-</v>
      </c>
    </row>
    <row r="66" spans="21:57" x14ac:dyDescent="0.3">
      <c r="U66" s="182"/>
      <c r="V66" s="182"/>
      <c r="W66" s="182"/>
      <c r="X66" s="182"/>
      <c r="Y66" s="182"/>
      <c r="Z66" s="182"/>
      <c r="AL66" s="45"/>
      <c r="AU66" s="993"/>
      <c r="AV66" s="224" t="str">
        <f>AV65</f>
        <v>Parking</v>
      </c>
      <c r="AW66" s="1072" t="s">
        <v>8</v>
      </c>
      <c r="AX66" s="1089" t="s">
        <v>8</v>
      </c>
      <c r="AY66" s="1072" t="s">
        <v>52</v>
      </c>
      <c r="AZ66" s="1081">
        <f ca="1">SUMIFS('End Uses'!N:N,'End Uses'!D:D,'Summary Tables'!AV66,'End Uses'!I:I,'Summary Tables'!AX66,'End Uses'!J:J,'Summary Tables'!AY66)</f>
        <v>0</v>
      </c>
      <c r="BA66" s="664" t="str">
        <f t="shared" ca="1" si="44"/>
        <v>-</v>
      </c>
      <c r="BB66" s="1086">
        <f ca="1">SUMIFS('End Uses'!T:T,'End Uses'!D:D,'Summary Tables'!AV66,'End Uses'!I:I,'Summary Tables'!AX66,'End Uses'!J:J,'Summary Tables'!AY66)</f>
        <v>0</v>
      </c>
      <c r="BC66" s="1087">
        <f t="shared" ref="BC66:BC68" ca="1" si="53">AZ66-BB66</f>
        <v>0</v>
      </c>
      <c r="BD66" s="664">
        <f t="shared" ref="BD66:BD68" ca="1" si="54">IFERROR(BC66/AZ66,0)</f>
        <v>0</v>
      </c>
      <c r="BE66" s="665" t="str">
        <f t="shared" ref="BE66:BE68" ca="1" si="55">IFERROR(AZ66/BB66,"-")</f>
        <v>-</v>
      </c>
    </row>
    <row r="67" spans="21:57" x14ac:dyDescent="0.3">
      <c r="U67" s="182"/>
      <c r="V67" s="182"/>
      <c r="W67" s="182"/>
      <c r="X67" s="182"/>
      <c r="Y67" s="182"/>
      <c r="Z67" s="182"/>
      <c r="AC67" s="45"/>
      <c r="AD67" s="85"/>
      <c r="AE67" s="45"/>
      <c r="AF67" s="3"/>
      <c r="AG67" s="9"/>
      <c r="AH67" s="3"/>
      <c r="AI67" s="3"/>
      <c r="AJ67" s="1"/>
      <c r="AU67" s="993"/>
      <c r="AV67" s="224" t="str">
        <f>AV66</f>
        <v>Parking</v>
      </c>
      <c r="AW67" s="1090"/>
      <c r="AX67" s="1106" t="s">
        <v>8</v>
      </c>
      <c r="AY67" s="1090" t="s">
        <v>53</v>
      </c>
      <c r="AZ67" s="1100">
        <f ca="1">SUMIFS('End Uses'!N:N,'End Uses'!D:D,'Summary Tables'!AV67,'End Uses'!I:I,'Summary Tables'!AX67,'End Uses'!J:J,'Summary Tables'!AY67)</f>
        <v>0</v>
      </c>
      <c r="BA67" s="666" t="str">
        <f t="shared" ca="1" si="44"/>
        <v>-</v>
      </c>
      <c r="BB67" s="1104">
        <f ca="1">SUMIFS('End Uses'!T:T,'End Uses'!D:D,'Summary Tables'!AV67,'End Uses'!I:I,'Summary Tables'!AX67,'End Uses'!J:J,'Summary Tables'!AY67)</f>
        <v>0</v>
      </c>
      <c r="BC67" s="1105">
        <f t="shared" ca="1" si="53"/>
        <v>0</v>
      </c>
      <c r="BD67" s="666">
        <f t="shared" ca="1" si="54"/>
        <v>0</v>
      </c>
      <c r="BE67" s="667" t="str">
        <f t="shared" ca="1" si="55"/>
        <v>-</v>
      </c>
    </row>
    <row r="68" spans="21:57" ht="15" thickBot="1" x14ac:dyDescent="0.35">
      <c r="U68" s="182"/>
      <c r="V68" s="182"/>
      <c r="W68" s="182"/>
      <c r="X68" s="182"/>
      <c r="Y68" s="182"/>
      <c r="Z68" s="182"/>
      <c r="AC68" s="45"/>
      <c r="AD68" s="85"/>
      <c r="AE68" s="45"/>
      <c r="AF68" s="3"/>
      <c r="AG68" s="9"/>
      <c r="AH68" s="3"/>
      <c r="AI68" s="3"/>
      <c r="AJ68" s="1"/>
      <c r="AU68" s="1140"/>
      <c r="AV68" s="226" t="str">
        <f>AV67</f>
        <v>Parking</v>
      </c>
      <c r="AW68" s="1115"/>
      <c r="AX68" s="1141" t="s">
        <v>8</v>
      </c>
      <c r="AY68" s="1115" t="s">
        <v>54</v>
      </c>
      <c r="AZ68" s="1118">
        <f ca="1">SUMIFS('End Uses'!N:N,'End Uses'!D:D,'Summary Tables'!AV68,'End Uses'!I:I,'Summary Tables'!AX68,'End Uses'!J:J,'Summary Tables'!AY68)</f>
        <v>0</v>
      </c>
      <c r="BA68" s="668" t="str">
        <f t="shared" ca="1" si="44"/>
        <v>-</v>
      </c>
      <c r="BB68" s="1142">
        <f ca="1">SUMIFS('End Uses'!T:T,'End Uses'!D:D,'Summary Tables'!AV68,'End Uses'!I:I,'Summary Tables'!AX68,'End Uses'!J:J,'Summary Tables'!AY68)</f>
        <v>0</v>
      </c>
      <c r="BC68" s="1143">
        <f t="shared" ca="1" si="53"/>
        <v>0</v>
      </c>
      <c r="BD68" s="668">
        <f t="shared" ca="1" si="54"/>
        <v>0</v>
      </c>
      <c r="BE68" s="669" t="str">
        <f t="shared" ca="1" si="55"/>
        <v>-</v>
      </c>
    </row>
    <row r="69" spans="21:57" x14ac:dyDescent="0.3">
      <c r="U69" s="182"/>
      <c r="V69" s="182"/>
      <c r="W69" s="182"/>
      <c r="X69" s="182"/>
      <c r="Y69" s="182"/>
      <c r="Z69" s="182"/>
      <c r="AC69" s="45"/>
      <c r="AD69" s="85"/>
      <c r="AE69" s="45"/>
      <c r="AF69" s="45"/>
      <c r="AG69" s="45"/>
      <c r="AH69" s="45"/>
      <c r="AI69" s="45"/>
      <c r="AJ69" s="45"/>
      <c r="AU69" s="1012" t="s">
        <v>418</v>
      </c>
      <c r="AV69" s="485" t="s">
        <v>418</v>
      </c>
      <c r="AW69" s="1146" t="s">
        <v>37</v>
      </c>
      <c r="AX69" s="1170" t="s">
        <v>37</v>
      </c>
      <c r="AY69" s="1146" t="s">
        <v>2</v>
      </c>
      <c r="AZ69" s="1164">
        <f ca="1">SUMIFS('End Uses'!N:N,'End Uses'!D:D,'Summary Tables'!AV69,'End Uses'!I:I,'Summary Tables'!AX69,'End Uses'!J:J,'Summary Tables'!AY69)</f>
        <v>0</v>
      </c>
      <c r="BA69" s="681" t="str">
        <f t="shared" ca="1" si="44"/>
        <v>-</v>
      </c>
      <c r="BB69" s="1171">
        <f ca="1">SUMIFS('End Uses'!T:T,'End Uses'!D:D,'Summary Tables'!AV69,'End Uses'!I:I,'Summary Tables'!AX69,'End Uses'!J:J,'Summary Tables'!AY69)</f>
        <v>0</v>
      </c>
      <c r="BC69" s="1172">
        <f t="shared" ca="1" si="17"/>
        <v>0</v>
      </c>
      <c r="BD69" s="681">
        <f t="shared" ca="1" si="8"/>
        <v>0</v>
      </c>
      <c r="BE69" s="682" t="str">
        <f t="shared" ca="1" si="23"/>
        <v>-</v>
      </c>
    </row>
    <row r="70" spans="21:57" x14ac:dyDescent="0.3">
      <c r="U70" s="182"/>
      <c r="V70" s="182"/>
      <c r="W70" s="182"/>
      <c r="X70" s="182"/>
      <c r="Y70" s="182"/>
      <c r="Z70" s="182"/>
      <c r="AU70" s="206"/>
      <c r="AV70" s="224" t="s">
        <v>418</v>
      </c>
      <c r="AW70" s="1090"/>
      <c r="AX70" s="1106" t="s">
        <v>37</v>
      </c>
      <c r="AY70" s="1090" t="s">
        <v>4</v>
      </c>
      <c r="AZ70" s="1100">
        <f ca="1">SUMIFS('End Uses'!N:N,'End Uses'!D:D,'Summary Tables'!AV70,'End Uses'!I:I,'Summary Tables'!AX70,'End Uses'!J:J,'Summary Tables'!AY70)</f>
        <v>0</v>
      </c>
      <c r="BA70" s="666" t="str">
        <f t="shared" ca="1" si="44"/>
        <v>-</v>
      </c>
      <c r="BB70" s="1104">
        <f ca="1">SUMIFS('End Uses'!T:T,'End Uses'!D:D,'Summary Tables'!AV70,'End Uses'!I:I,'Summary Tables'!AX70,'End Uses'!J:J,'Summary Tables'!AY70)</f>
        <v>0</v>
      </c>
      <c r="BC70" s="1105">
        <f t="shared" ca="1" si="17"/>
        <v>0</v>
      </c>
      <c r="BD70" s="666">
        <f t="shared" ca="1" si="8"/>
        <v>0</v>
      </c>
      <c r="BE70" s="667" t="str">
        <f t="shared" ca="1" si="23"/>
        <v>-</v>
      </c>
    </row>
    <row r="71" spans="21:57" ht="15" thickBot="1" x14ac:dyDescent="0.35">
      <c r="U71" s="182"/>
      <c r="V71" s="182"/>
      <c r="W71" s="182"/>
      <c r="X71" s="182"/>
      <c r="Y71" s="182"/>
      <c r="Z71" s="182"/>
      <c r="AU71" s="206"/>
      <c r="AV71" s="224" t="s">
        <v>418</v>
      </c>
      <c r="AW71" s="1094"/>
      <c r="AX71" s="1107" t="s">
        <v>37</v>
      </c>
      <c r="AY71" s="1094" t="s">
        <v>33</v>
      </c>
      <c r="AZ71" s="1108">
        <f ca="1">SUMIFS('End Uses'!N:N,'End Uses'!D:D,'Summary Tables'!AV71,'End Uses'!I:I,'Summary Tables'!AX71,'End Uses'!J:J,'Summary Tables'!AY71)</f>
        <v>0</v>
      </c>
      <c r="BA71" s="689" t="str">
        <f t="shared" ca="1" si="44"/>
        <v>-</v>
      </c>
      <c r="BB71" s="1109">
        <f ca="1">SUMIFS('End Uses'!T:T,'End Uses'!D:D,'Summary Tables'!AV71,'End Uses'!I:I,'Summary Tables'!AX71,'End Uses'!J:J,'Summary Tables'!AY71)</f>
        <v>0</v>
      </c>
      <c r="BC71" s="1110">
        <f t="shared" ca="1" si="17"/>
        <v>0</v>
      </c>
      <c r="BD71" s="689">
        <f t="shared" ca="1" si="8"/>
        <v>0</v>
      </c>
      <c r="BE71" s="690" t="str">
        <f t="shared" ca="1" si="23"/>
        <v>-</v>
      </c>
    </row>
    <row r="72" spans="21:57" ht="15" thickBot="1" x14ac:dyDescent="0.35">
      <c r="U72" s="182"/>
      <c r="V72" s="182"/>
      <c r="W72" s="182"/>
      <c r="X72" s="182"/>
      <c r="Y72" s="182"/>
      <c r="Z72" s="182"/>
      <c r="AU72" s="206"/>
      <c r="AV72" s="224" t="s">
        <v>418</v>
      </c>
      <c r="AW72" s="1133" t="s">
        <v>5</v>
      </c>
      <c r="AX72" s="956" t="s">
        <v>5</v>
      </c>
      <c r="AY72" s="1133" t="s">
        <v>33</v>
      </c>
      <c r="AZ72" s="1129">
        <f ca="1">SUMIFS('End Uses'!N:N,'End Uses'!D:D,'Summary Tables'!AV72,'End Uses'!I:I,'Summary Tables'!AX72,'End Uses'!J:J,'Summary Tables'!AY72)</f>
        <v>0</v>
      </c>
      <c r="BA72" s="679" t="str">
        <f t="shared" ca="1" si="44"/>
        <v>-</v>
      </c>
      <c r="BB72" s="1154">
        <f ca="1">SUMIFS('End Uses'!T:T,'End Uses'!D:D,'Summary Tables'!AV72,'End Uses'!I:I,'Summary Tables'!AX72,'End Uses'!J:J,'Summary Tables'!AY72)</f>
        <v>0</v>
      </c>
      <c r="BC72" s="1155">
        <f t="shared" ca="1" si="17"/>
        <v>0</v>
      </c>
      <c r="BD72" s="679">
        <f t="shared" ca="1" si="8"/>
        <v>0</v>
      </c>
      <c r="BE72" s="673" t="str">
        <f t="shared" ca="1" si="23"/>
        <v>-</v>
      </c>
    </row>
    <row r="73" spans="21:57" ht="15" thickBot="1" x14ac:dyDescent="0.35">
      <c r="U73" s="182"/>
      <c r="V73" s="182"/>
      <c r="W73" s="182"/>
      <c r="X73" s="182"/>
      <c r="Y73" s="182"/>
      <c r="Z73" s="182"/>
      <c r="AU73" s="206"/>
      <c r="AV73" s="224" t="s">
        <v>418</v>
      </c>
      <c r="AW73" s="1133" t="s">
        <v>39</v>
      </c>
      <c r="AX73" s="956" t="s">
        <v>39</v>
      </c>
      <c r="AY73" s="1133" t="s">
        <v>42</v>
      </c>
      <c r="AZ73" s="1129">
        <f ca="1">SUMIFS('End Uses'!N:N,'End Uses'!D:D,'Summary Tables'!AV73,'End Uses'!I:I,'Summary Tables'!AX73,'End Uses'!J:J,'Summary Tables'!AY73)</f>
        <v>0</v>
      </c>
      <c r="BA73" s="679" t="str">
        <f t="shared" ca="1" si="44"/>
        <v>-</v>
      </c>
      <c r="BB73" s="1154">
        <f ca="1">SUMIFS('End Uses'!T:T,'End Uses'!D:D,'Summary Tables'!AV73,'End Uses'!I:I,'Summary Tables'!AX73,'End Uses'!J:J,'Summary Tables'!AY73)</f>
        <v>0</v>
      </c>
      <c r="BC73" s="1155">
        <f t="shared" ca="1" si="17"/>
        <v>0</v>
      </c>
      <c r="BD73" s="679">
        <f t="shared" ca="1" si="8"/>
        <v>0</v>
      </c>
      <c r="BE73" s="673" t="str">
        <f t="shared" ca="1" si="23"/>
        <v>-</v>
      </c>
    </row>
    <row r="74" spans="21:57" x14ac:dyDescent="0.3">
      <c r="U74" s="182"/>
      <c r="V74" s="182"/>
      <c r="W74" s="182"/>
      <c r="X74" s="182"/>
      <c r="Y74" s="182"/>
      <c r="Z74" s="182"/>
      <c r="AU74" s="206"/>
      <c r="AV74" s="224" t="s">
        <v>418</v>
      </c>
      <c r="AW74" s="1072" t="s">
        <v>43</v>
      </c>
      <c r="AX74" s="1089" t="s">
        <v>43</v>
      </c>
      <c r="AY74" s="1072" t="s">
        <v>9</v>
      </c>
      <c r="AZ74" s="1081">
        <f ca="1">SUMIFS('End Uses'!N:N,'End Uses'!D:D,'Summary Tables'!AV74,'End Uses'!I:I,'Summary Tables'!AX74,'End Uses'!J:J,'Summary Tables'!AY74)</f>
        <v>0</v>
      </c>
      <c r="BA74" s="664" t="str">
        <f t="shared" ca="1" si="44"/>
        <v>-</v>
      </c>
      <c r="BB74" s="1086">
        <f ca="1">SUMIFS('End Uses'!T:T,'End Uses'!D:D,'Summary Tables'!AV74,'End Uses'!I:I,'Summary Tables'!AX74,'End Uses'!J:J,'Summary Tables'!AY74)</f>
        <v>0</v>
      </c>
      <c r="BC74" s="1087">
        <f t="shared" ca="1" si="17"/>
        <v>0</v>
      </c>
      <c r="BD74" s="664">
        <f t="shared" ca="1" si="8"/>
        <v>0</v>
      </c>
      <c r="BE74" s="665" t="str">
        <f t="shared" ca="1" si="23"/>
        <v>-</v>
      </c>
    </row>
    <row r="75" spans="21:57" ht="15" thickBot="1" x14ac:dyDescent="0.35">
      <c r="U75" s="182"/>
      <c r="V75" s="182"/>
      <c r="W75" s="182"/>
      <c r="X75" s="182"/>
      <c r="Y75" s="182"/>
      <c r="Z75" s="182"/>
      <c r="AU75" s="206"/>
      <c r="AV75" s="224" t="s">
        <v>418</v>
      </c>
      <c r="AW75" s="1094"/>
      <c r="AX75" s="1107" t="s">
        <v>43</v>
      </c>
      <c r="AY75" s="1094" t="s">
        <v>14</v>
      </c>
      <c r="AZ75" s="1108">
        <f ca="1">SUMIFS('End Uses'!N:N,'End Uses'!D:D,'Summary Tables'!AV75,'End Uses'!I:I,'Summary Tables'!AX75,'End Uses'!J:J,'Summary Tables'!AY75)</f>
        <v>0</v>
      </c>
      <c r="BA75" s="689" t="str">
        <f t="shared" ca="1" si="44"/>
        <v>-</v>
      </c>
      <c r="BB75" s="1109">
        <f ca="1">SUMIFS('End Uses'!T:T,'End Uses'!D:D,'Summary Tables'!AV75,'End Uses'!I:I,'Summary Tables'!AX75,'End Uses'!J:J,'Summary Tables'!AY75)</f>
        <v>0</v>
      </c>
      <c r="BC75" s="1110">
        <f t="shared" ca="1" si="17"/>
        <v>0</v>
      </c>
      <c r="BD75" s="689">
        <f t="shared" ca="1" si="8"/>
        <v>0</v>
      </c>
      <c r="BE75" s="690" t="str">
        <f t="shared" ca="1" si="23"/>
        <v>-</v>
      </c>
    </row>
    <row r="76" spans="21:57" x14ac:dyDescent="0.3">
      <c r="U76" s="182"/>
      <c r="V76" s="182"/>
      <c r="W76" s="182"/>
      <c r="X76" s="182"/>
      <c r="Y76" s="182"/>
      <c r="Z76" s="182"/>
      <c r="AU76" s="993"/>
      <c r="AV76" s="224" t="str">
        <f>AV75</f>
        <v>Fire and Police Stations</v>
      </c>
      <c r="AW76" s="1072" t="s">
        <v>8</v>
      </c>
      <c r="AX76" s="1089" t="s">
        <v>8</v>
      </c>
      <c r="AY76" s="1072" t="s">
        <v>52</v>
      </c>
      <c r="AZ76" s="1081">
        <f ca="1">SUMIFS('End Uses'!N:N,'End Uses'!D:D,'Summary Tables'!AV76,'End Uses'!I:I,'Summary Tables'!AX76,'End Uses'!J:J,'Summary Tables'!AY76)</f>
        <v>0</v>
      </c>
      <c r="BA76" s="664" t="str">
        <f t="shared" ca="1" si="44"/>
        <v>-</v>
      </c>
      <c r="BB76" s="1086">
        <f ca="1">SUMIFS('End Uses'!T:T,'End Uses'!D:D,'Summary Tables'!AV76,'End Uses'!I:I,'Summary Tables'!AX76,'End Uses'!J:J,'Summary Tables'!AY76)</f>
        <v>0</v>
      </c>
      <c r="BC76" s="1087">
        <f t="shared" ref="BC76:BC78" ca="1" si="56">AZ76-BB76</f>
        <v>0</v>
      </c>
      <c r="BD76" s="664">
        <f t="shared" ref="BD76:BD78" ca="1" si="57">IFERROR(BC76/AZ76,0)</f>
        <v>0</v>
      </c>
      <c r="BE76" s="665" t="str">
        <f t="shared" ref="BE76:BE78" ca="1" si="58">IFERROR(AZ76/BB76,"-")</f>
        <v>-</v>
      </c>
    </row>
    <row r="77" spans="21:57" x14ac:dyDescent="0.3">
      <c r="U77" s="182"/>
      <c r="V77" s="182"/>
      <c r="W77" s="182"/>
      <c r="X77" s="182"/>
      <c r="Y77" s="182"/>
      <c r="Z77" s="182"/>
      <c r="AU77" s="993"/>
      <c r="AV77" s="224" t="str">
        <f>AV76</f>
        <v>Fire and Police Stations</v>
      </c>
      <c r="AW77" s="1090"/>
      <c r="AX77" s="1106" t="s">
        <v>8</v>
      </c>
      <c r="AY77" s="1090" t="s">
        <v>53</v>
      </c>
      <c r="AZ77" s="1100">
        <f ca="1">SUMIFS('End Uses'!N:N,'End Uses'!D:D,'Summary Tables'!AV77,'End Uses'!I:I,'Summary Tables'!AX77,'End Uses'!J:J,'Summary Tables'!AY77)</f>
        <v>0</v>
      </c>
      <c r="BA77" s="666" t="str">
        <f t="shared" ca="1" si="44"/>
        <v>-</v>
      </c>
      <c r="BB77" s="1104">
        <f ca="1">SUMIFS('End Uses'!T:T,'End Uses'!D:D,'Summary Tables'!AV77,'End Uses'!I:I,'Summary Tables'!AX77,'End Uses'!J:J,'Summary Tables'!AY77)</f>
        <v>0</v>
      </c>
      <c r="BC77" s="1105">
        <f t="shared" ca="1" si="56"/>
        <v>0</v>
      </c>
      <c r="BD77" s="666">
        <f t="shared" ca="1" si="57"/>
        <v>0</v>
      </c>
      <c r="BE77" s="667" t="str">
        <f t="shared" ca="1" si="58"/>
        <v>-</v>
      </c>
    </row>
    <row r="78" spans="21:57" ht="15" thickBot="1" x14ac:dyDescent="0.35">
      <c r="U78" s="182"/>
      <c r="V78" s="182"/>
      <c r="W78" s="182"/>
      <c r="X78" s="182"/>
      <c r="Y78" s="182"/>
      <c r="Z78" s="182"/>
      <c r="AU78" s="1140"/>
      <c r="AV78" s="226" t="str">
        <f>AV77</f>
        <v>Fire and Police Stations</v>
      </c>
      <c r="AW78" s="1115"/>
      <c r="AX78" s="1141" t="s">
        <v>8</v>
      </c>
      <c r="AY78" s="1115" t="s">
        <v>54</v>
      </c>
      <c r="AZ78" s="1118">
        <f ca="1">SUMIFS('End Uses'!N:N,'End Uses'!D:D,'Summary Tables'!AV78,'End Uses'!I:I,'Summary Tables'!AX78,'End Uses'!J:J,'Summary Tables'!AY78)</f>
        <v>0</v>
      </c>
      <c r="BA78" s="668" t="str">
        <f t="shared" ca="1" si="44"/>
        <v>-</v>
      </c>
      <c r="BB78" s="1142">
        <f ca="1">SUMIFS('End Uses'!T:T,'End Uses'!D:D,'Summary Tables'!AV78,'End Uses'!I:I,'Summary Tables'!AX78,'End Uses'!J:J,'Summary Tables'!AY78)</f>
        <v>0</v>
      </c>
      <c r="BC78" s="1143">
        <f t="shared" ca="1" si="56"/>
        <v>0</v>
      </c>
      <c r="BD78" s="668">
        <f t="shared" ca="1" si="57"/>
        <v>0</v>
      </c>
      <c r="BE78" s="669" t="str">
        <f t="shared" ca="1" si="58"/>
        <v>-</v>
      </c>
    </row>
    <row r="79" spans="21:57" x14ac:dyDescent="0.3">
      <c r="U79" s="182"/>
      <c r="V79" s="182"/>
      <c r="W79" s="182"/>
      <c r="X79" s="182"/>
      <c r="Y79" s="182"/>
      <c r="Z79" s="182"/>
      <c r="AU79" s="1012" t="s">
        <v>16</v>
      </c>
      <c r="AV79" s="485" t="s">
        <v>16</v>
      </c>
      <c r="AW79" s="1146" t="s">
        <v>45</v>
      </c>
      <c r="AX79" s="1170" t="s">
        <v>45</v>
      </c>
      <c r="AY79" s="1146" t="s">
        <v>2</v>
      </c>
      <c r="AZ79" s="1164">
        <f ca="1">SUMIFS('End Uses'!N:N,'End Uses'!D:D,'Summary Tables'!AV79,'End Uses'!I:I,'Summary Tables'!AX79,'End Uses'!J:J,'Summary Tables'!AY79)</f>
        <v>0</v>
      </c>
      <c r="BA79" s="681" t="str">
        <f t="shared" ref="BA79:BA109" ca="1" si="59">IFERROR(AZ79/$AZ$129,"-")</f>
        <v>-</v>
      </c>
      <c r="BB79" s="1171">
        <f ca="1">SUMIFS('End Uses'!T:T,'End Uses'!D:D,'Summary Tables'!AV79,'End Uses'!I:I,'Summary Tables'!AX79,'End Uses'!J:J,'Summary Tables'!AY79)</f>
        <v>0</v>
      </c>
      <c r="BC79" s="1172">
        <f t="shared" ca="1" si="17"/>
        <v>0</v>
      </c>
      <c r="BD79" s="681">
        <f t="shared" ca="1" si="8"/>
        <v>0</v>
      </c>
      <c r="BE79" s="682" t="str">
        <f t="shared" ca="1" si="23"/>
        <v>-</v>
      </c>
    </row>
    <row r="80" spans="21:57" x14ac:dyDescent="0.3">
      <c r="U80" s="182"/>
      <c r="V80" s="182"/>
      <c r="W80" s="182"/>
      <c r="X80" s="182"/>
      <c r="Y80" s="182"/>
      <c r="Z80" s="182"/>
      <c r="AU80" s="206"/>
      <c r="AV80" s="224" t="s">
        <v>16</v>
      </c>
      <c r="AW80" s="1090"/>
      <c r="AX80" s="1106" t="s">
        <v>45</v>
      </c>
      <c r="AY80" s="1090" t="s">
        <v>18</v>
      </c>
      <c r="AZ80" s="1100">
        <f ca="1">SUMIFS('End Uses'!N:N,'End Uses'!D:D,'Summary Tables'!AV80,'End Uses'!I:I,'Summary Tables'!AX80,'End Uses'!J:J,'Summary Tables'!AY80)</f>
        <v>0</v>
      </c>
      <c r="BA80" s="666" t="str">
        <f t="shared" ca="1" si="59"/>
        <v>-</v>
      </c>
      <c r="BB80" s="1104">
        <f ca="1">SUMIFS('End Uses'!T:T,'End Uses'!D:D,'Summary Tables'!AV80,'End Uses'!I:I,'Summary Tables'!AX80,'End Uses'!J:J,'Summary Tables'!AY80)</f>
        <v>0</v>
      </c>
      <c r="BC80" s="1105">
        <f t="shared" ca="1" si="17"/>
        <v>0</v>
      </c>
      <c r="BD80" s="666">
        <f t="shared" ca="1" si="8"/>
        <v>0</v>
      </c>
      <c r="BE80" s="667" t="str">
        <f t="shared" ca="1" si="23"/>
        <v>-</v>
      </c>
    </row>
    <row r="81" spans="21:57" ht="15" thickBot="1" x14ac:dyDescent="0.35">
      <c r="U81" s="182"/>
      <c r="V81" s="182"/>
      <c r="W81" s="182"/>
      <c r="X81" s="182"/>
      <c r="Y81" s="182"/>
      <c r="Z81" s="182"/>
      <c r="AU81" s="206"/>
      <c r="AV81" s="224" t="s">
        <v>16</v>
      </c>
      <c r="AW81" s="1094"/>
      <c r="AX81" s="1107" t="s">
        <v>45</v>
      </c>
      <c r="AY81" s="1094" t="s">
        <v>33</v>
      </c>
      <c r="AZ81" s="1108">
        <f ca="1">SUMIFS('End Uses'!N:N,'End Uses'!D:D,'Summary Tables'!AV81,'End Uses'!I:I,'Summary Tables'!AX81,'End Uses'!J:J,'Summary Tables'!AY81)</f>
        <v>0</v>
      </c>
      <c r="BA81" s="689" t="str">
        <f t="shared" ca="1" si="59"/>
        <v>-</v>
      </c>
      <c r="BB81" s="1109">
        <f ca="1">SUMIFS('End Uses'!T:T,'End Uses'!D:D,'Summary Tables'!AV81,'End Uses'!I:I,'Summary Tables'!AX81,'End Uses'!J:J,'Summary Tables'!AY81)</f>
        <v>0</v>
      </c>
      <c r="BC81" s="1110">
        <f t="shared" ca="1" si="17"/>
        <v>0</v>
      </c>
      <c r="BD81" s="689">
        <f t="shared" ca="1" si="8"/>
        <v>0</v>
      </c>
      <c r="BE81" s="690" t="str">
        <f t="shared" ca="1" si="23"/>
        <v>-</v>
      </c>
    </row>
    <row r="82" spans="21:57" x14ac:dyDescent="0.3">
      <c r="U82" s="182"/>
      <c r="V82" s="182"/>
      <c r="W82" s="182"/>
      <c r="X82" s="182"/>
      <c r="Y82" s="182"/>
      <c r="Z82" s="182"/>
      <c r="AU82" s="206"/>
      <c r="AV82" s="224" t="s">
        <v>16</v>
      </c>
      <c r="AW82" s="1072" t="s">
        <v>38</v>
      </c>
      <c r="AX82" s="1089" t="s">
        <v>38</v>
      </c>
      <c r="AY82" s="1072" t="s">
        <v>114</v>
      </c>
      <c r="AZ82" s="1081">
        <f ca="1">SUMIFS('End Uses'!N:N,'End Uses'!D:D,'Summary Tables'!AV82,'End Uses'!I:I,'Summary Tables'!AX82,'End Uses'!J:J,'Summary Tables'!AY82)</f>
        <v>0</v>
      </c>
      <c r="BA82" s="664" t="str">
        <f t="shared" ca="1" si="59"/>
        <v>-</v>
      </c>
      <c r="BB82" s="1086">
        <f ca="1">SUMIFS('End Uses'!T:T,'End Uses'!D:D,'Summary Tables'!AV82,'End Uses'!I:I,'Summary Tables'!AX82,'End Uses'!J:J,'Summary Tables'!AY82)</f>
        <v>0</v>
      </c>
      <c r="BC82" s="1087">
        <f t="shared" ca="1" si="17"/>
        <v>0</v>
      </c>
      <c r="BD82" s="664">
        <f t="shared" ca="1" si="8"/>
        <v>0</v>
      </c>
      <c r="BE82" s="665" t="str">
        <f t="shared" ca="1" si="23"/>
        <v>-</v>
      </c>
    </row>
    <row r="83" spans="21:57" x14ac:dyDescent="0.3">
      <c r="U83" s="182"/>
      <c r="V83" s="182"/>
      <c r="W83" s="182"/>
      <c r="X83" s="182"/>
      <c r="Y83" s="182"/>
      <c r="Z83" s="182"/>
      <c r="AU83" s="206"/>
      <c r="AV83" s="224" t="s">
        <v>16</v>
      </c>
      <c r="AW83" s="1090"/>
      <c r="AX83" s="1106" t="s">
        <v>38</v>
      </c>
      <c r="AY83" s="1090" t="s">
        <v>127</v>
      </c>
      <c r="AZ83" s="1100">
        <f ca="1">SUMIFS('End Uses'!N:N,'End Uses'!D:D,'Summary Tables'!AV83,'End Uses'!I:I,'Summary Tables'!AX83,'End Uses'!J:J,'Summary Tables'!AY83)</f>
        <v>0</v>
      </c>
      <c r="BA83" s="666" t="str">
        <f t="shared" ca="1" si="59"/>
        <v>-</v>
      </c>
      <c r="BB83" s="1104">
        <f ca="1">SUMIFS('End Uses'!T:T,'End Uses'!D:D,'Summary Tables'!AV83,'End Uses'!I:I,'Summary Tables'!AX83,'End Uses'!J:J,'Summary Tables'!AY83)</f>
        <v>0</v>
      </c>
      <c r="BC83" s="1105">
        <f t="shared" ca="1" si="17"/>
        <v>0</v>
      </c>
      <c r="BD83" s="666">
        <f t="shared" ca="1" si="8"/>
        <v>0</v>
      </c>
      <c r="BE83" s="667" t="str">
        <f t="shared" ca="1" si="23"/>
        <v>-</v>
      </c>
    </row>
    <row r="84" spans="21:57" x14ac:dyDescent="0.3">
      <c r="U84" s="182"/>
      <c r="V84" s="182"/>
      <c r="W84" s="182"/>
      <c r="X84" s="182"/>
      <c r="Y84" s="182"/>
      <c r="Z84" s="182"/>
      <c r="AU84" s="206"/>
      <c r="AV84" s="224" t="s">
        <v>16</v>
      </c>
      <c r="AW84" s="1090"/>
      <c r="AX84" s="1106" t="s">
        <v>38</v>
      </c>
      <c r="AY84" s="1090" t="s">
        <v>41</v>
      </c>
      <c r="AZ84" s="1100">
        <f ca="1">SUMIFS('End Uses'!N:N,'End Uses'!D:D,'Summary Tables'!AV84,'End Uses'!I:I,'Summary Tables'!AX84,'End Uses'!J:J,'Summary Tables'!AY84)</f>
        <v>0</v>
      </c>
      <c r="BA84" s="666" t="str">
        <f t="shared" ca="1" si="59"/>
        <v>-</v>
      </c>
      <c r="BB84" s="1104">
        <f ca="1">SUMIFS('End Uses'!T:T,'End Uses'!D:D,'Summary Tables'!AV84,'End Uses'!I:I,'Summary Tables'!AX84,'End Uses'!J:J,'Summary Tables'!AY84)</f>
        <v>0</v>
      </c>
      <c r="BC84" s="1105">
        <f t="shared" ca="1" si="17"/>
        <v>0</v>
      </c>
      <c r="BD84" s="666">
        <f t="shared" ca="1" si="8"/>
        <v>0</v>
      </c>
      <c r="BE84" s="667" t="str">
        <f t="shared" ca="1" si="23"/>
        <v>-</v>
      </c>
    </row>
    <row r="85" spans="21:57" ht="15" thickBot="1" x14ac:dyDescent="0.35">
      <c r="U85" s="182"/>
      <c r="V85" s="182"/>
      <c r="W85" s="182"/>
      <c r="X85" s="182"/>
      <c r="Y85" s="182"/>
      <c r="Z85" s="182"/>
      <c r="AU85" s="206"/>
      <c r="AV85" s="224" t="s">
        <v>16</v>
      </c>
      <c r="AW85" s="1115"/>
      <c r="AX85" s="1116" t="s">
        <v>38</v>
      </c>
      <c r="AY85" s="1115" t="s">
        <v>20</v>
      </c>
      <c r="AZ85" s="1118">
        <f ca="1">SUMIFS('End Uses'!N:N,'End Uses'!D:D,'Summary Tables'!AV85,'End Uses'!I:I,'Summary Tables'!AX85,'End Uses'!J:J,'Summary Tables'!AY85)</f>
        <v>0</v>
      </c>
      <c r="BA85" s="668" t="str">
        <f t="shared" ca="1" si="59"/>
        <v>-</v>
      </c>
      <c r="BB85" s="1142">
        <f ca="1">SUMIFS('End Uses'!T:T,'End Uses'!D:D,'Summary Tables'!AV85,'End Uses'!I:I,'Summary Tables'!AX85,'End Uses'!J:J,'Summary Tables'!AY85)</f>
        <v>0</v>
      </c>
      <c r="BC85" s="1143">
        <f t="shared" ca="1" si="17"/>
        <v>0</v>
      </c>
      <c r="BD85" s="668">
        <f t="shared" ca="1" si="8"/>
        <v>0</v>
      </c>
      <c r="BE85" s="669" t="str">
        <f t="shared" ca="1" si="23"/>
        <v>-</v>
      </c>
    </row>
    <row r="86" spans="21:57" x14ac:dyDescent="0.3">
      <c r="U86" s="182"/>
      <c r="V86" s="182"/>
      <c r="W86" s="182"/>
      <c r="X86" s="182"/>
      <c r="Y86" s="182"/>
      <c r="Z86" s="182"/>
      <c r="AU86" s="206"/>
      <c r="AV86" s="224" t="s">
        <v>16</v>
      </c>
      <c r="AW86" s="1146" t="s">
        <v>43</v>
      </c>
      <c r="AX86" s="1170" t="s">
        <v>43</v>
      </c>
      <c r="AY86" s="1146" t="s">
        <v>111</v>
      </c>
      <c r="AZ86" s="1164">
        <f ca="1">SUMIFS('End Uses'!N:N,'End Uses'!D:D,'Summary Tables'!AV86,'End Uses'!I:I,'Summary Tables'!AX86,'End Uses'!J:J,'Summary Tables'!AY86)</f>
        <v>0</v>
      </c>
      <c r="BA86" s="681" t="str">
        <f t="shared" ca="1" si="59"/>
        <v>-</v>
      </c>
      <c r="BB86" s="1171">
        <f ca="1">SUMIFS('End Uses'!T:T,'End Uses'!D:D,'Summary Tables'!AV86,'End Uses'!I:I,'Summary Tables'!AX86,'End Uses'!J:J,'Summary Tables'!AY86)</f>
        <v>0</v>
      </c>
      <c r="BC86" s="1172">
        <f t="shared" ca="1" si="17"/>
        <v>0</v>
      </c>
      <c r="BD86" s="681">
        <f t="shared" ca="1" si="8"/>
        <v>0</v>
      </c>
      <c r="BE86" s="682" t="str">
        <f t="shared" ca="1" si="23"/>
        <v>-</v>
      </c>
    </row>
    <row r="87" spans="21:57" x14ac:dyDescent="0.3">
      <c r="U87" s="182"/>
      <c r="V87" s="182"/>
      <c r="W87" s="182"/>
      <c r="X87" s="182"/>
      <c r="Y87" s="182"/>
      <c r="Z87" s="182"/>
      <c r="AU87" s="206"/>
      <c r="AV87" s="224" t="s">
        <v>16</v>
      </c>
      <c r="AW87" s="1090"/>
      <c r="AX87" s="1106" t="s">
        <v>43</v>
      </c>
      <c r="AY87" s="1090" t="s">
        <v>7</v>
      </c>
      <c r="AZ87" s="1100">
        <f ca="1">SUMIFS('End Uses'!N:N,'End Uses'!D:D,'Summary Tables'!AV87,'End Uses'!I:I,'Summary Tables'!AX87,'End Uses'!J:J,'Summary Tables'!AY87)</f>
        <v>0</v>
      </c>
      <c r="BA87" s="666" t="str">
        <f t="shared" ca="1" si="59"/>
        <v>-</v>
      </c>
      <c r="BB87" s="1104">
        <f ca="1">SUMIFS('End Uses'!T:T,'End Uses'!D:D,'Summary Tables'!AV87,'End Uses'!I:I,'Summary Tables'!AX87,'End Uses'!J:J,'Summary Tables'!AY87)</f>
        <v>0</v>
      </c>
      <c r="BC87" s="1105">
        <f t="shared" ca="1" si="17"/>
        <v>0</v>
      </c>
      <c r="BD87" s="666">
        <f t="shared" ca="1" si="8"/>
        <v>0</v>
      </c>
      <c r="BE87" s="667" t="str">
        <f t="shared" ca="1" si="23"/>
        <v>-</v>
      </c>
    </row>
    <row r="88" spans="21:57" x14ac:dyDescent="0.3">
      <c r="U88" s="182"/>
      <c r="V88" s="182"/>
      <c r="W88" s="182"/>
      <c r="X88" s="182"/>
      <c r="Y88" s="182"/>
      <c r="Z88" s="182"/>
      <c r="AU88" s="206"/>
      <c r="AV88" s="224" t="s">
        <v>16</v>
      </c>
      <c r="AW88" s="1090"/>
      <c r="AX88" s="1106" t="s">
        <v>43</v>
      </c>
      <c r="AY88" s="1090" t="s">
        <v>112</v>
      </c>
      <c r="AZ88" s="1100">
        <f ca="1">SUMIFS('End Uses'!N:N,'End Uses'!D:D,'Summary Tables'!AV88,'End Uses'!I:I,'Summary Tables'!AX88,'End Uses'!J:J,'Summary Tables'!AY88)</f>
        <v>0</v>
      </c>
      <c r="BA88" s="666" t="str">
        <f t="shared" ca="1" si="59"/>
        <v>-</v>
      </c>
      <c r="BB88" s="1104">
        <f ca="1">SUMIFS('End Uses'!T:T,'End Uses'!D:D,'Summary Tables'!AV88,'End Uses'!I:I,'Summary Tables'!AX88,'End Uses'!J:J,'Summary Tables'!AY88)</f>
        <v>0</v>
      </c>
      <c r="BC88" s="1105">
        <f t="shared" ca="1" si="17"/>
        <v>0</v>
      </c>
      <c r="BD88" s="666">
        <f t="shared" ca="1" si="8"/>
        <v>0</v>
      </c>
      <c r="BE88" s="667" t="str">
        <f t="shared" ca="1" si="23"/>
        <v>-</v>
      </c>
    </row>
    <row r="89" spans="21:57" ht="15" thickBot="1" x14ac:dyDescent="0.35">
      <c r="U89" s="182"/>
      <c r="V89" s="182"/>
      <c r="W89" s="182"/>
      <c r="X89" s="182"/>
      <c r="Y89" s="182"/>
      <c r="Z89" s="182"/>
      <c r="AU89" s="206"/>
      <c r="AV89" s="224" t="s">
        <v>16</v>
      </c>
      <c r="AW89" s="1094"/>
      <c r="AX89" s="617" t="s">
        <v>43</v>
      </c>
      <c r="AY89" s="1094" t="s">
        <v>21</v>
      </c>
      <c r="AZ89" s="1108">
        <f ca="1">SUMIFS('End Uses'!N:N,'End Uses'!D:D,'Summary Tables'!AV89,'End Uses'!I:I,'Summary Tables'!AX89,'End Uses'!J:J,'Summary Tables'!AY89)</f>
        <v>0</v>
      </c>
      <c r="BA89" s="689" t="str">
        <f t="shared" ca="1" si="59"/>
        <v>-</v>
      </c>
      <c r="BB89" s="1109">
        <f ca="1">SUMIFS('End Uses'!T:T,'End Uses'!D:D,'Summary Tables'!AV89,'End Uses'!I:I,'Summary Tables'!AX89,'End Uses'!J:J,'Summary Tables'!AY89)</f>
        <v>0</v>
      </c>
      <c r="BC89" s="1110">
        <f t="shared" ca="1" si="17"/>
        <v>0</v>
      </c>
      <c r="BD89" s="689">
        <f t="shared" ref="BD89:BD129" ca="1" si="60">IFERROR(BC89/AZ89,0)</f>
        <v>0</v>
      </c>
      <c r="BE89" s="690" t="str">
        <f t="shared" ca="1" si="23"/>
        <v>-</v>
      </c>
    </row>
    <row r="90" spans="21:57" ht="15" thickBot="1" x14ac:dyDescent="0.35">
      <c r="U90" s="182"/>
      <c r="V90" s="182"/>
      <c r="W90" s="182"/>
      <c r="X90" s="182"/>
      <c r="Y90" s="182"/>
      <c r="Z90" s="182"/>
      <c r="AU90" s="206"/>
      <c r="AV90" s="224" t="s">
        <v>16</v>
      </c>
      <c r="AW90" s="1133" t="s">
        <v>39</v>
      </c>
      <c r="AX90" s="956" t="s">
        <v>39</v>
      </c>
      <c r="AY90" s="1133" t="s">
        <v>42</v>
      </c>
      <c r="AZ90" s="1129">
        <f ca="1">SUMIFS('End Uses'!N:N,'End Uses'!D:D,'Summary Tables'!AV90,'End Uses'!I:I,'Summary Tables'!AX90,'End Uses'!J:J,'Summary Tables'!AY90)</f>
        <v>0</v>
      </c>
      <c r="BA90" s="679" t="str">
        <f t="shared" ca="1" si="59"/>
        <v>-</v>
      </c>
      <c r="BB90" s="1154">
        <f ca="1">SUMIFS('End Uses'!T:T,'End Uses'!D:D,'Summary Tables'!AV90,'End Uses'!I:I,'Summary Tables'!AX90,'End Uses'!J:J,'Summary Tables'!AY90)</f>
        <v>0</v>
      </c>
      <c r="BC90" s="1155">
        <f t="shared" ref="BC90:BC128" ca="1" si="61">AZ90-BB90</f>
        <v>0</v>
      </c>
      <c r="BD90" s="679">
        <f t="shared" ca="1" si="60"/>
        <v>0</v>
      </c>
      <c r="BE90" s="673" t="str">
        <f t="shared" ca="1" si="23"/>
        <v>-</v>
      </c>
    </row>
    <row r="91" spans="21:57" x14ac:dyDescent="0.3">
      <c r="U91" s="182"/>
      <c r="V91" s="182"/>
      <c r="W91" s="182"/>
      <c r="X91" s="182"/>
      <c r="Y91" s="182"/>
      <c r="Z91" s="182"/>
      <c r="AU91" s="993"/>
      <c r="AV91" s="224" t="str">
        <f>AV90</f>
        <v>Hotels</v>
      </c>
      <c r="AW91" s="1072" t="s">
        <v>8</v>
      </c>
      <c r="AX91" s="1089" t="s">
        <v>8</v>
      </c>
      <c r="AY91" s="1072" t="s">
        <v>52</v>
      </c>
      <c r="AZ91" s="1081">
        <f ca="1">SUMIFS('End Uses'!N:N,'End Uses'!D:D,'Summary Tables'!AV91,'End Uses'!I:I,'Summary Tables'!AX91,'End Uses'!J:J,'Summary Tables'!AY91)</f>
        <v>0</v>
      </c>
      <c r="BA91" s="664" t="str">
        <f t="shared" ca="1" si="59"/>
        <v>-</v>
      </c>
      <c r="BB91" s="1086">
        <f ca="1">SUMIFS('End Uses'!T:T,'End Uses'!D:D,'Summary Tables'!AV91,'End Uses'!I:I,'Summary Tables'!AX91,'End Uses'!J:J,'Summary Tables'!AY91)</f>
        <v>0</v>
      </c>
      <c r="BC91" s="1087">
        <f t="shared" ref="BC91:BC93" ca="1" si="62">AZ91-BB91</f>
        <v>0</v>
      </c>
      <c r="BD91" s="664">
        <f t="shared" ref="BD91:BD93" ca="1" si="63">IFERROR(BC91/AZ91,0)</f>
        <v>0</v>
      </c>
      <c r="BE91" s="665" t="str">
        <f t="shared" ref="BE91:BE93" ca="1" si="64">IFERROR(AZ91/BB91,"-")</f>
        <v>-</v>
      </c>
    </row>
    <row r="92" spans="21:57" x14ac:dyDescent="0.3">
      <c r="U92" s="182"/>
      <c r="V92" s="182"/>
      <c r="W92" s="182"/>
      <c r="X92" s="182"/>
      <c r="Y92" s="182"/>
      <c r="Z92" s="182"/>
      <c r="AU92" s="993"/>
      <c r="AV92" s="224" t="str">
        <f>AV91</f>
        <v>Hotels</v>
      </c>
      <c r="AW92" s="1090"/>
      <c r="AX92" s="1106" t="s">
        <v>8</v>
      </c>
      <c r="AY92" s="1090" t="s">
        <v>53</v>
      </c>
      <c r="AZ92" s="1100">
        <f ca="1">SUMIFS('End Uses'!N:N,'End Uses'!D:D,'Summary Tables'!AV92,'End Uses'!I:I,'Summary Tables'!AX92,'End Uses'!J:J,'Summary Tables'!AY92)</f>
        <v>0</v>
      </c>
      <c r="BA92" s="666" t="str">
        <f t="shared" ca="1" si="59"/>
        <v>-</v>
      </c>
      <c r="BB92" s="1104">
        <f ca="1">SUMIFS('End Uses'!T:T,'End Uses'!D:D,'Summary Tables'!AV92,'End Uses'!I:I,'Summary Tables'!AX92,'End Uses'!J:J,'Summary Tables'!AY92)</f>
        <v>0</v>
      </c>
      <c r="BC92" s="1105">
        <f t="shared" ca="1" si="62"/>
        <v>0</v>
      </c>
      <c r="BD92" s="666">
        <f t="shared" ca="1" si="63"/>
        <v>0</v>
      </c>
      <c r="BE92" s="667" t="str">
        <f t="shared" ca="1" si="64"/>
        <v>-</v>
      </c>
    </row>
    <row r="93" spans="21:57" ht="15" thickBot="1" x14ac:dyDescent="0.35">
      <c r="U93" s="182"/>
      <c r="V93" s="182"/>
      <c r="W93" s="182"/>
      <c r="X93" s="182"/>
      <c r="Y93" s="182"/>
      <c r="Z93" s="182"/>
      <c r="AU93" s="1140"/>
      <c r="AV93" s="226" t="str">
        <f>AV92</f>
        <v>Hotels</v>
      </c>
      <c r="AW93" s="1094"/>
      <c r="AX93" s="1107" t="s">
        <v>8</v>
      </c>
      <c r="AY93" s="1094" t="s">
        <v>54</v>
      </c>
      <c r="AZ93" s="1108">
        <f ca="1">SUMIFS('End Uses'!N:N,'End Uses'!D:D,'Summary Tables'!AV93,'End Uses'!I:I,'Summary Tables'!AX93,'End Uses'!J:J,'Summary Tables'!AY93)</f>
        <v>0</v>
      </c>
      <c r="BA93" s="689" t="str">
        <f t="shared" ca="1" si="59"/>
        <v>-</v>
      </c>
      <c r="BB93" s="1109">
        <f ca="1">SUMIFS('End Uses'!T:T,'End Uses'!D:D,'Summary Tables'!AV93,'End Uses'!I:I,'Summary Tables'!AX93,'End Uses'!J:J,'Summary Tables'!AY93)</f>
        <v>0</v>
      </c>
      <c r="BC93" s="1110">
        <f t="shared" ca="1" si="62"/>
        <v>0</v>
      </c>
      <c r="BD93" s="689">
        <f t="shared" ca="1" si="63"/>
        <v>0</v>
      </c>
      <c r="BE93" s="690" t="str">
        <f t="shared" ca="1" si="64"/>
        <v>-</v>
      </c>
    </row>
    <row r="94" spans="21:57" x14ac:dyDescent="0.3">
      <c r="U94" s="182"/>
      <c r="V94" s="182"/>
      <c r="W94" s="182"/>
      <c r="X94" s="182"/>
      <c r="Y94" s="182"/>
      <c r="Z94" s="182"/>
      <c r="AU94" s="206" t="s">
        <v>417</v>
      </c>
      <c r="AV94" s="493" t="s">
        <v>417</v>
      </c>
      <c r="AW94" s="1072" t="s">
        <v>43</v>
      </c>
      <c r="AX94" s="1089" t="s">
        <v>43</v>
      </c>
      <c r="AY94" s="1072" t="s">
        <v>111</v>
      </c>
      <c r="AZ94" s="1081">
        <f ca="1">SUMIFS('End Uses'!N:N,'End Uses'!D:D,'Summary Tables'!AV94,'End Uses'!I:I,'Summary Tables'!AX94,'End Uses'!J:J,'Summary Tables'!AY94)</f>
        <v>0</v>
      </c>
      <c r="BA94" s="664" t="str">
        <f t="shared" ca="1" si="59"/>
        <v>-</v>
      </c>
      <c r="BB94" s="1086">
        <f ca="1">SUMIFS('End Uses'!T:T,'End Uses'!D:D,'Summary Tables'!AV94,'End Uses'!I:I,'Summary Tables'!AX94,'End Uses'!J:J,'Summary Tables'!AY94)</f>
        <v>0</v>
      </c>
      <c r="BC94" s="1087">
        <f t="shared" ca="1" si="61"/>
        <v>0</v>
      </c>
      <c r="BD94" s="664">
        <f t="shared" ca="1" si="60"/>
        <v>0</v>
      </c>
      <c r="BE94" s="665" t="str">
        <f t="shared" ref="BE94:BE129" ca="1" si="65">IFERROR(AZ94/BB94,"-")</f>
        <v>-</v>
      </c>
    </row>
    <row r="95" spans="21:57" ht="15" thickBot="1" x14ac:dyDescent="0.35">
      <c r="U95" s="182"/>
      <c r="V95" s="182"/>
      <c r="W95" s="182"/>
      <c r="X95" s="182"/>
      <c r="Y95" s="182"/>
      <c r="Z95" s="182"/>
      <c r="AU95" s="206"/>
      <c r="AV95" s="493" t="s">
        <v>417</v>
      </c>
      <c r="AW95" s="1094"/>
      <c r="AX95" s="1107" t="s">
        <v>43</v>
      </c>
      <c r="AY95" s="1094" t="s">
        <v>7</v>
      </c>
      <c r="AZ95" s="1108">
        <f ca="1">SUMIFS('End Uses'!N:N,'End Uses'!D:D,'Summary Tables'!AV95,'End Uses'!I:I,'Summary Tables'!AX95,'End Uses'!J:J,'Summary Tables'!AY95)</f>
        <v>0</v>
      </c>
      <c r="BA95" s="689" t="str">
        <f t="shared" ca="1" si="59"/>
        <v>-</v>
      </c>
      <c r="BB95" s="1109">
        <f ca="1">SUMIFS('End Uses'!T:T,'End Uses'!D:D,'Summary Tables'!AV95,'End Uses'!I:I,'Summary Tables'!AX95,'End Uses'!J:J,'Summary Tables'!AY95)</f>
        <v>0</v>
      </c>
      <c r="BC95" s="1110">
        <f t="shared" ca="1" si="61"/>
        <v>0</v>
      </c>
      <c r="BD95" s="689">
        <f t="shared" ca="1" si="60"/>
        <v>0</v>
      </c>
      <c r="BE95" s="690" t="str">
        <f t="shared" ca="1" si="65"/>
        <v>-</v>
      </c>
    </row>
    <row r="96" spans="21:57" x14ac:dyDescent="0.3">
      <c r="U96" s="182"/>
      <c r="V96" s="182"/>
      <c r="W96" s="182"/>
      <c r="X96" s="182"/>
      <c r="Y96" s="182"/>
      <c r="Z96" s="182"/>
      <c r="AU96" s="993"/>
      <c r="AV96" s="493" t="s">
        <v>417</v>
      </c>
      <c r="AW96" s="1072" t="s">
        <v>8</v>
      </c>
      <c r="AX96" s="1089" t="s">
        <v>8</v>
      </c>
      <c r="AY96" s="1072" t="s">
        <v>52</v>
      </c>
      <c r="AZ96" s="1081">
        <f ca="1">SUMIFS('End Uses'!N:N,'End Uses'!D:D,'Summary Tables'!AV96,'End Uses'!I:I,'Summary Tables'!AX96,'End Uses'!J:J,'Summary Tables'!AY96)</f>
        <v>0</v>
      </c>
      <c r="BA96" s="664" t="str">
        <f t="shared" ca="1" si="59"/>
        <v>-</v>
      </c>
      <c r="BB96" s="1086">
        <f ca="1">SUMIFS('End Uses'!T:T,'End Uses'!D:D,'Summary Tables'!AV96,'End Uses'!I:I,'Summary Tables'!AX96,'End Uses'!J:J,'Summary Tables'!AY96)</f>
        <v>0</v>
      </c>
      <c r="BC96" s="1087">
        <f t="shared" ca="1" si="61"/>
        <v>0</v>
      </c>
      <c r="BD96" s="664">
        <f t="shared" ca="1" si="60"/>
        <v>0</v>
      </c>
      <c r="BE96" s="665" t="str">
        <f t="shared" ca="1" si="65"/>
        <v>-</v>
      </c>
    </row>
    <row r="97" spans="21:57" x14ac:dyDescent="0.3">
      <c r="U97" s="182"/>
      <c r="V97" s="182"/>
      <c r="W97" s="182"/>
      <c r="X97" s="182"/>
      <c r="Y97" s="182"/>
      <c r="Z97" s="182"/>
      <c r="AU97" s="993"/>
      <c r="AV97" s="493" t="s">
        <v>417</v>
      </c>
      <c r="AW97" s="1090"/>
      <c r="AX97" s="1106" t="s">
        <v>8</v>
      </c>
      <c r="AY97" s="1090" t="s">
        <v>53</v>
      </c>
      <c r="AZ97" s="1100">
        <f ca="1">SUMIFS('End Uses'!N:N,'End Uses'!D:D,'Summary Tables'!AV97,'End Uses'!I:I,'Summary Tables'!AX97,'End Uses'!J:J,'Summary Tables'!AY97)</f>
        <v>0</v>
      </c>
      <c r="BA97" s="666" t="str">
        <f t="shared" ca="1" si="59"/>
        <v>-</v>
      </c>
      <c r="BB97" s="1104">
        <f ca="1">SUMIFS('End Uses'!T:T,'End Uses'!D:D,'Summary Tables'!AV97,'End Uses'!I:I,'Summary Tables'!AX97,'End Uses'!J:J,'Summary Tables'!AY97)</f>
        <v>0</v>
      </c>
      <c r="BC97" s="1105">
        <f t="shared" ca="1" si="61"/>
        <v>0</v>
      </c>
      <c r="BD97" s="666">
        <f t="shared" ca="1" si="60"/>
        <v>0</v>
      </c>
      <c r="BE97" s="667" t="str">
        <f t="shared" ca="1" si="65"/>
        <v>-</v>
      </c>
    </row>
    <row r="98" spans="21:57" ht="15" thickBot="1" x14ac:dyDescent="0.35">
      <c r="U98" s="182"/>
      <c r="V98" s="182"/>
      <c r="W98" s="182"/>
      <c r="X98" s="182"/>
      <c r="Y98" s="182"/>
      <c r="Z98" s="182"/>
      <c r="AU98" s="1140"/>
      <c r="AV98" s="493" t="s">
        <v>417</v>
      </c>
      <c r="AW98" s="1115"/>
      <c r="AX98" s="1141" t="s">
        <v>8</v>
      </c>
      <c r="AY98" s="1115" t="s">
        <v>54</v>
      </c>
      <c r="AZ98" s="1118">
        <f ca="1">SUMIFS('End Uses'!N:N,'End Uses'!D:D,'Summary Tables'!AV98,'End Uses'!I:I,'Summary Tables'!AX98,'End Uses'!J:J,'Summary Tables'!AY98)</f>
        <v>0</v>
      </c>
      <c r="BA98" s="668" t="str">
        <f t="shared" ca="1" si="59"/>
        <v>-</v>
      </c>
      <c r="BB98" s="1142">
        <f ca="1">SUMIFS('End Uses'!T:T,'End Uses'!D:D,'Summary Tables'!AV98,'End Uses'!I:I,'Summary Tables'!AX98,'End Uses'!J:J,'Summary Tables'!AY98)</f>
        <v>0</v>
      </c>
      <c r="BC98" s="1143">
        <f t="shared" ca="1" si="61"/>
        <v>0</v>
      </c>
      <c r="BD98" s="668">
        <f t="shared" ca="1" si="60"/>
        <v>0</v>
      </c>
      <c r="BE98" s="669" t="str">
        <f t="shared" ca="1" si="65"/>
        <v>-</v>
      </c>
    </row>
    <row r="99" spans="21:57" x14ac:dyDescent="0.3">
      <c r="U99" s="182"/>
      <c r="V99" s="182"/>
      <c r="W99" s="182"/>
      <c r="X99" s="182"/>
      <c r="Y99" s="182"/>
      <c r="Z99" s="182"/>
      <c r="AU99" s="950" t="s">
        <v>419</v>
      </c>
      <c r="AV99" s="485" t="s">
        <v>419</v>
      </c>
      <c r="AW99" s="1146" t="s">
        <v>37</v>
      </c>
      <c r="AX99" s="1170" t="s">
        <v>37</v>
      </c>
      <c r="AY99" s="1146" t="s">
        <v>2</v>
      </c>
      <c r="AZ99" s="1164">
        <f ca="1">SUMIFS('End Uses'!N:N,'End Uses'!D:D,'Summary Tables'!AV99,'End Uses'!I:I,'Summary Tables'!AX99,'End Uses'!J:J,'Summary Tables'!AY99)</f>
        <v>0</v>
      </c>
      <c r="BA99" s="681" t="str">
        <f t="shared" ca="1" si="59"/>
        <v>-</v>
      </c>
      <c r="BB99" s="1171">
        <f ca="1">SUMIFS('End Uses'!T:T,'End Uses'!D:D,'Summary Tables'!AV99,'End Uses'!I:I,'Summary Tables'!AX99,'End Uses'!J:J,'Summary Tables'!AY99)</f>
        <v>0</v>
      </c>
      <c r="BC99" s="1172">
        <f t="shared" ca="1" si="61"/>
        <v>0</v>
      </c>
      <c r="BD99" s="681">
        <f t="shared" ca="1" si="60"/>
        <v>0</v>
      </c>
      <c r="BE99" s="682" t="str">
        <f t="shared" ca="1" si="65"/>
        <v>-</v>
      </c>
    </row>
    <row r="100" spans="21:57" x14ac:dyDescent="0.3">
      <c r="U100" s="182"/>
      <c r="V100" s="182"/>
      <c r="W100" s="182"/>
      <c r="X100" s="182"/>
      <c r="Y100" s="182"/>
      <c r="Z100" s="182"/>
      <c r="AU100" s="1035"/>
      <c r="AV100" s="224" t="s">
        <v>419</v>
      </c>
      <c r="AW100" s="1090"/>
      <c r="AX100" s="1106" t="s">
        <v>37</v>
      </c>
      <c r="AY100" s="1090" t="s">
        <v>4</v>
      </c>
      <c r="AZ100" s="1100">
        <f ca="1">SUMIFS('End Uses'!N:N,'End Uses'!D:D,'Summary Tables'!AV100,'End Uses'!I:I,'Summary Tables'!AX100,'End Uses'!J:J,'Summary Tables'!AY100)</f>
        <v>0</v>
      </c>
      <c r="BA100" s="666" t="str">
        <f t="shared" ca="1" si="59"/>
        <v>-</v>
      </c>
      <c r="BB100" s="1104">
        <f ca="1">SUMIFS('End Uses'!T:T,'End Uses'!D:D,'Summary Tables'!AV100,'End Uses'!I:I,'Summary Tables'!AX100,'End Uses'!J:J,'Summary Tables'!AY100)</f>
        <v>0</v>
      </c>
      <c r="BC100" s="1105">
        <f t="shared" ca="1" si="61"/>
        <v>0</v>
      </c>
      <c r="BD100" s="666">
        <f t="shared" ca="1" si="60"/>
        <v>0</v>
      </c>
      <c r="BE100" s="667" t="str">
        <f t="shared" ca="1" si="65"/>
        <v>-</v>
      </c>
    </row>
    <row r="101" spans="21:57" ht="15" thickBot="1" x14ac:dyDescent="0.35">
      <c r="U101" s="182"/>
      <c r="V101" s="182"/>
      <c r="W101" s="182"/>
      <c r="X101" s="182"/>
      <c r="Y101" s="182"/>
      <c r="Z101" s="182"/>
      <c r="AU101" s="1035"/>
      <c r="AV101" s="224" t="s">
        <v>419</v>
      </c>
      <c r="AW101" s="1094"/>
      <c r="AX101" s="617" t="s">
        <v>37</v>
      </c>
      <c r="AY101" s="1094" t="s">
        <v>33</v>
      </c>
      <c r="AZ101" s="1108">
        <f ca="1">SUMIFS('End Uses'!N:N,'End Uses'!D:D,'Summary Tables'!AV101,'End Uses'!I:I,'Summary Tables'!AX101,'End Uses'!J:J,'Summary Tables'!AY101)</f>
        <v>0</v>
      </c>
      <c r="BA101" s="689" t="str">
        <f t="shared" ca="1" si="59"/>
        <v>-</v>
      </c>
      <c r="BB101" s="1109">
        <f ca="1">SUMIFS('End Uses'!T:T,'End Uses'!D:D,'Summary Tables'!AV101,'End Uses'!I:I,'Summary Tables'!AX101,'End Uses'!J:J,'Summary Tables'!AY101)</f>
        <v>0</v>
      </c>
      <c r="BC101" s="1110">
        <f t="shared" ca="1" si="61"/>
        <v>0</v>
      </c>
      <c r="BD101" s="689">
        <f t="shared" ca="1" si="60"/>
        <v>0</v>
      </c>
      <c r="BE101" s="690" t="str">
        <f t="shared" ca="1" si="65"/>
        <v>-</v>
      </c>
    </row>
    <row r="102" spans="21:57" ht="15" thickBot="1" x14ac:dyDescent="0.35">
      <c r="U102" s="182"/>
      <c r="V102" s="182"/>
      <c r="W102" s="182"/>
      <c r="X102" s="182"/>
      <c r="Y102" s="182"/>
      <c r="Z102" s="182"/>
      <c r="AU102" s="1035"/>
      <c r="AV102" s="224" t="s">
        <v>419</v>
      </c>
      <c r="AW102" s="1133" t="s">
        <v>5</v>
      </c>
      <c r="AX102" s="956" t="s">
        <v>5</v>
      </c>
      <c r="AY102" s="1133" t="s">
        <v>33</v>
      </c>
      <c r="AZ102" s="1129">
        <f ca="1">SUMIFS('End Uses'!N:N,'End Uses'!D:D,'Summary Tables'!AV102,'End Uses'!I:I,'Summary Tables'!AX102,'End Uses'!J:J,'Summary Tables'!AY102)</f>
        <v>0</v>
      </c>
      <c r="BA102" s="679" t="str">
        <f t="shared" ca="1" si="59"/>
        <v>-</v>
      </c>
      <c r="BB102" s="1154">
        <f ca="1">SUMIFS('End Uses'!T:T,'End Uses'!D:D,'Summary Tables'!AV102,'End Uses'!I:I,'Summary Tables'!AX102,'End Uses'!J:J,'Summary Tables'!AY102)</f>
        <v>0</v>
      </c>
      <c r="BC102" s="1155">
        <f t="shared" ca="1" si="61"/>
        <v>0</v>
      </c>
      <c r="BD102" s="679">
        <f t="shared" ca="1" si="60"/>
        <v>0</v>
      </c>
      <c r="BE102" s="673" t="str">
        <f t="shared" ca="1" si="65"/>
        <v>-</v>
      </c>
    </row>
    <row r="103" spans="21:57" x14ac:dyDescent="0.3">
      <c r="U103" s="182"/>
      <c r="V103" s="182"/>
      <c r="W103" s="182"/>
      <c r="X103" s="182"/>
      <c r="Y103" s="182"/>
      <c r="Z103" s="182"/>
      <c r="AU103" s="1173"/>
      <c r="AV103" s="224" t="s">
        <v>419</v>
      </c>
      <c r="AW103" s="1072" t="s">
        <v>43</v>
      </c>
      <c r="AX103" s="1089" t="s">
        <v>43</v>
      </c>
      <c r="AY103" s="1072" t="s">
        <v>426</v>
      </c>
      <c r="AZ103" s="1081">
        <f ca="1">SUMIFS('End Uses'!N:N,'End Uses'!D:D,'Summary Tables'!AV103,'End Uses'!I:I,'Summary Tables'!AX103,'End Uses'!J:J,'Summary Tables'!AY103)</f>
        <v>0</v>
      </c>
      <c r="BA103" s="664" t="str">
        <f t="shared" ca="1" si="59"/>
        <v>-</v>
      </c>
      <c r="BB103" s="1086">
        <f ca="1">SUMIFS('End Uses'!T:T,'End Uses'!D:D,'Summary Tables'!AV103,'End Uses'!I:I,'Summary Tables'!AX103,'End Uses'!J:J,'Summary Tables'!AY103)</f>
        <v>0</v>
      </c>
      <c r="BC103" s="1087">
        <f t="shared" ca="1" si="61"/>
        <v>0</v>
      </c>
      <c r="BD103" s="664">
        <f t="shared" ca="1" si="60"/>
        <v>0</v>
      </c>
      <c r="BE103" s="665" t="str">
        <f t="shared" ca="1" si="65"/>
        <v>-</v>
      </c>
    </row>
    <row r="104" spans="21:57" x14ac:dyDescent="0.3">
      <c r="U104" s="182"/>
      <c r="V104" s="182"/>
      <c r="W104" s="182"/>
      <c r="X104" s="182"/>
      <c r="Y104" s="182"/>
      <c r="Z104" s="182"/>
      <c r="AU104" s="1035"/>
      <c r="AV104" s="224" t="s">
        <v>419</v>
      </c>
      <c r="AW104" s="1090"/>
      <c r="AX104" s="1106" t="s">
        <v>43</v>
      </c>
      <c r="AY104" s="1090" t="s">
        <v>24</v>
      </c>
      <c r="AZ104" s="1100">
        <f ca="1">SUMIFS('End Uses'!N:N,'End Uses'!D:D,'Summary Tables'!AV104,'End Uses'!I:I,'Summary Tables'!AX104,'End Uses'!J:J,'Summary Tables'!AY104)</f>
        <v>0</v>
      </c>
      <c r="BA104" s="666" t="str">
        <f t="shared" ca="1" si="59"/>
        <v>-</v>
      </c>
      <c r="BB104" s="1104">
        <f ca="1">SUMIFS('End Uses'!T:T,'End Uses'!D:D,'Summary Tables'!AV104,'End Uses'!I:I,'Summary Tables'!AX104,'End Uses'!J:J,'Summary Tables'!AY104)</f>
        <v>0</v>
      </c>
      <c r="BC104" s="1105">
        <f t="shared" ca="1" si="61"/>
        <v>0</v>
      </c>
      <c r="BD104" s="666">
        <f t="shared" ca="1" si="60"/>
        <v>0</v>
      </c>
      <c r="BE104" s="667" t="str">
        <f t="shared" ca="1" si="65"/>
        <v>-</v>
      </c>
    </row>
    <row r="105" spans="21:57" x14ac:dyDescent="0.3">
      <c r="U105" s="182"/>
      <c r="V105" s="182"/>
      <c r="W105" s="182"/>
      <c r="X105" s="182"/>
      <c r="Y105" s="182"/>
      <c r="Z105" s="182"/>
      <c r="AU105" s="1035"/>
      <c r="AV105" s="224" t="s">
        <v>419</v>
      </c>
      <c r="AW105" s="1090"/>
      <c r="AX105" s="1103" t="s">
        <v>43</v>
      </c>
      <c r="AY105" s="1090" t="s">
        <v>25</v>
      </c>
      <c r="AZ105" s="1100">
        <f ca="1">SUMIFS('End Uses'!N:N,'End Uses'!D:D,'Summary Tables'!AV105,'End Uses'!I:I,'Summary Tables'!AX105,'End Uses'!J:J,'Summary Tables'!AY105)</f>
        <v>0</v>
      </c>
      <c r="BA105" s="666" t="str">
        <f t="shared" ca="1" si="59"/>
        <v>-</v>
      </c>
      <c r="BB105" s="1104">
        <f ca="1">SUMIFS('End Uses'!T:T,'End Uses'!D:D,'Summary Tables'!AV105,'End Uses'!I:I,'Summary Tables'!AX105,'End Uses'!J:J,'Summary Tables'!AY105)</f>
        <v>0</v>
      </c>
      <c r="BC105" s="1105">
        <f t="shared" ca="1" si="61"/>
        <v>0</v>
      </c>
      <c r="BD105" s="666">
        <f t="shared" ca="1" si="60"/>
        <v>0</v>
      </c>
      <c r="BE105" s="667" t="str">
        <f t="shared" ca="1" si="65"/>
        <v>-</v>
      </c>
    </row>
    <row r="106" spans="21:57" ht="15" thickBot="1" x14ac:dyDescent="0.35">
      <c r="U106" s="182"/>
      <c r="V106" s="182"/>
      <c r="W106" s="182"/>
      <c r="X106" s="182"/>
      <c r="Y106" s="182"/>
      <c r="Z106" s="182"/>
      <c r="AU106" s="1035"/>
      <c r="AV106" s="224" t="s">
        <v>419</v>
      </c>
      <c r="AW106" s="1094"/>
      <c r="AX106" s="617" t="s">
        <v>43</v>
      </c>
      <c r="AY106" s="1094" t="s">
        <v>26</v>
      </c>
      <c r="AZ106" s="1108">
        <f ca="1">SUMIFS('End Uses'!N:N,'End Uses'!D:D,'Summary Tables'!AV106,'End Uses'!I:I,'Summary Tables'!AX106,'End Uses'!J:J,'Summary Tables'!AY106)</f>
        <v>0</v>
      </c>
      <c r="BA106" s="689" t="str">
        <f t="shared" ca="1" si="59"/>
        <v>-</v>
      </c>
      <c r="BB106" s="1109">
        <f ca="1">SUMIFS('End Uses'!T:T,'End Uses'!D:D,'Summary Tables'!AV106,'End Uses'!I:I,'Summary Tables'!AX106,'End Uses'!J:J,'Summary Tables'!AY106)</f>
        <v>0</v>
      </c>
      <c r="BC106" s="1110">
        <f t="shared" ca="1" si="61"/>
        <v>0</v>
      </c>
      <c r="BD106" s="689">
        <f t="shared" ca="1" si="60"/>
        <v>0</v>
      </c>
      <c r="BE106" s="690" t="str">
        <f t="shared" ca="1" si="65"/>
        <v>-</v>
      </c>
    </row>
    <row r="107" spans="21:57" ht="15" thickBot="1" x14ac:dyDescent="0.35">
      <c r="U107" s="182"/>
      <c r="V107" s="182"/>
      <c r="W107" s="182"/>
      <c r="X107" s="182"/>
      <c r="Y107" s="182"/>
      <c r="Z107" s="182"/>
      <c r="AU107" s="1035"/>
      <c r="AV107" s="224" t="s">
        <v>419</v>
      </c>
      <c r="AW107" s="1133" t="s">
        <v>44</v>
      </c>
      <c r="AX107" s="956" t="s">
        <v>44</v>
      </c>
      <c r="AY107" s="1133" t="s">
        <v>29</v>
      </c>
      <c r="AZ107" s="1129">
        <f ca="1">SUMIFS('End Uses'!N:N,'End Uses'!D:D,'Summary Tables'!AV107,'End Uses'!I:I,'Summary Tables'!AX107,'End Uses'!J:J,'Summary Tables'!AY107)</f>
        <v>0</v>
      </c>
      <c r="BA107" s="679" t="str">
        <f t="shared" ca="1" si="59"/>
        <v>-</v>
      </c>
      <c r="BB107" s="1154">
        <f ca="1">SUMIFS('End Uses'!T:T,'End Uses'!D:D,'Summary Tables'!AV107,'End Uses'!I:I,'Summary Tables'!AX107,'End Uses'!J:J,'Summary Tables'!AY107)</f>
        <v>0</v>
      </c>
      <c r="BC107" s="1155">
        <f t="shared" ref="BC107" ca="1" si="66">AZ107-BB107</f>
        <v>0</v>
      </c>
      <c r="BD107" s="679">
        <f t="shared" ref="BD107" ca="1" si="67">IFERROR(BC107/AZ107,0)</f>
        <v>0</v>
      </c>
      <c r="BE107" s="673" t="str">
        <f t="shared" ref="BE107" ca="1" si="68">IFERROR(AZ107/BB107,"-")</f>
        <v>-</v>
      </c>
    </row>
    <row r="108" spans="21:57" x14ac:dyDescent="0.3">
      <c r="U108" s="182"/>
      <c r="V108" s="182"/>
      <c r="W108" s="182"/>
      <c r="X108" s="182"/>
      <c r="Y108" s="182"/>
      <c r="Z108" s="182"/>
      <c r="AU108" s="1173"/>
      <c r="AV108" s="224" t="s">
        <v>419</v>
      </c>
      <c r="AW108" s="1072" t="s">
        <v>8</v>
      </c>
      <c r="AX108" s="1089" t="s">
        <v>8</v>
      </c>
      <c r="AY108" s="1072" t="s">
        <v>52</v>
      </c>
      <c r="AZ108" s="1081">
        <f ca="1">SUMIFS('End Uses'!N:N,'End Uses'!D:D,'Summary Tables'!AV108,'End Uses'!I:I,'Summary Tables'!AX108,'End Uses'!J:J,'Summary Tables'!AY108)</f>
        <v>0</v>
      </c>
      <c r="BA108" s="664" t="str">
        <f t="shared" ca="1" si="59"/>
        <v>-</v>
      </c>
      <c r="BB108" s="1086">
        <f ca="1">SUMIFS('End Uses'!T:T,'End Uses'!D:D,'Summary Tables'!AV108,'End Uses'!I:I,'Summary Tables'!AX108,'End Uses'!J:J,'Summary Tables'!AY108)</f>
        <v>0</v>
      </c>
      <c r="BC108" s="1087">
        <f t="shared" ca="1" si="61"/>
        <v>0</v>
      </c>
      <c r="BD108" s="664">
        <f t="shared" ca="1" si="60"/>
        <v>0</v>
      </c>
      <c r="BE108" s="665" t="str">
        <f t="shared" ca="1" si="65"/>
        <v>-</v>
      </c>
    </row>
    <row r="109" spans="21:57" x14ac:dyDescent="0.3">
      <c r="U109" s="182"/>
      <c r="V109" s="182"/>
      <c r="W109" s="182"/>
      <c r="X109" s="182"/>
      <c r="Y109" s="182"/>
      <c r="Z109" s="182"/>
      <c r="AU109" s="1173"/>
      <c r="AV109" s="224" t="s">
        <v>419</v>
      </c>
      <c r="AW109" s="1090"/>
      <c r="AX109" s="1106" t="s">
        <v>8</v>
      </c>
      <c r="AY109" s="1090" t="s">
        <v>53</v>
      </c>
      <c r="AZ109" s="1100">
        <f ca="1">SUMIFS('End Uses'!N:N,'End Uses'!D:D,'Summary Tables'!AV109,'End Uses'!I:I,'Summary Tables'!AX109,'End Uses'!J:J,'Summary Tables'!AY109)</f>
        <v>0</v>
      </c>
      <c r="BA109" s="666" t="str">
        <f t="shared" ca="1" si="59"/>
        <v>-</v>
      </c>
      <c r="BB109" s="1104">
        <f ca="1">SUMIFS('End Uses'!T:T,'End Uses'!D:D,'Summary Tables'!AV109,'End Uses'!I:I,'Summary Tables'!AX109,'End Uses'!J:J,'Summary Tables'!AY109)</f>
        <v>0</v>
      </c>
      <c r="BC109" s="1105">
        <f t="shared" ca="1" si="61"/>
        <v>0</v>
      </c>
      <c r="BD109" s="666">
        <f t="shared" ca="1" si="60"/>
        <v>0</v>
      </c>
      <c r="BE109" s="667" t="str">
        <f t="shared" ca="1" si="65"/>
        <v>-</v>
      </c>
    </row>
    <row r="110" spans="21:57" ht="15" thickBot="1" x14ac:dyDescent="0.35">
      <c r="U110" s="182"/>
      <c r="V110" s="182"/>
      <c r="W110" s="182"/>
      <c r="X110" s="182"/>
      <c r="Y110" s="182"/>
      <c r="Z110" s="182"/>
      <c r="AU110" s="1174"/>
      <c r="AV110" s="226" t="s">
        <v>419</v>
      </c>
      <c r="AW110" s="1094"/>
      <c r="AX110" s="1107" t="s">
        <v>8</v>
      </c>
      <c r="AY110" s="1094" t="s">
        <v>54</v>
      </c>
      <c r="AZ110" s="1108">
        <f ca="1">SUMIFS('End Uses'!N:N,'End Uses'!D:D,'Summary Tables'!AV110,'End Uses'!I:I,'Summary Tables'!AX110,'End Uses'!J:J,'Summary Tables'!AY110)</f>
        <v>0</v>
      </c>
      <c r="BA110" s="689" t="str">
        <f t="shared" ref="BA110:BA128" ca="1" si="69">IFERROR(AZ110/$AZ$129,"-")</f>
        <v>-</v>
      </c>
      <c r="BB110" s="1109">
        <f ca="1">SUMIFS('End Uses'!T:T,'End Uses'!D:D,'Summary Tables'!AV110,'End Uses'!I:I,'Summary Tables'!AX110,'End Uses'!J:J,'Summary Tables'!AY110)</f>
        <v>0</v>
      </c>
      <c r="BC110" s="1110">
        <f t="shared" ca="1" si="61"/>
        <v>0</v>
      </c>
      <c r="BD110" s="689">
        <f t="shared" ca="1" si="60"/>
        <v>0</v>
      </c>
      <c r="BE110" s="690" t="str">
        <f t="shared" ca="1" si="65"/>
        <v>-</v>
      </c>
    </row>
    <row r="111" spans="21:57" x14ac:dyDescent="0.3">
      <c r="U111" s="182"/>
      <c r="V111" s="182"/>
      <c r="W111" s="182"/>
      <c r="X111" s="182"/>
      <c r="Y111" s="182"/>
      <c r="Z111" s="182"/>
      <c r="AU111" s="1012" t="s">
        <v>471</v>
      </c>
      <c r="AV111" s="224" t="s">
        <v>471</v>
      </c>
      <c r="AW111" s="1072" t="s">
        <v>37</v>
      </c>
      <c r="AX111" s="1089" t="s">
        <v>37</v>
      </c>
      <c r="AY111" s="1072" t="s">
        <v>2</v>
      </c>
      <c r="AZ111" s="1081">
        <f ca="1">SUMIFS('End Uses'!N:N,'End Uses'!D:D,'Summary Tables'!AV111,'End Uses'!I:I,'Summary Tables'!AX111,'End Uses'!J:J,'Summary Tables'!AY111)</f>
        <v>0</v>
      </c>
      <c r="BA111" s="664" t="str">
        <f t="shared" ca="1" si="69"/>
        <v>-</v>
      </c>
      <c r="BB111" s="1086">
        <f ca="1">SUMIFS('End Uses'!T:T,'End Uses'!D:D,'Summary Tables'!AV111,'End Uses'!I:I,'Summary Tables'!AX111,'End Uses'!J:J,'Summary Tables'!AY111)</f>
        <v>0</v>
      </c>
      <c r="BC111" s="1087">
        <f t="shared" ca="1" si="61"/>
        <v>0</v>
      </c>
      <c r="BD111" s="664">
        <f t="shared" ca="1" si="60"/>
        <v>0</v>
      </c>
      <c r="BE111" s="665" t="str">
        <f t="shared" ca="1" si="65"/>
        <v>-</v>
      </c>
    </row>
    <row r="112" spans="21:57" x14ac:dyDescent="0.3">
      <c r="U112" s="182"/>
      <c r="V112" s="182"/>
      <c r="W112" s="182"/>
      <c r="X112" s="182"/>
      <c r="Y112" s="182"/>
      <c r="Z112" s="182"/>
      <c r="AU112" s="206"/>
      <c r="AV112" s="224" t="s">
        <v>471</v>
      </c>
      <c r="AW112" s="1090"/>
      <c r="AX112" s="1106" t="s">
        <v>37</v>
      </c>
      <c r="AY112" s="1090" t="s">
        <v>4</v>
      </c>
      <c r="AZ112" s="1100">
        <f ca="1">SUMIFS('End Uses'!N:N,'End Uses'!D:D,'Summary Tables'!AV112,'End Uses'!I:I,'Summary Tables'!AX112,'End Uses'!J:J,'Summary Tables'!AY112)</f>
        <v>0</v>
      </c>
      <c r="BA112" s="666" t="str">
        <f t="shared" ca="1" si="69"/>
        <v>-</v>
      </c>
      <c r="BB112" s="1104">
        <f ca="1">SUMIFS('End Uses'!T:T,'End Uses'!D:D,'Summary Tables'!AV112,'End Uses'!I:I,'Summary Tables'!AX112,'End Uses'!J:J,'Summary Tables'!AY112)</f>
        <v>0</v>
      </c>
      <c r="BC112" s="1105">
        <f t="shared" ca="1" si="61"/>
        <v>0</v>
      </c>
      <c r="BD112" s="666">
        <f t="shared" ca="1" si="60"/>
        <v>0</v>
      </c>
      <c r="BE112" s="667" t="str">
        <f t="shared" ca="1" si="65"/>
        <v>-</v>
      </c>
    </row>
    <row r="113" spans="21:57" ht="15" thickBot="1" x14ac:dyDescent="0.35">
      <c r="U113" s="182"/>
      <c r="V113" s="182"/>
      <c r="W113" s="182"/>
      <c r="X113" s="182"/>
      <c r="Y113" s="182"/>
      <c r="Z113" s="182"/>
      <c r="AU113" s="206"/>
      <c r="AV113" s="224" t="s">
        <v>471</v>
      </c>
      <c r="AW113" s="1115"/>
      <c r="AX113" s="1116" t="s">
        <v>37</v>
      </c>
      <c r="AY113" s="1115" t="s">
        <v>33</v>
      </c>
      <c r="AZ113" s="1118">
        <f ca="1">SUMIFS('End Uses'!N:N,'End Uses'!D:D,'Summary Tables'!AV113,'End Uses'!I:I,'Summary Tables'!AX113,'End Uses'!J:J,'Summary Tables'!AY113)</f>
        <v>0</v>
      </c>
      <c r="BA113" s="668" t="str">
        <f t="shared" ca="1" si="69"/>
        <v>-</v>
      </c>
      <c r="BB113" s="1142">
        <f ca="1">SUMIFS('End Uses'!T:T,'End Uses'!D:D,'Summary Tables'!AV113,'End Uses'!I:I,'Summary Tables'!AX113,'End Uses'!J:J,'Summary Tables'!AY113)</f>
        <v>0</v>
      </c>
      <c r="BC113" s="1143">
        <f t="shared" ca="1" si="61"/>
        <v>0</v>
      </c>
      <c r="BD113" s="668">
        <f t="shared" ca="1" si="60"/>
        <v>0</v>
      </c>
      <c r="BE113" s="669" t="str">
        <f t="shared" ca="1" si="65"/>
        <v>-</v>
      </c>
    </row>
    <row r="114" spans="21:57" ht="15" thickBot="1" x14ac:dyDescent="0.35">
      <c r="U114" s="182"/>
      <c r="V114" s="182"/>
      <c r="W114" s="182"/>
      <c r="X114" s="182"/>
      <c r="Y114" s="182"/>
      <c r="Z114" s="182"/>
      <c r="AU114" s="206"/>
      <c r="AV114" s="224" t="s">
        <v>471</v>
      </c>
      <c r="AW114" s="636" t="s">
        <v>5</v>
      </c>
      <c r="AX114" s="521" t="s">
        <v>5</v>
      </c>
      <c r="AY114" s="636" t="s">
        <v>33</v>
      </c>
      <c r="AZ114" s="1175">
        <f ca="1">SUMIFS('End Uses'!N:N,'End Uses'!D:D,'Summary Tables'!AV114,'End Uses'!I:I,'Summary Tables'!AX114,'End Uses'!J:J,'Summary Tables'!AY114)</f>
        <v>0</v>
      </c>
      <c r="BA114" s="691" t="str">
        <f t="shared" ca="1" si="69"/>
        <v>-</v>
      </c>
      <c r="BB114" s="1176">
        <f ca="1">SUMIFS('End Uses'!T:T,'End Uses'!D:D,'Summary Tables'!AV114,'End Uses'!I:I,'Summary Tables'!AX114,'End Uses'!J:J,'Summary Tables'!AY114)</f>
        <v>0</v>
      </c>
      <c r="BC114" s="1177">
        <f t="shared" ca="1" si="61"/>
        <v>0</v>
      </c>
      <c r="BD114" s="691">
        <f t="shared" ca="1" si="60"/>
        <v>0</v>
      </c>
      <c r="BE114" s="692" t="str">
        <f t="shared" ca="1" si="65"/>
        <v>-</v>
      </c>
    </row>
    <row r="115" spans="21:57" x14ac:dyDescent="0.3">
      <c r="U115" s="182"/>
      <c r="V115" s="182"/>
      <c r="W115" s="182"/>
      <c r="X115" s="182"/>
      <c r="Y115" s="182"/>
      <c r="Z115" s="182"/>
      <c r="AU115" s="206"/>
      <c r="AV115" s="224" t="s">
        <v>471</v>
      </c>
      <c r="AW115" s="1072" t="s">
        <v>391</v>
      </c>
      <c r="AX115" s="1089" t="s">
        <v>391</v>
      </c>
      <c r="AY115" s="1072" t="s">
        <v>114</v>
      </c>
      <c r="AZ115" s="1081">
        <f ca="1">SUMIFS('End Uses'!N:N,'End Uses'!D:D,'Summary Tables'!AV115,'End Uses'!I:I,'Summary Tables'!AX115,'End Uses'!J:J,'Summary Tables'!AY115)</f>
        <v>0</v>
      </c>
      <c r="BA115" s="664" t="str">
        <f t="shared" ca="1" si="69"/>
        <v>-</v>
      </c>
      <c r="BB115" s="1086">
        <f ca="1">SUMIFS('End Uses'!T:T,'End Uses'!D:D,'Summary Tables'!AV115,'End Uses'!I:I,'Summary Tables'!AX115,'End Uses'!J:J,'Summary Tables'!AY115)</f>
        <v>0</v>
      </c>
      <c r="BC115" s="1087">
        <f t="shared" ca="1" si="61"/>
        <v>0</v>
      </c>
      <c r="BD115" s="664">
        <f t="shared" ca="1" si="60"/>
        <v>0</v>
      </c>
      <c r="BE115" s="665" t="str">
        <f t="shared" ca="1" si="65"/>
        <v>-</v>
      </c>
    </row>
    <row r="116" spans="21:57" x14ac:dyDescent="0.3">
      <c r="U116" s="182"/>
      <c r="V116" s="182"/>
      <c r="W116" s="182"/>
      <c r="X116" s="182"/>
      <c r="Y116" s="182"/>
      <c r="Z116" s="182"/>
      <c r="AU116" s="206"/>
      <c r="AV116" s="224" t="s">
        <v>471</v>
      </c>
      <c r="AW116" s="1090"/>
      <c r="AX116" s="1106" t="s">
        <v>391</v>
      </c>
      <c r="AY116" s="1090" t="s">
        <v>41</v>
      </c>
      <c r="AZ116" s="1100">
        <f ca="1">SUMIFS('End Uses'!N:N,'End Uses'!D:D,'Summary Tables'!AV116,'End Uses'!I:I,'Summary Tables'!AX116,'End Uses'!J:J,'Summary Tables'!AY116)</f>
        <v>0</v>
      </c>
      <c r="BA116" s="666" t="str">
        <f t="shared" ca="1" si="69"/>
        <v>-</v>
      </c>
      <c r="BB116" s="1104">
        <f ca="1">SUMIFS('End Uses'!T:T,'End Uses'!D:D,'Summary Tables'!AV116,'End Uses'!I:I,'Summary Tables'!AX116,'End Uses'!J:J,'Summary Tables'!AY116)</f>
        <v>0</v>
      </c>
      <c r="BC116" s="1105">
        <f t="shared" ca="1" si="61"/>
        <v>0</v>
      </c>
      <c r="BD116" s="666">
        <f t="shared" ca="1" si="60"/>
        <v>0</v>
      </c>
      <c r="BE116" s="667" t="str">
        <f t="shared" ca="1" si="65"/>
        <v>-</v>
      </c>
    </row>
    <row r="117" spans="21:57" ht="15" thickBot="1" x14ac:dyDescent="0.35">
      <c r="U117" s="182"/>
      <c r="V117" s="182"/>
      <c r="W117" s="182"/>
      <c r="X117" s="182"/>
      <c r="Y117" s="182"/>
      <c r="Z117" s="182"/>
      <c r="AU117" s="206"/>
      <c r="AV117" s="224" t="s">
        <v>471</v>
      </c>
      <c r="AW117" s="1115"/>
      <c r="AX117" s="1116" t="s">
        <v>391</v>
      </c>
      <c r="AY117" s="1115" t="s">
        <v>20</v>
      </c>
      <c r="AZ117" s="1118">
        <f ca="1">SUMIFS('End Uses'!N:N,'End Uses'!D:D,'Summary Tables'!AV117,'End Uses'!I:I,'Summary Tables'!AX117,'End Uses'!J:J,'Summary Tables'!AY117)</f>
        <v>0</v>
      </c>
      <c r="BA117" s="668" t="str">
        <f t="shared" ca="1" si="69"/>
        <v>-</v>
      </c>
      <c r="BB117" s="1142">
        <f ca="1">SUMIFS('End Uses'!T:T,'End Uses'!D:D,'Summary Tables'!AV117,'End Uses'!I:I,'Summary Tables'!AX117,'End Uses'!J:J,'Summary Tables'!AY117)</f>
        <v>0</v>
      </c>
      <c r="BC117" s="1143">
        <f t="shared" ca="1" si="61"/>
        <v>0</v>
      </c>
      <c r="BD117" s="668">
        <f t="shared" ca="1" si="60"/>
        <v>0</v>
      </c>
      <c r="BE117" s="669" t="str">
        <f t="shared" ca="1" si="65"/>
        <v>-</v>
      </c>
    </row>
    <row r="118" spans="21:57" x14ac:dyDescent="0.3">
      <c r="U118" s="182"/>
      <c r="V118" s="182"/>
      <c r="W118" s="182"/>
      <c r="X118" s="182"/>
      <c r="Y118" s="182"/>
      <c r="Z118" s="182"/>
      <c r="AU118" s="206"/>
      <c r="AV118" s="224" t="s">
        <v>471</v>
      </c>
      <c r="AW118" s="1146" t="s">
        <v>44</v>
      </c>
      <c r="AX118" s="1170" t="s">
        <v>44</v>
      </c>
      <c r="AY118" s="1146" t="s">
        <v>27</v>
      </c>
      <c r="AZ118" s="1164">
        <f ca="1">SUMIFS('End Uses'!N:N,'End Uses'!D:D,'Summary Tables'!AV118,'End Uses'!I:I,'Summary Tables'!AX118,'End Uses'!J:J,'Summary Tables'!AY118)</f>
        <v>0</v>
      </c>
      <c r="BA118" s="681" t="str">
        <f t="shared" ca="1" si="69"/>
        <v>-</v>
      </c>
      <c r="BB118" s="1171">
        <f ca="1">SUMIFS('End Uses'!T:T,'End Uses'!D:D,'Summary Tables'!AV118,'End Uses'!I:I,'Summary Tables'!AX118,'End Uses'!J:J,'Summary Tables'!AY118)</f>
        <v>0</v>
      </c>
      <c r="BC118" s="1172">
        <f t="shared" ca="1" si="61"/>
        <v>0</v>
      </c>
      <c r="BD118" s="681">
        <f t="shared" ca="1" si="60"/>
        <v>0</v>
      </c>
      <c r="BE118" s="682" t="str">
        <f t="shared" ca="1" si="65"/>
        <v>-</v>
      </c>
    </row>
    <row r="119" spans="21:57" x14ac:dyDescent="0.3">
      <c r="U119" s="182"/>
      <c r="V119" s="182"/>
      <c r="W119" s="182"/>
      <c r="X119" s="182"/>
      <c r="Y119" s="182"/>
      <c r="Z119" s="182"/>
      <c r="AU119" s="206"/>
      <c r="AV119" s="224" t="s">
        <v>471</v>
      </c>
      <c r="AW119" s="1090"/>
      <c r="AX119" s="1106" t="s">
        <v>44</v>
      </c>
      <c r="AY119" s="1090" t="s">
        <v>28</v>
      </c>
      <c r="AZ119" s="1100">
        <f ca="1">SUMIFS('End Uses'!N:N,'End Uses'!D:D,'Summary Tables'!AV119,'End Uses'!I:I,'Summary Tables'!AX119,'End Uses'!J:J,'Summary Tables'!AY119)</f>
        <v>0</v>
      </c>
      <c r="BA119" s="666" t="str">
        <f t="shared" ca="1" si="69"/>
        <v>-</v>
      </c>
      <c r="BB119" s="1104">
        <f ca="1">SUMIFS('End Uses'!T:T,'End Uses'!D:D,'Summary Tables'!AV119,'End Uses'!I:I,'Summary Tables'!AX119,'End Uses'!J:J,'Summary Tables'!AY119)</f>
        <v>0</v>
      </c>
      <c r="BC119" s="1105">
        <f t="shared" ca="1" si="61"/>
        <v>0</v>
      </c>
      <c r="BD119" s="666">
        <f t="shared" ca="1" si="60"/>
        <v>0</v>
      </c>
      <c r="BE119" s="667" t="str">
        <f t="shared" ca="1" si="65"/>
        <v>-</v>
      </c>
    </row>
    <row r="120" spans="21:57" ht="15" thickBot="1" x14ac:dyDescent="0.35">
      <c r="U120" s="182"/>
      <c r="V120" s="182"/>
      <c r="W120" s="182"/>
      <c r="X120" s="182"/>
      <c r="Y120" s="182"/>
      <c r="Z120" s="182"/>
      <c r="AU120" s="206"/>
      <c r="AV120" s="224" t="s">
        <v>471</v>
      </c>
      <c r="AW120" s="1094"/>
      <c r="AX120" s="1107" t="s">
        <v>44</v>
      </c>
      <c r="AY120" s="1094" t="s">
        <v>29</v>
      </c>
      <c r="AZ120" s="1108">
        <f ca="1">SUMIFS('End Uses'!N:N,'End Uses'!D:D,'Summary Tables'!AV120,'End Uses'!I:I,'Summary Tables'!AX120,'End Uses'!J:J,'Summary Tables'!AY120)</f>
        <v>0</v>
      </c>
      <c r="BA120" s="689" t="str">
        <f t="shared" ca="1" si="69"/>
        <v>-</v>
      </c>
      <c r="BB120" s="1109">
        <f ca="1">SUMIFS('End Uses'!T:T,'End Uses'!D:D,'Summary Tables'!AV120,'End Uses'!I:I,'Summary Tables'!AX120,'End Uses'!J:J,'Summary Tables'!AY120)</f>
        <v>0</v>
      </c>
      <c r="BC120" s="1110">
        <f t="shared" ca="1" si="61"/>
        <v>0</v>
      </c>
      <c r="BD120" s="689">
        <f t="shared" ca="1" si="60"/>
        <v>0</v>
      </c>
      <c r="BE120" s="690" t="str">
        <f t="shared" ca="1" si="65"/>
        <v>-</v>
      </c>
    </row>
    <row r="121" spans="21:57" ht="15" thickBot="1" x14ac:dyDescent="0.35">
      <c r="U121" s="182"/>
      <c r="V121" s="182"/>
      <c r="W121" s="182"/>
      <c r="X121" s="182"/>
      <c r="Y121" s="182"/>
      <c r="Z121" s="182"/>
      <c r="AU121" s="206"/>
      <c r="AV121" s="224" t="s">
        <v>471</v>
      </c>
      <c r="AW121" s="1133" t="s">
        <v>39</v>
      </c>
      <c r="AX121" s="956" t="s">
        <v>39</v>
      </c>
      <c r="AY121" s="1133" t="s">
        <v>42</v>
      </c>
      <c r="AZ121" s="1129">
        <f ca="1">SUMIFS('End Uses'!N:N,'End Uses'!D:D,'Summary Tables'!AV121,'End Uses'!I:I,'Summary Tables'!AX121,'End Uses'!J:J,'Summary Tables'!AY121)</f>
        <v>0</v>
      </c>
      <c r="BA121" s="679" t="str">
        <f t="shared" ca="1" si="69"/>
        <v>-</v>
      </c>
      <c r="BB121" s="1154">
        <f ca="1">SUMIFS('End Uses'!T:T,'End Uses'!D:D,'Summary Tables'!AV121,'End Uses'!I:I,'Summary Tables'!AX121,'End Uses'!J:J,'Summary Tables'!AY121)</f>
        <v>0</v>
      </c>
      <c r="BC121" s="1155">
        <f t="shared" ca="1" si="61"/>
        <v>0</v>
      </c>
      <c r="BD121" s="679">
        <f t="shared" ca="1" si="60"/>
        <v>0</v>
      </c>
      <c r="BE121" s="673" t="str">
        <f t="shared" ca="1" si="65"/>
        <v>-</v>
      </c>
    </row>
    <row r="122" spans="21:57" x14ac:dyDescent="0.3">
      <c r="AU122" s="206"/>
      <c r="AV122" s="224" t="s">
        <v>471</v>
      </c>
      <c r="AW122" s="1072" t="s">
        <v>43</v>
      </c>
      <c r="AX122" s="1089" t="s">
        <v>43</v>
      </c>
      <c r="AY122" s="1072" t="s">
        <v>111</v>
      </c>
      <c r="AZ122" s="1081">
        <f ca="1">SUMIFS('End Uses'!N:N,'End Uses'!D:D,'Summary Tables'!AV122,'End Uses'!I:I,'Summary Tables'!AX122,'End Uses'!J:J,'Summary Tables'!AY122)</f>
        <v>0</v>
      </c>
      <c r="BA122" s="664" t="str">
        <f t="shared" ca="1" si="69"/>
        <v>-</v>
      </c>
      <c r="BB122" s="1086">
        <f ca="1">SUMIFS('End Uses'!T:T,'End Uses'!D:D,'Summary Tables'!AV122,'End Uses'!I:I,'Summary Tables'!AX122,'End Uses'!J:J,'Summary Tables'!AY122)</f>
        <v>0</v>
      </c>
      <c r="BC122" s="1087">
        <f t="shared" ca="1" si="61"/>
        <v>0</v>
      </c>
      <c r="BD122" s="664">
        <f t="shared" ca="1" si="60"/>
        <v>0</v>
      </c>
      <c r="BE122" s="665" t="str">
        <f t="shared" ca="1" si="65"/>
        <v>-</v>
      </c>
    </row>
    <row r="123" spans="21:57" x14ac:dyDescent="0.3">
      <c r="AU123" s="206"/>
      <c r="AV123" s="224" t="s">
        <v>471</v>
      </c>
      <c r="AW123" s="1090"/>
      <c r="AX123" s="1106" t="s">
        <v>43</v>
      </c>
      <c r="AY123" s="1090" t="s">
        <v>7</v>
      </c>
      <c r="AZ123" s="1100">
        <f ca="1">SUMIFS('End Uses'!N:N,'End Uses'!D:D,'Summary Tables'!AV123,'End Uses'!I:I,'Summary Tables'!AX123,'End Uses'!J:J,'Summary Tables'!AY123)</f>
        <v>0</v>
      </c>
      <c r="BA123" s="666" t="str">
        <f t="shared" ca="1" si="69"/>
        <v>-</v>
      </c>
      <c r="BB123" s="1104">
        <f ca="1">SUMIFS('End Uses'!T:T,'End Uses'!D:D,'Summary Tables'!AV123,'End Uses'!I:I,'Summary Tables'!AX123,'End Uses'!J:J,'Summary Tables'!AY123)</f>
        <v>0</v>
      </c>
      <c r="BC123" s="1105">
        <f t="shared" ca="1" si="61"/>
        <v>0</v>
      </c>
      <c r="BD123" s="666">
        <f t="shared" ca="1" si="60"/>
        <v>0</v>
      </c>
      <c r="BE123" s="667" t="str">
        <f t="shared" ca="1" si="65"/>
        <v>-</v>
      </c>
    </row>
    <row r="124" spans="21:57" x14ac:dyDescent="0.3">
      <c r="AK124" s="45"/>
      <c r="AU124" s="206"/>
      <c r="AV124" s="224" t="s">
        <v>471</v>
      </c>
      <c r="AW124" s="1090"/>
      <c r="AX124" s="1106" t="s">
        <v>43</v>
      </c>
      <c r="AY124" s="1090" t="s">
        <v>9</v>
      </c>
      <c r="AZ124" s="1100">
        <f>SUMIFS('End Uses'!N:N,'End Uses'!D:D,'Summary Tables'!AV124,'End Uses'!I:I,'Summary Tables'!AX124,'End Uses'!J:J,'Summary Tables'!AY124)</f>
        <v>0</v>
      </c>
      <c r="BA124" s="666" t="str">
        <f t="shared" ca="1" si="69"/>
        <v>-</v>
      </c>
      <c r="BB124" s="1104">
        <f>SUMIFS('End Uses'!T:T,'End Uses'!D:D,'Summary Tables'!AV124,'End Uses'!I:I,'Summary Tables'!AX124,'End Uses'!J:J,'Summary Tables'!AY124)</f>
        <v>0</v>
      </c>
      <c r="BC124" s="1105">
        <f t="shared" si="61"/>
        <v>0</v>
      </c>
      <c r="BD124" s="666">
        <f t="shared" si="60"/>
        <v>0</v>
      </c>
      <c r="BE124" s="667" t="str">
        <f t="shared" si="65"/>
        <v>-</v>
      </c>
    </row>
    <row r="125" spans="21:57" ht="15" thickBot="1" x14ac:dyDescent="0.35">
      <c r="AK125" s="45"/>
      <c r="AU125" s="206"/>
      <c r="AV125" s="224" t="s">
        <v>471</v>
      </c>
      <c r="AW125" s="1094"/>
      <c r="AX125" s="617" t="s">
        <v>43</v>
      </c>
      <c r="AY125" s="1094" t="s">
        <v>426</v>
      </c>
      <c r="AZ125" s="1108">
        <f ca="1">SUMIFS('End Uses'!N:N,'End Uses'!D:D,'Summary Tables'!AV125,'End Uses'!I:I,'Summary Tables'!AX125,'End Uses'!J:J,'Summary Tables'!AY125)</f>
        <v>0</v>
      </c>
      <c r="BA125" s="689" t="str">
        <f t="shared" ca="1" si="69"/>
        <v>-</v>
      </c>
      <c r="BB125" s="1109">
        <f ca="1">SUMIFS('End Uses'!T:T,'End Uses'!D:D,'Summary Tables'!AV125,'End Uses'!I:I,'Summary Tables'!AX125,'End Uses'!J:J,'Summary Tables'!AY125)</f>
        <v>0</v>
      </c>
      <c r="BC125" s="1110">
        <f t="shared" ca="1" si="61"/>
        <v>0</v>
      </c>
      <c r="BD125" s="689">
        <f t="shared" ca="1" si="60"/>
        <v>0</v>
      </c>
      <c r="BE125" s="690" t="str">
        <f t="shared" ca="1" si="65"/>
        <v>-</v>
      </c>
    </row>
    <row r="126" spans="21:57" x14ac:dyDescent="0.3">
      <c r="AU126" s="993"/>
      <c r="AV126" s="224" t="str">
        <f>AV125</f>
        <v>Airlines/Cargo Hangars</v>
      </c>
      <c r="AW126" s="1072" t="s">
        <v>8</v>
      </c>
      <c r="AX126" s="1089" t="s">
        <v>8</v>
      </c>
      <c r="AY126" s="1072" t="s">
        <v>52</v>
      </c>
      <c r="AZ126" s="1081">
        <f ca="1">SUMIFS('End Uses'!N:N,'End Uses'!D:D,'Summary Tables'!AV126,'End Uses'!I:I,'Summary Tables'!AX126,'End Uses'!J:J,'Summary Tables'!AY126)</f>
        <v>0</v>
      </c>
      <c r="BA126" s="664" t="str">
        <f t="shared" ca="1" si="69"/>
        <v>-</v>
      </c>
      <c r="BB126" s="1086">
        <f ca="1">SUMIFS('End Uses'!T:T,'End Uses'!D:D,'Summary Tables'!AV126,'End Uses'!I:I,'Summary Tables'!AX126,'End Uses'!J:J,'Summary Tables'!AY126)</f>
        <v>0</v>
      </c>
      <c r="BC126" s="1087">
        <f t="shared" ca="1" si="61"/>
        <v>0</v>
      </c>
      <c r="BD126" s="664">
        <f t="shared" ca="1" si="60"/>
        <v>0</v>
      </c>
      <c r="BE126" s="665" t="str">
        <f t="shared" ca="1" si="65"/>
        <v>-</v>
      </c>
    </row>
    <row r="127" spans="21:57" x14ac:dyDescent="0.3">
      <c r="AU127" s="993"/>
      <c r="AV127" s="224" t="str">
        <f>AV126</f>
        <v>Airlines/Cargo Hangars</v>
      </c>
      <c r="AW127" s="1090"/>
      <c r="AX127" s="1106" t="s">
        <v>8</v>
      </c>
      <c r="AY127" s="1090" t="s">
        <v>53</v>
      </c>
      <c r="AZ127" s="1100">
        <f ca="1">SUMIFS('End Uses'!N:N,'End Uses'!D:D,'Summary Tables'!AV127,'End Uses'!I:I,'Summary Tables'!AX127,'End Uses'!J:J,'Summary Tables'!AY127)</f>
        <v>0</v>
      </c>
      <c r="BA127" s="666" t="str">
        <f t="shared" ca="1" si="69"/>
        <v>-</v>
      </c>
      <c r="BB127" s="1104">
        <f ca="1">SUMIFS('End Uses'!T:T,'End Uses'!D:D,'Summary Tables'!AV127,'End Uses'!I:I,'Summary Tables'!AX127,'End Uses'!J:J,'Summary Tables'!AY127)</f>
        <v>0</v>
      </c>
      <c r="BC127" s="1105">
        <f t="shared" ca="1" si="61"/>
        <v>0</v>
      </c>
      <c r="BD127" s="666">
        <f t="shared" ca="1" si="60"/>
        <v>0</v>
      </c>
      <c r="BE127" s="667" t="str">
        <f t="shared" ca="1" si="65"/>
        <v>-</v>
      </c>
    </row>
    <row r="128" spans="21:57" ht="15" thickBot="1" x14ac:dyDescent="0.35">
      <c r="AC128" s="45"/>
      <c r="AD128" s="85"/>
      <c r="AE128" s="45"/>
      <c r="AF128" s="45"/>
      <c r="AG128" s="45"/>
      <c r="AH128" s="45"/>
      <c r="AI128" s="45"/>
      <c r="AJ128" s="45"/>
      <c r="AM128" s="45"/>
      <c r="AN128" s="45"/>
      <c r="AO128" s="45"/>
      <c r="AP128" s="45"/>
      <c r="AQ128" s="45"/>
      <c r="AR128" s="45"/>
      <c r="AS128" s="45"/>
      <c r="AU128" s="1140"/>
      <c r="AV128" s="226" t="str">
        <f>AV127</f>
        <v>Airlines/Cargo Hangars</v>
      </c>
      <c r="AW128" s="1115"/>
      <c r="AX128" s="1141" t="s">
        <v>8</v>
      </c>
      <c r="AY128" s="1115" t="s">
        <v>54</v>
      </c>
      <c r="AZ128" s="1118">
        <f ca="1">SUMIFS('End Uses'!N:N,'End Uses'!D:D,'Summary Tables'!AV128,'End Uses'!I:I,'Summary Tables'!AX128,'End Uses'!J:J,'Summary Tables'!AY128)</f>
        <v>0</v>
      </c>
      <c r="BA128" s="668" t="str">
        <f t="shared" ca="1" si="69"/>
        <v>-</v>
      </c>
      <c r="BB128" s="1142">
        <f ca="1">SUMIFS('End Uses'!T:T,'End Uses'!D:D,'Summary Tables'!AV128,'End Uses'!I:I,'Summary Tables'!AX128,'End Uses'!J:J,'Summary Tables'!AY128)</f>
        <v>0</v>
      </c>
      <c r="BC128" s="1143">
        <f t="shared" ca="1" si="61"/>
        <v>0</v>
      </c>
      <c r="BD128" s="668">
        <f t="shared" ca="1" si="60"/>
        <v>0</v>
      </c>
      <c r="BE128" s="669" t="str">
        <f t="shared" ca="1" si="65"/>
        <v>-</v>
      </c>
    </row>
    <row r="129" spans="11:57" s="45" customFormat="1" ht="15" thickBot="1" x14ac:dyDescent="0.35">
      <c r="K129" s="13"/>
      <c r="L129" s="13"/>
      <c r="M129" s="125"/>
      <c r="N129" s="13"/>
      <c r="O129" s="124"/>
      <c r="P129" s="13"/>
      <c r="Q129" s="13"/>
      <c r="R129" s="13"/>
      <c r="S129" s="13"/>
      <c r="AD129" s="85"/>
      <c r="AK129" s="13"/>
      <c r="AU129" s="1140" t="s">
        <v>46</v>
      </c>
      <c r="AV129" s="991"/>
      <c r="AW129" s="991"/>
      <c r="AX129" s="991"/>
      <c r="AY129" s="991"/>
      <c r="AZ129" s="687">
        <f ca="1">SUM(AZ15:AZ126)</f>
        <v>0</v>
      </c>
      <c r="BA129" s="693">
        <f ca="1">SUM(BA15:BA126)</f>
        <v>0</v>
      </c>
      <c r="BB129" s="687">
        <f ca="1">SUM(BB15:BB126)</f>
        <v>0</v>
      </c>
      <c r="BC129" s="694">
        <f ca="1">SUM(BC15:BC126)</f>
        <v>0</v>
      </c>
      <c r="BD129" s="672">
        <f t="shared" ca="1" si="60"/>
        <v>0</v>
      </c>
      <c r="BE129" s="695" t="str">
        <f t="shared" ca="1" si="65"/>
        <v>-</v>
      </c>
    </row>
    <row r="130" spans="11:57" s="45" customFormat="1" x14ac:dyDescent="0.3">
      <c r="K130" s="13"/>
      <c r="L130" s="13"/>
      <c r="M130" s="125"/>
      <c r="N130" s="13"/>
      <c r="O130" s="124"/>
      <c r="P130" s="13"/>
      <c r="Q130" s="13"/>
      <c r="R130" s="13"/>
      <c r="S130" s="13"/>
      <c r="AC130" s="13"/>
      <c r="AD130" s="125"/>
      <c r="AE130" s="13"/>
      <c r="AF130" s="13"/>
      <c r="AG130" s="13"/>
      <c r="AH130" s="13"/>
      <c r="AI130" s="13"/>
      <c r="AJ130" s="13"/>
      <c r="AK130" s="13"/>
      <c r="AM130" s="13"/>
      <c r="AN130" s="13"/>
      <c r="AO130" s="13"/>
      <c r="AP130" s="13"/>
      <c r="AQ130" s="13"/>
      <c r="AR130" s="13"/>
      <c r="AS130" s="13"/>
      <c r="AU130" s="13"/>
      <c r="AV130" s="125"/>
      <c r="AW130" s="13"/>
      <c r="AX130" s="125"/>
      <c r="AY130" s="13"/>
      <c r="AZ130" s="13"/>
      <c r="BA130" s="13"/>
      <c r="BB130" s="13"/>
      <c r="BC130" s="13"/>
      <c r="BD130" s="13"/>
      <c r="BE130" s="13"/>
    </row>
    <row r="132" spans="11:57" x14ac:dyDescent="0.3">
      <c r="K132" s="45"/>
      <c r="L132" s="45"/>
      <c r="M132" s="85"/>
      <c r="N132" s="45"/>
      <c r="O132" s="200"/>
      <c r="P132" s="45"/>
      <c r="Q132" s="45"/>
      <c r="R132" s="45"/>
      <c r="S132" s="45"/>
    </row>
    <row r="133" spans="11:57" x14ac:dyDescent="0.3">
      <c r="K133" s="45"/>
      <c r="L133" s="45"/>
      <c r="M133" s="85"/>
      <c r="N133" s="45"/>
      <c r="O133" s="200"/>
      <c r="P133" s="45"/>
      <c r="Q133" s="45"/>
      <c r="R133" s="45"/>
      <c r="S133" s="45"/>
    </row>
  </sheetData>
  <mergeCells count="1">
    <mergeCell ref="K13:S13"/>
  </mergeCells>
  <printOptions headings="1"/>
  <pageMargins left="0.45" right="0.45" top="0" bottom="0.5" header="0.3" footer="0.3"/>
  <pageSetup scale="68" fitToWidth="6" fitToHeight="0" orientation="portrait" r:id="rId1"/>
  <headerFooter>
    <oddHeader>&amp;C&amp;"-,Bold"&amp;12&amp;F, &amp;A</oddHeader>
    <oddFooter>&amp;R&amp;10Page &amp;P</oddFooter>
  </headerFooter>
  <colBreaks count="5" manualBreakCount="5">
    <brk id="10" min="12" max="128" man="1"/>
    <brk id="20" max="1048575" man="1"/>
    <brk id="28" max="1048575" man="1"/>
    <brk id="38" max="1048575" man="1"/>
    <brk id="46"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7030A0"/>
  </sheetPr>
  <dimension ref="B1:K20"/>
  <sheetViews>
    <sheetView workbookViewId="0"/>
  </sheetViews>
  <sheetFormatPr defaultColWidth="8.88671875" defaultRowHeight="14.4" x14ac:dyDescent="0.3"/>
  <cols>
    <col min="1" max="1" width="2.5546875" style="45" customWidth="1"/>
    <col min="2" max="2" width="3.109375" style="45" customWidth="1"/>
    <col min="3" max="3" width="10.5546875" style="45" customWidth="1"/>
    <col min="4" max="4" width="12.5546875" style="45" bestFit="1" customWidth="1"/>
    <col min="5" max="16384" width="8.88671875" style="45"/>
  </cols>
  <sheetData>
    <row r="1" spans="2:11" ht="15" x14ac:dyDescent="0.25">
      <c r="B1" s="6" t="s">
        <v>83</v>
      </c>
    </row>
    <row r="2" spans="2:11" ht="15" x14ac:dyDescent="0.25">
      <c r="B2" s="208" t="s">
        <v>610</v>
      </c>
      <c r="C2" s="208"/>
      <c r="D2" s="208"/>
      <c r="E2" s="208"/>
      <c r="F2" s="208"/>
      <c r="G2" s="208"/>
      <c r="H2" s="208"/>
      <c r="I2" s="208"/>
      <c r="J2" s="208"/>
      <c r="K2" s="208"/>
    </row>
    <row r="3" spans="2:11" ht="15" x14ac:dyDescent="0.25">
      <c r="B3" s="208" t="s">
        <v>609</v>
      </c>
      <c r="C3" s="208"/>
      <c r="D3" s="208"/>
      <c r="E3" s="208"/>
      <c r="F3" s="208"/>
      <c r="G3" s="208"/>
      <c r="H3" s="208"/>
      <c r="I3" s="208"/>
      <c r="J3" s="208"/>
      <c r="K3" s="208"/>
    </row>
    <row r="4" spans="2:11" ht="15" x14ac:dyDescent="0.25">
      <c r="B4" s="208" t="s">
        <v>611</v>
      </c>
      <c r="C4" s="208"/>
      <c r="D4" s="208"/>
      <c r="E4" s="208"/>
      <c r="F4" s="208"/>
      <c r="G4" s="208"/>
      <c r="H4" s="208"/>
      <c r="I4" s="208"/>
      <c r="J4" s="208"/>
      <c r="K4" s="208"/>
    </row>
    <row r="5" spans="2:11" x14ac:dyDescent="0.3">
      <c r="B5" s="177" t="s">
        <v>555</v>
      </c>
      <c r="C5" s="208" t="s">
        <v>608</v>
      </c>
      <c r="D5" s="208"/>
      <c r="E5" s="208"/>
      <c r="F5" s="208"/>
      <c r="G5" s="208"/>
      <c r="H5" s="208"/>
      <c r="I5" s="208"/>
      <c r="J5" s="208"/>
      <c r="K5" s="208"/>
    </row>
    <row r="6" spans="2:11" x14ac:dyDescent="0.3">
      <c r="B6" s="177" t="s">
        <v>555</v>
      </c>
      <c r="C6" s="208" t="s">
        <v>612</v>
      </c>
      <c r="D6" s="208"/>
      <c r="E6" s="208"/>
      <c r="F6" s="208"/>
      <c r="G6" s="208"/>
      <c r="H6" s="208"/>
      <c r="I6" s="208"/>
      <c r="J6" s="208"/>
      <c r="K6" s="208"/>
    </row>
    <row r="7" spans="2:11" x14ac:dyDescent="0.3">
      <c r="B7" s="177" t="s">
        <v>555</v>
      </c>
      <c r="C7" s="208" t="s">
        <v>613</v>
      </c>
      <c r="D7" s="208"/>
      <c r="E7" s="208"/>
      <c r="F7" s="208"/>
      <c r="G7" s="208"/>
      <c r="H7" s="208"/>
      <c r="I7" s="208"/>
      <c r="J7" s="208"/>
      <c r="K7" s="208"/>
    </row>
    <row r="8" spans="2:11" ht="15" x14ac:dyDescent="0.25">
      <c r="B8" s="208" t="s">
        <v>614</v>
      </c>
      <c r="C8" s="208"/>
      <c r="D8" s="208"/>
      <c r="E8" s="208"/>
      <c r="F8" s="208"/>
      <c r="G8" s="208"/>
      <c r="H8" s="208"/>
      <c r="I8" s="208"/>
      <c r="J8" s="208"/>
      <c r="K8" s="208"/>
    </row>
    <row r="9" spans="2:11" ht="15" x14ac:dyDescent="0.25">
      <c r="C9" s="697"/>
      <c r="D9" s="697"/>
      <c r="E9" s="698"/>
    </row>
    <row r="10" spans="2:11" ht="15" x14ac:dyDescent="0.25">
      <c r="D10" s="3"/>
      <c r="E10" s="1"/>
    </row>
    <row r="11" spans="2:11" ht="15" x14ac:dyDescent="0.25">
      <c r="D11" s="3"/>
      <c r="E11" s="1"/>
    </row>
    <row r="12" spans="2:11" ht="15" x14ac:dyDescent="0.25">
      <c r="D12" s="3"/>
      <c r="E12" s="1"/>
    </row>
    <row r="13" spans="2:11" ht="15" x14ac:dyDescent="0.25">
      <c r="D13" s="3"/>
      <c r="E13" s="1"/>
    </row>
    <row r="14" spans="2:11" ht="15" x14ac:dyDescent="0.25">
      <c r="D14" s="3"/>
      <c r="E14" s="1"/>
    </row>
    <row r="15" spans="2:11" ht="15" x14ac:dyDescent="0.25">
      <c r="D15" s="3"/>
      <c r="E15" s="1"/>
    </row>
    <row r="16" spans="2:11" ht="15" x14ac:dyDescent="0.25">
      <c r="D16" s="3"/>
      <c r="E16" s="1"/>
    </row>
    <row r="17" spans="4:5" ht="15" x14ac:dyDescent="0.25">
      <c r="D17" s="3"/>
      <c r="E17" s="1"/>
    </row>
    <row r="18" spans="4:5" ht="15" x14ac:dyDescent="0.25">
      <c r="D18" s="3"/>
      <c r="E18" s="1"/>
    </row>
    <row r="19" spans="4:5" ht="15" x14ac:dyDescent="0.25">
      <c r="D19" s="3"/>
      <c r="E19" s="1"/>
    </row>
    <row r="20" spans="4:5" ht="15" x14ac:dyDescent="0.25">
      <c r="D20" s="3"/>
      <c r="E20" s="9"/>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P13"/>
  <sheetViews>
    <sheetView showGridLines="0" workbookViewId="0"/>
  </sheetViews>
  <sheetFormatPr defaultColWidth="8.88671875" defaultRowHeight="14.4" x14ac:dyDescent="0.3"/>
  <cols>
    <col min="1" max="1" width="1.33203125" style="13" customWidth="1"/>
    <col min="2" max="2" width="2.88671875" style="13" customWidth="1"/>
    <col min="3" max="15" width="8.88671875" style="13"/>
    <col min="16" max="16" width="13.33203125" style="13" customWidth="1"/>
    <col min="17" max="16384" width="8.88671875" style="13"/>
  </cols>
  <sheetData>
    <row r="2" spans="2:16" ht="18.75" x14ac:dyDescent="0.3">
      <c r="B2" s="699" t="s">
        <v>720</v>
      </c>
      <c r="C2" s="699"/>
      <c r="D2" s="176"/>
      <c r="E2" s="176"/>
      <c r="F2" s="176"/>
      <c r="G2" s="176"/>
      <c r="H2" s="176"/>
      <c r="I2" s="176"/>
      <c r="J2" s="176"/>
      <c r="K2" s="176"/>
      <c r="L2" s="176"/>
      <c r="M2" s="176"/>
      <c r="N2" s="176"/>
      <c r="O2" s="176"/>
      <c r="P2" s="176"/>
    </row>
    <row r="3" spans="2:16" ht="18.75" x14ac:dyDescent="0.3">
      <c r="B3" s="699" t="s">
        <v>721</v>
      </c>
      <c r="C3" s="699"/>
      <c r="D3" s="176"/>
      <c r="E3" s="176"/>
      <c r="F3" s="176"/>
      <c r="G3" s="176"/>
      <c r="H3" s="176"/>
      <c r="I3" s="176"/>
      <c r="J3" s="176"/>
      <c r="K3" s="176"/>
      <c r="L3" s="176"/>
      <c r="M3" s="176"/>
      <c r="N3" s="176"/>
      <c r="O3" s="176"/>
      <c r="P3" s="176"/>
    </row>
    <row r="4" spans="2:16" ht="18.75" x14ac:dyDescent="0.3">
      <c r="B4" s="699" t="s">
        <v>722</v>
      </c>
      <c r="C4" s="699"/>
      <c r="D4" s="176"/>
      <c r="E4" s="176"/>
      <c r="F4" s="176"/>
      <c r="G4" s="176"/>
      <c r="H4" s="176"/>
      <c r="I4" s="176"/>
      <c r="J4" s="176"/>
      <c r="K4" s="176"/>
      <c r="L4" s="176"/>
      <c r="M4" s="176"/>
      <c r="N4" s="176"/>
      <c r="O4" s="176"/>
      <c r="P4" s="176"/>
    </row>
    <row r="5" spans="2:16" ht="18.75" x14ac:dyDescent="0.3">
      <c r="B5" s="699" t="s">
        <v>723</v>
      </c>
      <c r="C5" s="699"/>
      <c r="D5" s="176"/>
      <c r="E5" s="176"/>
      <c r="F5" s="176"/>
      <c r="G5" s="176"/>
      <c r="H5" s="176"/>
      <c r="I5" s="176"/>
      <c r="J5" s="176"/>
      <c r="K5" s="176"/>
      <c r="L5" s="176"/>
      <c r="M5" s="176"/>
      <c r="N5" s="176"/>
      <c r="O5" s="176"/>
      <c r="P5" s="176"/>
    </row>
    <row r="6" spans="2:16" ht="18.75" x14ac:dyDescent="0.3">
      <c r="B6" s="699" t="s">
        <v>724</v>
      </c>
      <c r="C6" s="699"/>
      <c r="D6" s="176"/>
      <c r="E6" s="176"/>
      <c r="F6" s="176"/>
      <c r="G6" s="176"/>
      <c r="H6" s="176"/>
      <c r="I6" s="176"/>
      <c r="J6" s="176"/>
      <c r="K6" s="176"/>
      <c r="L6" s="176"/>
      <c r="M6" s="176"/>
      <c r="N6" s="176"/>
      <c r="O6" s="176"/>
      <c r="P6" s="176"/>
    </row>
    <row r="7" spans="2:16" ht="18.75" x14ac:dyDescent="0.3">
      <c r="B7" s="699" t="s">
        <v>760</v>
      </c>
      <c r="C7" s="699"/>
      <c r="D7" s="176"/>
      <c r="E7" s="176"/>
      <c r="F7" s="176"/>
      <c r="G7" s="176"/>
      <c r="H7" s="176"/>
      <c r="I7" s="176"/>
      <c r="J7" s="176"/>
      <c r="K7" s="176"/>
      <c r="L7" s="176"/>
      <c r="M7" s="176"/>
      <c r="N7" s="176"/>
      <c r="O7" s="176"/>
      <c r="P7" s="176"/>
    </row>
    <row r="8" spans="2:16" ht="18.75" x14ac:dyDescent="0.3">
      <c r="B8" s="699" t="s">
        <v>725</v>
      </c>
      <c r="C8" s="699"/>
      <c r="D8" s="176"/>
      <c r="E8" s="176"/>
      <c r="F8" s="176"/>
      <c r="G8" s="176"/>
      <c r="H8" s="176"/>
      <c r="I8" s="176"/>
      <c r="J8" s="176"/>
      <c r="K8" s="176"/>
      <c r="L8" s="176"/>
      <c r="M8" s="176"/>
      <c r="N8" s="176"/>
      <c r="O8" s="176"/>
      <c r="P8" s="176"/>
    </row>
    <row r="9" spans="2:16" ht="18.75" x14ac:dyDescent="0.3">
      <c r="B9" s="699"/>
      <c r="C9" s="699" t="s">
        <v>726</v>
      </c>
      <c r="D9" s="176"/>
      <c r="E9" s="176"/>
      <c r="F9" s="176"/>
      <c r="G9" s="176"/>
      <c r="H9" s="176"/>
      <c r="I9" s="176"/>
      <c r="J9" s="176"/>
      <c r="K9" s="176"/>
      <c r="L9" s="176"/>
      <c r="M9" s="176"/>
      <c r="N9" s="176"/>
      <c r="O9" s="176"/>
      <c r="P9" s="176"/>
    </row>
    <row r="10" spans="2:16" ht="18.75" x14ac:dyDescent="0.3">
      <c r="B10" s="699"/>
      <c r="C10" s="699" t="s">
        <v>727</v>
      </c>
      <c r="D10" s="176"/>
      <c r="E10" s="176"/>
      <c r="F10" s="176"/>
      <c r="G10" s="176"/>
      <c r="H10" s="176"/>
      <c r="I10" s="176"/>
      <c r="J10" s="176"/>
      <c r="K10" s="176"/>
      <c r="L10" s="176"/>
      <c r="M10" s="176"/>
      <c r="N10" s="176"/>
      <c r="O10" s="176"/>
      <c r="P10" s="176"/>
    </row>
    <row r="11" spans="2:16" ht="18.75" x14ac:dyDescent="0.3">
      <c r="B11" s="699"/>
      <c r="C11" s="699" t="s">
        <v>728</v>
      </c>
      <c r="D11" s="176"/>
      <c r="E11" s="176"/>
      <c r="F11" s="176"/>
      <c r="G11" s="176"/>
      <c r="H11" s="176"/>
      <c r="I11" s="176"/>
      <c r="J11" s="176"/>
      <c r="K11" s="176"/>
      <c r="L11" s="176"/>
      <c r="M11" s="176"/>
      <c r="N11" s="176"/>
      <c r="O11" s="176"/>
      <c r="P11" s="176"/>
    </row>
    <row r="12" spans="2:16" ht="18.75" x14ac:dyDescent="0.3">
      <c r="B12" s="699"/>
      <c r="C12" s="699" t="s">
        <v>729</v>
      </c>
      <c r="D12" s="176"/>
      <c r="E12" s="176"/>
      <c r="F12" s="176"/>
      <c r="G12" s="176"/>
      <c r="H12" s="176"/>
      <c r="I12" s="176"/>
      <c r="J12" s="176"/>
      <c r="K12" s="176"/>
      <c r="L12" s="176"/>
      <c r="M12" s="176"/>
      <c r="N12" s="176"/>
      <c r="O12" s="176"/>
      <c r="P12" s="176"/>
    </row>
    <row r="13" spans="2:16" ht="18.75" x14ac:dyDescent="0.3">
      <c r="B13" s="699"/>
      <c r="C13" s="699"/>
      <c r="D13" s="176"/>
      <c r="E13" s="176"/>
      <c r="F13" s="176"/>
      <c r="G13" s="176"/>
      <c r="H13" s="176"/>
      <c r="I13" s="176"/>
      <c r="J13" s="176"/>
      <c r="K13" s="176"/>
      <c r="L13" s="176"/>
      <c r="M13" s="176"/>
      <c r="N13" s="176"/>
      <c r="O13" s="176"/>
      <c r="P13" s="176"/>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116"/>
  <sheetViews>
    <sheetView showGridLines="0" zoomScaleNormal="100" zoomScaleSheetLayoutView="80" workbookViewId="0">
      <selection activeCell="C2" sqref="C2:H3"/>
    </sheetView>
  </sheetViews>
  <sheetFormatPr defaultColWidth="9.109375" defaultRowHeight="14.4" x14ac:dyDescent="0.3"/>
  <cols>
    <col min="1" max="1" width="2.33203125" style="13" customWidth="1"/>
    <col min="2" max="2" width="3.44140625" style="13" customWidth="1"/>
    <col min="3" max="3" width="16.33203125" style="13" customWidth="1"/>
    <col min="4" max="4" width="15.109375" style="13" customWidth="1"/>
    <col min="5" max="5" width="10.6640625" style="13" customWidth="1"/>
    <col min="6" max="6" width="20.6640625" style="13" customWidth="1"/>
    <col min="7" max="7" width="12.33203125" style="13" customWidth="1"/>
    <col min="8" max="8" width="23.44140625" style="13" customWidth="1"/>
    <col min="9" max="16384" width="9.109375" style="13"/>
  </cols>
  <sheetData>
    <row r="1" spans="2:8" ht="15" x14ac:dyDescent="0.25">
      <c r="B1" s="2" t="s">
        <v>633</v>
      </c>
    </row>
    <row r="2" spans="2:8" ht="15" customHeight="1" x14ac:dyDescent="0.3">
      <c r="B2" s="177" t="s">
        <v>555</v>
      </c>
      <c r="C2" s="1416" t="s">
        <v>1046</v>
      </c>
      <c r="D2" s="1416"/>
      <c r="E2" s="1416"/>
      <c r="F2" s="1416"/>
      <c r="G2" s="1416"/>
      <c r="H2" s="1416"/>
    </row>
    <row r="3" spans="2:8" x14ac:dyDescent="0.3">
      <c r="B3" s="177"/>
      <c r="C3" s="1416"/>
      <c r="D3" s="1416"/>
      <c r="E3" s="1416"/>
      <c r="F3" s="1416"/>
      <c r="G3" s="1416"/>
      <c r="H3" s="1416"/>
    </row>
    <row r="4" spans="2:8" x14ac:dyDescent="0.3">
      <c r="B4" s="177" t="s">
        <v>555</v>
      </c>
      <c r="C4" s="176" t="s">
        <v>794</v>
      </c>
      <c r="D4" s="176"/>
      <c r="E4" s="176"/>
      <c r="F4" s="176"/>
      <c r="G4" s="176"/>
      <c r="H4" s="176"/>
    </row>
    <row r="5" spans="2:8" x14ac:dyDescent="0.3">
      <c r="B5" s="177" t="s">
        <v>555</v>
      </c>
      <c r="C5" s="176" t="s">
        <v>484</v>
      </c>
      <c r="D5" s="176"/>
      <c r="E5" s="176"/>
      <c r="F5" s="176"/>
      <c r="G5" s="176"/>
      <c r="H5" s="176"/>
    </row>
    <row r="6" spans="2:8" ht="15" x14ac:dyDescent="0.25">
      <c r="B6" s="176"/>
      <c r="C6" s="176" t="s">
        <v>635</v>
      </c>
      <c r="D6" s="176"/>
      <c r="E6" s="176"/>
      <c r="F6" s="176"/>
      <c r="G6" s="176"/>
      <c r="H6" s="176"/>
    </row>
    <row r="7" spans="2:8" ht="15" x14ac:dyDescent="0.25">
      <c r="B7" s="177"/>
      <c r="C7" s="176" t="s">
        <v>636</v>
      </c>
      <c r="D7" s="176"/>
      <c r="E7" s="176"/>
      <c r="F7" s="176"/>
      <c r="G7" s="176"/>
      <c r="H7" s="176"/>
    </row>
    <row r="8" spans="2:8" x14ac:dyDescent="0.3">
      <c r="B8" s="177" t="s">
        <v>555</v>
      </c>
      <c r="C8" s="176" t="s">
        <v>642</v>
      </c>
      <c r="D8" s="176"/>
      <c r="E8" s="176"/>
      <c r="F8" s="176"/>
      <c r="G8" s="176"/>
      <c r="H8" s="176"/>
    </row>
    <row r="9" spans="2:8" ht="15" x14ac:dyDescent="0.25">
      <c r="B9" s="177"/>
      <c r="C9" s="176" t="s">
        <v>643</v>
      </c>
      <c r="D9" s="176"/>
      <c r="E9" s="176"/>
      <c r="F9" s="176"/>
      <c r="G9" s="176"/>
      <c r="H9" s="176"/>
    </row>
    <row r="10" spans="2:8" ht="15" x14ac:dyDescent="0.25">
      <c r="B10" s="177"/>
      <c r="C10" s="176" t="s">
        <v>638</v>
      </c>
      <c r="D10" s="176"/>
      <c r="E10" s="176"/>
      <c r="F10" s="176"/>
      <c r="G10" s="176"/>
      <c r="H10" s="176"/>
    </row>
    <row r="11" spans="2:8" x14ac:dyDescent="0.3">
      <c r="B11" s="177" t="s">
        <v>555</v>
      </c>
      <c r="C11" s="176" t="s">
        <v>640</v>
      </c>
      <c r="D11" s="176"/>
      <c r="E11" s="176"/>
      <c r="F11" s="176"/>
      <c r="G11" s="176"/>
      <c r="H11" s="176"/>
    </row>
    <row r="12" spans="2:8" x14ac:dyDescent="0.3">
      <c r="B12" s="177" t="s">
        <v>555</v>
      </c>
      <c r="C12" s="176" t="s">
        <v>795</v>
      </c>
      <c r="D12" s="176"/>
      <c r="E12" s="176"/>
      <c r="F12" s="176"/>
      <c r="G12" s="176"/>
      <c r="H12" s="176"/>
    </row>
    <row r="13" spans="2:8" ht="15" x14ac:dyDescent="0.25">
      <c r="B13" s="124"/>
    </row>
    <row r="14" spans="2:8" s="2" customFormat="1" ht="20.25" customHeight="1" x14ac:dyDescent="0.3">
      <c r="B14" s="1441"/>
      <c r="C14" s="1449" t="s">
        <v>634</v>
      </c>
      <c r="D14" s="1448" t="s">
        <v>730</v>
      </c>
      <c r="E14" s="1448" t="s">
        <v>731</v>
      </c>
      <c r="F14" s="1448" t="s">
        <v>637</v>
      </c>
      <c r="G14" s="1448" t="s">
        <v>639</v>
      </c>
      <c r="H14" s="1448" t="s">
        <v>641</v>
      </c>
    </row>
    <row r="15" spans="2:8" s="2" customFormat="1" ht="20.25" customHeight="1" x14ac:dyDescent="0.3">
      <c r="B15" s="1441"/>
      <c r="C15" s="1449"/>
      <c r="D15" s="1448"/>
      <c r="E15" s="1448"/>
      <c r="F15" s="1448"/>
      <c r="G15" s="1448"/>
      <c r="H15" s="1448"/>
    </row>
    <row r="16" spans="2:8" s="2" customFormat="1" ht="20.25" customHeight="1" x14ac:dyDescent="0.3">
      <c r="B16" s="1441"/>
      <c r="C16" s="1449"/>
      <c r="D16" s="1448"/>
      <c r="E16" s="1448"/>
      <c r="F16" s="1448"/>
      <c r="G16" s="1448"/>
      <c r="H16" s="1448"/>
    </row>
    <row r="17" spans="2:8" ht="26.25" customHeight="1" x14ac:dyDescent="0.3">
      <c r="B17" s="1445">
        <v>1</v>
      </c>
      <c r="C17" s="1442"/>
      <c r="D17" s="1442"/>
      <c r="E17" s="1442"/>
      <c r="F17" s="218"/>
      <c r="G17" s="218"/>
      <c r="H17" s="218"/>
    </row>
    <row r="18" spans="2:8" ht="26.25" customHeight="1" x14ac:dyDescent="0.3">
      <c r="B18" s="1446"/>
      <c r="C18" s="1443"/>
      <c r="D18" s="1443"/>
      <c r="E18" s="1443"/>
      <c r="F18" s="218"/>
      <c r="G18" s="218"/>
      <c r="H18" s="218"/>
    </row>
    <row r="19" spans="2:8" ht="26.25" customHeight="1" x14ac:dyDescent="0.3">
      <c r="B19" s="1446"/>
      <c r="C19" s="1443"/>
      <c r="D19" s="1443"/>
      <c r="E19" s="1443"/>
      <c r="F19" s="218"/>
      <c r="G19" s="218"/>
      <c r="H19" s="218"/>
    </row>
    <row r="20" spans="2:8" ht="26.25" customHeight="1" x14ac:dyDescent="0.3">
      <c r="B20" s="1447"/>
      <c r="C20" s="1444"/>
      <c r="D20" s="1444"/>
      <c r="E20" s="1444"/>
      <c r="F20" s="218"/>
      <c r="G20" s="218"/>
      <c r="H20" s="218"/>
    </row>
    <row r="21" spans="2:8" ht="26.25" customHeight="1" x14ac:dyDescent="0.3">
      <c r="B21" s="1445">
        <v>2</v>
      </c>
      <c r="C21" s="1442"/>
      <c r="D21" s="1442"/>
      <c r="E21" s="1442"/>
      <c r="F21" s="218"/>
      <c r="G21" s="218"/>
      <c r="H21" s="218"/>
    </row>
    <row r="22" spans="2:8" ht="26.25" customHeight="1" x14ac:dyDescent="0.3">
      <c r="B22" s="1446"/>
      <c r="C22" s="1443"/>
      <c r="D22" s="1443"/>
      <c r="E22" s="1443"/>
      <c r="F22" s="218"/>
      <c r="G22" s="218"/>
      <c r="H22" s="218"/>
    </row>
    <row r="23" spans="2:8" ht="26.25" customHeight="1" x14ac:dyDescent="0.3">
      <c r="B23" s="1446"/>
      <c r="C23" s="1443"/>
      <c r="D23" s="1443"/>
      <c r="E23" s="1443"/>
      <c r="F23" s="218"/>
      <c r="G23" s="218"/>
      <c r="H23" s="218"/>
    </row>
    <row r="24" spans="2:8" ht="26.25" customHeight="1" x14ac:dyDescent="0.3">
      <c r="B24" s="1447"/>
      <c r="C24" s="1444"/>
      <c r="D24" s="1444"/>
      <c r="E24" s="1444"/>
      <c r="F24" s="218"/>
      <c r="G24" s="218"/>
      <c r="H24" s="218"/>
    </row>
    <row r="25" spans="2:8" ht="26.25" customHeight="1" x14ac:dyDescent="0.3">
      <c r="B25" s="1445">
        <v>3</v>
      </c>
      <c r="C25" s="1442"/>
      <c r="D25" s="1442"/>
      <c r="E25" s="1442"/>
      <c r="F25" s="218"/>
      <c r="G25" s="218"/>
      <c r="H25" s="218"/>
    </row>
    <row r="26" spans="2:8" ht="26.25" customHeight="1" x14ac:dyDescent="0.3">
      <c r="B26" s="1446"/>
      <c r="C26" s="1443"/>
      <c r="D26" s="1443"/>
      <c r="E26" s="1443"/>
      <c r="F26" s="218"/>
      <c r="G26" s="218"/>
      <c r="H26" s="218"/>
    </row>
    <row r="27" spans="2:8" ht="26.25" customHeight="1" x14ac:dyDescent="0.3">
      <c r="B27" s="1446"/>
      <c r="C27" s="1443"/>
      <c r="D27" s="1443"/>
      <c r="E27" s="1443"/>
      <c r="F27" s="218"/>
      <c r="G27" s="218"/>
      <c r="H27" s="218"/>
    </row>
    <row r="28" spans="2:8" ht="26.25" customHeight="1" x14ac:dyDescent="0.3">
      <c r="B28" s="1447"/>
      <c r="C28" s="1444"/>
      <c r="D28" s="1444"/>
      <c r="E28" s="1444"/>
      <c r="F28" s="218"/>
      <c r="G28" s="218"/>
      <c r="H28" s="218"/>
    </row>
    <row r="29" spans="2:8" ht="26.25" customHeight="1" x14ac:dyDescent="0.3">
      <c r="B29" s="1445">
        <v>4</v>
      </c>
      <c r="C29" s="1442"/>
      <c r="D29" s="1442"/>
      <c r="E29" s="1442"/>
      <c r="F29" s="218"/>
      <c r="G29" s="218"/>
      <c r="H29" s="218"/>
    </row>
    <row r="30" spans="2:8" ht="26.25" customHeight="1" x14ac:dyDescent="0.3">
      <c r="B30" s="1446"/>
      <c r="C30" s="1443"/>
      <c r="D30" s="1443"/>
      <c r="E30" s="1443"/>
      <c r="F30" s="218"/>
      <c r="G30" s="218"/>
      <c r="H30" s="218"/>
    </row>
    <row r="31" spans="2:8" ht="26.25" customHeight="1" x14ac:dyDescent="0.3">
      <c r="B31" s="1446"/>
      <c r="C31" s="1443"/>
      <c r="D31" s="1443"/>
      <c r="E31" s="1443"/>
      <c r="F31" s="218"/>
      <c r="G31" s="218"/>
      <c r="H31" s="218"/>
    </row>
    <row r="32" spans="2:8" ht="26.25" customHeight="1" x14ac:dyDescent="0.3">
      <c r="B32" s="1447"/>
      <c r="C32" s="1444"/>
      <c r="D32" s="1444"/>
      <c r="E32" s="1444"/>
      <c r="F32" s="218"/>
      <c r="G32" s="218"/>
      <c r="H32" s="218"/>
    </row>
    <row r="33" spans="2:8" ht="26.25" customHeight="1" x14ac:dyDescent="0.3">
      <c r="B33" s="1445">
        <v>5</v>
      </c>
      <c r="C33" s="1442"/>
      <c r="D33" s="1442"/>
      <c r="E33" s="1442"/>
      <c r="F33" s="218"/>
      <c r="G33" s="218"/>
      <c r="H33" s="218"/>
    </row>
    <row r="34" spans="2:8" ht="26.25" customHeight="1" x14ac:dyDescent="0.3">
      <c r="B34" s="1446"/>
      <c r="C34" s="1443"/>
      <c r="D34" s="1443"/>
      <c r="E34" s="1443"/>
      <c r="F34" s="218"/>
      <c r="G34" s="218"/>
      <c r="H34" s="218"/>
    </row>
    <row r="35" spans="2:8" ht="26.25" customHeight="1" x14ac:dyDescent="0.3">
      <c r="B35" s="1446"/>
      <c r="C35" s="1443"/>
      <c r="D35" s="1443"/>
      <c r="E35" s="1443"/>
      <c r="F35" s="218"/>
      <c r="G35" s="218"/>
      <c r="H35" s="218"/>
    </row>
    <row r="36" spans="2:8" ht="26.25" customHeight="1" x14ac:dyDescent="0.3">
      <c r="B36" s="1447"/>
      <c r="C36" s="1444"/>
      <c r="D36" s="1444"/>
      <c r="E36" s="1444"/>
      <c r="F36" s="218"/>
      <c r="G36" s="218"/>
      <c r="H36" s="218"/>
    </row>
    <row r="37" spans="2:8" ht="26.25" customHeight="1" x14ac:dyDescent="0.3">
      <c r="B37" s="1445">
        <v>6</v>
      </c>
      <c r="C37" s="1442"/>
      <c r="D37" s="1442"/>
      <c r="E37" s="1442"/>
      <c r="F37" s="218"/>
      <c r="G37" s="218"/>
      <c r="H37" s="218"/>
    </row>
    <row r="38" spans="2:8" ht="26.25" customHeight="1" x14ac:dyDescent="0.3">
      <c r="B38" s="1446"/>
      <c r="C38" s="1443"/>
      <c r="D38" s="1443"/>
      <c r="E38" s="1443"/>
      <c r="F38" s="218"/>
      <c r="G38" s="218"/>
      <c r="H38" s="218"/>
    </row>
    <row r="39" spans="2:8" ht="26.25" customHeight="1" x14ac:dyDescent="0.3">
      <c r="B39" s="1446"/>
      <c r="C39" s="1443"/>
      <c r="D39" s="1443"/>
      <c r="E39" s="1443"/>
      <c r="F39" s="218"/>
      <c r="G39" s="218"/>
      <c r="H39" s="218"/>
    </row>
    <row r="40" spans="2:8" ht="26.25" customHeight="1" x14ac:dyDescent="0.3">
      <c r="B40" s="1447"/>
      <c r="C40" s="1444"/>
      <c r="D40" s="1444"/>
      <c r="E40" s="1444"/>
      <c r="F40" s="218"/>
      <c r="G40" s="218"/>
      <c r="H40" s="218"/>
    </row>
    <row r="41" spans="2:8" ht="26.25" customHeight="1" x14ac:dyDescent="0.3">
      <c r="B41" s="1445">
        <v>7</v>
      </c>
      <c r="C41" s="1442"/>
      <c r="D41" s="1442"/>
      <c r="E41" s="1442"/>
      <c r="F41" s="218"/>
      <c r="G41" s="218"/>
      <c r="H41" s="218"/>
    </row>
    <row r="42" spans="2:8" ht="26.25" customHeight="1" x14ac:dyDescent="0.3">
      <c r="B42" s="1446"/>
      <c r="C42" s="1443"/>
      <c r="D42" s="1443"/>
      <c r="E42" s="1443"/>
      <c r="F42" s="218"/>
      <c r="G42" s="218"/>
      <c r="H42" s="218"/>
    </row>
    <row r="43" spans="2:8" ht="26.25" customHeight="1" x14ac:dyDescent="0.3">
      <c r="B43" s="1446"/>
      <c r="C43" s="1443"/>
      <c r="D43" s="1443"/>
      <c r="E43" s="1443"/>
      <c r="F43" s="218"/>
      <c r="G43" s="218"/>
      <c r="H43" s="218"/>
    </row>
    <row r="44" spans="2:8" ht="26.25" customHeight="1" x14ac:dyDescent="0.3">
      <c r="B44" s="1447"/>
      <c r="C44" s="1444"/>
      <c r="D44" s="1444"/>
      <c r="E44" s="1444"/>
      <c r="F44" s="218"/>
      <c r="G44" s="218"/>
      <c r="H44" s="218"/>
    </row>
    <row r="45" spans="2:8" ht="26.25" customHeight="1" x14ac:dyDescent="0.3">
      <c r="B45" s="1445">
        <v>8</v>
      </c>
      <c r="C45" s="1442"/>
      <c r="D45" s="1442"/>
      <c r="E45" s="1442"/>
      <c r="F45" s="218"/>
      <c r="G45" s="218"/>
      <c r="H45" s="218"/>
    </row>
    <row r="46" spans="2:8" ht="26.25" customHeight="1" x14ac:dyDescent="0.3">
      <c r="B46" s="1446"/>
      <c r="C46" s="1443"/>
      <c r="D46" s="1443"/>
      <c r="E46" s="1443"/>
      <c r="F46" s="218"/>
      <c r="G46" s="218"/>
      <c r="H46" s="218"/>
    </row>
    <row r="47" spans="2:8" ht="26.25" customHeight="1" x14ac:dyDescent="0.3">
      <c r="B47" s="1446"/>
      <c r="C47" s="1443"/>
      <c r="D47" s="1443"/>
      <c r="E47" s="1443"/>
      <c r="F47" s="218"/>
      <c r="G47" s="218"/>
      <c r="H47" s="218"/>
    </row>
    <row r="48" spans="2:8" ht="26.25" customHeight="1" x14ac:dyDescent="0.3">
      <c r="B48" s="1447"/>
      <c r="C48" s="1444"/>
      <c r="D48" s="1444"/>
      <c r="E48" s="1444"/>
      <c r="F48" s="218"/>
      <c r="G48" s="218"/>
      <c r="H48" s="218"/>
    </row>
    <row r="49" spans="2:8" ht="26.25" customHeight="1" x14ac:dyDescent="0.3">
      <c r="B49" s="1445">
        <v>9</v>
      </c>
      <c r="C49" s="1442"/>
      <c r="D49" s="1442"/>
      <c r="E49" s="1442"/>
      <c r="F49" s="218"/>
      <c r="G49" s="218"/>
      <c r="H49" s="218"/>
    </row>
    <row r="50" spans="2:8" ht="26.25" customHeight="1" x14ac:dyDescent="0.3">
      <c r="B50" s="1446"/>
      <c r="C50" s="1443"/>
      <c r="D50" s="1443"/>
      <c r="E50" s="1443"/>
      <c r="F50" s="218"/>
      <c r="G50" s="218"/>
      <c r="H50" s="218"/>
    </row>
    <row r="51" spans="2:8" ht="26.25" customHeight="1" x14ac:dyDescent="0.3">
      <c r="B51" s="1446"/>
      <c r="C51" s="1443"/>
      <c r="D51" s="1443"/>
      <c r="E51" s="1443"/>
      <c r="F51" s="218"/>
      <c r="G51" s="218"/>
      <c r="H51" s="218"/>
    </row>
    <row r="52" spans="2:8" ht="26.25" customHeight="1" x14ac:dyDescent="0.3">
      <c r="B52" s="1447"/>
      <c r="C52" s="1444"/>
      <c r="D52" s="1444"/>
      <c r="E52" s="1444"/>
      <c r="F52" s="218"/>
      <c r="G52" s="218"/>
      <c r="H52" s="218"/>
    </row>
    <row r="53" spans="2:8" ht="26.25" customHeight="1" x14ac:dyDescent="0.3">
      <c r="B53" s="1445">
        <v>10</v>
      </c>
      <c r="C53" s="1442"/>
      <c r="D53" s="1442"/>
      <c r="E53" s="1442"/>
      <c r="F53" s="218"/>
      <c r="G53" s="218"/>
      <c r="H53" s="218"/>
    </row>
    <row r="54" spans="2:8" ht="26.25" customHeight="1" x14ac:dyDescent="0.3">
      <c r="B54" s="1446"/>
      <c r="C54" s="1443"/>
      <c r="D54" s="1443"/>
      <c r="E54" s="1443"/>
      <c r="F54" s="218"/>
      <c r="G54" s="218"/>
      <c r="H54" s="218"/>
    </row>
    <row r="55" spans="2:8" ht="26.25" customHeight="1" x14ac:dyDescent="0.3">
      <c r="B55" s="1446"/>
      <c r="C55" s="1443"/>
      <c r="D55" s="1443"/>
      <c r="E55" s="1443"/>
      <c r="F55" s="218"/>
      <c r="G55" s="218"/>
      <c r="H55" s="218"/>
    </row>
    <row r="56" spans="2:8" ht="26.25" customHeight="1" x14ac:dyDescent="0.3">
      <c r="B56" s="1447"/>
      <c r="C56" s="1444"/>
      <c r="D56" s="1444"/>
      <c r="E56" s="1444"/>
      <c r="F56" s="218"/>
      <c r="G56" s="218"/>
      <c r="H56" s="218"/>
    </row>
    <row r="57" spans="2:8" ht="26.25" customHeight="1" x14ac:dyDescent="0.3">
      <c r="B57" s="1445">
        <v>11</v>
      </c>
      <c r="C57" s="1442"/>
      <c r="D57" s="1442"/>
      <c r="E57" s="1442"/>
      <c r="F57" s="218"/>
      <c r="G57" s="218"/>
      <c r="H57" s="218"/>
    </row>
    <row r="58" spans="2:8" ht="26.25" customHeight="1" x14ac:dyDescent="0.3">
      <c r="B58" s="1446"/>
      <c r="C58" s="1443"/>
      <c r="D58" s="1443"/>
      <c r="E58" s="1443"/>
      <c r="F58" s="218"/>
      <c r="G58" s="218"/>
      <c r="H58" s="218"/>
    </row>
    <row r="59" spans="2:8" ht="26.25" customHeight="1" x14ac:dyDescent="0.3">
      <c r="B59" s="1446"/>
      <c r="C59" s="1443"/>
      <c r="D59" s="1443"/>
      <c r="E59" s="1443"/>
      <c r="F59" s="218"/>
      <c r="G59" s="218"/>
      <c r="H59" s="218"/>
    </row>
    <row r="60" spans="2:8" ht="26.25" customHeight="1" x14ac:dyDescent="0.3">
      <c r="B60" s="1447"/>
      <c r="C60" s="1444"/>
      <c r="D60" s="1444"/>
      <c r="E60" s="1444"/>
      <c r="F60" s="218"/>
      <c r="G60" s="218"/>
      <c r="H60" s="218"/>
    </row>
    <row r="61" spans="2:8" ht="26.25" customHeight="1" x14ac:dyDescent="0.3">
      <c r="B61" s="1445">
        <v>12</v>
      </c>
      <c r="C61" s="1442"/>
      <c r="D61" s="1442"/>
      <c r="E61" s="1442"/>
      <c r="F61" s="218"/>
      <c r="G61" s="218"/>
      <c r="H61" s="218"/>
    </row>
    <row r="62" spans="2:8" ht="26.25" customHeight="1" x14ac:dyDescent="0.3">
      <c r="B62" s="1446"/>
      <c r="C62" s="1443"/>
      <c r="D62" s="1443"/>
      <c r="E62" s="1443"/>
      <c r="F62" s="218"/>
      <c r="G62" s="218"/>
      <c r="H62" s="218"/>
    </row>
    <row r="63" spans="2:8" ht="26.25" customHeight="1" x14ac:dyDescent="0.3">
      <c r="B63" s="1446"/>
      <c r="C63" s="1443"/>
      <c r="D63" s="1443"/>
      <c r="E63" s="1443"/>
      <c r="F63" s="218"/>
      <c r="G63" s="218"/>
      <c r="H63" s="218"/>
    </row>
    <row r="64" spans="2:8" ht="26.25" customHeight="1" x14ac:dyDescent="0.3">
      <c r="B64" s="1447"/>
      <c r="C64" s="1444"/>
      <c r="D64" s="1444"/>
      <c r="E64" s="1444"/>
      <c r="F64" s="218"/>
      <c r="G64" s="218"/>
      <c r="H64" s="218"/>
    </row>
    <row r="65" spans="2:8" ht="26.25" customHeight="1" x14ac:dyDescent="0.3">
      <c r="B65" s="1445">
        <v>13</v>
      </c>
      <c r="C65" s="1442"/>
      <c r="D65" s="1442"/>
      <c r="E65" s="1442"/>
      <c r="F65" s="218"/>
      <c r="G65" s="218"/>
      <c r="H65" s="218"/>
    </row>
    <row r="66" spans="2:8" ht="26.25" customHeight="1" x14ac:dyDescent="0.3">
      <c r="B66" s="1446"/>
      <c r="C66" s="1443"/>
      <c r="D66" s="1443"/>
      <c r="E66" s="1443"/>
      <c r="F66" s="218"/>
      <c r="G66" s="218"/>
      <c r="H66" s="218"/>
    </row>
    <row r="67" spans="2:8" ht="26.25" customHeight="1" x14ac:dyDescent="0.3">
      <c r="B67" s="1446"/>
      <c r="C67" s="1443"/>
      <c r="D67" s="1443"/>
      <c r="E67" s="1443"/>
      <c r="F67" s="218"/>
      <c r="G67" s="218"/>
      <c r="H67" s="218"/>
    </row>
    <row r="68" spans="2:8" ht="26.25" customHeight="1" x14ac:dyDescent="0.3">
      <c r="B68" s="1447"/>
      <c r="C68" s="1444"/>
      <c r="D68" s="1444"/>
      <c r="E68" s="1444"/>
      <c r="F68" s="218"/>
      <c r="G68" s="218"/>
      <c r="H68" s="218"/>
    </row>
    <row r="69" spans="2:8" ht="26.25" customHeight="1" x14ac:dyDescent="0.3">
      <c r="B69" s="1445">
        <v>14</v>
      </c>
      <c r="C69" s="1442"/>
      <c r="D69" s="1442"/>
      <c r="E69" s="1442"/>
      <c r="F69" s="218"/>
      <c r="G69" s="218"/>
      <c r="H69" s="218"/>
    </row>
    <row r="70" spans="2:8" ht="26.25" customHeight="1" x14ac:dyDescent="0.3">
      <c r="B70" s="1446"/>
      <c r="C70" s="1443"/>
      <c r="D70" s="1443"/>
      <c r="E70" s="1443"/>
      <c r="F70" s="218"/>
      <c r="G70" s="218"/>
      <c r="H70" s="218"/>
    </row>
    <row r="71" spans="2:8" ht="26.25" customHeight="1" x14ac:dyDescent="0.3">
      <c r="B71" s="1446"/>
      <c r="C71" s="1443"/>
      <c r="D71" s="1443"/>
      <c r="E71" s="1443"/>
      <c r="F71" s="218"/>
      <c r="G71" s="218"/>
      <c r="H71" s="218"/>
    </row>
    <row r="72" spans="2:8" ht="26.25" customHeight="1" x14ac:dyDescent="0.3">
      <c r="B72" s="1447"/>
      <c r="C72" s="1444"/>
      <c r="D72" s="1444"/>
      <c r="E72" s="1444"/>
      <c r="F72" s="218"/>
      <c r="G72" s="218"/>
      <c r="H72" s="218"/>
    </row>
    <row r="73" spans="2:8" ht="26.25" customHeight="1" x14ac:dyDescent="0.3">
      <c r="B73" s="1445">
        <v>15</v>
      </c>
      <c r="C73" s="1442"/>
      <c r="D73" s="1442"/>
      <c r="E73" s="1442"/>
      <c r="F73" s="218"/>
      <c r="G73" s="218"/>
      <c r="H73" s="218"/>
    </row>
    <row r="74" spans="2:8" ht="26.25" customHeight="1" x14ac:dyDescent="0.3">
      <c r="B74" s="1446"/>
      <c r="C74" s="1443"/>
      <c r="D74" s="1443"/>
      <c r="E74" s="1443"/>
      <c r="F74" s="218"/>
      <c r="G74" s="218"/>
      <c r="H74" s="218"/>
    </row>
    <row r="75" spans="2:8" ht="26.25" customHeight="1" x14ac:dyDescent="0.3">
      <c r="B75" s="1446"/>
      <c r="C75" s="1443"/>
      <c r="D75" s="1443"/>
      <c r="E75" s="1443"/>
      <c r="F75" s="218"/>
      <c r="G75" s="218"/>
      <c r="H75" s="218"/>
    </row>
    <row r="76" spans="2:8" ht="26.25" customHeight="1" x14ac:dyDescent="0.3">
      <c r="B76" s="1447"/>
      <c r="C76" s="1444"/>
      <c r="D76" s="1444"/>
      <c r="E76" s="1444"/>
      <c r="F76" s="218"/>
      <c r="G76" s="218"/>
      <c r="H76" s="218"/>
    </row>
    <row r="77" spans="2:8" ht="26.25" customHeight="1" x14ac:dyDescent="0.3">
      <c r="B77" s="1445">
        <v>16</v>
      </c>
      <c r="C77" s="1442"/>
      <c r="D77" s="1442"/>
      <c r="E77" s="1442"/>
      <c r="F77" s="218"/>
      <c r="G77" s="218"/>
      <c r="H77" s="218"/>
    </row>
    <row r="78" spans="2:8" ht="26.25" customHeight="1" x14ac:dyDescent="0.3">
      <c r="B78" s="1446"/>
      <c r="C78" s="1443"/>
      <c r="D78" s="1443"/>
      <c r="E78" s="1443"/>
      <c r="F78" s="218"/>
      <c r="G78" s="218"/>
      <c r="H78" s="218"/>
    </row>
    <row r="79" spans="2:8" ht="26.25" customHeight="1" x14ac:dyDescent="0.3">
      <c r="B79" s="1446"/>
      <c r="C79" s="1443"/>
      <c r="D79" s="1443"/>
      <c r="E79" s="1443"/>
      <c r="F79" s="218"/>
      <c r="G79" s="218"/>
      <c r="H79" s="218"/>
    </row>
    <row r="80" spans="2:8" ht="26.25" customHeight="1" x14ac:dyDescent="0.3">
      <c r="B80" s="1447"/>
      <c r="C80" s="1444"/>
      <c r="D80" s="1444"/>
      <c r="E80" s="1444"/>
      <c r="F80" s="218"/>
      <c r="G80" s="218"/>
      <c r="H80" s="218"/>
    </row>
    <row r="81" spans="2:8" ht="26.25" customHeight="1" x14ac:dyDescent="0.3">
      <c r="B81" s="1445">
        <v>17</v>
      </c>
      <c r="C81" s="1442"/>
      <c r="D81" s="1442"/>
      <c r="E81" s="1442"/>
      <c r="F81" s="218"/>
      <c r="G81" s="218"/>
      <c r="H81" s="218"/>
    </row>
    <row r="82" spans="2:8" ht="26.25" customHeight="1" x14ac:dyDescent="0.3">
      <c r="B82" s="1446"/>
      <c r="C82" s="1443"/>
      <c r="D82" s="1443"/>
      <c r="E82" s="1443"/>
      <c r="F82" s="218"/>
      <c r="G82" s="218"/>
      <c r="H82" s="218"/>
    </row>
    <row r="83" spans="2:8" ht="26.25" customHeight="1" x14ac:dyDescent="0.3">
      <c r="B83" s="1446"/>
      <c r="C83" s="1443"/>
      <c r="D83" s="1443"/>
      <c r="E83" s="1443"/>
      <c r="F83" s="218"/>
      <c r="G83" s="218"/>
      <c r="H83" s="218"/>
    </row>
    <row r="84" spans="2:8" ht="26.25" customHeight="1" x14ac:dyDescent="0.3">
      <c r="B84" s="1447"/>
      <c r="C84" s="1444"/>
      <c r="D84" s="1444"/>
      <c r="E84" s="1444"/>
      <c r="F84" s="218"/>
      <c r="G84" s="218"/>
      <c r="H84" s="218"/>
    </row>
    <row r="85" spans="2:8" ht="26.25" customHeight="1" x14ac:dyDescent="0.3">
      <c r="B85" s="1445">
        <v>18</v>
      </c>
      <c r="C85" s="1442"/>
      <c r="D85" s="1442"/>
      <c r="E85" s="1442"/>
      <c r="F85" s="218"/>
      <c r="G85" s="218"/>
      <c r="H85" s="218"/>
    </row>
    <row r="86" spans="2:8" ht="26.25" customHeight="1" x14ac:dyDescent="0.3">
      <c r="B86" s="1446"/>
      <c r="C86" s="1443"/>
      <c r="D86" s="1443"/>
      <c r="E86" s="1443"/>
      <c r="F86" s="218"/>
      <c r="G86" s="218"/>
      <c r="H86" s="218"/>
    </row>
    <row r="87" spans="2:8" ht="26.25" customHeight="1" x14ac:dyDescent="0.3">
      <c r="B87" s="1446"/>
      <c r="C87" s="1443"/>
      <c r="D87" s="1443"/>
      <c r="E87" s="1443"/>
      <c r="F87" s="218"/>
      <c r="G87" s="218"/>
      <c r="H87" s="218"/>
    </row>
    <row r="88" spans="2:8" ht="26.25" customHeight="1" x14ac:dyDescent="0.3">
      <c r="B88" s="1447"/>
      <c r="C88" s="1444"/>
      <c r="D88" s="1444"/>
      <c r="E88" s="1444"/>
      <c r="F88" s="218"/>
      <c r="G88" s="218"/>
      <c r="H88" s="218"/>
    </row>
    <row r="89" spans="2:8" ht="26.25" customHeight="1" x14ac:dyDescent="0.3">
      <c r="B89" s="1445">
        <v>19</v>
      </c>
      <c r="C89" s="1442"/>
      <c r="D89" s="1442"/>
      <c r="E89" s="1442"/>
      <c r="F89" s="218"/>
      <c r="G89" s="218"/>
      <c r="H89" s="218"/>
    </row>
    <row r="90" spans="2:8" ht="26.25" customHeight="1" x14ac:dyDescent="0.3">
      <c r="B90" s="1446"/>
      <c r="C90" s="1443"/>
      <c r="D90" s="1443"/>
      <c r="E90" s="1443"/>
      <c r="F90" s="218"/>
      <c r="G90" s="218"/>
      <c r="H90" s="218"/>
    </row>
    <row r="91" spans="2:8" ht="26.25" customHeight="1" x14ac:dyDescent="0.3">
      <c r="B91" s="1446"/>
      <c r="C91" s="1443"/>
      <c r="D91" s="1443"/>
      <c r="E91" s="1443"/>
      <c r="F91" s="218"/>
      <c r="G91" s="218"/>
      <c r="H91" s="218"/>
    </row>
    <row r="92" spans="2:8" ht="26.25" customHeight="1" x14ac:dyDescent="0.3">
      <c r="B92" s="1447"/>
      <c r="C92" s="1444"/>
      <c r="D92" s="1444"/>
      <c r="E92" s="1444"/>
      <c r="F92" s="218"/>
      <c r="G92" s="218"/>
      <c r="H92" s="218"/>
    </row>
    <row r="93" spans="2:8" ht="26.25" customHeight="1" x14ac:dyDescent="0.3">
      <c r="B93" s="1445">
        <v>20</v>
      </c>
      <c r="C93" s="1442"/>
      <c r="D93" s="1442"/>
      <c r="E93" s="1442"/>
      <c r="F93" s="218"/>
      <c r="G93" s="218"/>
      <c r="H93" s="218"/>
    </row>
    <row r="94" spans="2:8" ht="26.25" customHeight="1" x14ac:dyDescent="0.3">
      <c r="B94" s="1446"/>
      <c r="C94" s="1443"/>
      <c r="D94" s="1443"/>
      <c r="E94" s="1443"/>
      <c r="F94" s="218"/>
      <c r="G94" s="218"/>
      <c r="H94" s="218"/>
    </row>
    <row r="95" spans="2:8" ht="26.25" customHeight="1" x14ac:dyDescent="0.3">
      <c r="B95" s="1446"/>
      <c r="C95" s="1443"/>
      <c r="D95" s="1443"/>
      <c r="E95" s="1443"/>
      <c r="F95" s="218"/>
      <c r="G95" s="218"/>
      <c r="H95" s="218"/>
    </row>
    <row r="96" spans="2:8" ht="26.25" customHeight="1" x14ac:dyDescent="0.3">
      <c r="B96" s="1447"/>
      <c r="C96" s="1444"/>
      <c r="D96" s="1444"/>
      <c r="E96" s="1444"/>
      <c r="F96" s="218"/>
      <c r="G96" s="218"/>
      <c r="H96" s="218"/>
    </row>
    <row r="97" spans="2:8" ht="26.25" customHeight="1" x14ac:dyDescent="0.3">
      <c r="B97" s="1445">
        <v>21</v>
      </c>
      <c r="C97" s="1442"/>
      <c r="D97" s="1442"/>
      <c r="E97" s="1442"/>
      <c r="F97" s="218"/>
      <c r="G97" s="218"/>
      <c r="H97" s="218"/>
    </row>
    <row r="98" spans="2:8" ht="26.25" customHeight="1" x14ac:dyDescent="0.3">
      <c r="B98" s="1446"/>
      <c r="C98" s="1443"/>
      <c r="D98" s="1443"/>
      <c r="E98" s="1443"/>
      <c r="F98" s="218"/>
      <c r="G98" s="218"/>
      <c r="H98" s="218"/>
    </row>
    <row r="99" spans="2:8" ht="26.25" customHeight="1" x14ac:dyDescent="0.3">
      <c r="B99" s="1446"/>
      <c r="C99" s="1443"/>
      <c r="D99" s="1443"/>
      <c r="E99" s="1443"/>
      <c r="F99" s="218"/>
      <c r="G99" s="218"/>
      <c r="H99" s="218"/>
    </row>
    <row r="100" spans="2:8" ht="26.25" customHeight="1" x14ac:dyDescent="0.3">
      <c r="B100" s="1447"/>
      <c r="C100" s="1444"/>
      <c r="D100" s="1444"/>
      <c r="E100" s="1444"/>
      <c r="F100" s="218"/>
      <c r="G100" s="218"/>
      <c r="H100" s="218"/>
    </row>
    <row r="101" spans="2:8" ht="26.25" customHeight="1" x14ac:dyDescent="0.3">
      <c r="B101" s="1445">
        <v>22</v>
      </c>
      <c r="C101" s="1442"/>
      <c r="D101" s="1442"/>
      <c r="E101" s="1442"/>
      <c r="F101" s="218"/>
      <c r="G101" s="218"/>
      <c r="H101" s="218"/>
    </row>
    <row r="102" spans="2:8" ht="26.25" customHeight="1" x14ac:dyDescent="0.3">
      <c r="B102" s="1446"/>
      <c r="C102" s="1443"/>
      <c r="D102" s="1443"/>
      <c r="E102" s="1443"/>
      <c r="F102" s="218"/>
      <c r="G102" s="218"/>
      <c r="H102" s="218"/>
    </row>
    <row r="103" spans="2:8" ht="26.25" customHeight="1" x14ac:dyDescent="0.3">
      <c r="B103" s="1446"/>
      <c r="C103" s="1443"/>
      <c r="D103" s="1443"/>
      <c r="E103" s="1443"/>
      <c r="F103" s="218"/>
      <c r="G103" s="218"/>
      <c r="H103" s="218"/>
    </row>
    <row r="104" spans="2:8" ht="26.25" customHeight="1" x14ac:dyDescent="0.3">
      <c r="B104" s="1447"/>
      <c r="C104" s="1444"/>
      <c r="D104" s="1444"/>
      <c r="E104" s="1444"/>
      <c r="F104" s="218"/>
      <c r="G104" s="218"/>
      <c r="H104" s="218"/>
    </row>
    <row r="105" spans="2:8" ht="26.25" customHeight="1" x14ac:dyDescent="0.3">
      <c r="B105" s="1445">
        <v>23</v>
      </c>
      <c r="C105" s="1442"/>
      <c r="D105" s="1442"/>
      <c r="E105" s="1442"/>
      <c r="F105" s="218"/>
      <c r="G105" s="218"/>
      <c r="H105" s="218"/>
    </row>
    <row r="106" spans="2:8" ht="26.25" customHeight="1" x14ac:dyDescent="0.3">
      <c r="B106" s="1446"/>
      <c r="C106" s="1443"/>
      <c r="D106" s="1443"/>
      <c r="E106" s="1443"/>
      <c r="F106" s="218"/>
      <c r="G106" s="218"/>
      <c r="H106" s="218"/>
    </row>
    <row r="107" spans="2:8" ht="26.25" customHeight="1" x14ac:dyDescent="0.3">
      <c r="B107" s="1446"/>
      <c r="C107" s="1443"/>
      <c r="D107" s="1443"/>
      <c r="E107" s="1443"/>
      <c r="F107" s="218"/>
      <c r="G107" s="218"/>
      <c r="H107" s="218"/>
    </row>
    <row r="108" spans="2:8" ht="26.25" customHeight="1" x14ac:dyDescent="0.3">
      <c r="B108" s="1447"/>
      <c r="C108" s="1444"/>
      <c r="D108" s="1444"/>
      <c r="E108" s="1444"/>
      <c r="F108" s="218"/>
      <c r="G108" s="218"/>
      <c r="H108" s="218"/>
    </row>
    <row r="109" spans="2:8" ht="26.25" customHeight="1" x14ac:dyDescent="0.3">
      <c r="B109" s="1445">
        <v>24</v>
      </c>
      <c r="C109" s="1442"/>
      <c r="D109" s="1442"/>
      <c r="E109" s="1442"/>
      <c r="F109" s="218"/>
      <c r="G109" s="218"/>
      <c r="H109" s="218"/>
    </row>
    <row r="110" spans="2:8" ht="26.25" customHeight="1" x14ac:dyDescent="0.3">
      <c r="B110" s="1446"/>
      <c r="C110" s="1443"/>
      <c r="D110" s="1443"/>
      <c r="E110" s="1443"/>
      <c r="F110" s="218"/>
      <c r="G110" s="218"/>
      <c r="H110" s="218"/>
    </row>
    <row r="111" spans="2:8" ht="26.25" customHeight="1" x14ac:dyDescent="0.3">
      <c r="B111" s="1446"/>
      <c r="C111" s="1443"/>
      <c r="D111" s="1443"/>
      <c r="E111" s="1443"/>
      <c r="F111" s="218"/>
      <c r="G111" s="218"/>
      <c r="H111" s="218"/>
    </row>
    <row r="112" spans="2:8" ht="26.25" customHeight="1" x14ac:dyDescent="0.3">
      <c r="B112" s="1447"/>
      <c r="C112" s="1444"/>
      <c r="D112" s="1444"/>
      <c r="E112" s="1444"/>
      <c r="F112" s="218"/>
      <c r="G112" s="218"/>
      <c r="H112" s="218"/>
    </row>
    <row r="113" spans="2:8" ht="26.25" customHeight="1" x14ac:dyDescent="0.3">
      <c r="B113" s="1445">
        <v>25</v>
      </c>
      <c r="C113" s="1442"/>
      <c r="D113" s="1442"/>
      <c r="E113" s="1442"/>
      <c r="F113" s="218"/>
      <c r="G113" s="218"/>
      <c r="H113" s="218"/>
    </row>
    <row r="114" spans="2:8" ht="26.25" customHeight="1" x14ac:dyDescent="0.3">
      <c r="B114" s="1446"/>
      <c r="C114" s="1443"/>
      <c r="D114" s="1443"/>
      <c r="E114" s="1443"/>
      <c r="F114" s="218"/>
      <c r="G114" s="218"/>
      <c r="H114" s="218"/>
    </row>
    <row r="115" spans="2:8" ht="26.25" customHeight="1" x14ac:dyDescent="0.3">
      <c r="B115" s="1446"/>
      <c r="C115" s="1443"/>
      <c r="D115" s="1443"/>
      <c r="E115" s="1443"/>
      <c r="F115" s="218"/>
      <c r="G115" s="218"/>
      <c r="H115" s="218"/>
    </row>
    <row r="116" spans="2:8" ht="26.25" customHeight="1" x14ac:dyDescent="0.3">
      <c r="B116" s="1447"/>
      <c r="C116" s="1444"/>
      <c r="D116" s="1444"/>
      <c r="E116" s="1444"/>
      <c r="F116" s="218"/>
      <c r="G116" s="218"/>
      <c r="H116" s="218"/>
    </row>
  </sheetData>
  <mergeCells count="108">
    <mergeCell ref="B109:B112"/>
    <mergeCell ref="C109:C112"/>
    <mergeCell ref="D109:D112"/>
    <mergeCell ref="E109:E112"/>
    <mergeCell ref="B113:B116"/>
    <mergeCell ref="C113:C116"/>
    <mergeCell ref="D113:D116"/>
    <mergeCell ref="E113:E116"/>
    <mergeCell ref="B101:B104"/>
    <mergeCell ref="C101:C104"/>
    <mergeCell ref="D101:D104"/>
    <mergeCell ref="E101:E104"/>
    <mergeCell ref="B105:B108"/>
    <mergeCell ref="C105:C108"/>
    <mergeCell ref="D105:D108"/>
    <mergeCell ref="E105:E108"/>
    <mergeCell ref="B93:B96"/>
    <mergeCell ref="C93:C96"/>
    <mergeCell ref="D93:D96"/>
    <mergeCell ref="E93:E96"/>
    <mergeCell ref="B97:B100"/>
    <mergeCell ref="C97:C100"/>
    <mergeCell ref="D97:D100"/>
    <mergeCell ref="E97:E100"/>
    <mergeCell ref="B85:B88"/>
    <mergeCell ref="C85:C88"/>
    <mergeCell ref="D85:D88"/>
    <mergeCell ref="E85:E88"/>
    <mergeCell ref="B89:B92"/>
    <mergeCell ref="C89:C92"/>
    <mergeCell ref="D89:D92"/>
    <mergeCell ref="E89:E92"/>
    <mergeCell ref="B77:B80"/>
    <mergeCell ref="C77:C80"/>
    <mergeCell ref="D77:D80"/>
    <mergeCell ref="E77:E80"/>
    <mergeCell ref="B81:B84"/>
    <mergeCell ref="C81:C84"/>
    <mergeCell ref="D81:D84"/>
    <mergeCell ref="E81:E84"/>
    <mergeCell ref="B69:B72"/>
    <mergeCell ref="C69:C72"/>
    <mergeCell ref="D69:D72"/>
    <mergeCell ref="E69:E72"/>
    <mergeCell ref="B73:B76"/>
    <mergeCell ref="C73:C76"/>
    <mergeCell ref="D73:D76"/>
    <mergeCell ref="E73:E76"/>
    <mergeCell ref="B61:B64"/>
    <mergeCell ref="C61:C64"/>
    <mergeCell ref="D61:D64"/>
    <mergeCell ref="E61:E64"/>
    <mergeCell ref="B65:B68"/>
    <mergeCell ref="C65:C68"/>
    <mergeCell ref="D65:D68"/>
    <mergeCell ref="E65:E68"/>
    <mergeCell ref="B53:B56"/>
    <mergeCell ref="C53:C56"/>
    <mergeCell ref="D53:D56"/>
    <mergeCell ref="E53:E56"/>
    <mergeCell ref="B57:B60"/>
    <mergeCell ref="C57:C60"/>
    <mergeCell ref="D57:D60"/>
    <mergeCell ref="E57:E60"/>
    <mergeCell ref="B45:B48"/>
    <mergeCell ref="C45:C48"/>
    <mergeCell ref="D45:D48"/>
    <mergeCell ref="E45:E48"/>
    <mergeCell ref="B49:B52"/>
    <mergeCell ref="C49:C52"/>
    <mergeCell ref="D49:D52"/>
    <mergeCell ref="E49:E52"/>
    <mergeCell ref="B37:B40"/>
    <mergeCell ref="C37:C40"/>
    <mergeCell ref="D37:D40"/>
    <mergeCell ref="E37:E40"/>
    <mergeCell ref="B41:B44"/>
    <mergeCell ref="C41:C44"/>
    <mergeCell ref="D41:D44"/>
    <mergeCell ref="E41:E44"/>
    <mergeCell ref="B29:B32"/>
    <mergeCell ref="C29:C32"/>
    <mergeCell ref="D29:D32"/>
    <mergeCell ref="E29:E32"/>
    <mergeCell ref="B33:B36"/>
    <mergeCell ref="C33:C36"/>
    <mergeCell ref="D33:D36"/>
    <mergeCell ref="E33:E36"/>
    <mergeCell ref="B21:B24"/>
    <mergeCell ref="C21:C24"/>
    <mergeCell ref="D21:D24"/>
    <mergeCell ref="E21:E24"/>
    <mergeCell ref="B25:B28"/>
    <mergeCell ref="C25:C28"/>
    <mergeCell ref="D25:D28"/>
    <mergeCell ref="E25:E28"/>
    <mergeCell ref="B14:B16"/>
    <mergeCell ref="E17:E20"/>
    <mergeCell ref="D17:D20"/>
    <mergeCell ref="C17:C20"/>
    <mergeCell ref="B17:B20"/>
    <mergeCell ref="C2:H3"/>
    <mergeCell ref="E14:E16"/>
    <mergeCell ref="G14:G16"/>
    <mergeCell ref="F14:F16"/>
    <mergeCell ref="D14:D16"/>
    <mergeCell ref="C14:C16"/>
    <mergeCell ref="H14:H16"/>
  </mergeCells>
  <pageMargins left="0.45" right="0.45" top="0.75" bottom="0.5" header="0.3" footer="0.3"/>
  <pageSetup scale="94" fitToHeight="0" orientation="portrait" r:id="rId1"/>
  <headerFooter>
    <oddHeader>&amp;C&amp;"-,Bold"&amp;12&amp;F, Scratch Sheet: &amp;A</oddHeader>
    <oddFooter>&amp;R&amp;10Page &amp;P</oddFooter>
  </headerFooter>
  <rowBreaks count="1" manualBreakCount="1">
    <brk id="40" max="16383" man="1"/>
  </rowBreaks>
  <colBreaks count="1" manualBreakCount="1">
    <brk id="8"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32"/>
  <sheetViews>
    <sheetView showGridLines="0" zoomScaleNormal="100" workbookViewId="0">
      <selection activeCell="C2" sqref="C2"/>
    </sheetView>
  </sheetViews>
  <sheetFormatPr defaultColWidth="9.109375" defaultRowHeight="14.4" x14ac:dyDescent="0.3"/>
  <cols>
    <col min="1" max="1" width="1.88671875" style="13" customWidth="1"/>
    <col min="2" max="2" width="3.33203125" style="13" customWidth="1"/>
    <col min="3" max="3" width="22" style="13" customWidth="1"/>
    <col min="4" max="4" width="22.109375" style="13" customWidth="1"/>
    <col min="5" max="5" width="13.5546875" style="13" customWidth="1"/>
    <col min="6" max="11" width="11.6640625" style="13" customWidth="1"/>
    <col min="12" max="12" width="12.33203125" style="13" customWidth="1"/>
    <col min="13" max="16384" width="9.109375" style="13"/>
  </cols>
  <sheetData>
    <row r="1" spans="2:12" ht="15" x14ac:dyDescent="0.25">
      <c r="B1" s="175" t="s">
        <v>1037</v>
      </c>
      <c r="C1" s="176"/>
      <c r="D1" s="176"/>
      <c r="E1" s="176"/>
      <c r="F1" s="176"/>
      <c r="G1" s="176"/>
      <c r="H1" s="176"/>
      <c r="I1" s="176"/>
      <c r="J1" s="176"/>
      <c r="K1" s="176"/>
      <c r="L1" s="176"/>
    </row>
    <row r="2" spans="2:12" x14ac:dyDescent="0.3">
      <c r="B2" s="177" t="s">
        <v>555</v>
      </c>
      <c r="C2" s="176" t="s">
        <v>1048</v>
      </c>
      <c r="D2" s="176"/>
      <c r="E2" s="176"/>
      <c r="F2" s="176"/>
      <c r="G2" s="176"/>
      <c r="H2" s="176"/>
      <c r="I2" s="176"/>
      <c r="J2" s="176"/>
      <c r="K2" s="176"/>
      <c r="L2" s="176"/>
    </row>
    <row r="3" spans="2:12" ht="15" x14ac:dyDescent="0.25">
      <c r="B3" s="177"/>
      <c r="C3" s="176" t="s">
        <v>1047</v>
      </c>
      <c r="D3" s="176"/>
      <c r="E3" s="176"/>
      <c r="F3" s="176"/>
      <c r="G3" s="176"/>
      <c r="H3" s="176"/>
      <c r="I3" s="176"/>
      <c r="J3" s="176"/>
      <c r="K3" s="176"/>
      <c r="L3" s="176"/>
    </row>
    <row r="4" spans="2:12" ht="15" x14ac:dyDescent="0.25">
      <c r="B4" s="177"/>
      <c r="C4" s="176" t="s">
        <v>1038</v>
      </c>
      <c r="D4" s="176"/>
      <c r="E4" s="176"/>
      <c r="F4" s="176"/>
      <c r="G4" s="176"/>
      <c r="H4" s="176"/>
      <c r="I4" s="176"/>
      <c r="J4" s="176"/>
      <c r="K4" s="176"/>
      <c r="L4" s="176"/>
    </row>
    <row r="5" spans="2:12" ht="15" x14ac:dyDescent="0.25">
      <c r="B5" s="176"/>
      <c r="C5" s="176" t="s">
        <v>794</v>
      </c>
      <c r="D5" s="176"/>
      <c r="E5" s="176"/>
      <c r="F5" s="176"/>
      <c r="G5" s="176"/>
      <c r="H5" s="176"/>
      <c r="I5" s="176"/>
      <c r="J5" s="176"/>
      <c r="K5" s="176"/>
      <c r="L5" s="176"/>
    </row>
    <row r="6" spans="2:12" ht="15" x14ac:dyDescent="0.25">
      <c r="B6" s="176"/>
      <c r="C6" s="176" t="s">
        <v>484</v>
      </c>
      <c r="D6" s="176"/>
      <c r="E6" s="176"/>
      <c r="F6" s="176"/>
      <c r="G6" s="176"/>
      <c r="H6" s="176"/>
      <c r="I6" s="176"/>
      <c r="J6" s="176"/>
      <c r="K6" s="176"/>
      <c r="L6" s="176"/>
    </row>
    <row r="7" spans="2:12" x14ac:dyDescent="0.3">
      <c r="B7" s="177" t="s">
        <v>555</v>
      </c>
      <c r="C7" s="176" t="s">
        <v>592</v>
      </c>
      <c r="D7" s="176"/>
      <c r="E7" s="176"/>
      <c r="F7" s="176"/>
      <c r="G7" s="176"/>
      <c r="H7" s="176"/>
      <c r="I7" s="176"/>
      <c r="J7" s="176"/>
      <c r="K7" s="176"/>
      <c r="L7" s="176"/>
    </row>
    <row r="8" spans="2:12" x14ac:dyDescent="0.3">
      <c r="B8" s="177" t="s">
        <v>555</v>
      </c>
      <c r="C8" s="176" t="s">
        <v>593</v>
      </c>
      <c r="D8" s="176"/>
      <c r="E8" s="176"/>
      <c r="F8" s="176"/>
      <c r="G8" s="176"/>
      <c r="H8" s="176"/>
      <c r="I8" s="176"/>
      <c r="J8" s="176"/>
      <c r="K8" s="176"/>
      <c r="L8" s="176"/>
    </row>
    <row r="9" spans="2:12" ht="15.75" thickBot="1" x14ac:dyDescent="0.3"/>
    <row r="10" spans="2:12" ht="15" thickBot="1" x14ac:dyDescent="0.35">
      <c r="C10" s="700"/>
      <c r="D10" s="1450" t="s">
        <v>473</v>
      </c>
      <c r="E10" s="1369" t="s">
        <v>485</v>
      </c>
      <c r="F10" s="1452" t="s">
        <v>474</v>
      </c>
      <c r="G10" s="1453"/>
      <c r="H10" s="1453"/>
      <c r="I10" s="1453"/>
      <c r="J10" s="1453"/>
      <c r="K10" s="1453"/>
      <c r="L10" s="1454"/>
    </row>
    <row r="11" spans="2:12" ht="37.5" customHeight="1" thickBot="1" x14ac:dyDescent="0.35">
      <c r="C11" s="121"/>
      <c r="D11" s="1451"/>
      <c r="E11" s="1370"/>
      <c r="F11" s="701" t="s">
        <v>475</v>
      </c>
      <c r="G11" s="701" t="s">
        <v>476</v>
      </c>
      <c r="H11" s="701" t="s">
        <v>7</v>
      </c>
      <c r="I11" s="227" t="s">
        <v>477</v>
      </c>
      <c r="J11" s="227" t="s">
        <v>478</v>
      </c>
      <c r="K11" s="227" t="s">
        <v>486</v>
      </c>
      <c r="L11" s="120" t="s">
        <v>216</v>
      </c>
    </row>
    <row r="12" spans="2:12" ht="21" customHeight="1" x14ac:dyDescent="0.25">
      <c r="C12" s="714" t="s">
        <v>1</v>
      </c>
      <c r="D12" s="715"/>
      <c r="E12" s="714"/>
      <c r="F12" s="702"/>
      <c r="G12" s="703"/>
      <c r="H12" s="703"/>
      <c r="I12" s="703"/>
      <c r="J12" s="703"/>
      <c r="K12" s="704"/>
      <c r="L12" s="716">
        <f>SUM(F12:K12)</f>
        <v>0</v>
      </c>
    </row>
    <row r="13" spans="2:12" ht="21" customHeight="1" thickBot="1" x14ac:dyDescent="0.3">
      <c r="C13" s="708"/>
      <c r="D13" s="717"/>
      <c r="E13" s="708"/>
      <c r="F13" s="709"/>
      <c r="G13" s="710"/>
      <c r="H13" s="710"/>
      <c r="I13" s="710"/>
      <c r="J13" s="710"/>
      <c r="K13" s="711"/>
      <c r="L13" s="718">
        <f t="shared" ref="L13:L31" si="0">SUM(F13:K13)</f>
        <v>0</v>
      </c>
    </row>
    <row r="14" spans="2:12" ht="21" customHeight="1" x14ac:dyDescent="0.25">
      <c r="C14" s="714" t="s">
        <v>412</v>
      </c>
      <c r="D14" s="715"/>
      <c r="E14" s="714"/>
      <c r="F14" s="702"/>
      <c r="G14" s="703"/>
      <c r="H14" s="703"/>
      <c r="I14" s="703"/>
      <c r="J14" s="703"/>
      <c r="K14" s="704"/>
      <c r="L14" s="716">
        <f t="shared" si="0"/>
        <v>0</v>
      </c>
    </row>
    <row r="15" spans="2:12" ht="21" customHeight="1" thickBot="1" x14ac:dyDescent="0.3">
      <c r="C15" s="708"/>
      <c r="D15" s="717"/>
      <c r="E15" s="708"/>
      <c r="F15" s="709"/>
      <c r="G15" s="710"/>
      <c r="H15" s="710"/>
      <c r="I15" s="710"/>
      <c r="J15" s="710"/>
      <c r="K15" s="711"/>
      <c r="L15" s="718">
        <f t="shared" si="0"/>
        <v>0</v>
      </c>
    </row>
    <row r="16" spans="2:12" ht="21" customHeight="1" x14ac:dyDescent="0.25">
      <c r="C16" s="714" t="s">
        <v>11</v>
      </c>
      <c r="D16" s="715"/>
      <c r="E16" s="714"/>
      <c r="F16" s="702"/>
      <c r="G16" s="703"/>
      <c r="H16" s="703"/>
      <c r="I16" s="703"/>
      <c r="J16" s="703"/>
      <c r="K16" s="704"/>
      <c r="L16" s="716">
        <f t="shared" si="0"/>
        <v>0</v>
      </c>
    </row>
    <row r="17" spans="3:12" ht="21" customHeight="1" thickBot="1" x14ac:dyDescent="0.35">
      <c r="C17" s="708"/>
      <c r="D17" s="717"/>
      <c r="E17" s="708"/>
      <c r="F17" s="709"/>
      <c r="G17" s="710"/>
      <c r="H17" s="710"/>
      <c r="I17" s="710"/>
      <c r="J17" s="710"/>
      <c r="K17" s="711"/>
      <c r="L17" s="718">
        <f t="shared" si="0"/>
        <v>0</v>
      </c>
    </row>
    <row r="18" spans="3:12" ht="21" customHeight="1" x14ac:dyDescent="0.3">
      <c r="C18" s="714" t="s">
        <v>479</v>
      </c>
      <c r="D18" s="715"/>
      <c r="E18" s="714"/>
      <c r="F18" s="702"/>
      <c r="G18" s="703"/>
      <c r="H18" s="703"/>
      <c r="I18" s="703"/>
      <c r="J18" s="703"/>
      <c r="K18" s="704"/>
      <c r="L18" s="716">
        <f t="shared" si="0"/>
        <v>0</v>
      </c>
    </row>
    <row r="19" spans="3:12" ht="21" customHeight="1" thickBot="1" x14ac:dyDescent="0.35">
      <c r="C19" s="708"/>
      <c r="D19" s="717"/>
      <c r="E19" s="708"/>
      <c r="F19" s="709"/>
      <c r="G19" s="710"/>
      <c r="H19" s="710"/>
      <c r="I19" s="710"/>
      <c r="J19" s="710"/>
      <c r="K19" s="711"/>
      <c r="L19" s="718">
        <f t="shared" si="0"/>
        <v>0</v>
      </c>
    </row>
    <row r="20" spans="3:12" ht="21" customHeight="1" x14ac:dyDescent="0.3">
      <c r="C20" s="714" t="s">
        <v>480</v>
      </c>
      <c r="D20" s="715"/>
      <c r="E20" s="714"/>
      <c r="F20" s="702"/>
      <c r="G20" s="703"/>
      <c r="H20" s="703"/>
      <c r="I20" s="703"/>
      <c r="J20" s="703"/>
      <c r="K20" s="704"/>
      <c r="L20" s="716">
        <f t="shared" si="0"/>
        <v>0</v>
      </c>
    </row>
    <row r="21" spans="3:12" ht="21" customHeight="1" thickBot="1" x14ac:dyDescent="0.35">
      <c r="C21" s="708"/>
      <c r="D21" s="717"/>
      <c r="E21" s="708"/>
      <c r="F21" s="709"/>
      <c r="G21" s="710"/>
      <c r="H21" s="710"/>
      <c r="I21" s="710"/>
      <c r="J21" s="710"/>
      <c r="K21" s="711"/>
      <c r="L21" s="718">
        <f t="shared" si="0"/>
        <v>0</v>
      </c>
    </row>
    <row r="22" spans="3:12" ht="21" customHeight="1" x14ac:dyDescent="0.3">
      <c r="C22" s="714" t="s">
        <v>418</v>
      </c>
      <c r="D22" s="715"/>
      <c r="E22" s="714"/>
      <c r="F22" s="702"/>
      <c r="G22" s="703"/>
      <c r="H22" s="703"/>
      <c r="I22" s="703"/>
      <c r="J22" s="703"/>
      <c r="K22" s="704"/>
      <c r="L22" s="716">
        <f t="shared" si="0"/>
        <v>0</v>
      </c>
    </row>
    <row r="23" spans="3:12" ht="21" customHeight="1" thickBot="1" x14ac:dyDescent="0.35">
      <c r="C23" s="708"/>
      <c r="D23" s="717"/>
      <c r="E23" s="708"/>
      <c r="F23" s="709"/>
      <c r="G23" s="710"/>
      <c r="H23" s="710"/>
      <c r="I23" s="710"/>
      <c r="J23" s="710"/>
      <c r="K23" s="711"/>
      <c r="L23" s="718">
        <f t="shared" si="0"/>
        <v>0</v>
      </c>
    </row>
    <row r="24" spans="3:12" ht="21" customHeight="1" x14ac:dyDescent="0.3">
      <c r="C24" s="714" t="s">
        <v>481</v>
      </c>
      <c r="D24" s="715"/>
      <c r="E24" s="714"/>
      <c r="F24" s="702"/>
      <c r="G24" s="703"/>
      <c r="H24" s="703"/>
      <c r="I24" s="703"/>
      <c r="J24" s="703"/>
      <c r="K24" s="704"/>
      <c r="L24" s="716">
        <f t="shared" si="0"/>
        <v>0</v>
      </c>
    </row>
    <row r="25" spans="3:12" ht="21" customHeight="1" thickBot="1" x14ac:dyDescent="0.35">
      <c r="C25" s="708"/>
      <c r="D25" s="717"/>
      <c r="E25" s="708"/>
      <c r="F25" s="709"/>
      <c r="G25" s="710"/>
      <c r="H25" s="710"/>
      <c r="I25" s="710"/>
      <c r="J25" s="710"/>
      <c r="K25" s="711"/>
      <c r="L25" s="718">
        <f t="shared" si="0"/>
        <v>0</v>
      </c>
    </row>
    <row r="26" spans="3:12" ht="21" customHeight="1" x14ac:dyDescent="0.3">
      <c r="C26" s="714" t="s">
        <v>482</v>
      </c>
      <c r="D26" s="715"/>
      <c r="E26" s="714"/>
      <c r="F26" s="702"/>
      <c r="G26" s="703"/>
      <c r="H26" s="703"/>
      <c r="I26" s="703"/>
      <c r="J26" s="703"/>
      <c r="K26" s="704"/>
      <c r="L26" s="716">
        <f t="shared" si="0"/>
        <v>0</v>
      </c>
    </row>
    <row r="27" spans="3:12" ht="21" customHeight="1" thickBot="1" x14ac:dyDescent="0.35">
      <c r="C27" s="708"/>
      <c r="D27" s="717"/>
      <c r="E27" s="708"/>
      <c r="F27" s="709"/>
      <c r="G27" s="710"/>
      <c r="H27" s="710"/>
      <c r="I27" s="710"/>
      <c r="J27" s="710"/>
      <c r="K27" s="711"/>
      <c r="L27" s="718">
        <f t="shared" si="0"/>
        <v>0</v>
      </c>
    </row>
    <row r="28" spans="3:12" ht="21" customHeight="1" x14ac:dyDescent="0.3">
      <c r="C28" s="714" t="s">
        <v>483</v>
      </c>
      <c r="D28" s="715"/>
      <c r="E28" s="714"/>
      <c r="F28" s="702"/>
      <c r="G28" s="703"/>
      <c r="H28" s="703"/>
      <c r="I28" s="703"/>
      <c r="J28" s="703"/>
      <c r="K28" s="704"/>
      <c r="L28" s="716">
        <f t="shared" si="0"/>
        <v>0</v>
      </c>
    </row>
    <row r="29" spans="3:12" ht="21" customHeight="1" thickBot="1" x14ac:dyDescent="0.35">
      <c r="C29" s="708"/>
      <c r="D29" s="717"/>
      <c r="E29" s="708"/>
      <c r="F29" s="709"/>
      <c r="G29" s="710"/>
      <c r="H29" s="710"/>
      <c r="I29" s="710"/>
      <c r="J29" s="710"/>
      <c r="K29" s="711"/>
      <c r="L29" s="718">
        <f t="shared" si="0"/>
        <v>0</v>
      </c>
    </row>
    <row r="30" spans="3:12" ht="21" customHeight="1" x14ac:dyDescent="0.3">
      <c r="C30" s="714" t="s">
        <v>16</v>
      </c>
      <c r="D30" s="715"/>
      <c r="E30" s="714"/>
      <c r="F30" s="702"/>
      <c r="G30" s="703"/>
      <c r="H30" s="703"/>
      <c r="I30" s="703"/>
      <c r="J30" s="703"/>
      <c r="K30" s="704"/>
      <c r="L30" s="716">
        <f t="shared" si="0"/>
        <v>0</v>
      </c>
    </row>
    <row r="31" spans="3:12" ht="21" customHeight="1" thickBot="1" x14ac:dyDescent="0.35">
      <c r="C31" s="708"/>
      <c r="D31" s="717"/>
      <c r="E31" s="708"/>
      <c r="F31" s="709"/>
      <c r="G31" s="710"/>
      <c r="H31" s="710"/>
      <c r="I31" s="710"/>
      <c r="J31" s="710"/>
      <c r="K31" s="711"/>
      <c r="L31" s="718">
        <f t="shared" si="0"/>
        <v>0</v>
      </c>
    </row>
    <row r="32" spans="3:12" ht="31.5" customHeight="1" thickBot="1" x14ac:dyDescent="0.35">
      <c r="C32" s="121"/>
      <c r="D32" s="705" t="s">
        <v>216</v>
      </c>
      <c r="E32" s="705">
        <f>SUM(E12:E31)</f>
        <v>0</v>
      </c>
      <c r="F32" s="705">
        <f t="shared" ref="F32:L32" si="1">SUM(F12:F31)</f>
        <v>0</v>
      </c>
      <c r="G32" s="705">
        <f t="shared" si="1"/>
        <v>0</v>
      </c>
      <c r="H32" s="705">
        <f t="shared" si="1"/>
        <v>0</v>
      </c>
      <c r="I32" s="705">
        <f t="shared" si="1"/>
        <v>0</v>
      </c>
      <c r="J32" s="705">
        <f t="shared" si="1"/>
        <v>0</v>
      </c>
      <c r="K32" s="705">
        <f t="shared" si="1"/>
        <v>0</v>
      </c>
      <c r="L32" s="705">
        <f t="shared" si="1"/>
        <v>0</v>
      </c>
    </row>
  </sheetData>
  <mergeCells count="3">
    <mergeCell ref="D10:D11"/>
    <mergeCell ref="E10:E11"/>
    <mergeCell ref="F10:L10"/>
  </mergeCells>
  <pageMargins left="0.45" right="0.45" top="0.75" bottom="0.5" header="0.3" footer="0.3"/>
  <pageSetup scale="69" orientation="portrait" r:id="rId1"/>
  <headerFooter>
    <oddHeader>&amp;C&amp;"-,Bold"&amp;12&amp;F Scratch Sheet: &amp;A</oddHeader>
    <oddFooter>&amp;R&amp;10Page &amp;P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109"/>
  <sheetViews>
    <sheetView showGridLines="0" zoomScaleNormal="100" workbookViewId="0"/>
  </sheetViews>
  <sheetFormatPr defaultColWidth="9.109375" defaultRowHeight="14.4" x14ac:dyDescent="0.3"/>
  <cols>
    <col min="1" max="1" width="1.6640625" style="135" customWidth="1"/>
    <col min="2" max="2" width="5.109375" style="135" customWidth="1"/>
    <col min="3" max="3" width="13.33203125" style="135" customWidth="1"/>
    <col min="4" max="4" width="23.6640625" style="135" customWidth="1"/>
    <col min="5" max="5" width="23.109375" style="299" customWidth="1"/>
    <col min="6" max="9" width="11" style="135" customWidth="1"/>
    <col min="10" max="10" width="22" style="135" bestFit="1" customWidth="1"/>
    <col min="11" max="11" width="23.44140625" style="135" customWidth="1"/>
    <col min="12" max="12" width="3.109375" style="135" customWidth="1"/>
    <col min="13" max="16384" width="9.109375" style="135"/>
  </cols>
  <sheetData>
    <row r="1" spans="2:11" s="141" customFormat="1" ht="15" x14ac:dyDescent="0.25">
      <c r="B1" s="144" t="s">
        <v>554</v>
      </c>
      <c r="E1" s="739"/>
    </row>
    <row r="2" spans="2:11" x14ac:dyDescent="0.3">
      <c r="B2" s="290" t="s">
        <v>555</v>
      </c>
      <c r="C2" s="295" t="s">
        <v>1034</v>
      </c>
      <c r="D2" s="295"/>
      <c r="E2" s="740"/>
      <c r="F2" s="295"/>
      <c r="G2" s="295"/>
      <c r="H2" s="295"/>
      <c r="I2" s="295"/>
      <c r="J2" s="295"/>
      <c r="K2" s="295"/>
    </row>
    <row r="3" spans="2:11" x14ac:dyDescent="0.3">
      <c r="B3" s="290" t="s">
        <v>555</v>
      </c>
      <c r="C3" s="295" t="s">
        <v>1035</v>
      </c>
      <c r="D3" s="295"/>
      <c r="E3" s="740"/>
      <c r="F3" s="295"/>
      <c r="G3" s="295"/>
      <c r="H3" s="295"/>
      <c r="I3" s="295"/>
      <c r="J3" s="295"/>
      <c r="K3" s="295"/>
    </row>
    <row r="4" spans="2:11" x14ac:dyDescent="0.3">
      <c r="B4" s="290" t="s">
        <v>555</v>
      </c>
      <c r="C4" s="295" t="s">
        <v>556</v>
      </c>
      <c r="D4" s="295"/>
      <c r="E4" s="740"/>
      <c r="F4" s="295"/>
      <c r="G4" s="295"/>
      <c r="H4" s="295"/>
      <c r="I4" s="295"/>
      <c r="J4" s="295"/>
      <c r="K4" s="295"/>
    </row>
    <row r="5" spans="2:11" x14ac:dyDescent="0.3">
      <c r="B5" s="290" t="s">
        <v>555</v>
      </c>
      <c r="C5" s="295" t="s">
        <v>557</v>
      </c>
      <c r="D5" s="295"/>
      <c r="E5" s="740"/>
      <c r="F5" s="295"/>
      <c r="G5" s="295"/>
      <c r="H5" s="295"/>
      <c r="I5" s="295"/>
      <c r="J5" s="295"/>
      <c r="K5" s="295"/>
    </row>
    <row r="6" spans="2:11" x14ac:dyDescent="0.3">
      <c r="B6" s="290" t="s">
        <v>555</v>
      </c>
      <c r="C6" s="295" t="s">
        <v>794</v>
      </c>
      <c r="D6" s="295"/>
      <c r="E6" s="740"/>
      <c r="F6" s="295"/>
      <c r="G6" s="295"/>
      <c r="H6" s="295"/>
      <c r="I6" s="295"/>
      <c r="J6" s="295"/>
      <c r="K6" s="295"/>
    </row>
    <row r="7" spans="2:11" x14ac:dyDescent="0.3">
      <c r="B7" s="290" t="s">
        <v>555</v>
      </c>
      <c r="C7" s="295" t="s">
        <v>558</v>
      </c>
      <c r="D7" s="295"/>
      <c r="E7" s="740"/>
      <c r="F7" s="295"/>
      <c r="G7" s="295"/>
      <c r="H7" s="295"/>
      <c r="I7" s="295"/>
      <c r="J7" s="295"/>
      <c r="K7" s="295"/>
    </row>
    <row r="8" spans="2:11" x14ac:dyDescent="0.3">
      <c r="B8" s="290" t="s">
        <v>555</v>
      </c>
      <c r="C8" s="295" t="s">
        <v>601</v>
      </c>
      <c r="D8" s="295"/>
      <c r="E8" s="740"/>
      <c r="F8" s="295"/>
      <c r="G8" s="295"/>
      <c r="H8" s="295"/>
      <c r="I8" s="295"/>
      <c r="J8" s="295"/>
      <c r="K8" s="295"/>
    </row>
    <row r="9" spans="2:11" ht="15" customHeight="1" x14ac:dyDescent="0.3">
      <c r="B9" s="290" t="s">
        <v>555</v>
      </c>
      <c r="C9" s="295" t="s">
        <v>1036</v>
      </c>
      <c r="D9" s="807"/>
      <c r="E9" s="807"/>
      <c r="F9" s="807"/>
      <c r="G9" s="807"/>
      <c r="H9" s="807"/>
      <c r="I9" s="807"/>
      <c r="J9" s="807"/>
      <c r="K9" s="807"/>
    </row>
    <row r="10" spans="2:11" x14ac:dyDescent="0.3">
      <c r="B10" s="290" t="s">
        <v>555</v>
      </c>
      <c r="C10" s="1416" t="s">
        <v>589</v>
      </c>
      <c r="D10" s="1416"/>
      <c r="E10" s="1416"/>
      <c r="F10" s="1416"/>
      <c r="G10" s="1416"/>
      <c r="H10" s="1416"/>
      <c r="I10" s="1416"/>
      <c r="J10" s="1416"/>
      <c r="K10" s="1416"/>
    </row>
    <row r="11" spans="2:11" x14ac:dyDescent="0.3">
      <c r="B11" s="290"/>
      <c r="C11" s="1416"/>
      <c r="D11" s="1416"/>
      <c r="E11" s="1416"/>
      <c r="F11" s="1416"/>
      <c r="G11" s="1416"/>
      <c r="H11" s="1416"/>
      <c r="I11" s="1416"/>
      <c r="J11" s="1416"/>
      <c r="K11" s="1416"/>
    </row>
    <row r="12" spans="2:11" x14ac:dyDescent="0.3">
      <c r="B12" s="290" t="s">
        <v>555</v>
      </c>
      <c r="C12" s="1416" t="s">
        <v>586</v>
      </c>
      <c r="D12" s="1416"/>
      <c r="E12" s="1416"/>
      <c r="F12" s="1416"/>
      <c r="G12" s="1416"/>
      <c r="H12" s="1416"/>
      <c r="I12" s="1416"/>
      <c r="J12" s="1416"/>
      <c r="K12" s="1416"/>
    </row>
    <row r="13" spans="2:11" ht="14.4" customHeight="1" x14ac:dyDescent="0.3">
      <c r="B13" s="290" t="s">
        <v>555</v>
      </c>
      <c r="C13" s="1416" t="s">
        <v>559</v>
      </c>
      <c r="D13" s="1416"/>
      <c r="E13" s="1416"/>
      <c r="F13" s="1416"/>
      <c r="G13" s="1416"/>
      <c r="H13" s="1416"/>
      <c r="I13" s="1416"/>
      <c r="J13" s="1416"/>
      <c r="K13" s="1416"/>
    </row>
    <row r="14" spans="2:11" x14ac:dyDescent="0.3">
      <c r="B14" s="295"/>
      <c r="C14" s="1416"/>
      <c r="D14" s="1416"/>
      <c r="E14" s="1416"/>
      <c r="F14" s="1416"/>
      <c r="G14" s="1416"/>
      <c r="H14" s="1416"/>
      <c r="I14" s="1416"/>
      <c r="J14" s="1416"/>
      <c r="K14" s="1416"/>
    </row>
    <row r="15" spans="2:11" x14ac:dyDescent="0.3">
      <c r="B15" s="295"/>
      <c r="C15" s="1416"/>
      <c r="D15" s="1416"/>
      <c r="E15" s="1416"/>
      <c r="F15" s="1416"/>
      <c r="G15" s="1416"/>
      <c r="H15" s="1416"/>
      <c r="I15" s="1416"/>
      <c r="J15" s="1416"/>
      <c r="K15" s="1416"/>
    </row>
    <row r="16" spans="2:11" ht="15" x14ac:dyDescent="0.25">
      <c r="C16" s="126"/>
      <c r="D16" s="126"/>
      <c r="E16" s="126"/>
      <c r="F16" s="126"/>
      <c r="G16" s="126"/>
      <c r="H16" s="126"/>
      <c r="I16" s="126"/>
      <c r="J16" s="126"/>
      <c r="K16" s="126"/>
    </row>
    <row r="17" spans="3:11" ht="15" x14ac:dyDescent="0.25">
      <c r="C17" s="126"/>
      <c r="D17" s="126"/>
      <c r="E17" s="741"/>
      <c r="F17" s="126"/>
      <c r="G17" s="126"/>
      <c r="H17" s="126"/>
      <c r="I17" s="126"/>
      <c r="J17" s="126"/>
      <c r="K17" s="126"/>
    </row>
    <row r="18" spans="3:11" ht="15" x14ac:dyDescent="0.25">
      <c r="C18" s="719" t="s">
        <v>560</v>
      </c>
      <c r="D18" s="137"/>
      <c r="E18" s="742"/>
    </row>
    <row r="19" spans="3:11" ht="15" x14ac:dyDescent="0.25">
      <c r="C19" s="720"/>
      <c r="D19" s="137"/>
      <c r="E19" s="742"/>
    </row>
    <row r="20" spans="3:11" ht="15" x14ac:dyDescent="0.25">
      <c r="C20" s="719" t="s">
        <v>561</v>
      </c>
      <c r="D20" s="137"/>
      <c r="E20" s="742"/>
      <c r="G20" s="743"/>
    </row>
    <row r="21" spans="3:11" s="123" customFormat="1" ht="24.75" customHeight="1" x14ac:dyDescent="0.3">
      <c r="C21" s="117" t="s">
        <v>562</v>
      </c>
      <c r="D21" s="744"/>
      <c r="E21" s="745"/>
      <c r="F21" s="744" t="s">
        <v>563</v>
      </c>
      <c r="H21" s="744"/>
      <c r="I21" s="744"/>
      <c r="J21" s="744"/>
      <c r="K21" s="746"/>
    </row>
    <row r="22" spans="3:11" s="123" customFormat="1" ht="24.75" customHeight="1" x14ac:dyDescent="0.3">
      <c r="C22" s="118" t="s">
        <v>564</v>
      </c>
      <c r="D22" s="747"/>
      <c r="E22" s="748"/>
      <c r="F22" s="747" t="s">
        <v>565</v>
      </c>
      <c r="H22" s="747"/>
      <c r="I22" s="747"/>
      <c r="J22" s="747"/>
      <c r="K22" s="749"/>
    </row>
    <row r="23" spans="3:11" s="123" customFormat="1" ht="24.75" customHeight="1" x14ac:dyDescent="0.3">
      <c r="C23" s="118" t="s">
        <v>566</v>
      </c>
      <c r="D23" s="747"/>
      <c r="E23" s="748"/>
      <c r="F23" s="747" t="s">
        <v>567</v>
      </c>
      <c r="H23" s="747"/>
      <c r="I23" s="747"/>
      <c r="J23" s="747"/>
      <c r="K23" s="749"/>
    </row>
    <row r="24" spans="3:11" s="123" customFormat="1" ht="24.75" customHeight="1" x14ac:dyDescent="0.3">
      <c r="C24" s="118" t="s">
        <v>568</v>
      </c>
      <c r="D24" s="747"/>
      <c r="E24" s="748"/>
      <c r="F24" s="747" t="s">
        <v>567</v>
      </c>
      <c r="H24" s="747"/>
      <c r="I24" s="747"/>
      <c r="J24" s="747"/>
      <c r="K24" s="749"/>
    </row>
    <row r="25" spans="3:11" s="123" customFormat="1" x14ac:dyDescent="0.3">
      <c r="C25" s="119"/>
      <c r="D25" s="750"/>
      <c r="E25" s="751"/>
      <c r="F25" s="750"/>
      <c r="G25" s="750"/>
      <c r="H25" s="750"/>
      <c r="I25" s="750"/>
      <c r="J25" s="750"/>
      <c r="K25" s="752"/>
    </row>
    <row r="26" spans="3:11" x14ac:dyDescent="0.3">
      <c r="C26" s="139"/>
      <c r="D26" s="137"/>
      <c r="E26" s="742"/>
    </row>
    <row r="27" spans="3:11" x14ac:dyDescent="0.3">
      <c r="C27" s="139" t="s">
        <v>569</v>
      </c>
    </row>
    <row r="28" spans="3:11" ht="15" thickBot="1" x14ac:dyDescent="0.35">
      <c r="C28" s="139"/>
    </row>
    <row r="29" spans="3:11" x14ac:dyDescent="0.3">
      <c r="C29" s="1461" t="s">
        <v>40</v>
      </c>
      <c r="D29" s="1463" t="s">
        <v>758</v>
      </c>
      <c r="E29" s="737"/>
      <c r="F29" s="1465" t="s">
        <v>59</v>
      </c>
      <c r="G29" s="1465"/>
      <c r="H29" s="1465"/>
      <c r="I29" s="721"/>
      <c r="J29" s="1461" t="s">
        <v>302</v>
      </c>
      <c r="K29" s="1466" t="s">
        <v>570</v>
      </c>
    </row>
    <row r="30" spans="3:11" ht="15" thickBot="1" x14ac:dyDescent="0.35">
      <c r="C30" s="1462"/>
      <c r="D30" s="1464"/>
      <c r="E30" s="738"/>
      <c r="F30" s="735" t="s">
        <v>573</v>
      </c>
      <c r="G30" s="735" t="s">
        <v>572</v>
      </c>
      <c r="H30" s="735" t="s">
        <v>571</v>
      </c>
      <c r="I30" s="736" t="s">
        <v>8</v>
      </c>
      <c r="J30" s="1462"/>
      <c r="K30" s="1467"/>
    </row>
    <row r="31" spans="3:11" ht="24.75" customHeight="1" x14ac:dyDescent="0.3">
      <c r="C31" s="753" t="s">
        <v>37</v>
      </c>
      <c r="D31" s="754" t="s">
        <v>732</v>
      </c>
      <c r="E31" s="755" t="s">
        <v>575</v>
      </c>
      <c r="F31" s="712"/>
      <c r="G31" s="712"/>
      <c r="H31" s="712"/>
      <c r="I31" s="756"/>
      <c r="J31" s="757" t="s">
        <v>574</v>
      </c>
      <c r="K31" s="713"/>
    </row>
    <row r="32" spans="3:11" ht="24.75" customHeight="1" x14ac:dyDescent="0.3">
      <c r="C32" s="753"/>
      <c r="D32" s="758"/>
      <c r="E32" s="759" t="s">
        <v>575</v>
      </c>
      <c r="F32" s="706"/>
      <c r="G32" s="706"/>
      <c r="H32" s="706"/>
      <c r="I32" s="760"/>
      <c r="J32" s="761" t="s">
        <v>576</v>
      </c>
      <c r="K32" s="707"/>
    </row>
    <row r="33" spans="3:11" ht="24.75" customHeight="1" x14ac:dyDescent="0.3">
      <c r="C33" s="753"/>
      <c r="D33" s="762" t="s">
        <v>733</v>
      </c>
      <c r="E33" s="759" t="s">
        <v>575</v>
      </c>
      <c r="F33" s="706"/>
      <c r="G33" s="706"/>
      <c r="H33" s="706"/>
      <c r="I33" s="760"/>
      <c r="J33" s="761" t="s">
        <v>574</v>
      </c>
      <c r="K33" s="707"/>
    </row>
    <row r="34" spans="3:11" ht="24.75" customHeight="1" x14ac:dyDescent="0.3">
      <c r="C34" s="753"/>
      <c r="D34" s="758"/>
      <c r="E34" s="759" t="s">
        <v>575</v>
      </c>
      <c r="F34" s="706"/>
      <c r="G34" s="706"/>
      <c r="H34" s="706"/>
      <c r="I34" s="760"/>
      <c r="J34" s="761" t="s">
        <v>576</v>
      </c>
      <c r="K34" s="707"/>
    </row>
    <row r="35" spans="3:11" ht="24.75" customHeight="1" x14ac:dyDescent="0.3">
      <c r="C35" s="753"/>
      <c r="D35" s="762" t="s">
        <v>734</v>
      </c>
      <c r="E35" s="759" t="s">
        <v>575</v>
      </c>
      <c r="F35" s="706"/>
      <c r="G35" s="706"/>
      <c r="H35" s="706"/>
      <c r="I35" s="760"/>
      <c r="J35" s="761" t="s">
        <v>574</v>
      </c>
      <c r="K35" s="707"/>
    </row>
    <row r="36" spans="3:11" ht="24.75" customHeight="1" x14ac:dyDescent="0.3">
      <c r="C36" s="753"/>
      <c r="D36" s="758"/>
      <c r="E36" s="759" t="s">
        <v>575</v>
      </c>
      <c r="F36" s="706"/>
      <c r="G36" s="706"/>
      <c r="H36" s="706"/>
      <c r="I36" s="760"/>
      <c r="J36" s="761" t="s">
        <v>576</v>
      </c>
      <c r="K36" s="707"/>
    </row>
    <row r="37" spans="3:11" ht="24.75" customHeight="1" x14ac:dyDescent="0.3">
      <c r="C37" s="753"/>
      <c r="D37" s="762" t="s">
        <v>735</v>
      </c>
      <c r="E37" s="759" t="s">
        <v>575</v>
      </c>
      <c r="F37" s="706"/>
      <c r="G37" s="706"/>
      <c r="H37" s="706"/>
      <c r="I37" s="760"/>
      <c r="J37" s="761" t="s">
        <v>574</v>
      </c>
      <c r="K37" s="707"/>
    </row>
    <row r="38" spans="3:11" ht="24.75" customHeight="1" x14ac:dyDescent="0.3">
      <c r="C38" s="753"/>
      <c r="D38" s="758"/>
      <c r="E38" s="759" t="s">
        <v>575</v>
      </c>
      <c r="F38" s="706"/>
      <c r="G38" s="706"/>
      <c r="H38" s="706"/>
      <c r="I38" s="760"/>
      <c r="J38" s="761" t="s">
        <v>576</v>
      </c>
      <c r="K38" s="707"/>
    </row>
    <row r="39" spans="3:11" ht="24.75" customHeight="1" x14ac:dyDescent="0.3">
      <c r="C39" s="753"/>
      <c r="D39" s="762" t="s">
        <v>736</v>
      </c>
      <c r="E39" s="759" t="s">
        <v>575</v>
      </c>
      <c r="F39" s="706"/>
      <c r="G39" s="706"/>
      <c r="H39" s="706"/>
      <c r="I39" s="760"/>
      <c r="J39" s="761" t="s">
        <v>574</v>
      </c>
      <c r="K39" s="707"/>
    </row>
    <row r="40" spans="3:11" ht="24.75" customHeight="1" x14ac:dyDescent="0.3">
      <c r="C40" s="753"/>
      <c r="D40" s="758"/>
      <c r="E40" s="759" t="s">
        <v>575</v>
      </c>
      <c r="F40" s="706"/>
      <c r="G40" s="706"/>
      <c r="H40" s="706"/>
      <c r="I40" s="760"/>
      <c r="J40" s="761" t="s">
        <v>576</v>
      </c>
      <c r="K40" s="707"/>
    </row>
    <row r="41" spans="3:11" ht="24.75" customHeight="1" x14ac:dyDescent="0.3">
      <c r="C41" s="753"/>
      <c r="D41" s="762" t="s">
        <v>736</v>
      </c>
      <c r="E41" s="759" t="s">
        <v>575</v>
      </c>
      <c r="F41" s="706"/>
      <c r="G41" s="706"/>
      <c r="H41" s="706"/>
      <c r="I41" s="760"/>
      <c r="J41" s="761" t="s">
        <v>574</v>
      </c>
      <c r="K41" s="707"/>
    </row>
    <row r="42" spans="3:11" ht="24.75" customHeight="1" x14ac:dyDescent="0.3">
      <c r="C42" s="753"/>
      <c r="D42" s="758"/>
      <c r="E42" s="759" t="s">
        <v>575</v>
      </c>
      <c r="F42" s="706"/>
      <c r="G42" s="706"/>
      <c r="H42" s="706"/>
      <c r="I42" s="760"/>
      <c r="J42" s="761" t="s">
        <v>576</v>
      </c>
      <c r="K42" s="707"/>
    </row>
    <row r="43" spans="3:11" ht="24.75" customHeight="1" x14ac:dyDescent="0.3">
      <c r="C43" s="753"/>
      <c r="D43" s="762" t="s">
        <v>738</v>
      </c>
      <c r="E43" s="759" t="s">
        <v>575</v>
      </c>
      <c r="F43" s="706"/>
      <c r="G43" s="706"/>
      <c r="H43" s="706"/>
      <c r="I43" s="760"/>
      <c r="J43" s="761" t="s">
        <v>574</v>
      </c>
      <c r="K43" s="707"/>
    </row>
    <row r="44" spans="3:11" ht="24.75" customHeight="1" x14ac:dyDescent="0.3">
      <c r="C44" s="753"/>
      <c r="D44" s="758"/>
      <c r="E44" s="759" t="s">
        <v>575</v>
      </c>
      <c r="F44" s="706"/>
      <c r="G44" s="706"/>
      <c r="H44" s="706"/>
      <c r="I44" s="760"/>
      <c r="J44" s="761" t="s">
        <v>576</v>
      </c>
      <c r="K44" s="707"/>
    </row>
    <row r="45" spans="3:11" ht="24.75" customHeight="1" x14ac:dyDescent="0.3">
      <c r="C45" s="753"/>
      <c r="D45" s="762" t="s">
        <v>737</v>
      </c>
      <c r="E45" s="759" t="s">
        <v>575</v>
      </c>
      <c r="F45" s="706"/>
      <c r="G45" s="706"/>
      <c r="H45" s="706"/>
      <c r="I45" s="760"/>
      <c r="J45" s="761" t="s">
        <v>574</v>
      </c>
      <c r="K45" s="707"/>
    </row>
    <row r="46" spans="3:11" ht="24.75" customHeight="1" x14ac:dyDescent="0.3">
      <c r="C46" s="753"/>
      <c r="D46" s="758"/>
      <c r="E46" s="759" t="s">
        <v>575</v>
      </c>
      <c r="F46" s="706"/>
      <c r="G46" s="706"/>
      <c r="H46" s="706"/>
      <c r="I46" s="760"/>
      <c r="J46" s="761" t="s">
        <v>576</v>
      </c>
      <c r="K46" s="707"/>
    </row>
    <row r="47" spans="3:11" ht="24.75" customHeight="1" x14ac:dyDescent="0.3">
      <c r="C47" s="753"/>
      <c r="D47" s="762" t="s">
        <v>739</v>
      </c>
      <c r="E47" s="759" t="s">
        <v>575</v>
      </c>
      <c r="F47" s="706"/>
      <c r="G47" s="706"/>
      <c r="H47" s="706"/>
      <c r="I47" s="760"/>
      <c r="J47" s="761" t="s">
        <v>574</v>
      </c>
      <c r="K47" s="707"/>
    </row>
    <row r="48" spans="3:11" ht="24.75" customHeight="1" x14ac:dyDescent="0.3">
      <c r="C48" s="753"/>
      <c r="D48" s="758"/>
      <c r="E48" s="759" t="s">
        <v>575</v>
      </c>
      <c r="F48" s="706"/>
      <c r="G48" s="706"/>
      <c r="H48" s="706"/>
      <c r="I48" s="760"/>
      <c r="J48" s="761" t="s">
        <v>576</v>
      </c>
      <c r="K48" s="707"/>
    </row>
    <row r="49" spans="3:11" ht="24.75" customHeight="1" x14ac:dyDescent="0.3">
      <c r="C49" s="753"/>
      <c r="D49" s="762" t="s">
        <v>740</v>
      </c>
      <c r="E49" s="759" t="s">
        <v>575</v>
      </c>
      <c r="F49" s="706"/>
      <c r="G49" s="706"/>
      <c r="H49" s="706"/>
      <c r="I49" s="760"/>
      <c r="J49" s="761" t="s">
        <v>574</v>
      </c>
      <c r="K49" s="707"/>
    </row>
    <row r="50" spans="3:11" ht="24.75" customHeight="1" thickBot="1" x14ac:dyDescent="0.35">
      <c r="C50" s="763"/>
      <c r="D50" s="764"/>
      <c r="E50" s="765" t="s">
        <v>575</v>
      </c>
      <c r="F50" s="710"/>
      <c r="G50" s="710"/>
      <c r="H50" s="710"/>
      <c r="I50" s="766"/>
      <c r="J50" s="767" t="s">
        <v>576</v>
      </c>
      <c r="K50" s="711"/>
    </row>
    <row r="51" spans="3:11" ht="15" thickBot="1" x14ac:dyDescent="0.35">
      <c r="C51" s="137"/>
      <c r="D51" s="768"/>
      <c r="E51" s="742"/>
      <c r="F51" s="137"/>
      <c r="G51" s="137"/>
      <c r="H51" s="137"/>
      <c r="I51" s="137"/>
      <c r="J51" s="137"/>
      <c r="K51" s="137"/>
    </row>
    <row r="52" spans="3:11" ht="24.75" customHeight="1" x14ac:dyDescent="0.3">
      <c r="C52" s="769" t="s">
        <v>5</v>
      </c>
      <c r="D52" s="770" t="s">
        <v>738</v>
      </c>
      <c r="E52" s="771" t="s">
        <v>575</v>
      </c>
      <c r="F52" s="703"/>
      <c r="G52" s="703"/>
      <c r="H52" s="703"/>
      <c r="I52" s="772"/>
      <c r="J52" s="773" t="s">
        <v>576</v>
      </c>
      <c r="K52" s="704"/>
    </row>
    <row r="53" spans="3:11" ht="24.75" customHeight="1" thickBot="1" x14ac:dyDescent="0.35">
      <c r="C53" s="763"/>
      <c r="D53" s="774" t="s">
        <v>738</v>
      </c>
      <c r="E53" s="765" t="s">
        <v>575</v>
      </c>
      <c r="F53" s="710"/>
      <c r="G53" s="710"/>
      <c r="H53" s="710"/>
      <c r="I53" s="766"/>
      <c r="J53" s="767" t="s">
        <v>576</v>
      </c>
      <c r="K53" s="711"/>
    </row>
    <row r="54" spans="3:11" ht="15" thickBot="1" x14ac:dyDescent="0.35">
      <c r="C54" s="137"/>
      <c r="D54" s="137"/>
      <c r="E54" s="742"/>
      <c r="F54" s="137"/>
      <c r="G54" s="137"/>
      <c r="H54" s="137"/>
      <c r="I54" s="137"/>
      <c r="J54" s="137"/>
      <c r="K54" s="137"/>
    </row>
    <row r="55" spans="3:11" ht="33" customHeight="1" x14ac:dyDescent="0.3">
      <c r="C55" s="1468" t="s">
        <v>744</v>
      </c>
      <c r="D55" s="770" t="s">
        <v>114</v>
      </c>
      <c r="E55" s="775" t="s">
        <v>743</v>
      </c>
      <c r="F55" s="703"/>
      <c r="G55" s="703"/>
      <c r="H55" s="703"/>
      <c r="I55" s="772"/>
      <c r="J55" s="773" t="s">
        <v>577</v>
      </c>
      <c r="K55" s="704"/>
    </row>
    <row r="56" spans="3:11" ht="33" customHeight="1" x14ac:dyDescent="0.3">
      <c r="C56" s="1469"/>
      <c r="D56" s="776" t="s">
        <v>127</v>
      </c>
      <c r="E56" s="777" t="s">
        <v>743</v>
      </c>
      <c r="F56" s="706"/>
      <c r="G56" s="706"/>
      <c r="H56" s="706"/>
      <c r="I56" s="760"/>
      <c r="J56" s="761" t="s">
        <v>577</v>
      </c>
      <c r="K56" s="707"/>
    </row>
    <row r="57" spans="3:11" ht="33" customHeight="1" x14ac:dyDescent="0.3">
      <c r="C57" s="753"/>
      <c r="D57" s="776" t="s">
        <v>41</v>
      </c>
      <c r="E57" s="777" t="s">
        <v>742</v>
      </c>
      <c r="F57" s="706"/>
      <c r="G57" s="706"/>
      <c r="H57" s="706"/>
      <c r="I57" s="760"/>
      <c r="J57" s="761" t="s">
        <v>577</v>
      </c>
      <c r="K57" s="707"/>
    </row>
    <row r="58" spans="3:11" ht="33" customHeight="1" x14ac:dyDescent="0.3">
      <c r="C58" s="778"/>
      <c r="D58" s="776" t="s">
        <v>20</v>
      </c>
      <c r="E58" s="777" t="s">
        <v>741</v>
      </c>
      <c r="F58" s="706"/>
      <c r="G58" s="706"/>
      <c r="H58" s="706"/>
      <c r="I58" s="760"/>
      <c r="J58" s="761" t="s">
        <v>577</v>
      </c>
      <c r="K58" s="707"/>
    </row>
    <row r="59" spans="3:11" ht="33" customHeight="1" x14ac:dyDescent="0.3">
      <c r="C59" s="1470" t="s">
        <v>745</v>
      </c>
      <c r="D59" s="776" t="s">
        <v>114</v>
      </c>
      <c r="E59" s="777" t="s">
        <v>743</v>
      </c>
      <c r="F59" s="706"/>
      <c r="G59" s="706"/>
      <c r="H59" s="706"/>
      <c r="I59" s="760"/>
      <c r="J59" s="761" t="s">
        <v>577</v>
      </c>
      <c r="K59" s="707"/>
    </row>
    <row r="60" spans="3:11" ht="33" customHeight="1" x14ac:dyDescent="0.3">
      <c r="C60" s="1469"/>
      <c r="D60" s="776" t="s">
        <v>127</v>
      </c>
      <c r="E60" s="777" t="s">
        <v>743</v>
      </c>
      <c r="F60" s="706"/>
      <c r="G60" s="706"/>
      <c r="H60" s="706"/>
      <c r="I60" s="760"/>
      <c r="J60" s="761" t="s">
        <v>577</v>
      </c>
      <c r="K60" s="707"/>
    </row>
    <row r="61" spans="3:11" ht="33" customHeight="1" x14ac:dyDescent="0.3">
      <c r="C61" s="753"/>
      <c r="D61" s="776" t="s">
        <v>41</v>
      </c>
      <c r="E61" s="777" t="s">
        <v>742</v>
      </c>
      <c r="F61" s="706"/>
      <c r="G61" s="706"/>
      <c r="H61" s="706"/>
      <c r="I61" s="760"/>
      <c r="J61" s="761" t="s">
        <v>577</v>
      </c>
      <c r="K61" s="707"/>
    </row>
    <row r="62" spans="3:11" ht="33" customHeight="1" x14ac:dyDescent="0.3">
      <c r="C62" s="778"/>
      <c r="D62" s="776" t="s">
        <v>20</v>
      </c>
      <c r="E62" s="777" t="s">
        <v>741</v>
      </c>
      <c r="F62" s="706"/>
      <c r="G62" s="706"/>
      <c r="H62" s="706"/>
      <c r="I62" s="760"/>
      <c r="J62" s="761" t="s">
        <v>577</v>
      </c>
      <c r="K62" s="707"/>
    </row>
    <row r="63" spans="3:11" ht="33" customHeight="1" x14ac:dyDescent="0.3">
      <c r="C63" s="1470" t="s">
        <v>746</v>
      </c>
      <c r="D63" s="776" t="s">
        <v>114</v>
      </c>
      <c r="E63" s="777" t="s">
        <v>743</v>
      </c>
      <c r="F63" s="706"/>
      <c r="G63" s="706"/>
      <c r="H63" s="706"/>
      <c r="I63" s="760"/>
      <c r="J63" s="761" t="s">
        <v>577</v>
      </c>
      <c r="K63" s="707"/>
    </row>
    <row r="64" spans="3:11" ht="33" customHeight="1" x14ac:dyDescent="0.3">
      <c r="C64" s="1469"/>
      <c r="D64" s="776" t="s">
        <v>127</v>
      </c>
      <c r="E64" s="777" t="s">
        <v>743</v>
      </c>
      <c r="F64" s="706"/>
      <c r="G64" s="706"/>
      <c r="H64" s="706"/>
      <c r="I64" s="760"/>
      <c r="J64" s="761" t="s">
        <v>577</v>
      </c>
      <c r="K64" s="707"/>
    </row>
    <row r="65" spans="3:11" ht="33" customHeight="1" x14ac:dyDescent="0.3">
      <c r="C65" s="753"/>
      <c r="D65" s="776" t="s">
        <v>41</v>
      </c>
      <c r="E65" s="777" t="s">
        <v>742</v>
      </c>
      <c r="F65" s="706"/>
      <c r="G65" s="706"/>
      <c r="H65" s="706"/>
      <c r="I65" s="760"/>
      <c r="J65" s="761" t="s">
        <v>577</v>
      </c>
      <c r="K65" s="707"/>
    </row>
    <row r="66" spans="3:11" ht="33" customHeight="1" thickBot="1" x14ac:dyDescent="0.35">
      <c r="C66" s="763"/>
      <c r="D66" s="774" t="s">
        <v>20</v>
      </c>
      <c r="E66" s="779" t="s">
        <v>741</v>
      </c>
      <c r="F66" s="710"/>
      <c r="G66" s="710"/>
      <c r="H66" s="710"/>
      <c r="I66" s="766"/>
      <c r="J66" s="767" t="s">
        <v>577</v>
      </c>
      <c r="K66" s="711"/>
    </row>
    <row r="67" spans="3:11" ht="15" thickBot="1" x14ac:dyDescent="0.35"/>
    <row r="68" spans="3:11" ht="33" customHeight="1" x14ac:dyDescent="0.3">
      <c r="C68" s="769" t="s">
        <v>43</v>
      </c>
      <c r="D68" s="770" t="s">
        <v>753</v>
      </c>
      <c r="E68" s="775" t="s">
        <v>747</v>
      </c>
      <c r="F68" s="780"/>
      <c r="G68" s="780"/>
      <c r="H68" s="780"/>
      <c r="I68" s="781"/>
      <c r="J68" s="782" t="s">
        <v>590</v>
      </c>
      <c r="K68" s="783"/>
    </row>
    <row r="69" spans="3:11" ht="33" customHeight="1" x14ac:dyDescent="0.3">
      <c r="C69" s="753"/>
      <c r="D69" s="784" t="s">
        <v>754</v>
      </c>
      <c r="E69" s="785" t="s">
        <v>747</v>
      </c>
      <c r="F69" s="706"/>
      <c r="G69" s="706"/>
      <c r="H69" s="706"/>
      <c r="I69" s="760"/>
      <c r="J69" s="761" t="s">
        <v>590</v>
      </c>
      <c r="K69" s="707"/>
    </row>
    <row r="70" spans="3:11" ht="33" customHeight="1" x14ac:dyDescent="0.3">
      <c r="C70" s="753"/>
      <c r="D70" s="786" t="s">
        <v>755</v>
      </c>
      <c r="E70" s="777" t="s">
        <v>591</v>
      </c>
      <c r="F70" s="706"/>
      <c r="G70" s="787"/>
      <c r="H70" s="788"/>
      <c r="I70" s="788"/>
      <c r="J70" s="789"/>
      <c r="K70" s="790"/>
    </row>
    <row r="71" spans="3:11" ht="33" customHeight="1" x14ac:dyDescent="0.3">
      <c r="C71" s="753"/>
      <c r="D71" s="784"/>
      <c r="E71" s="777" t="s">
        <v>686</v>
      </c>
      <c r="F71" s="706"/>
      <c r="G71" s="791"/>
      <c r="H71" s="792"/>
      <c r="I71" s="792"/>
      <c r="J71" s="793"/>
      <c r="K71" s="794"/>
    </row>
    <row r="72" spans="3:11" ht="33" customHeight="1" x14ac:dyDescent="0.3">
      <c r="C72" s="753"/>
      <c r="D72" s="784"/>
      <c r="E72" s="777" t="s">
        <v>265</v>
      </c>
      <c r="F72" s="706"/>
      <c r="G72" s="791"/>
      <c r="H72" s="792"/>
      <c r="I72" s="792"/>
      <c r="J72" s="793"/>
      <c r="K72" s="794"/>
    </row>
    <row r="73" spans="3:11" ht="33" customHeight="1" x14ac:dyDescent="0.3">
      <c r="C73" s="753"/>
      <c r="D73" s="784"/>
      <c r="E73" s="777" t="s">
        <v>244</v>
      </c>
      <c r="F73" s="706"/>
      <c r="G73" s="791"/>
      <c r="H73" s="792"/>
      <c r="I73" s="792"/>
      <c r="J73" s="793"/>
      <c r="K73" s="794"/>
    </row>
    <row r="74" spans="3:11" ht="33" customHeight="1" x14ac:dyDescent="0.3">
      <c r="C74" s="753"/>
      <c r="D74" s="795"/>
      <c r="E74" s="777" t="s">
        <v>266</v>
      </c>
      <c r="F74" s="706"/>
      <c r="G74" s="796"/>
      <c r="H74" s="797"/>
      <c r="I74" s="797"/>
      <c r="J74" s="798"/>
      <c r="K74" s="799"/>
    </row>
    <row r="75" spans="3:11" ht="33" customHeight="1" x14ac:dyDescent="0.3">
      <c r="C75" s="753"/>
      <c r="D75" s="786" t="s">
        <v>756</v>
      </c>
      <c r="E75" s="777" t="s">
        <v>591</v>
      </c>
      <c r="F75" s="706"/>
      <c r="G75" s="787"/>
      <c r="H75" s="788"/>
      <c r="I75" s="788"/>
      <c r="J75" s="789"/>
      <c r="K75" s="790"/>
    </row>
    <row r="76" spans="3:11" ht="33" customHeight="1" x14ac:dyDescent="0.3">
      <c r="C76" s="753"/>
      <c r="D76" s="784"/>
      <c r="E76" s="777" t="s">
        <v>686</v>
      </c>
      <c r="F76" s="706"/>
      <c r="G76" s="791"/>
      <c r="H76" s="792"/>
      <c r="I76" s="792"/>
      <c r="J76" s="793"/>
      <c r="K76" s="794"/>
    </row>
    <row r="77" spans="3:11" ht="33" customHeight="1" x14ac:dyDescent="0.3">
      <c r="C77" s="753"/>
      <c r="D77" s="784"/>
      <c r="E77" s="777" t="s">
        <v>265</v>
      </c>
      <c r="F77" s="706"/>
      <c r="G77" s="791"/>
      <c r="H77" s="792"/>
      <c r="I77" s="792"/>
      <c r="J77" s="793"/>
      <c r="K77" s="794"/>
    </row>
    <row r="78" spans="3:11" ht="33" customHeight="1" x14ac:dyDescent="0.3">
      <c r="C78" s="753"/>
      <c r="D78" s="784"/>
      <c r="E78" s="777" t="s">
        <v>244</v>
      </c>
      <c r="F78" s="706"/>
      <c r="G78" s="791"/>
      <c r="H78" s="792"/>
      <c r="I78" s="792"/>
      <c r="J78" s="793"/>
      <c r="K78" s="794"/>
    </row>
    <row r="79" spans="3:11" ht="33" customHeight="1" x14ac:dyDescent="0.3">
      <c r="C79" s="753"/>
      <c r="D79" s="795"/>
      <c r="E79" s="777" t="s">
        <v>266</v>
      </c>
      <c r="F79" s="706"/>
      <c r="G79" s="796"/>
      <c r="H79" s="797"/>
      <c r="I79" s="797"/>
      <c r="J79" s="798"/>
      <c r="K79" s="799"/>
    </row>
    <row r="80" spans="3:11" ht="33" customHeight="1" x14ac:dyDescent="0.3">
      <c r="C80" s="753"/>
      <c r="D80" s="776" t="s">
        <v>21</v>
      </c>
      <c r="E80" s="777" t="s">
        <v>748</v>
      </c>
      <c r="F80" s="706"/>
      <c r="G80" s="706"/>
      <c r="H80" s="706"/>
      <c r="I80" s="760"/>
      <c r="J80" s="761" t="s">
        <v>578</v>
      </c>
      <c r="K80" s="707"/>
    </row>
    <row r="81" spans="3:11" ht="33" customHeight="1" thickBot="1" x14ac:dyDescent="0.35">
      <c r="C81" s="753"/>
      <c r="D81" s="776" t="s">
        <v>749</v>
      </c>
      <c r="E81" s="777" t="s">
        <v>750</v>
      </c>
      <c r="F81" s="706"/>
      <c r="G81" s="706"/>
      <c r="H81" s="706"/>
      <c r="I81" s="760"/>
      <c r="J81" s="761" t="s">
        <v>579</v>
      </c>
      <c r="K81" s="707"/>
    </row>
    <row r="82" spans="3:11" ht="33" customHeight="1" thickBot="1" x14ac:dyDescent="0.35">
      <c r="C82" s="753"/>
      <c r="D82" s="786" t="s">
        <v>426</v>
      </c>
      <c r="E82" s="775" t="s">
        <v>747</v>
      </c>
      <c r="F82" s="706"/>
      <c r="G82" s="706"/>
      <c r="H82" s="706"/>
      <c r="I82" s="760"/>
      <c r="J82" s="761" t="s">
        <v>580</v>
      </c>
      <c r="K82" s="707"/>
    </row>
    <row r="83" spans="3:11" ht="33" customHeight="1" x14ac:dyDescent="0.3">
      <c r="C83" s="753"/>
      <c r="D83" s="795"/>
      <c r="E83" s="775" t="s">
        <v>747</v>
      </c>
      <c r="F83" s="706"/>
      <c r="G83" s="706"/>
      <c r="H83" s="706"/>
      <c r="I83" s="760"/>
      <c r="J83" s="761" t="s">
        <v>581</v>
      </c>
      <c r="K83" s="707"/>
    </row>
    <row r="84" spans="3:11" ht="33" customHeight="1" x14ac:dyDescent="0.3">
      <c r="C84" s="753"/>
      <c r="D84" s="776" t="s">
        <v>9</v>
      </c>
      <c r="E84" s="777" t="s">
        <v>751</v>
      </c>
      <c r="F84" s="706"/>
      <c r="G84" s="706"/>
      <c r="H84" s="706"/>
      <c r="I84" s="760"/>
      <c r="J84" s="761" t="s">
        <v>581</v>
      </c>
      <c r="K84" s="707"/>
    </row>
    <row r="85" spans="3:11" ht="33" customHeight="1" x14ac:dyDescent="0.3">
      <c r="C85" s="753"/>
      <c r="D85" s="776" t="s">
        <v>24</v>
      </c>
      <c r="E85" s="777" t="s">
        <v>752</v>
      </c>
      <c r="F85" s="706"/>
      <c r="G85" s="706"/>
      <c r="H85" s="706"/>
      <c r="I85" s="760"/>
      <c r="J85" s="761" t="s">
        <v>582</v>
      </c>
      <c r="K85" s="707"/>
    </row>
    <row r="86" spans="3:11" ht="33" customHeight="1" x14ac:dyDescent="0.3">
      <c r="C86" s="753"/>
      <c r="D86" s="776" t="s">
        <v>25</v>
      </c>
      <c r="E86" s="777" t="s">
        <v>752</v>
      </c>
      <c r="F86" s="706"/>
      <c r="G86" s="706"/>
      <c r="H86" s="706"/>
      <c r="I86" s="760"/>
      <c r="J86" s="761" t="s">
        <v>582</v>
      </c>
      <c r="K86" s="707"/>
    </row>
    <row r="87" spans="3:11" ht="33" customHeight="1" thickBot="1" x14ac:dyDescent="0.35">
      <c r="C87" s="763"/>
      <c r="D87" s="774" t="s">
        <v>26</v>
      </c>
      <c r="E87" s="779" t="s">
        <v>752</v>
      </c>
      <c r="F87" s="710"/>
      <c r="G87" s="710"/>
      <c r="H87" s="710"/>
      <c r="I87" s="766"/>
      <c r="J87" s="767" t="s">
        <v>582</v>
      </c>
      <c r="K87" s="711"/>
    </row>
    <row r="88" spans="3:11" ht="15" thickBot="1" x14ac:dyDescent="0.35">
      <c r="C88" s="137"/>
      <c r="D88" s="137"/>
      <c r="E88" s="742"/>
      <c r="F88" s="137"/>
      <c r="G88" s="137"/>
      <c r="H88" s="137"/>
      <c r="I88" s="137"/>
      <c r="J88" s="137"/>
      <c r="K88" s="137"/>
    </row>
    <row r="89" spans="3:11" ht="33" customHeight="1" x14ac:dyDescent="0.3">
      <c r="C89" s="769" t="s">
        <v>44</v>
      </c>
      <c r="D89" s="770" t="s">
        <v>27</v>
      </c>
      <c r="E89" s="775" t="s">
        <v>752</v>
      </c>
      <c r="F89" s="703"/>
      <c r="G89" s="703"/>
      <c r="H89" s="703"/>
      <c r="I89" s="772"/>
      <c r="J89" s="773" t="s">
        <v>582</v>
      </c>
      <c r="K89" s="704"/>
    </row>
    <row r="90" spans="3:11" ht="33" customHeight="1" x14ac:dyDescent="0.3">
      <c r="C90" s="753"/>
      <c r="D90" s="776" t="s">
        <v>28</v>
      </c>
      <c r="E90" s="777" t="s">
        <v>752</v>
      </c>
      <c r="F90" s="706"/>
      <c r="G90" s="706"/>
      <c r="H90" s="706"/>
      <c r="I90" s="760"/>
      <c r="J90" s="761" t="s">
        <v>582</v>
      </c>
      <c r="K90" s="707"/>
    </row>
    <row r="91" spans="3:11" ht="33" customHeight="1" thickBot="1" x14ac:dyDescent="0.35">
      <c r="C91" s="763"/>
      <c r="D91" s="774" t="s">
        <v>29</v>
      </c>
      <c r="E91" s="779" t="s">
        <v>752</v>
      </c>
      <c r="F91" s="710"/>
      <c r="G91" s="710"/>
      <c r="H91" s="710"/>
      <c r="I91" s="766"/>
      <c r="J91" s="767" t="s">
        <v>582</v>
      </c>
      <c r="K91" s="711"/>
    </row>
    <row r="92" spans="3:11" ht="15" thickBot="1" x14ac:dyDescent="0.35"/>
    <row r="93" spans="3:11" ht="33" customHeight="1" thickBot="1" x14ac:dyDescent="0.35">
      <c r="C93" s="800" t="s">
        <v>39</v>
      </c>
      <c r="D93" s="801" t="s">
        <v>42</v>
      </c>
      <c r="E93" s="802" t="s">
        <v>757</v>
      </c>
      <c r="F93" s="803"/>
      <c r="G93" s="803"/>
      <c r="H93" s="803"/>
      <c r="I93" s="804"/>
      <c r="J93" s="805" t="s">
        <v>584</v>
      </c>
      <c r="K93" s="806"/>
    </row>
    <row r="95" spans="3:11" ht="15" thickBot="1" x14ac:dyDescent="0.35">
      <c r="E95" s="1455" t="s">
        <v>527</v>
      </c>
      <c r="F95" s="1455"/>
      <c r="G95" s="1455"/>
      <c r="H95" s="1455"/>
      <c r="I95" s="137"/>
      <c r="J95" s="137"/>
    </row>
    <row r="96" spans="3:11" ht="15" thickBot="1" x14ac:dyDescent="0.35">
      <c r="E96" s="1456" t="s">
        <v>39</v>
      </c>
      <c r="F96" s="1458" t="s">
        <v>517</v>
      </c>
      <c r="G96" s="1459"/>
      <c r="H96" s="1460"/>
      <c r="I96" s="722"/>
      <c r="J96" s="722"/>
    </row>
    <row r="97" spans="3:11" ht="15" thickBot="1" x14ac:dyDescent="0.35">
      <c r="E97" s="1457"/>
      <c r="F97" s="723" t="s">
        <v>518</v>
      </c>
      <c r="G97" s="723" t="s">
        <v>519</v>
      </c>
      <c r="H97" s="723" t="s">
        <v>520</v>
      </c>
      <c r="I97" s="722"/>
      <c r="J97" s="722"/>
    </row>
    <row r="98" spans="3:11" ht="15" thickBot="1" x14ac:dyDescent="0.35">
      <c r="E98" s="724" t="s">
        <v>521</v>
      </c>
      <c r="F98" s="725">
        <v>0.15</v>
      </c>
      <c r="G98" s="726">
        <v>0.13</v>
      </c>
      <c r="H98" s="727" t="s">
        <v>522</v>
      </c>
      <c r="I98" s="728"/>
      <c r="J98" s="728"/>
    </row>
    <row r="99" spans="3:11" ht="15" thickBot="1" x14ac:dyDescent="0.35">
      <c r="E99" s="724" t="s">
        <v>523</v>
      </c>
      <c r="F99" s="729">
        <v>0.12</v>
      </c>
      <c r="G99" s="730">
        <v>0.1</v>
      </c>
      <c r="H99" s="731">
        <v>7.0000000000000007E-2</v>
      </c>
      <c r="I99" s="728"/>
      <c r="J99" s="728"/>
    </row>
    <row r="100" spans="3:11" ht="15" thickBot="1" x14ac:dyDescent="0.35">
      <c r="E100" s="724" t="s">
        <v>524</v>
      </c>
      <c r="F100" s="729">
        <v>7.0000000000000007E-2</v>
      </c>
      <c r="G100" s="730">
        <v>0.06</v>
      </c>
      <c r="H100" s="731">
        <v>0.04</v>
      </c>
      <c r="I100" s="728"/>
      <c r="J100" s="728"/>
    </row>
    <row r="101" spans="3:11" ht="15" thickBot="1" x14ac:dyDescent="0.35">
      <c r="E101" s="724" t="s">
        <v>525</v>
      </c>
      <c r="F101" s="729">
        <v>0.06</v>
      </c>
      <c r="G101" s="730">
        <v>0.05</v>
      </c>
      <c r="H101" s="731">
        <v>0.04</v>
      </c>
      <c r="I101" s="728"/>
      <c r="J101" s="728"/>
    </row>
    <row r="102" spans="3:11" ht="15" thickBot="1" x14ac:dyDescent="0.35">
      <c r="E102" s="724" t="s">
        <v>526</v>
      </c>
      <c r="F102" s="732">
        <v>0</v>
      </c>
      <c r="G102" s="733">
        <v>0</v>
      </c>
      <c r="H102" s="734">
        <v>0</v>
      </c>
      <c r="I102" s="728"/>
      <c r="J102" s="728"/>
    </row>
    <row r="103" spans="3:11" x14ac:dyDescent="0.3">
      <c r="E103" s="135" t="s">
        <v>530</v>
      </c>
    </row>
    <row r="104" spans="3:11" x14ac:dyDescent="0.3">
      <c r="E104" s="142" t="s">
        <v>528</v>
      </c>
    </row>
    <row r="105" spans="3:11" x14ac:dyDescent="0.3">
      <c r="E105" s="142" t="s">
        <v>529</v>
      </c>
    </row>
    <row r="106" spans="3:11" ht="15" thickBot="1" x14ac:dyDescent="0.35">
      <c r="E106" s="142"/>
    </row>
    <row r="107" spans="3:11" ht="33" customHeight="1" x14ac:dyDescent="0.3">
      <c r="C107" s="769" t="s">
        <v>8</v>
      </c>
      <c r="D107" s="770" t="s">
        <v>52</v>
      </c>
      <c r="E107" s="775" t="s">
        <v>747</v>
      </c>
      <c r="F107" s="703"/>
      <c r="G107" s="703"/>
      <c r="H107" s="703"/>
      <c r="I107" s="772"/>
      <c r="J107" s="773"/>
      <c r="K107" s="704"/>
    </row>
    <row r="108" spans="3:11" ht="33" customHeight="1" x14ac:dyDescent="0.3">
      <c r="C108" s="753"/>
      <c r="D108" s="776" t="s">
        <v>53</v>
      </c>
      <c r="E108" s="777" t="s">
        <v>747</v>
      </c>
      <c r="F108" s="706"/>
      <c r="G108" s="706"/>
      <c r="H108" s="706"/>
      <c r="I108" s="760"/>
      <c r="J108" s="761"/>
      <c r="K108" s="707"/>
    </row>
    <row r="109" spans="3:11" ht="33" customHeight="1" thickBot="1" x14ac:dyDescent="0.35">
      <c r="C109" s="763"/>
      <c r="D109" s="774" t="s">
        <v>54</v>
      </c>
      <c r="E109" s="779" t="s">
        <v>747</v>
      </c>
      <c r="F109" s="710"/>
      <c r="G109" s="710"/>
      <c r="H109" s="710"/>
      <c r="I109" s="766"/>
      <c r="J109" s="767"/>
      <c r="K109" s="711"/>
    </row>
  </sheetData>
  <mergeCells count="14">
    <mergeCell ref="E95:H95"/>
    <mergeCell ref="E96:E97"/>
    <mergeCell ref="F96:H96"/>
    <mergeCell ref="C12:K12"/>
    <mergeCell ref="C10:K11"/>
    <mergeCell ref="C13:K15"/>
    <mergeCell ref="C29:C30"/>
    <mergeCell ref="D29:D30"/>
    <mergeCell ref="F29:H29"/>
    <mergeCell ref="K29:K30"/>
    <mergeCell ref="J29:J30"/>
    <mergeCell ref="C55:C56"/>
    <mergeCell ref="C59:C60"/>
    <mergeCell ref="C63:C64"/>
  </mergeCells>
  <pageMargins left="0.7" right="0.7" top="0.75" bottom="0.75" header="0.3" footer="0.3"/>
  <pageSetup scale="81" fitToHeight="0" orientation="landscape" r:id="rId1"/>
  <headerFooter>
    <oddHeader>&amp;C&amp;"-,Bold"&amp;12&amp;F, Scratch Sheet: &amp;A</oddHeader>
    <oddFooter>&amp;R&amp;10Page &amp;P</oddFooter>
  </headerFooter>
  <rowBreaks count="5" manualBreakCount="5">
    <brk id="16" max="16383" man="1"/>
    <brk id="44" min="2" max="10" man="1"/>
    <brk id="62" min="2" max="10" man="1"/>
    <brk id="81" min="2" max="10" man="1"/>
    <brk id="106" min="2" max="1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8080"/>
  </sheetPr>
  <dimension ref="B1:Y77"/>
  <sheetViews>
    <sheetView workbookViewId="0">
      <selection activeCell="B5" sqref="B5"/>
    </sheetView>
  </sheetViews>
  <sheetFormatPr defaultRowHeight="14.4" x14ac:dyDescent="0.3"/>
  <cols>
    <col min="1" max="1" width="3.109375" customWidth="1"/>
    <col min="2" max="2" width="32" bestFit="1" customWidth="1"/>
    <col min="3" max="3" width="12.6640625" bestFit="1" customWidth="1"/>
    <col min="5" max="5" width="49.33203125" bestFit="1" customWidth="1"/>
    <col min="9" max="19" width="15.6640625" customWidth="1"/>
    <col min="23" max="25" width="10.6640625" customWidth="1"/>
  </cols>
  <sheetData>
    <row r="1" spans="2:25" ht="49.2" customHeight="1" x14ac:dyDescent="0.25">
      <c r="B1" s="1219"/>
      <c r="C1" s="1219"/>
      <c r="D1" s="1219"/>
      <c r="E1" s="1219"/>
      <c r="F1" s="1260" t="s">
        <v>853</v>
      </c>
      <c r="G1" s="1260"/>
      <c r="H1" s="1260"/>
      <c r="I1" s="1260" t="s">
        <v>854</v>
      </c>
      <c r="J1" s="1260"/>
      <c r="K1" s="1260" t="s">
        <v>1025</v>
      </c>
      <c r="L1" s="1261"/>
      <c r="M1" s="1261"/>
      <c r="N1" s="1260" t="s">
        <v>1024</v>
      </c>
      <c r="O1" s="1261"/>
      <c r="P1" s="1261"/>
      <c r="Q1" s="1471" t="s">
        <v>1023</v>
      </c>
      <c r="R1" s="1472"/>
      <c r="S1" s="1473"/>
    </row>
    <row r="2" spans="2:25" ht="45" x14ac:dyDescent="0.25">
      <c r="B2" s="1217" t="s">
        <v>855</v>
      </c>
      <c r="C2" s="1217" t="s">
        <v>856</v>
      </c>
      <c r="D2" s="1217" t="s">
        <v>857</v>
      </c>
      <c r="E2" s="1217"/>
      <c r="F2" s="1258" t="s">
        <v>858</v>
      </c>
      <c r="G2" s="1259" t="s">
        <v>859</v>
      </c>
      <c r="H2" s="1258" t="s">
        <v>860</v>
      </c>
      <c r="I2" s="1258" t="s">
        <v>861</v>
      </c>
      <c r="J2" s="1258" t="s">
        <v>862</v>
      </c>
      <c r="K2" s="1258" t="s">
        <v>863</v>
      </c>
      <c r="L2" s="1258" t="s">
        <v>864</v>
      </c>
      <c r="M2" s="1258" t="s">
        <v>865</v>
      </c>
      <c r="N2" s="1258" t="s">
        <v>863</v>
      </c>
      <c r="O2" s="1258" t="s">
        <v>864</v>
      </c>
      <c r="P2" s="1258" t="s">
        <v>865</v>
      </c>
      <c r="Q2" s="1258" t="s">
        <v>863</v>
      </c>
      <c r="R2" s="1258" t="s">
        <v>864</v>
      </c>
      <c r="S2" s="1258" t="s">
        <v>865</v>
      </c>
    </row>
    <row r="3" spans="2:25" ht="15" x14ac:dyDescent="0.25">
      <c r="B3" s="1251" t="s">
        <v>981</v>
      </c>
      <c r="C3" s="1251" t="s">
        <v>867</v>
      </c>
      <c r="D3" s="1251" t="s">
        <v>867</v>
      </c>
      <c r="E3" s="1251" t="s">
        <v>982</v>
      </c>
      <c r="F3" s="1252"/>
      <c r="G3" s="1265">
        <v>8.25</v>
      </c>
      <c r="H3" s="1252">
        <v>1.78</v>
      </c>
      <c r="I3" s="1252">
        <v>14.3</v>
      </c>
      <c r="J3" s="1252">
        <v>9.57</v>
      </c>
      <c r="K3" s="1252">
        <v>6.03</v>
      </c>
      <c r="L3" s="1252">
        <v>14.68</v>
      </c>
      <c r="M3" s="1252">
        <v>25.55</v>
      </c>
      <c r="N3" s="1252">
        <v>1.24</v>
      </c>
      <c r="O3" s="1252">
        <v>7.04</v>
      </c>
      <c r="P3" s="1252">
        <v>14.32</v>
      </c>
      <c r="Q3" s="1252">
        <v>0</v>
      </c>
      <c r="R3" s="1252">
        <v>0.18</v>
      </c>
      <c r="S3" s="1252">
        <v>1.66</v>
      </c>
      <c r="V3" s="1231"/>
      <c r="W3" s="1231" t="s">
        <v>810</v>
      </c>
      <c r="X3" s="1231" t="s">
        <v>811</v>
      </c>
      <c r="Y3" s="1231"/>
    </row>
    <row r="4" spans="2:25" ht="15" x14ac:dyDescent="0.25">
      <c r="B4" s="1251" t="s">
        <v>866</v>
      </c>
      <c r="C4" s="1251" t="s">
        <v>867</v>
      </c>
      <c r="D4" s="1251" t="s">
        <v>867</v>
      </c>
      <c r="E4" s="1251" t="str">
        <f t="shared" ref="E4:E13" si="0">B4&amp;": "&amp;C4</f>
        <v>Alpine: Average</v>
      </c>
      <c r="F4" s="1252"/>
      <c r="G4" s="1253">
        <f t="shared" ref="G4:S13" si="1">SUMIFS(G$14:G$49,$B$14:$B$49,$B4)/COUNTIFS($B$14:$B$49,$B4)</f>
        <v>7.5200000000000005</v>
      </c>
      <c r="H4" s="1253">
        <f t="shared" si="1"/>
        <v>1.3099999999999998</v>
      </c>
      <c r="I4" s="1253">
        <f t="shared" si="1"/>
        <v>11.07</v>
      </c>
      <c r="J4" s="1253">
        <f t="shared" si="1"/>
        <v>7</v>
      </c>
      <c r="K4" s="1253">
        <f t="shared" si="1"/>
        <v>4.05</v>
      </c>
      <c r="L4" s="1253">
        <f t="shared" si="1"/>
        <v>11.709999999999999</v>
      </c>
      <c r="M4" s="1253">
        <f t="shared" si="1"/>
        <v>21.366666666666664</v>
      </c>
      <c r="N4" s="1253">
        <f t="shared" si="1"/>
        <v>0.87666666666666659</v>
      </c>
      <c r="O4" s="1253">
        <f t="shared" si="1"/>
        <v>4.7133333333333338</v>
      </c>
      <c r="P4" s="1253">
        <f t="shared" si="1"/>
        <v>11.196666666666667</v>
      </c>
      <c r="Q4" s="1253">
        <f t="shared" si="1"/>
        <v>6.6666666666666671E-3</v>
      </c>
      <c r="R4" s="1253">
        <f t="shared" si="1"/>
        <v>0.15</v>
      </c>
      <c r="S4" s="1253">
        <f t="shared" si="1"/>
        <v>1.3966666666666665</v>
      </c>
      <c r="V4" s="1231" t="s">
        <v>808</v>
      </c>
      <c r="W4" s="1219">
        <v>5</v>
      </c>
      <c r="X4" s="1219">
        <v>6</v>
      </c>
      <c r="Y4" s="1231"/>
    </row>
    <row r="5" spans="2:25" ht="15" x14ac:dyDescent="0.25">
      <c r="B5" s="1251" t="s">
        <v>868</v>
      </c>
      <c r="C5" s="1251" t="s">
        <v>867</v>
      </c>
      <c r="D5" s="1251" t="s">
        <v>867</v>
      </c>
      <c r="E5" s="1251" t="str">
        <f t="shared" si="0"/>
        <v>Desert: Average</v>
      </c>
      <c r="F5" s="1252"/>
      <c r="G5" s="1253">
        <f t="shared" si="1"/>
        <v>11.435</v>
      </c>
      <c r="H5" s="1253">
        <f t="shared" si="1"/>
        <v>4.4999999999999998E-2</v>
      </c>
      <c r="I5" s="1253">
        <f t="shared" si="1"/>
        <v>35.017499999999998</v>
      </c>
      <c r="J5" s="1253">
        <f t="shared" si="1"/>
        <v>25.267499999999998</v>
      </c>
      <c r="K5" s="1253">
        <f t="shared" si="1"/>
        <v>18.5975</v>
      </c>
      <c r="L5" s="1253">
        <f t="shared" si="1"/>
        <v>35.017499999999998</v>
      </c>
      <c r="M5" s="1253">
        <f t="shared" si="1"/>
        <v>55.8125</v>
      </c>
      <c r="N5" s="1253">
        <f t="shared" si="1"/>
        <v>10.4275</v>
      </c>
      <c r="O5" s="1253">
        <f t="shared" si="1"/>
        <v>20.62</v>
      </c>
      <c r="P5" s="1253">
        <f t="shared" si="1"/>
        <v>34.344999999999999</v>
      </c>
      <c r="Q5" s="1253">
        <f t="shared" si="1"/>
        <v>2.31</v>
      </c>
      <c r="R5" s="1253">
        <f t="shared" si="1"/>
        <v>5.8875000000000011</v>
      </c>
      <c r="S5" s="1253">
        <f t="shared" si="1"/>
        <v>12.610000000000001</v>
      </c>
      <c r="V5" s="1231"/>
      <c r="W5" s="1219"/>
      <c r="X5" s="1219"/>
      <c r="Y5" s="1231"/>
    </row>
    <row r="6" spans="2:25" ht="15" x14ac:dyDescent="0.25">
      <c r="B6" s="1251" t="s">
        <v>869</v>
      </c>
      <c r="C6" s="1251" t="s">
        <v>867</v>
      </c>
      <c r="D6" s="1251" t="s">
        <v>867</v>
      </c>
      <c r="E6" s="1251" t="str">
        <f t="shared" si="0"/>
        <v>Humid Continental - Cool Summer: Average</v>
      </c>
      <c r="F6" s="1252"/>
      <c r="G6" s="1253">
        <f t="shared" si="1"/>
        <v>5.9099999999999993</v>
      </c>
      <c r="H6" s="1253">
        <f t="shared" si="1"/>
        <v>3.1833333333333336</v>
      </c>
      <c r="I6" s="1253">
        <f t="shared" si="1"/>
        <v>3.26</v>
      </c>
      <c r="J6" s="1253">
        <f t="shared" si="1"/>
        <v>0.5033333333333333</v>
      </c>
      <c r="K6" s="1253">
        <f t="shared" si="1"/>
        <v>0.02</v>
      </c>
      <c r="L6" s="1253">
        <f t="shared" si="1"/>
        <v>3.3633333333333333</v>
      </c>
      <c r="M6" s="1253">
        <f t="shared" si="1"/>
        <v>11.406666666666666</v>
      </c>
      <c r="N6" s="1253">
        <f t="shared" si="1"/>
        <v>0</v>
      </c>
      <c r="O6" s="1253">
        <f t="shared" si="1"/>
        <v>0.08</v>
      </c>
      <c r="P6" s="1253">
        <f t="shared" si="1"/>
        <v>2.9533333333333331</v>
      </c>
      <c r="Q6" s="1253">
        <f t="shared" si="1"/>
        <v>0</v>
      </c>
      <c r="R6" s="1253">
        <f t="shared" si="1"/>
        <v>0</v>
      </c>
      <c r="S6" s="1253">
        <f t="shared" si="1"/>
        <v>0</v>
      </c>
      <c r="V6" s="1231"/>
      <c r="W6" s="1219"/>
      <c r="X6" s="1219"/>
      <c r="Y6" s="1231"/>
    </row>
    <row r="7" spans="2:25" ht="15" x14ac:dyDescent="0.25">
      <c r="B7" s="1251" t="s">
        <v>870</v>
      </c>
      <c r="C7" s="1251" t="s">
        <v>867</v>
      </c>
      <c r="D7" s="1251" t="s">
        <v>867</v>
      </c>
      <c r="E7" s="1251" t="str">
        <f t="shared" si="0"/>
        <v>Humid Continental - Warm Summer: Average</v>
      </c>
      <c r="F7" s="1252"/>
      <c r="G7" s="1253">
        <f t="shared" si="1"/>
        <v>6.6480000000000006</v>
      </c>
      <c r="H7" s="1253">
        <f t="shared" si="1"/>
        <v>3.2080000000000006</v>
      </c>
      <c r="I7" s="1253">
        <f t="shared" si="1"/>
        <v>4.3159999999999989</v>
      </c>
      <c r="J7" s="1253">
        <f t="shared" si="1"/>
        <v>0.874</v>
      </c>
      <c r="K7" s="1253">
        <f t="shared" si="1"/>
        <v>6.6000000000000003E-2</v>
      </c>
      <c r="L7" s="1253">
        <f t="shared" si="1"/>
        <v>4.3739999999999997</v>
      </c>
      <c r="M7" s="1253">
        <f t="shared" si="1"/>
        <v>15.128</v>
      </c>
      <c r="N7" s="1253">
        <f t="shared" si="1"/>
        <v>0</v>
      </c>
      <c r="O7" s="1253">
        <f t="shared" si="1"/>
        <v>0.22799999999999998</v>
      </c>
      <c r="P7" s="1253">
        <f t="shared" si="1"/>
        <v>4.12</v>
      </c>
      <c r="Q7" s="1253">
        <f t="shared" si="1"/>
        <v>0</v>
      </c>
      <c r="R7" s="1253">
        <f t="shared" si="1"/>
        <v>0</v>
      </c>
      <c r="S7" s="1253">
        <f t="shared" si="1"/>
        <v>0</v>
      </c>
      <c r="V7" s="1231"/>
      <c r="W7" s="1244" t="s">
        <v>942</v>
      </c>
      <c r="X7" s="1244" t="s">
        <v>943</v>
      </c>
      <c r="Y7" s="1244" t="s">
        <v>944</v>
      </c>
    </row>
    <row r="8" spans="2:25" ht="15" x14ac:dyDescent="0.25">
      <c r="B8" s="1251" t="s">
        <v>871</v>
      </c>
      <c r="C8" s="1251" t="s">
        <v>867</v>
      </c>
      <c r="D8" s="1251" t="s">
        <v>867</v>
      </c>
      <c r="E8" s="1251" t="str">
        <f t="shared" si="0"/>
        <v>Humid Southern: Average</v>
      </c>
      <c r="F8" s="1252"/>
      <c r="G8" s="1253">
        <f t="shared" si="1"/>
        <v>6.83</v>
      </c>
      <c r="H8" s="1253">
        <f t="shared" si="1"/>
        <v>3.0242857142857145</v>
      </c>
      <c r="I8" s="1253">
        <f t="shared" si="1"/>
        <v>6.8242857142857138</v>
      </c>
      <c r="J8" s="1253">
        <f t="shared" si="1"/>
        <v>2.4428571428571431</v>
      </c>
      <c r="K8" s="1253">
        <f t="shared" si="1"/>
        <v>0.77428571428571424</v>
      </c>
      <c r="L8" s="1253">
        <f t="shared" si="1"/>
        <v>6.8557142857142859</v>
      </c>
      <c r="M8" s="1253">
        <f t="shared" si="1"/>
        <v>20.054285714285719</v>
      </c>
      <c r="N8" s="1253">
        <f t="shared" si="1"/>
        <v>0.22571428571428573</v>
      </c>
      <c r="O8" s="1253">
        <f t="shared" si="1"/>
        <v>1.19</v>
      </c>
      <c r="P8" s="1253">
        <f t="shared" si="1"/>
        <v>6.3314285714285701</v>
      </c>
      <c r="Q8" s="1253">
        <f t="shared" si="1"/>
        <v>8.5714285714285719E-3</v>
      </c>
      <c r="R8" s="1253">
        <f t="shared" si="1"/>
        <v>4.8571428571428578E-2</v>
      </c>
      <c r="S8" s="1253">
        <f t="shared" si="1"/>
        <v>0.28857142857142859</v>
      </c>
      <c r="V8" s="1231"/>
      <c r="W8" s="1245" t="s">
        <v>945</v>
      </c>
      <c r="X8" s="1245" t="s">
        <v>946</v>
      </c>
      <c r="Y8" s="1245" t="s">
        <v>947</v>
      </c>
    </row>
    <row r="9" spans="2:25" ht="15" x14ac:dyDescent="0.25">
      <c r="B9" s="1251" t="s">
        <v>872</v>
      </c>
      <c r="C9" s="1251" t="s">
        <v>867</v>
      </c>
      <c r="D9" s="1251" t="s">
        <v>867</v>
      </c>
      <c r="E9" s="1251" t="str">
        <f t="shared" si="0"/>
        <v>Marine - West Coast: Average</v>
      </c>
      <c r="F9" s="1252"/>
      <c r="G9" s="1253">
        <f t="shared" si="1"/>
        <v>5.5933333333333337</v>
      </c>
      <c r="H9" s="1253">
        <f t="shared" si="1"/>
        <v>0.6433333333333332</v>
      </c>
      <c r="I9" s="1253">
        <f t="shared" si="1"/>
        <v>6.8933333333333335</v>
      </c>
      <c r="J9" s="1253">
        <f t="shared" si="1"/>
        <v>3.9366666666666661</v>
      </c>
      <c r="K9" s="1253">
        <f t="shared" si="1"/>
        <v>2.1033333333333331</v>
      </c>
      <c r="L9" s="1253">
        <f t="shared" si="1"/>
        <v>6.9200000000000008</v>
      </c>
      <c r="M9" s="1253">
        <f t="shared" si="1"/>
        <v>14.303333333333333</v>
      </c>
      <c r="N9" s="1253">
        <f t="shared" si="1"/>
        <v>0.5</v>
      </c>
      <c r="O9" s="1253">
        <f t="shared" si="1"/>
        <v>2.6533333333333333</v>
      </c>
      <c r="P9" s="1253">
        <f t="shared" si="1"/>
        <v>6.7366666666666672</v>
      </c>
      <c r="Q9" s="1253">
        <f t="shared" si="1"/>
        <v>3.3333333333333333E-2</v>
      </c>
      <c r="R9" s="1253">
        <f t="shared" si="1"/>
        <v>0.15666666666666668</v>
      </c>
      <c r="S9" s="1253">
        <f t="shared" si="1"/>
        <v>0.83333333333333337</v>
      </c>
      <c r="V9" s="1233" t="s">
        <v>812</v>
      </c>
      <c r="W9" s="1217">
        <v>7</v>
      </c>
      <c r="X9" s="1217">
        <v>8</v>
      </c>
      <c r="Y9" s="1217">
        <v>9</v>
      </c>
    </row>
    <row r="10" spans="2:25" ht="15" x14ac:dyDescent="0.25">
      <c r="B10" s="1251" t="s">
        <v>873</v>
      </c>
      <c r="C10" s="1251" t="s">
        <v>867</v>
      </c>
      <c r="D10" s="1251" t="s">
        <v>867</v>
      </c>
      <c r="E10" s="1251" t="str">
        <f t="shared" si="0"/>
        <v>Mediterranean: Average</v>
      </c>
      <c r="F10" s="1252"/>
      <c r="G10" s="1253">
        <f t="shared" si="1"/>
        <v>7.1000000000000014</v>
      </c>
      <c r="H10" s="1253">
        <f t="shared" si="1"/>
        <v>1.3333333333333334E-2</v>
      </c>
      <c r="I10" s="1253">
        <f t="shared" si="1"/>
        <v>19.236666666666668</v>
      </c>
      <c r="J10" s="1253">
        <f t="shared" si="1"/>
        <v>14.11</v>
      </c>
      <c r="K10" s="1253">
        <f t="shared" si="1"/>
        <v>9.9766666666666648</v>
      </c>
      <c r="L10" s="1253">
        <f t="shared" si="1"/>
        <v>19.790000000000003</v>
      </c>
      <c r="M10" s="1253">
        <f t="shared" si="1"/>
        <v>33.286666666666662</v>
      </c>
      <c r="N10" s="1253">
        <f t="shared" si="1"/>
        <v>5.2033333333333331</v>
      </c>
      <c r="O10" s="1253">
        <f t="shared" si="1"/>
        <v>11.213333333333333</v>
      </c>
      <c r="P10" s="1253">
        <f t="shared" si="1"/>
        <v>18.793333333333333</v>
      </c>
      <c r="Q10" s="1253">
        <f t="shared" si="1"/>
        <v>1.0566666666666669</v>
      </c>
      <c r="R10" s="1253">
        <f t="shared" si="1"/>
        <v>2.5133333333333332</v>
      </c>
      <c r="S10" s="1253">
        <f t="shared" si="1"/>
        <v>6.56</v>
      </c>
      <c r="V10" s="1233" t="s">
        <v>813</v>
      </c>
      <c r="W10" s="1217">
        <v>10</v>
      </c>
      <c r="X10" s="1217">
        <v>11</v>
      </c>
      <c r="Y10" s="1217">
        <v>12</v>
      </c>
    </row>
    <row r="11" spans="2:25" ht="15" x14ac:dyDescent="0.25">
      <c r="B11" s="1251" t="s">
        <v>874</v>
      </c>
      <c r="C11" s="1251" t="s">
        <v>867</v>
      </c>
      <c r="D11" s="1251" t="s">
        <v>867</v>
      </c>
      <c r="E11" s="1251" t="str">
        <f t="shared" si="0"/>
        <v>Semi-arid: Average</v>
      </c>
      <c r="F11" s="1252"/>
      <c r="G11" s="1253">
        <f t="shared" si="1"/>
        <v>8.7279999999999998</v>
      </c>
      <c r="H11" s="1253">
        <f t="shared" si="1"/>
        <v>1.4280000000000002</v>
      </c>
      <c r="I11" s="1253">
        <f t="shared" si="1"/>
        <v>16.864000000000001</v>
      </c>
      <c r="J11" s="1253">
        <f t="shared" si="1"/>
        <v>10.894000000000002</v>
      </c>
      <c r="K11" s="1253">
        <f t="shared" si="1"/>
        <v>6.6859999999999999</v>
      </c>
      <c r="L11" s="1253">
        <f t="shared" si="1"/>
        <v>17.015999999999998</v>
      </c>
      <c r="M11" s="1253">
        <f t="shared" si="1"/>
        <v>29.24</v>
      </c>
      <c r="N11" s="1253">
        <f t="shared" si="1"/>
        <v>2.0640000000000001</v>
      </c>
      <c r="O11" s="1253">
        <f t="shared" si="1"/>
        <v>8.0699999999999985</v>
      </c>
      <c r="P11" s="1253">
        <f t="shared" si="1"/>
        <v>16.411999999999999</v>
      </c>
      <c r="Q11" s="1253">
        <f t="shared" si="1"/>
        <v>0.13999999999999999</v>
      </c>
      <c r="R11" s="1253">
        <f t="shared" si="1"/>
        <v>0.6</v>
      </c>
      <c r="S11" s="1253">
        <f t="shared" si="1"/>
        <v>2.774</v>
      </c>
      <c r="V11" s="1233" t="s">
        <v>814</v>
      </c>
      <c r="W11" s="1217">
        <v>13</v>
      </c>
      <c r="X11" s="1217">
        <v>14</v>
      </c>
      <c r="Y11" s="1217">
        <v>15</v>
      </c>
    </row>
    <row r="12" spans="2:25" ht="15" x14ac:dyDescent="0.25">
      <c r="B12" s="1251" t="s">
        <v>875</v>
      </c>
      <c r="C12" s="1251" t="s">
        <v>867</v>
      </c>
      <c r="D12" s="1251" t="s">
        <v>867</v>
      </c>
      <c r="E12" s="1251" t="str">
        <f t="shared" si="0"/>
        <v>Subarctic: Average</v>
      </c>
      <c r="F12" s="1252"/>
      <c r="G12" s="1253">
        <f t="shared" si="1"/>
        <v>4.09</v>
      </c>
      <c r="H12" s="1253">
        <f t="shared" si="1"/>
        <v>1.03</v>
      </c>
      <c r="I12" s="1253">
        <f t="shared" si="1"/>
        <v>3.49</v>
      </c>
      <c r="J12" s="1253">
        <f t="shared" si="1"/>
        <v>1.78</v>
      </c>
      <c r="K12" s="1253">
        <f t="shared" si="1"/>
        <v>0.62</v>
      </c>
      <c r="L12" s="1253">
        <f t="shared" si="1"/>
        <v>3.49</v>
      </c>
      <c r="M12" s="1253">
        <f t="shared" si="1"/>
        <v>7.65</v>
      </c>
      <c r="N12" s="1253">
        <f t="shared" si="1"/>
        <v>0.12</v>
      </c>
      <c r="O12" s="1253">
        <f t="shared" si="1"/>
        <v>0.75</v>
      </c>
      <c r="P12" s="1253">
        <f t="shared" si="1"/>
        <v>3.21</v>
      </c>
      <c r="Q12" s="1253">
        <f t="shared" si="1"/>
        <v>0</v>
      </c>
      <c r="R12" s="1253">
        <f t="shared" si="1"/>
        <v>0.02</v>
      </c>
      <c r="S12" s="1253">
        <f t="shared" si="1"/>
        <v>0.2</v>
      </c>
    </row>
    <row r="13" spans="2:25" ht="15" x14ac:dyDescent="0.25">
      <c r="B13" s="1221" t="s">
        <v>876</v>
      </c>
      <c r="C13" s="1221" t="s">
        <v>867</v>
      </c>
      <c r="D13" s="1221" t="s">
        <v>867</v>
      </c>
      <c r="E13" s="1221" t="str">
        <f t="shared" si="0"/>
        <v>Tropical: Average</v>
      </c>
      <c r="F13" s="1258"/>
      <c r="G13" s="1264">
        <f t="shared" si="1"/>
        <v>7.0449999999999999</v>
      </c>
      <c r="H13" s="1264">
        <f t="shared" si="1"/>
        <v>4.0150000000000006</v>
      </c>
      <c r="I13" s="1264">
        <f t="shared" si="1"/>
        <v>4.13</v>
      </c>
      <c r="J13" s="1264">
        <f t="shared" si="1"/>
        <v>1.65</v>
      </c>
      <c r="K13" s="1264">
        <f t="shared" si="1"/>
        <v>0.42499999999999999</v>
      </c>
      <c r="L13" s="1264">
        <f t="shared" si="1"/>
        <v>4.13</v>
      </c>
      <c r="M13" s="1264">
        <f t="shared" si="1"/>
        <v>16.865000000000002</v>
      </c>
      <c r="N13" s="1264">
        <f t="shared" si="1"/>
        <v>0.02</v>
      </c>
      <c r="O13" s="1264">
        <f t="shared" si="1"/>
        <v>0.6</v>
      </c>
      <c r="P13" s="1264">
        <f t="shared" si="1"/>
        <v>3.95</v>
      </c>
      <c r="Q13" s="1264">
        <f t="shared" si="1"/>
        <v>0</v>
      </c>
      <c r="R13" s="1264">
        <f t="shared" si="1"/>
        <v>0</v>
      </c>
      <c r="S13" s="1264">
        <f t="shared" si="1"/>
        <v>7.0000000000000007E-2</v>
      </c>
    </row>
    <row r="14" spans="2:25" ht="15" x14ac:dyDescent="0.25">
      <c r="B14" s="1251" t="s">
        <v>866</v>
      </c>
      <c r="C14" s="1251" t="s">
        <v>877</v>
      </c>
      <c r="D14" s="1251" t="s">
        <v>878</v>
      </c>
      <c r="E14" s="1251" t="str">
        <f t="shared" ref="E14:E49" si="2">B14&amp;": "&amp;C14&amp;", "&amp;D14</f>
        <v>Alpine: Bozeman, MT</v>
      </c>
      <c r="F14" s="1254">
        <v>59715</v>
      </c>
      <c r="G14" s="1255">
        <v>7.37</v>
      </c>
      <c r="H14" s="1255">
        <v>1.44</v>
      </c>
      <c r="I14" s="1255">
        <v>8.92</v>
      </c>
      <c r="J14" s="1255">
        <v>4.6100000000000003</v>
      </c>
      <c r="K14" s="1255">
        <v>2.5299999999999998</v>
      </c>
      <c r="L14" s="1255">
        <v>8.92</v>
      </c>
      <c r="M14" s="1255">
        <v>18.54</v>
      </c>
      <c r="N14" s="1255">
        <v>0.39</v>
      </c>
      <c r="O14" s="1255">
        <v>3.15</v>
      </c>
      <c r="P14" s="1255">
        <v>8.66</v>
      </c>
      <c r="Q14" s="1255">
        <v>0</v>
      </c>
      <c r="R14" s="1255">
        <v>0.04</v>
      </c>
      <c r="S14" s="1255">
        <v>0.66</v>
      </c>
    </row>
    <row r="15" spans="2:25" ht="15" x14ac:dyDescent="0.25">
      <c r="B15" s="1251" t="s">
        <v>866</v>
      </c>
      <c r="C15" s="1251" t="s">
        <v>879</v>
      </c>
      <c r="D15" s="1251" t="s">
        <v>880</v>
      </c>
      <c r="E15" s="1251" t="str">
        <f t="shared" si="2"/>
        <v>Alpine: Laramie, WY</v>
      </c>
      <c r="F15" s="1254">
        <v>82051</v>
      </c>
      <c r="G15" s="1255">
        <v>7.44</v>
      </c>
      <c r="H15" s="1255">
        <v>1.33</v>
      </c>
      <c r="I15" s="1255">
        <v>11.62</v>
      </c>
      <c r="J15" s="1255">
        <v>8.6199999999999992</v>
      </c>
      <c r="K15" s="1255">
        <v>5.57</v>
      </c>
      <c r="L15" s="1255">
        <v>13.27</v>
      </c>
      <c r="M15" s="1255">
        <v>22.13</v>
      </c>
      <c r="N15" s="1255">
        <v>1.2</v>
      </c>
      <c r="O15" s="1255">
        <v>6.26</v>
      </c>
      <c r="P15" s="1255">
        <v>12.34</v>
      </c>
      <c r="Q15" s="1255">
        <v>0.01</v>
      </c>
      <c r="R15" s="1255">
        <v>0.22</v>
      </c>
      <c r="S15" s="1255">
        <v>1.66</v>
      </c>
    </row>
    <row r="16" spans="2:25" x14ac:dyDescent="0.3">
      <c r="B16" s="1251" t="s">
        <v>866</v>
      </c>
      <c r="C16" s="1251" t="s">
        <v>881</v>
      </c>
      <c r="D16" s="1251" t="s">
        <v>882</v>
      </c>
      <c r="E16" s="1251" t="str">
        <f t="shared" si="2"/>
        <v>Alpine: Santa Fe, NM</v>
      </c>
      <c r="F16" s="1254">
        <v>87501</v>
      </c>
      <c r="G16" s="1255">
        <v>7.75</v>
      </c>
      <c r="H16" s="1255">
        <v>1.1599999999999999</v>
      </c>
      <c r="I16" s="1255">
        <v>12.67</v>
      </c>
      <c r="J16" s="1255">
        <v>7.77</v>
      </c>
      <c r="K16" s="1255">
        <v>4.05</v>
      </c>
      <c r="L16" s="1255">
        <v>12.94</v>
      </c>
      <c r="M16" s="1255">
        <v>23.43</v>
      </c>
      <c r="N16" s="1255">
        <v>1.04</v>
      </c>
      <c r="O16" s="1255">
        <v>4.7300000000000004</v>
      </c>
      <c r="P16" s="1255">
        <v>12.59</v>
      </c>
      <c r="Q16" s="1255">
        <v>0.01</v>
      </c>
      <c r="R16" s="1255">
        <v>0.19</v>
      </c>
      <c r="S16" s="1255">
        <v>1.87</v>
      </c>
    </row>
    <row r="17" spans="2:19" x14ac:dyDescent="0.3">
      <c r="B17" s="1251" t="s">
        <v>868</v>
      </c>
      <c r="C17" s="1251" t="s">
        <v>883</v>
      </c>
      <c r="D17" s="1251" t="s">
        <v>884</v>
      </c>
      <c r="E17" s="1251" t="str">
        <f t="shared" si="2"/>
        <v>Desert: Bakersfield, CA</v>
      </c>
      <c r="F17" s="1254">
        <v>93301</v>
      </c>
      <c r="G17" s="1255">
        <v>10.39</v>
      </c>
      <c r="H17" s="1255">
        <v>0</v>
      </c>
      <c r="I17" s="1255">
        <v>30.76</v>
      </c>
      <c r="J17" s="1255">
        <v>22.28</v>
      </c>
      <c r="K17" s="1255">
        <v>16.02</v>
      </c>
      <c r="L17" s="1255">
        <v>30.76</v>
      </c>
      <c r="M17" s="1255">
        <v>49.79</v>
      </c>
      <c r="N17" s="1255">
        <v>9.17</v>
      </c>
      <c r="O17" s="1255">
        <v>17.809999999999999</v>
      </c>
      <c r="P17" s="1255">
        <v>29.57</v>
      </c>
      <c r="Q17" s="1255">
        <v>2.0099999999999998</v>
      </c>
      <c r="R17" s="1255">
        <v>5.64</v>
      </c>
      <c r="S17" s="1255">
        <v>11</v>
      </c>
    </row>
    <row r="18" spans="2:19" x14ac:dyDescent="0.3">
      <c r="B18" s="1251" t="s">
        <v>868</v>
      </c>
      <c r="C18" s="1251" t="s">
        <v>885</v>
      </c>
      <c r="D18" s="1251" t="s">
        <v>886</v>
      </c>
      <c r="E18" s="1251" t="str">
        <f t="shared" si="2"/>
        <v>Desert: Las Vegas, NV</v>
      </c>
      <c r="F18" s="1254">
        <v>89044</v>
      </c>
      <c r="G18" s="1255">
        <v>13.03</v>
      </c>
      <c r="H18" s="1255">
        <v>0.03</v>
      </c>
      <c r="I18" s="1255">
        <v>44.13</v>
      </c>
      <c r="J18" s="1255">
        <v>31.85</v>
      </c>
      <c r="K18" s="1255">
        <v>23.8</v>
      </c>
      <c r="L18" s="1255">
        <v>44.13</v>
      </c>
      <c r="M18" s="1255">
        <v>69.62</v>
      </c>
      <c r="N18" s="1255">
        <v>13.77</v>
      </c>
      <c r="O18" s="1255">
        <v>26.3</v>
      </c>
      <c r="P18" s="1255">
        <v>43.27</v>
      </c>
      <c r="Q18" s="1255">
        <v>3.29</v>
      </c>
      <c r="R18" s="1255">
        <v>8.4600000000000009</v>
      </c>
      <c r="S18" s="1255">
        <v>16.29</v>
      </c>
    </row>
    <row r="19" spans="2:19" x14ac:dyDescent="0.3">
      <c r="B19" s="1251" t="s">
        <v>868</v>
      </c>
      <c r="C19" s="1251" t="s">
        <v>887</v>
      </c>
      <c r="D19" s="1251" t="s">
        <v>888</v>
      </c>
      <c r="E19" s="1251" t="str">
        <f t="shared" si="2"/>
        <v>Desert: Phoenix, AZ</v>
      </c>
      <c r="F19" s="1254">
        <v>85003</v>
      </c>
      <c r="G19" s="1255">
        <v>13.4</v>
      </c>
      <c r="H19" s="1255">
        <v>0.02</v>
      </c>
      <c r="I19" s="1255">
        <v>44.96</v>
      </c>
      <c r="J19" s="1255">
        <v>32.159999999999997</v>
      </c>
      <c r="K19" s="1255">
        <v>23.79</v>
      </c>
      <c r="L19" s="1255">
        <v>44.96</v>
      </c>
      <c r="M19" s="1255">
        <v>71.510000000000005</v>
      </c>
      <c r="N19" s="1255">
        <v>13.46</v>
      </c>
      <c r="O19" s="1255">
        <v>26.39</v>
      </c>
      <c r="P19" s="1255">
        <v>44.06</v>
      </c>
      <c r="Q19" s="1255">
        <v>3.05</v>
      </c>
      <c r="R19" s="1255">
        <v>6.99</v>
      </c>
      <c r="S19" s="1255">
        <v>16.02</v>
      </c>
    </row>
    <row r="20" spans="2:19" x14ac:dyDescent="0.3">
      <c r="B20" s="1251" t="s">
        <v>868</v>
      </c>
      <c r="C20" s="1251" t="s">
        <v>889</v>
      </c>
      <c r="D20" s="1251" t="s">
        <v>886</v>
      </c>
      <c r="E20" s="1251" t="str">
        <f t="shared" si="2"/>
        <v>Desert: Reno, NV</v>
      </c>
      <c r="F20" s="1254">
        <v>89501</v>
      </c>
      <c r="G20" s="1255">
        <v>8.92</v>
      </c>
      <c r="H20" s="1255">
        <v>0.13</v>
      </c>
      <c r="I20" s="1255">
        <v>20.22</v>
      </c>
      <c r="J20" s="1255">
        <v>14.78</v>
      </c>
      <c r="K20" s="1255">
        <v>10.78</v>
      </c>
      <c r="L20" s="1255">
        <v>20.22</v>
      </c>
      <c r="M20" s="1255">
        <v>32.33</v>
      </c>
      <c r="N20" s="1255">
        <v>5.31</v>
      </c>
      <c r="O20" s="1255">
        <v>11.98</v>
      </c>
      <c r="P20" s="1255">
        <v>20.48</v>
      </c>
      <c r="Q20" s="1255">
        <v>0.89</v>
      </c>
      <c r="R20" s="1255">
        <v>2.46</v>
      </c>
      <c r="S20" s="1255">
        <v>7.13</v>
      </c>
    </row>
    <row r="21" spans="2:19" x14ac:dyDescent="0.3">
      <c r="B21" s="1251" t="s">
        <v>869</v>
      </c>
      <c r="C21" s="1251" t="s">
        <v>890</v>
      </c>
      <c r="D21" s="1251" t="s">
        <v>891</v>
      </c>
      <c r="E21" s="1251" t="str">
        <f t="shared" si="2"/>
        <v>Humid Continental - Cool Summer: Bangor, ME</v>
      </c>
      <c r="F21" s="1254">
        <v>4401</v>
      </c>
      <c r="G21" s="1255">
        <v>4.8</v>
      </c>
      <c r="H21" s="1255">
        <v>3.03</v>
      </c>
      <c r="I21" s="1255">
        <v>0.85</v>
      </c>
      <c r="J21" s="1255">
        <v>0.05</v>
      </c>
      <c r="K21" s="1255">
        <v>0</v>
      </c>
      <c r="L21" s="1255">
        <v>0.85</v>
      </c>
      <c r="M21" s="1255">
        <v>7.16</v>
      </c>
      <c r="N21" s="1255">
        <v>0</v>
      </c>
      <c r="O21" s="1255">
        <v>0</v>
      </c>
      <c r="P21" s="1255">
        <v>0.79</v>
      </c>
      <c r="Q21" s="1255">
        <v>0</v>
      </c>
      <c r="R21" s="1255">
        <v>0</v>
      </c>
      <c r="S21" s="1255">
        <v>0</v>
      </c>
    </row>
    <row r="22" spans="2:19" x14ac:dyDescent="0.3">
      <c r="B22" s="1251" t="s">
        <v>869</v>
      </c>
      <c r="C22" s="1251" t="s">
        <v>892</v>
      </c>
      <c r="D22" s="1251" t="s">
        <v>893</v>
      </c>
      <c r="E22" s="1251" t="str">
        <f t="shared" si="2"/>
        <v>Humid Continental - Cool Summer: Milwaukee, WI</v>
      </c>
      <c r="F22" s="1254">
        <v>53202</v>
      </c>
      <c r="G22" s="1255">
        <v>6.08</v>
      </c>
      <c r="H22" s="1255">
        <v>3.11</v>
      </c>
      <c r="I22" s="1255">
        <v>3.63</v>
      </c>
      <c r="J22" s="1255">
        <v>0.73</v>
      </c>
      <c r="K22" s="1255">
        <v>0.03</v>
      </c>
      <c r="L22" s="1255">
        <v>3.67</v>
      </c>
      <c r="M22" s="1255">
        <v>12.51</v>
      </c>
      <c r="N22" s="1255">
        <v>0</v>
      </c>
      <c r="O22" s="1255">
        <v>0.13</v>
      </c>
      <c r="P22" s="1255">
        <v>3.47</v>
      </c>
      <c r="Q22" s="1255">
        <v>0</v>
      </c>
      <c r="R22" s="1255">
        <v>0</v>
      </c>
      <c r="S22" s="1255">
        <v>0</v>
      </c>
    </row>
    <row r="23" spans="2:19" x14ac:dyDescent="0.3">
      <c r="B23" s="1251" t="s">
        <v>869</v>
      </c>
      <c r="C23" s="1251" t="s">
        <v>894</v>
      </c>
      <c r="D23" s="1251" t="s">
        <v>895</v>
      </c>
      <c r="E23" s="1251" t="str">
        <f t="shared" si="2"/>
        <v>Humid Continental - Cool Summer: Minneapolis, MN</v>
      </c>
      <c r="F23" s="1254">
        <v>55401</v>
      </c>
      <c r="G23" s="1255">
        <v>6.85</v>
      </c>
      <c r="H23" s="1255">
        <v>3.41</v>
      </c>
      <c r="I23" s="1255">
        <v>5.3</v>
      </c>
      <c r="J23" s="1255">
        <v>0.73</v>
      </c>
      <c r="K23" s="1255">
        <v>0.03</v>
      </c>
      <c r="L23" s="1255">
        <v>5.57</v>
      </c>
      <c r="M23" s="1255">
        <v>14.55</v>
      </c>
      <c r="N23" s="1255">
        <v>0</v>
      </c>
      <c r="O23" s="1255">
        <v>0.11</v>
      </c>
      <c r="P23" s="1255">
        <v>4.5999999999999996</v>
      </c>
      <c r="Q23" s="1255">
        <v>0</v>
      </c>
      <c r="R23" s="1255">
        <v>0</v>
      </c>
      <c r="S23" s="1255">
        <v>0</v>
      </c>
    </row>
    <row r="24" spans="2:19" x14ac:dyDescent="0.3">
      <c r="B24" s="1251" t="s">
        <v>870</v>
      </c>
      <c r="C24" s="1251" t="s">
        <v>896</v>
      </c>
      <c r="D24" s="1251" t="s">
        <v>897</v>
      </c>
      <c r="E24" s="1251" t="str">
        <f t="shared" si="2"/>
        <v>Humid Continental - Warm Summer: Boston, MA</v>
      </c>
      <c r="F24" s="1254">
        <v>2108</v>
      </c>
      <c r="G24" s="1255">
        <v>6.18</v>
      </c>
      <c r="H24" s="1255">
        <v>2.66</v>
      </c>
      <c r="I24" s="1255">
        <v>4.63</v>
      </c>
      <c r="J24" s="1255">
        <v>0.97</v>
      </c>
      <c r="K24" s="1255">
        <v>0.15</v>
      </c>
      <c r="L24" s="1255">
        <v>4.63</v>
      </c>
      <c r="M24" s="1255">
        <v>13.53</v>
      </c>
      <c r="N24" s="1255">
        <v>0</v>
      </c>
      <c r="O24" s="1255">
        <v>0.37</v>
      </c>
      <c r="P24" s="1255">
        <v>4.4400000000000004</v>
      </c>
      <c r="Q24" s="1255">
        <v>0</v>
      </c>
      <c r="R24" s="1255">
        <v>0</v>
      </c>
      <c r="S24" s="1255">
        <v>0</v>
      </c>
    </row>
    <row r="25" spans="2:19" x14ac:dyDescent="0.3">
      <c r="B25" s="1251" t="s">
        <v>870</v>
      </c>
      <c r="C25" s="1251" t="s">
        <v>898</v>
      </c>
      <c r="D25" s="1251" t="s">
        <v>899</v>
      </c>
      <c r="E25" s="1251" t="str">
        <f t="shared" si="2"/>
        <v>Humid Continental - Warm Summer: Cincinnati, OH</v>
      </c>
      <c r="F25" s="1254">
        <v>45202</v>
      </c>
      <c r="G25" s="1255">
        <v>6.23</v>
      </c>
      <c r="H25" s="1255">
        <v>3.34</v>
      </c>
      <c r="I25" s="1255">
        <v>3.66</v>
      </c>
      <c r="J25" s="1255">
        <v>0.47</v>
      </c>
      <c r="K25" s="1255">
        <v>0</v>
      </c>
      <c r="L25" s="1255">
        <v>3.66</v>
      </c>
      <c r="M25" s="1255">
        <v>14.24</v>
      </c>
      <c r="N25" s="1255">
        <v>0</v>
      </c>
      <c r="O25" s="1255">
        <v>0.04</v>
      </c>
      <c r="P25" s="1255">
        <v>3.45</v>
      </c>
      <c r="Q25" s="1255">
        <v>0</v>
      </c>
      <c r="R25" s="1255">
        <v>0</v>
      </c>
      <c r="S25" s="1255">
        <v>0</v>
      </c>
    </row>
    <row r="26" spans="2:19" x14ac:dyDescent="0.3">
      <c r="B26" s="1251" t="s">
        <v>870</v>
      </c>
      <c r="C26" s="1251" t="s">
        <v>900</v>
      </c>
      <c r="D26" s="1251" t="s">
        <v>901</v>
      </c>
      <c r="E26" s="1251" t="str">
        <f t="shared" si="2"/>
        <v>Humid Continental - Warm Summer: Kansas City, MO</v>
      </c>
      <c r="F26" s="1254">
        <v>64101</v>
      </c>
      <c r="G26" s="1255">
        <v>7.43</v>
      </c>
      <c r="H26" s="1255">
        <v>3.47</v>
      </c>
      <c r="I26" s="1255">
        <v>4.3099999999999996</v>
      </c>
      <c r="J26" s="1255">
        <v>0.81</v>
      </c>
      <c r="K26" s="1255">
        <v>7.0000000000000007E-2</v>
      </c>
      <c r="L26" s="1255">
        <v>4.3099999999999996</v>
      </c>
      <c r="M26" s="1255">
        <v>16.48</v>
      </c>
      <c r="N26" s="1255">
        <v>0</v>
      </c>
      <c r="O26" s="1255">
        <v>0.28000000000000003</v>
      </c>
      <c r="P26" s="1255">
        <v>4.08</v>
      </c>
      <c r="Q26" s="1255">
        <v>0</v>
      </c>
      <c r="R26" s="1255">
        <v>0</v>
      </c>
      <c r="S26" s="1255">
        <v>0</v>
      </c>
    </row>
    <row r="27" spans="2:19" x14ac:dyDescent="0.3">
      <c r="B27" s="1251" t="s">
        <v>870</v>
      </c>
      <c r="C27" s="1251" t="s">
        <v>902</v>
      </c>
      <c r="D27" s="1251" t="s">
        <v>903</v>
      </c>
      <c r="E27" s="1251" t="str">
        <f t="shared" si="2"/>
        <v>Humid Continental - Warm Summer: Omaha, NE</v>
      </c>
      <c r="F27" s="1254">
        <v>68102</v>
      </c>
      <c r="G27" s="1255">
        <v>7.15</v>
      </c>
      <c r="H27" s="1255">
        <v>3.14</v>
      </c>
      <c r="I27" s="1255">
        <v>5.67</v>
      </c>
      <c r="J27" s="1255">
        <v>1.75</v>
      </c>
      <c r="K27" s="1255">
        <v>0.11</v>
      </c>
      <c r="L27" s="1255">
        <v>5.96</v>
      </c>
      <c r="M27" s="1255">
        <v>17.41</v>
      </c>
      <c r="N27" s="1255">
        <v>0</v>
      </c>
      <c r="O27" s="1255">
        <v>0.42</v>
      </c>
      <c r="P27" s="1255">
        <v>5.51</v>
      </c>
      <c r="Q27" s="1255">
        <v>0</v>
      </c>
      <c r="R27" s="1255">
        <v>0</v>
      </c>
      <c r="S27" s="1255">
        <v>0</v>
      </c>
    </row>
    <row r="28" spans="2:19" x14ac:dyDescent="0.3">
      <c r="B28" s="1251" t="s">
        <v>870</v>
      </c>
      <c r="C28" s="1251" t="s">
        <v>904</v>
      </c>
      <c r="D28" s="1251" t="s">
        <v>905</v>
      </c>
      <c r="E28" s="1251" t="str">
        <f t="shared" si="2"/>
        <v>Humid Continental - Warm Summer: Philadelphia, PA</v>
      </c>
      <c r="F28" s="1254">
        <v>19102</v>
      </c>
      <c r="G28" s="1255">
        <v>6.25</v>
      </c>
      <c r="H28" s="1255">
        <v>3.43</v>
      </c>
      <c r="I28" s="1255">
        <v>3.31</v>
      </c>
      <c r="J28" s="1255">
        <v>0.37</v>
      </c>
      <c r="K28" s="1255">
        <v>0</v>
      </c>
      <c r="L28" s="1255">
        <v>3.31</v>
      </c>
      <c r="M28" s="1255">
        <v>13.98</v>
      </c>
      <c r="N28" s="1255">
        <v>0</v>
      </c>
      <c r="O28" s="1255">
        <v>0.03</v>
      </c>
      <c r="P28" s="1255">
        <v>3.12</v>
      </c>
      <c r="Q28" s="1255">
        <v>0</v>
      </c>
      <c r="R28" s="1255">
        <v>0</v>
      </c>
      <c r="S28" s="1255">
        <v>0</v>
      </c>
    </row>
    <row r="29" spans="2:19" x14ac:dyDescent="0.3">
      <c r="B29" s="1251" t="s">
        <v>871</v>
      </c>
      <c r="C29" s="1251" t="s">
        <v>906</v>
      </c>
      <c r="D29" s="1251" t="s">
        <v>907</v>
      </c>
      <c r="E29" s="1251" t="str">
        <f t="shared" si="2"/>
        <v>Humid Southern: Atlanta, GA</v>
      </c>
      <c r="F29" s="1254">
        <v>30303</v>
      </c>
      <c r="G29" s="1255">
        <v>6.48</v>
      </c>
      <c r="H29" s="1255">
        <v>3.29</v>
      </c>
      <c r="I29" s="1255">
        <v>4.55</v>
      </c>
      <c r="J29" s="1255">
        <v>0.7</v>
      </c>
      <c r="K29" s="1255">
        <v>0.03</v>
      </c>
      <c r="L29" s="1255">
        <v>4.76</v>
      </c>
      <c r="M29" s="1255">
        <v>16.579999999999998</v>
      </c>
      <c r="N29" s="1255">
        <v>0</v>
      </c>
      <c r="O29" s="1255">
        <v>0.11</v>
      </c>
      <c r="P29" s="1255">
        <v>4.04</v>
      </c>
      <c r="Q29" s="1255">
        <v>0</v>
      </c>
      <c r="R29" s="1255">
        <v>0</v>
      </c>
      <c r="S29" s="1255">
        <v>0</v>
      </c>
    </row>
    <row r="30" spans="2:19" x14ac:dyDescent="0.3">
      <c r="B30" s="1251" t="s">
        <v>871</v>
      </c>
      <c r="C30" s="1251" t="s">
        <v>908</v>
      </c>
      <c r="D30" s="1251" t="s">
        <v>909</v>
      </c>
      <c r="E30" s="1251" t="str">
        <f t="shared" si="2"/>
        <v>Humid Southern: Houston, TX</v>
      </c>
      <c r="F30" s="1254">
        <v>77002</v>
      </c>
      <c r="G30" s="1255">
        <v>6.91</v>
      </c>
      <c r="H30" s="1255">
        <v>3.24</v>
      </c>
      <c r="I30" s="1255">
        <v>6.5</v>
      </c>
      <c r="J30" s="1255">
        <v>1.1499999999999999</v>
      </c>
      <c r="K30" s="1255">
        <v>0.09</v>
      </c>
      <c r="L30" s="1255">
        <v>6.5</v>
      </c>
      <c r="M30" s="1255">
        <v>20.73</v>
      </c>
      <c r="N30" s="1255">
        <v>0</v>
      </c>
      <c r="O30" s="1255">
        <v>0.22</v>
      </c>
      <c r="P30" s="1255">
        <v>6.08</v>
      </c>
      <c r="Q30" s="1255">
        <v>0</v>
      </c>
      <c r="R30" s="1255">
        <v>0</v>
      </c>
      <c r="S30" s="1255">
        <v>0</v>
      </c>
    </row>
    <row r="31" spans="2:19" x14ac:dyDescent="0.3">
      <c r="B31" s="1251" t="s">
        <v>871</v>
      </c>
      <c r="C31" s="1251" t="s">
        <v>910</v>
      </c>
      <c r="D31" s="1251" t="s">
        <v>911</v>
      </c>
      <c r="E31" s="1251" t="str">
        <f t="shared" si="2"/>
        <v>Humid Southern: Memphis, TN</v>
      </c>
      <c r="F31" s="1254">
        <v>38103</v>
      </c>
      <c r="G31" s="1255">
        <v>7.38</v>
      </c>
      <c r="H31" s="1255">
        <v>3.17</v>
      </c>
      <c r="I31" s="1255">
        <v>7.35</v>
      </c>
      <c r="J31" s="1255">
        <v>3.22</v>
      </c>
      <c r="K31" s="1255">
        <v>0.28999999999999998</v>
      </c>
      <c r="L31" s="1255">
        <v>7.36</v>
      </c>
      <c r="M31" s="1255">
        <v>19.64</v>
      </c>
      <c r="N31" s="1255">
        <v>0</v>
      </c>
      <c r="O31" s="1255">
        <v>0.89</v>
      </c>
      <c r="P31" s="1255">
        <v>6.61</v>
      </c>
      <c r="Q31" s="1255">
        <v>0</v>
      </c>
      <c r="R31" s="1255">
        <v>0</v>
      </c>
      <c r="S31" s="1255">
        <v>0</v>
      </c>
    </row>
    <row r="32" spans="2:19" x14ac:dyDescent="0.3">
      <c r="B32" s="1251" t="s">
        <v>871</v>
      </c>
      <c r="C32" s="1251" t="s">
        <v>912</v>
      </c>
      <c r="D32" s="1251" t="s">
        <v>913</v>
      </c>
      <c r="E32" s="1251" t="str">
        <f t="shared" si="2"/>
        <v>Humid Southern: New Orleans, LA</v>
      </c>
      <c r="F32" s="1254">
        <v>70116</v>
      </c>
      <c r="G32" s="1255">
        <v>6.13</v>
      </c>
      <c r="H32" s="1255">
        <v>4.08</v>
      </c>
      <c r="I32" s="1255">
        <v>1.47</v>
      </c>
      <c r="J32" s="1255">
        <v>0.1</v>
      </c>
      <c r="K32" s="1255">
        <v>0</v>
      </c>
      <c r="L32" s="1255">
        <v>1.47</v>
      </c>
      <c r="M32" s="1255">
        <v>13.29</v>
      </c>
      <c r="N32" s="1255">
        <v>0</v>
      </c>
      <c r="O32" s="1255">
        <v>0.01</v>
      </c>
      <c r="P32" s="1255">
        <v>1.36</v>
      </c>
      <c r="Q32" s="1255">
        <v>0</v>
      </c>
      <c r="R32" s="1255">
        <v>0</v>
      </c>
      <c r="S32" s="1255">
        <v>0</v>
      </c>
    </row>
    <row r="33" spans="2:19" x14ac:dyDescent="0.3">
      <c r="B33" s="1251" t="s">
        <v>871</v>
      </c>
      <c r="C33" s="1251" t="s">
        <v>914</v>
      </c>
      <c r="D33" s="1251" t="s">
        <v>909</v>
      </c>
      <c r="E33" s="1251" t="str">
        <f t="shared" si="2"/>
        <v>Humid Southern: San Antonio, TX</v>
      </c>
      <c r="F33" s="1254">
        <v>78205</v>
      </c>
      <c r="G33" s="1255">
        <v>8.42</v>
      </c>
      <c r="H33" s="1255">
        <v>0.87</v>
      </c>
      <c r="I33" s="1255">
        <v>19.37</v>
      </c>
      <c r="J33" s="1255">
        <v>10.82</v>
      </c>
      <c r="K33" s="1255">
        <v>4.95</v>
      </c>
      <c r="L33" s="1255">
        <v>19.37</v>
      </c>
      <c r="M33" s="1255">
        <v>38.92</v>
      </c>
      <c r="N33" s="1255">
        <v>1.58</v>
      </c>
      <c r="O33" s="1255">
        <v>6.93</v>
      </c>
      <c r="P33" s="1255">
        <v>18.82</v>
      </c>
      <c r="Q33" s="1255">
        <v>0.06</v>
      </c>
      <c r="R33" s="1255">
        <v>0.34</v>
      </c>
      <c r="S33" s="1255">
        <v>2.02</v>
      </c>
    </row>
    <row r="34" spans="2:19" x14ac:dyDescent="0.3">
      <c r="B34" s="1251" t="s">
        <v>871</v>
      </c>
      <c r="C34" s="1251" t="s">
        <v>915</v>
      </c>
      <c r="D34" s="1251" t="s">
        <v>916</v>
      </c>
      <c r="E34" s="1251" t="str">
        <f t="shared" si="2"/>
        <v>Humid Southern: Raleigh, NC</v>
      </c>
      <c r="F34" s="1254">
        <v>27601</v>
      </c>
      <c r="G34" s="1255">
        <v>6.03</v>
      </c>
      <c r="H34" s="1255">
        <v>3.53</v>
      </c>
      <c r="I34" s="1255">
        <v>3.33</v>
      </c>
      <c r="J34" s="1255">
        <v>0.2</v>
      </c>
      <c r="K34" s="1255">
        <v>0</v>
      </c>
      <c r="L34" s="1255">
        <v>3.33</v>
      </c>
      <c r="M34" s="1255">
        <v>14.78</v>
      </c>
      <c r="N34" s="1255">
        <v>0</v>
      </c>
      <c r="O34" s="1255">
        <v>0.02</v>
      </c>
      <c r="P34" s="1255">
        <v>2.91</v>
      </c>
      <c r="Q34" s="1255">
        <v>0</v>
      </c>
      <c r="R34" s="1255">
        <v>0</v>
      </c>
      <c r="S34" s="1255">
        <v>0</v>
      </c>
    </row>
    <row r="35" spans="2:19" x14ac:dyDescent="0.3">
      <c r="B35" s="1251" t="s">
        <v>871</v>
      </c>
      <c r="C35" s="1251" t="s">
        <v>917</v>
      </c>
      <c r="D35" s="1251" t="s">
        <v>918</v>
      </c>
      <c r="E35" s="1251" t="str">
        <f t="shared" si="2"/>
        <v>Humid Southern: Washington, DC</v>
      </c>
      <c r="F35" s="1254">
        <v>20004</v>
      </c>
      <c r="G35" s="1255">
        <v>6.46</v>
      </c>
      <c r="H35" s="1255">
        <v>2.99</v>
      </c>
      <c r="I35" s="1255">
        <v>5.2</v>
      </c>
      <c r="J35" s="1255">
        <v>0.91</v>
      </c>
      <c r="K35" s="1255">
        <v>0.06</v>
      </c>
      <c r="L35" s="1255">
        <v>5.2</v>
      </c>
      <c r="M35" s="1255">
        <v>16.440000000000001</v>
      </c>
      <c r="N35" s="1255">
        <v>0</v>
      </c>
      <c r="O35" s="1255">
        <v>0.15</v>
      </c>
      <c r="P35" s="1255">
        <v>4.5</v>
      </c>
      <c r="Q35" s="1255">
        <v>0</v>
      </c>
      <c r="R35" s="1255">
        <v>0</v>
      </c>
      <c r="S35" s="1255">
        <v>0</v>
      </c>
    </row>
    <row r="36" spans="2:19" x14ac:dyDescent="0.3">
      <c r="B36" s="1251" t="s">
        <v>872</v>
      </c>
      <c r="C36" s="1251" t="s">
        <v>919</v>
      </c>
      <c r="D36" s="1251" t="s">
        <v>920</v>
      </c>
      <c r="E36" s="1251" t="str">
        <f t="shared" si="2"/>
        <v>Marine - West Coast: Olympia, WA</v>
      </c>
      <c r="F36" s="1254">
        <v>98501</v>
      </c>
      <c r="G36" s="1255">
        <v>5.14</v>
      </c>
      <c r="H36" s="1255">
        <v>0.7</v>
      </c>
      <c r="I36" s="1255">
        <v>6.03</v>
      </c>
      <c r="J36" s="1255">
        <v>3.28</v>
      </c>
      <c r="K36" s="1255">
        <v>1.7</v>
      </c>
      <c r="L36" s="1255">
        <v>6.03</v>
      </c>
      <c r="M36" s="1255">
        <v>12.78</v>
      </c>
      <c r="N36" s="1255">
        <v>0.37</v>
      </c>
      <c r="O36" s="1255">
        <v>2</v>
      </c>
      <c r="P36" s="1255">
        <v>5.87</v>
      </c>
      <c r="Q36" s="1255">
        <v>0.02</v>
      </c>
      <c r="R36" s="1255">
        <v>0.08</v>
      </c>
      <c r="S36" s="1255">
        <v>0.48</v>
      </c>
    </row>
    <row r="37" spans="2:19" x14ac:dyDescent="0.3">
      <c r="B37" s="1251" t="s">
        <v>872</v>
      </c>
      <c r="C37" s="1251" t="s">
        <v>921</v>
      </c>
      <c r="D37" s="1251" t="s">
        <v>922</v>
      </c>
      <c r="E37" s="1251" t="str">
        <f t="shared" si="2"/>
        <v>Marine - West Coast: Portland, OR</v>
      </c>
      <c r="F37" s="1254">
        <v>97086</v>
      </c>
      <c r="G37" s="1255">
        <v>6.2</v>
      </c>
      <c r="H37" s="1255">
        <v>0.57999999999999996</v>
      </c>
      <c r="I37" s="1255">
        <v>7.2</v>
      </c>
      <c r="J37" s="1255">
        <v>4.0999999999999996</v>
      </c>
      <c r="K37" s="1255">
        <v>2.6</v>
      </c>
      <c r="L37" s="1255">
        <v>7.28</v>
      </c>
      <c r="M37" s="1255">
        <v>15.19</v>
      </c>
      <c r="N37" s="1255">
        <v>0.67</v>
      </c>
      <c r="O37" s="1255">
        <v>3.13</v>
      </c>
      <c r="P37" s="1255">
        <v>7.09</v>
      </c>
      <c r="Q37" s="1255">
        <v>0.05</v>
      </c>
      <c r="R37" s="1255">
        <v>0.28000000000000003</v>
      </c>
      <c r="S37" s="1255">
        <v>1.31</v>
      </c>
    </row>
    <row r="38" spans="2:19" x14ac:dyDescent="0.3">
      <c r="B38" s="1251" t="s">
        <v>872</v>
      </c>
      <c r="C38" s="1251" t="s">
        <v>923</v>
      </c>
      <c r="D38" s="1251" t="s">
        <v>920</v>
      </c>
      <c r="E38" s="1251" t="str">
        <f t="shared" si="2"/>
        <v>Marine - West Coast: Seattle, WA</v>
      </c>
      <c r="F38" s="1254">
        <v>98101</v>
      </c>
      <c r="G38" s="1255">
        <v>5.44</v>
      </c>
      <c r="H38" s="1255">
        <v>0.65</v>
      </c>
      <c r="I38" s="1255">
        <v>7.45</v>
      </c>
      <c r="J38" s="1255">
        <v>4.43</v>
      </c>
      <c r="K38" s="1255">
        <v>2.0099999999999998</v>
      </c>
      <c r="L38" s="1255">
        <v>7.45</v>
      </c>
      <c r="M38" s="1255">
        <v>14.94</v>
      </c>
      <c r="N38" s="1255">
        <v>0.46</v>
      </c>
      <c r="O38" s="1255">
        <v>2.83</v>
      </c>
      <c r="P38" s="1255">
        <v>7.25</v>
      </c>
      <c r="Q38" s="1255">
        <v>0.03</v>
      </c>
      <c r="R38" s="1255">
        <v>0.11</v>
      </c>
      <c r="S38" s="1255">
        <v>0.71</v>
      </c>
    </row>
    <row r="39" spans="2:19" x14ac:dyDescent="0.3">
      <c r="B39" s="1251" t="s">
        <v>873</v>
      </c>
      <c r="C39" s="1251" t="s">
        <v>924</v>
      </c>
      <c r="D39" s="1251" t="s">
        <v>884</v>
      </c>
      <c r="E39" s="1251" t="str">
        <f t="shared" si="2"/>
        <v>Mediterranean: Los Angeles, CA</v>
      </c>
      <c r="F39" s="1254">
        <v>90001</v>
      </c>
      <c r="G39" s="1255">
        <v>6.59</v>
      </c>
      <c r="H39" s="1255">
        <v>0</v>
      </c>
      <c r="I39" s="1255">
        <v>20.72</v>
      </c>
      <c r="J39" s="1255">
        <v>14.64</v>
      </c>
      <c r="K39" s="1255">
        <v>10.59</v>
      </c>
      <c r="L39" s="1255">
        <v>20.94</v>
      </c>
      <c r="M39" s="1255">
        <v>36.619999999999997</v>
      </c>
      <c r="N39" s="1255">
        <v>5.5</v>
      </c>
      <c r="O39" s="1255">
        <v>11.75</v>
      </c>
      <c r="P39" s="1255">
        <v>20.14</v>
      </c>
      <c r="Q39" s="1255">
        <v>1.0900000000000001</v>
      </c>
      <c r="R39" s="1255">
        <v>1.98</v>
      </c>
      <c r="S39" s="1255">
        <v>6.81</v>
      </c>
    </row>
    <row r="40" spans="2:19" x14ac:dyDescent="0.3">
      <c r="B40" s="1251" t="s">
        <v>873</v>
      </c>
      <c r="C40" s="1251" t="s">
        <v>925</v>
      </c>
      <c r="D40" s="1251" t="s">
        <v>884</v>
      </c>
      <c r="E40" s="1251" t="str">
        <f t="shared" si="2"/>
        <v>Mediterranean: Sacramento, CA</v>
      </c>
      <c r="F40" s="1254">
        <v>95814</v>
      </c>
      <c r="G40" s="1255">
        <v>9.4700000000000006</v>
      </c>
      <c r="H40" s="1255">
        <v>0</v>
      </c>
      <c r="I40" s="1255">
        <v>22.86</v>
      </c>
      <c r="J40" s="1255">
        <v>17.350000000000001</v>
      </c>
      <c r="K40" s="1255">
        <v>12.03</v>
      </c>
      <c r="L40" s="1255">
        <v>23.7</v>
      </c>
      <c r="M40" s="1255">
        <v>38.67</v>
      </c>
      <c r="N40" s="1255">
        <v>7.38</v>
      </c>
      <c r="O40" s="1255">
        <v>13.79</v>
      </c>
      <c r="P40" s="1255">
        <v>22.4</v>
      </c>
      <c r="Q40" s="1255">
        <v>1.6</v>
      </c>
      <c r="R40" s="1255">
        <v>4.1100000000000003</v>
      </c>
      <c r="S40" s="1255">
        <v>8.6999999999999993</v>
      </c>
    </row>
    <row r="41" spans="2:19" x14ac:dyDescent="0.3">
      <c r="B41" s="1251" t="s">
        <v>873</v>
      </c>
      <c r="C41" s="1251" t="s">
        <v>926</v>
      </c>
      <c r="D41" s="1251" t="s">
        <v>884</v>
      </c>
      <c r="E41" s="1251" t="str">
        <f t="shared" si="2"/>
        <v>Mediterranean: San Francisco, CA</v>
      </c>
      <c r="F41" s="1254">
        <v>94102</v>
      </c>
      <c r="G41" s="1255">
        <v>5.24</v>
      </c>
      <c r="H41" s="1255">
        <v>0.04</v>
      </c>
      <c r="I41" s="1255">
        <v>14.13</v>
      </c>
      <c r="J41" s="1255">
        <v>10.34</v>
      </c>
      <c r="K41" s="1255">
        <v>7.31</v>
      </c>
      <c r="L41" s="1255">
        <v>14.73</v>
      </c>
      <c r="M41" s="1255">
        <v>24.57</v>
      </c>
      <c r="N41" s="1255">
        <v>2.73</v>
      </c>
      <c r="O41" s="1255">
        <v>8.1</v>
      </c>
      <c r="P41" s="1255">
        <v>13.84</v>
      </c>
      <c r="Q41" s="1255">
        <v>0.48</v>
      </c>
      <c r="R41" s="1255">
        <v>1.45</v>
      </c>
      <c r="S41" s="1255">
        <v>4.17</v>
      </c>
    </row>
    <row r="42" spans="2:19" x14ac:dyDescent="0.3">
      <c r="B42" s="1251" t="s">
        <v>874</v>
      </c>
      <c r="C42" s="1251" t="s">
        <v>927</v>
      </c>
      <c r="D42" s="1251" t="s">
        <v>909</v>
      </c>
      <c r="E42" s="1251" t="str">
        <f t="shared" si="2"/>
        <v>Semi-arid: Amarillo, TX</v>
      </c>
      <c r="F42" s="1254">
        <v>79107</v>
      </c>
      <c r="G42" s="1255">
        <v>9.64</v>
      </c>
      <c r="H42" s="1255">
        <v>2.33</v>
      </c>
      <c r="I42" s="1255">
        <v>25.53</v>
      </c>
      <c r="J42" s="1255">
        <v>15.47</v>
      </c>
      <c r="K42" s="1255">
        <v>8.81</v>
      </c>
      <c r="L42" s="1255">
        <v>25.53</v>
      </c>
      <c r="M42" s="1255">
        <v>44.38</v>
      </c>
      <c r="N42" s="1255">
        <v>1.49</v>
      </c>
      <c r="O42" s="1255">
        <v>11.57</v>
      </c>
      <c r="P42" s="1255">
        <v>24.43</v>
      </c>
      <c r="Q42" s="1255">
        <v>0.06</v>
      </c>
      <c r="R42" s="1255">
        <v>0.28999999999999998</v>
      </c>
      <c r="S42" s="1255">
        <v>2.65</v>
      </c>
    </row>
    <row r="43" spans="2:19" x14ac:dyDescent="0.3">
      <c r="B43" s="1251" t="s">
        <v>874</v>
      </c>
      <c r="C43" s="1251" t="s">
        <v>928</v>
      </c>
      <c r="D43" s="1251" t="s">
        <v>929</v>
      </c>
      <c r="E43" s="1251" t="str">
        <f t="shared" si="2"/>
        <v>Semi-arid: Boise, ID</v>
      </c>
      <c r="F43" s="1254">
        <v>83601</v>
      </c>
      <c r="G43" s="1255">
        <v>7.76</v>
      </c>
      <c r="H43" s="1255">
        <v>0.45</v>
      </c>
      <c r="I43" s="1255">
        <v>13.68</v>
      </c>
      <c r="J43" s="1255">
        <v>9.41</v>
      </c>
      <c r="K43" s="1255">
        <v>5.62</v>
      </c>
      <c r="L43" s="1255">
        <v>14.19</v>
      </c>
      <c r="M43" s="1255">
        <v>23.06</v>
      </c>
      <c r="N43" s="1255">
        <v>2.59</v>
      </c>
      <c r="O43" s="1255">
        <v>6.9</v>
      </c>
      <c r="P43" s="1255">
        <v>13.37</v>
      </c>
      <c r="Q43" s="1255">
        <v>0.19</v>
      </c>
      <c r="R43" s="1255">
        <v>0.74</v>
      </c>
      <c r="S43" s="1255">
        <v>3.23</v>
      </c>
    </row>
    <row r="44" spans="2:19" x14ac:dyDescent="0.3">
      <c r="B44" s="1251" t="s">
        <v>874</v>
      </c>
      <c r="C44" s="1251" t="s">
        <v>930</v>
      </c>
      <c r="D44" s="1251" t="s">
        <v>931</v>
      </c>
      <c r="E44" s="1251" t="str">
        <f t="shared" si="2"/>
        <v>Semi-arid: Denver, CO</v>
      </c>
      <c r="F44" s="1254">
        <v>80002</v>
      </c>
      <c r="G44" s="1255">
        <v>8.25</v>
      </c>
      <c r="H44" s="1255">
        <v>1.78</v>
      </c>
      <c r="I44" s="1255">
        <v>14.3</v>
      </c>
      <c r="J44" s="1255">
        <v>9.57</v>
      </c>
      <c r="K44" s="1255">
        <v>6.03</v>
      </c>
      <c r="L44" s="1255">
        <v>14.68</v>
      </c>
      <c r="M44" s="1255">
        <v>25.55</v>
      </c>
      <c r="N44" s="1255">
        <v>1.24</v>
      </c>
      <c r="O44" s="1255">
        <v>7.04</v>
      </c>
      <c r="P44" s="1255">
        <v>14.32</v>
      </c>
      <c r="Q44" s="1255">
        <v>0</v>
      </c>
      <c r="R44" s="1255">
        <v>0.18</v>
      </c>
      <c r="S44" s="1255">
        <v>1.66</v>
      </c>
    </row>
    <row r="45" spans="2:19" x14ac:dyDescent="0.3">
      <c r="B45" s="1251" t="s">
        <v>874</v>
      </c>
      <c r="C45" s="1251" t="s">
        <v>932</v>
      </c>
      <c r="D45" s="1251" t="s">
        <v>933</v>
      </c>
      <c r="E45" s="1251" t="str">
        <f t="shared" si="2"/>
        <v>Semi-arid: Rapid City, SD</v>
      </c>
      <c r="F45" s="1254">
        <v>57701</v>
      </c>
      <c r="G45" s="1255">
        <v>7.86</v>
      </c>
      <c r="H45" s="1255">
        <v>2.0099999999999998</v>
      </c>
      <c r="I45" s="1255">
        <v>11.98</v>
      </c>
      <c r="J45" s="1255">
        <v>6.78</v>
      </c>
      <c r="K45" s="1255">
        <v>3.9</v>
      </c>
      <c r="L45" s="1255">
        <v>11.98</v>
      </c>
      <c r="M45" s="1255">
        <v>21.94</v>
      </c>
      <c r="N45" s="1255">
        <v>0.65</v>
      </c>
      <c r="O45" s="1255">
        <v>4.59</v>
      </c>
      <c r="P45" s="1255">
        <v>11.65</v>
      </c>
      <c r="Q45" s="1255">
        <v>0</v>
      </c>
      <c r="R45" s="1255">
        <v>0.08</v>
      </c>
      <c r="S45" s="1255">
        <v>1.04</v>
      </c>
    </row>
    <row r="46" spans="2:19" x14ac:dyDescent="0.3">
      <c r="B46" s="1251" t="s">
        <v>874</v>
      </c>
      <c r="C46" s="1251" t="s">
        <v>934</v>
      </c>
      <c r="D46" s="1251" t="s">
        <v>935</v>
      </c>
      <c r="E46" s="1251" t="str">
        <f t="shared" si="2"/>
        <v>Semi-arid: Salt Lake City, UT</v>
      </c>
      <c r="F46" s="1254">
        <v>84101</v>
      </c>
      <c r="G46" s="1255">
        <v>10.130000000000001</v>
      </c>
      <c r="H46" s="1255">
        <v>0.56999999999999995</v>
      </c>
      <c r="I46" s="1255">
        <v>18.829999999999998</v>
      </c>
      <c r="J46" s="1255">
        <v>13.24</v>
      </c>
      <c r="K46" s="1255">
        <v>9.07</v>
      </c>
      <c r="L46" s="1255">
        <v>18.7</v>
      </c>
      <c r="M46" s="1255">
        <v>31.27</v>
      </c>
      <c r="N46" s="1255">
        <v>4.3499999999999996</v>
      </c>
      <c r="O46" s="1255">
        <v>10.25</v>
      </c>
      <c r="P46" s="1255">
        <v>18.29</v>
      </c>
      <c r="Q46" s="1255">
        <v>0.45</v>
      </c>
      <c r="R46" s="1255">
        <v>1.71</v>
      </c>
      <c r="S46" s="1255">
        <v>5.29</v>
      </c>
    </row>
    <row r="47" spans="2:19" x14ac:dyDescent="0.3">
      <c r="B47" s="1251" t="s">
        <v>875</v>
      </c>
      <c r="C47" s="1251" t="s">
        <v>936</v>
      </c>
      <c r="D47" s="1251" t="s">
        <v>937</v>
      </c>
      <c r="E47" s="1251" t="str">
        <f t="shared" si="2"/>
        <v>Subarctic: Anchorage, AK</v>
      </c>
      <c r="F47" s="1254">
        <v>99501</v>
      </c>
      <c r="G47" s="1255">
        <v>4.09</v>
      </c>
      <c r="H47" s="1255">
        <v>1.03</v>
      </c>
      <c r="I47" s="1255">
        <v>3.49</v>
      </c>
      <c r="J47" s="1255">
        <v>1.78</v>
      </c>
      <c r="K47" s="1255">
        <v>0.62</v>
      </c>
      <c r="L47" s="1255">
        <v>3.49</v>
      </c>
      <c r="M47" s="1255">
        <v>7.65</v>
      </c>
      <c r="N47" s="1255">
        <v>0.12</v>
      </c>
      <c r="O47" s="1255">
        <v>0.75</v>
      </c>
      <c r="P47" s="1255">
        <v>3.21</v>
      </c>
      <c r="Q47" s="1255">
        <v>0</v>
      </c>
      <c r="R47" s="1255">
        <v>0.02</v>
      </c>
      <c r="S47" s="1255">
        <v>0.2</v>
      </c>
    </row>
    <row r="48" spans="2:19" x14ac:dyDescent="0.3">
      <c r="B48" s="1251" t="s">
        <v>876</v>
      </c>
      <c r="C48" s="1251" t="s">
        <v>938</v>
      </c>
      <c r="D48" s="1251" t="s">
        <v>939</v>
      </c>
      <c r="E48" s="1251" t="str">
        <f t="shared" si="2"/>
        <v>Tropical: Honolulu, HI</v>
      </c>
      <c r="F48" s="1254">
        <v>96853</v>
      </c>
      <c r="G48" s="1255">
        <v>7.44</v>
      </c>
      <c r="H48" s="1255">
        <v>5.87</v>
      </c>
      <c r="I48" s="1255">
        <v>0.34</v>
      </c>
      <c r="J48" s="1255">
        <v>0</v>
      </c>
      <c r="K48" s="1255">
        <v>0</v>
      </c>
      <c r="L48" s="1255">
        <v>0.34</v>
      </c>
      <c r="M48" s="1255">
        <v>7.97</v>
      </c>
      <c r="N48" s="1255">
        <v>0</v>
      </c>
      <c r="O48" s="1255">
        <v>0</v>
      </c>
      <c r="P48" s="1255">
        <v>0.28999999999999998</v>
      </c>
      <c r="Q48" s="1255">
        <v>0</v>
      </c>
      <c r="R48" s="1255">
        <v>0</v>
      </c>
      <c r="S48" s="1255">
        <v>0</v>
      </c>
    </row>
    <row r="49" spans="2:19" x14ac:dyDescent="0.3">
      <c r="B49" s="1221" t="s">
        <v>876</v>
      </c>
      <c r="C49" s="1221" t="s">
        <v>940</v>
      </c>
      <c r="D49" s="1221" t="s">
        <v>941</v>
      </c>
      <c r="E49" s="1221" t="str">
        <f t="shared" si="2"/>
        <v>Tropical: Miami, FL</v>
      </c>
      <c r="F49" s="1256">
        <v>33010</v>
      </c>
      <c r="G49" s="1257">
        <v>6.65</v>
      </c>
      <c r="H49" s="1257">
        <v>2.16</v>
      </c>
      <c r="I49" s="1257">
        <v>7.92</v>
      </c>
      <c r="J49" s="1257">
        <v>3.3</v>
      </c>
      <c r="K49" s="1257">
        <v>0.85</v>
      </c>
      <c r="L49" s="1257">
        <v>7.92</v>
      </c>
      <c r="M49" s="1257">
        <v>25.76</v>
      </c>
      <c r="N49" s="1257">
        <v>0.04</v>
      </c>
      <c r="O49" s="1257">
        <v>1.2</v>
      </c>
      <c r="P49" s="1257">
        <v>7.61</v>
      </c>
      <c r="Q49" s="1257">
        <v>0</v>
      </c>
      <c r="R49" s="1257">
        <v>0</v>
      </c>
      <c r="S49" s="1257">
        <v>0.14000000000000001</v>
      </c>
    </row>
    <row r="50" spans="2:19" x14ac:dyDescent="0.3">
      <c r="N50" s="1242"/>
      <c r="O50" s="1242"/>
      <c r="P50" s="1242"/>
      <c r="Q50" s="1242"/>
      <c r="R50" s="1242"/>
      <c r="S50" s="1242"/>
    </row>
    <row r="51" spans="2:19" x14ac:dyDescent="0.3">
      <c r="B51" t="s">
        <v>976</v>
      </c>
    </row>
    <row r="53" spans="2:19" x14ac:dyDescent="0.3">
      <c r="B53" s="1262" t="s">
        <v>972</v>
      </c>
      <c r="C53" s="1262"/>
    </row>
    <row r="54" spans="2:19" x14ac:dyDescent="0.3">
      <c r="B54" s="1262" t="s">
        <v>973</v>
      </c>
      <c r="C54" s="1262"/>
    </row>
    <row r="55" spans="2:19" x14ac:dyDescent="0.3">
      <c r="B55" s="1262" t="s">
        <v>974</v>
      </c>
      <c r="C55" s="1262"/>
    </row>
    <row r="57" spans="2:19" x14ac:dyDescent="0.3">
      <c r="B57" s="1246" t="s">
        <v>950</v>
      </c>
      <c r="C57" s="1246" t="s">
        <v>951</v>
      </c>
    </row>
    <row r="58" spans="2:19" x14ac:dyDescent="0.3">
      <c r="B58" s="1247" t="s">
        <v>952</v>
      </c>
      <c r="C58" s="1247" t="s">
        <v>953</v>
      </c>
    </row>
    <row r="59" spans="2:19" x14ac:dyDescent="0.3">
      <c r="B59" s="1247" t="s">
        <v>954</v>
      </c>
      <c r="C59" s="1247" t="s">
        <v>953</v>
      </c>
    </row>
    <row r="60" spans="2:19" x14ac:dyDescent="0.3">
      <c r="B60" s="1247" t="s">
        <v>955</v>
      </c>
      <c r="C60" s="1247" t="s">
        <v>956</v>
      </c>
    </row>
    <row r="61" spans="2:19" x14ac:dyDescent="0.3">
      <c r="B61" s="1247" t="s">
        <v>957</v>
      </c>
      <c r="C61" s="1247" t="s">
        <v>956</v>
      </c>
    </row>
    <row r="62" spans="2:19" x14ac:dyDescent="0.3">
      <c r="B62" s="1247" t="s">
        <v>958</v>
      </c>
      <c r="C62" s="1247" t="s">
        <v>953</v>
      </c>
    </row>
    <row r="63" spans="2:19" x14ac:dyDescent="0.3">
      <c r="B63" s="1247" t="s">
        <v>959</v>
      </c>
      <c r="C63" s="1247" t="s">
        <v>953</v>
      </c>
    </row>
    <row r="64" spans="2:19" x14ac:dyDescent="0.3">
      <c r="B64" s="1247" t="s">
        <v>960</v>
      </c>
      <c r="C64" s="1247" t="s">
        <v>953</v>
      </c>
    </row>
    <row r="65" spans="2:3" x14ac:dyDescent="0.3">
      <c r="B65" s="1247" t="s">
        <v>961</v>
      </c>
      <c r="C65" s="1247" t="s">
        <v>953</v>
      </c>
    </row>
    <row r="66" spans="2:3" x14ac:dyDescent="0.3">
      <c r="B66" s="1247" t="s">
        <v>962</v>
      </c>
      <c r="C66" s="1247" t="s">
        <v>953</v>
      </c>
    </row>
    <row r="67" spans="2:3" x14ac:dyDescent="0.3">
      <c r="B67" s="1247" t="s">
        <v>963</v>
      </c>
      <c r="C67" s="1247" t="s">
        <v>956</v>
      </c>
    </row>
    <row r="68" spans="2:3" x14ac:dyDescent="0.3">
      <c r="B68" s="1247" t="s">
        <v>964</v>
      </c>
      <c r="C68" s="1247" t="s">
        <v>953</v>
      </c>
    </row>
    <row r="69" spans="2:3" x14ac:dyDescent="0.3">
      <c r="B69" s="1247" t="s">
        <v>965</v>
      </c>
      <c r="C69" s="1247" t="s">
        <v>953</v>
      </c>
    </row>
    <row r="70" spans="2:3" x14ac:dyDescent="0.3">
      <c r="B70" s="1247" t="s">
        <v>966</v>
      </c>
      <c r="C70" s="1247" t="s">
        <v>953</v>
      </c>
    </row>
    <row r="71" spans="2:3" x14ac:dyDescent="0.3">
      <c r="B71" s="1247" t="s">
        <v>967</v>
      </c>
      <c r="C71" s="1247" t="s">
        <v>953</v>
      </c>
    </row>
    <row r="72" spans="2:3" x14ac:dyDescent="0.3">
      <c r="B72" s="1247" t="s">
        <v>968</v>
      </c>
      <c r="C72" s="1247" t="s">
        <v>956</v>
      </c>
    </row>
    <row r="73" spans="2:3" x14ac:dyDescent="0.3">
      <c r="B73" s="1247" t="s">
        <v>969</v>
      </c>
      <c r="C73" s="1247" t="s">
        <v>956</v>
      </c>
    </row>
    <row r="74" spans="2:3" x14ac:dyDescent="0.3">
      <c r="B74" s="1247" t="s">
        <v>970</v>
      </c>
      <c r="C74" s="1247" t="s">
        <v>953</v>
      </c>
    </row>
    <row r="75" spans="2:3" x14ac:dyDescent="0.3">
      <c r="B75" s="1247" t="s">
        <v>971</v>
      </c>
      <c r="C75" s="1247" t="s">
        <v>956</v>
      </c>
    </row>
    <row r="77" spans="2:3" x14ac:dyDescent="0.3">
      <c r="B77" t="s">
        <v>975</v>
      </c>
    </row>
  </sheetData>
  <sheetProtection algorithmName="SHA-512" hashValue="GLMA1OyS+AmkNRxHtxtrfwF9mNwkqt3ztsD/549koyo56TM6Pw4QljUoF6fTJsPS6/iSODd8yoz7NUoiEFwl5A==" saltValue="1zKupwLMajdNIhWCJ+f83Q==" spinCount="100000" sheet="1" objects="1" scenarios="1"/>
  <mergeCells count="1">
    <mergeCell ref="Q1:S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B1:Q92"/>
  <sheetViews>
    <sheetView showGridLines="0" zoomScaleNormal="100" workbookViewId="0">
      <pane ySplit="8" topLeftCell="A9" activePane="bottomLeft" state="frozen"/>
      <selection activeCell="C99" sqref="C99"/>
      <selection pane="bottomLeft" activeCell="G13" sqref="G13"/>
    </sheetView>
  </sheetViews>
  <sheetFormatPr defaultColWidth="9.109375" defaultRowHeight="14.4" x14ac:dyDescent="0.3"/>
  <cols>
    <col min="1" max="1" width="1.6640625" style="13" customWidth="1"/>
    <col min="2" max="2" width="2.6640625" style="13" customWidth="1"/>
    <col min="3" max="3" width="30.109375" style="13" customWidth="1"/>
    <col min="4" max="4" width="25.44140625" style="13" bestFit="1" customWidth="1"/>
    <col min="5" max="5" width="12.44140625" style="13" bestFit="1" customWidth="1"/>
    <col min="6" max="6" width="23" style="13" bestFit="1" customWidth="1"/>
    <col min="7" max="7" width="23.109375" style="13" bestFit="1" customWidth="1"/>
    <col min="8" max="8" width="9.109375" style="13"/>
    <col min="9" max="9" width="23.33203125" style="13" customWidth="1"/>
    <col min="10" max="10" width="7.6640625" style="13" customWidth="1"/>
    <col min="11" max="11" width="6.44140625" style="13" customWidth="1"/>
    <col min="12" max="12" width="7.88671875" style="13" customWidth="1"/>
    <col min="13" max="13" width="7.33203125" style="13" customWidth="1"/>
    <col min="14" max="14" width="6.109375" style="13" customWidth="1"/>
    <col min="15" max="15" width="6.33203125" style="13" bestFit="1" customWidth="1"/>
    <col min="16" max="16" width="22.6640625" style="13" bestFit="1" customWidth="1"/>
    <col min="17" max="16384" width="9.109375" style="13"/>
  </cols>
  <sheetData>
    <row r="1" spans="2:17" ht="15" x14ac:dyDescent="0.25">
      <c r="B1" s="175" t="s">
        <v>427</v>
      </c>
      <c r="C1" s="176"/>
      <c r="D1" s="176"/>
      <c r="E1" s="176"/>
      <c r="F1" s="176"/>
    </row>
    <row r="2" spans="2:17" ht="15" x14ac:dyDescent="0.25">
      <c r="B2" s="176"/>
      <c r="C2" s="176"/>
      <c r="D2" s="176"/>
      <c r="E2" s="176"/>
      <c r="F2" s="176"/>
    </row>
    <row r="3" spans="2:17" x14ac:dyDescent="0.3">
      <c r="B3" s="177" t="s">
        <v>555</v>
      </c>
      <c r="C3" s="176" t="s">
        <v>599</v>
      </c>
      <c r="D3" s="176"/>
      <c r="E3" s="176"/>
      <c r="F3" s="176"/>
    </row>
    <row r="4" spans="2:17" x14ac:dyDescent="0.3">
      <c r="B4" s="177" t="s">
        <v>555</v>
      </c>
      <c r="C4" s="176" t="s">
        <v>600</v>
      </c>
      <c r="D4" s="176"/>
      <c r="E4" s="176"/>
      <c r="F4" s="176"/>
    </row>
    <row r="5" spans="2:17" x14ac:dyDescent="0.3">
      <c r="B5" s="177" t="s">
        <v>555</v>
      </c>
      <c r="C5" s="176" t="s">
        <v>498</v>
      </c>
      <c r="D5" s="176"/>
      <c r="E5" s="176"/>
      <c r="F5" s="176"/>
    </row>
    <row r="7" spans="2:17" ht="15.75" thickBot="1" x14ac:dyDescent="0.3">
      <c r="C7" s="1342" t="s">
        <v>597</v>
      </c>
      <c r="D7" s="1342"/>
      <c r="E7" s="1342"/>
      <c r="F7" s="1342"/>
      <c r="G7" s="1342"/>
      <c r="I7" s="110" t="s">
        <v>598</v>
      </c>
      <c r="Q7" s="178"/>
    </row>
    <row r="8" spans="2:17" ht="15" thickBot="1" x14ac:dyDescent="0.35">
      <c r="C8" s="105" t="s">
        <v>427</v>
      </c>
      <c r="D8" s="106" t="s">
        <v>101</v>
      </c>
      <c r="E8" s="33" t="s">
        <v>300</v>
      </c>
      <c r="F8" s="106" t="s">
        <v>301</v>
      </c>
      <c r="G8" s="107" t="s">
        <v>428</v>
      </c>
      <c r="I8" s="1343"/>
      <c r="J8" s="1336" t="s">
        <v>532</v>
      </c>
      <c r="K8" s="1346" t="s">
        <v>6</v>
      </c>
      <c r="L8" s="1336" t="s">
        <v>541</v>
      </c>
      <c r="M8" s="1346" t="s">
        <v>533</v>
      </c>
      <c r="N8" s="1336" t="s">
        <v>534</v>
      </c>
      <c r="O8" s="1336" t="s">
        <v>535</v>
      </c>
      <c r="P8" s="1339" t="s">
        <v>536</v>
      </c>
      <c r="Q8" s="178"/>
    </row>
    <row r="9" spans="2:17" x14ac:dyDescent="0.3">
      <c r="C9" s="933" t="s">
        <v>429</v>
      </c>
      <c r="D9" s="934" t="s">
        <v>1</v>
      </c>
      <c r="E9" s="371" t="s">
        <v>37</v>
      </c>
      <c r="F9" s="374" t="s">
        <v>2</v>
      </c>
      <c r="G9" s="189" t="s">
        <v>117</v>
      </c>
      <c r="I9" s="1344"/>
      <c r="J9" s="1337"/>
      <c r="K9" s="1347"/>
      <c r="L9" s="1337"/>
      <c r="M9" s="1347"/>
      <c r="N9" s="1337"/>
      <c r="O9" s="1337"/>
      <c r="P9" s="1340"/>
      <c r="Q9" s="178"/>
    </row>
    <row r="10" spans="2:17" x14ac:dyDescent="0.3">
      <c r="C10" s="398" t="s">
        <v>430</v>
      </c>
      <c r="D10" s="379"/>
      <c r="E10" s="379"/>
      <c r="F10" s="382" t="s">
        <v>4</v>
      </c>
      <c r="G10" s="190" t="s">
        <v>117</v>
      </c>
      <c r="I10" s="1344"/>
      <c r="J10" s="1337"/>
      <c r="K10" s="1347"/>
      <c r="L10" s="1337"/>
      <c r="M10" s="1347"/>
      <c r="N10" s="1337"/>
      <c r="O10" s="1337"/>
      <c r="P10" s="1340"/>
      <c r="Q10" s="178"/>
    </row>
    <row r="11" spans="2:17" ht="15" thickBot="1" x14ac:dyDescent="0.35">
      <c r="C11" s="398" t="s">
        <v>464</v>
      </c>
      <c r="D11" s="379"/>
      <c r="E11" s="390"/>
      <c r="F11" s="384" t="s">
        <v>33</v>
      </c>
      <c r="G11" s="191" t="s">
        <v>117</v>
      </c>
      <c r="I11" s="1345"/>
      <c r="J11" s="1338"/>
      <c r="K11" s="1348"/>
      <c r="L11" s="1338"/>
      <c r="M11" s="1348"/>
      <c r="N11" s="1338"/>
      <c r="O11" s="1338"/>
      <c r="P11" s="1341"/>
      <c r="Q11" s="178"/>
    </row>
    <row r="12" spans="2:17" ht="15.75" thickBot="1" x14ac:dyDescent="0.3">
      <c r="C12" s="398" t="s">
        <v>465</v>
      </c>
      <c r="D12" s="379"/>
      <c r="E12" s="379" t="s">
        <v>38</v>
      </c>
      <c r="F12" s="382" t="s">
        <v>114</v>
      </c>
      <c r="G12" s="935" t="s">
        <v>118</v>
      </c>
      <c r="I12" s="186" t="s">
        <v>1</v>
      </c>
      <c r="J12" s="936" t="s">
        <v>537</v>
      </c>
      <c r="K12" s="808" t="s">
        <v>537</v>
      </c>
      <c r="L12" s="808" t="s">
        <v>537</v>
      </c>
      <c r="M12" s="808" t="s">
        <v>537</v>
      </c>
      <c r="N12" s="808" t="s">
        <v>537</v>
      </c>
      <c r="O12" s="115"/>
      <c r="P12" s="187"/>
      <c r="Q12" s="178"/>
    </row>
    <row r="13" spans="2:17" ht="15.75" thickBot="1" x14ac:dyDescent="0.3">
      <c r="C13" s="398" t="s">
        <v>466</v>
      </c>
      <c r="D13" s="379"/>
      <c r="E13" s="379"/>
      <c r="F13" s="382" t="s">
        <v>127</v>
      </c>
      <c r="G13" s="935" t="s">
        <v>118</v>
      </c>
      <c r="I13" s="186" t="s">
        <v>412</v>
      </c>
      <c r="J13" s="116"/>
      <c r="K13" s="808" t="s">
        <v>537</v>
      </c>
      <c r="L13" s="115"/>
      <c r="M13" s="808" t="s">
        <v>537</v>
      </c>
      <c r="N13" s="808" t="s">
        <v>537</v>
      </c>
      <c r="O13" s="115"/>
      <c r="P13" s="115"/>
      <c r="Q13" s="178"/>
    </row>
    <row r="14" spans="2:17" ht="15.75" thickBot="1" x14ac:dyDescent="0.3">
      <c r="C14" s="398"/>
      <c r="D14" s="379"/>
      <c r="E14" s="379"/>
      <c r="F14" s="382" t="s">
        <v>41</v>
      </c>
      <c r="G14" s="935" t="s">
        <v>118</v>
      </c>
      <c r="I14" s="186" t="s">
        <v>11</v>
      </c>
      <c r="J14" s="116"/>
      <c r="K14" s="808" t="s">
        <v>537</v>
      </c>
      <c r="L14" s="115"/>
      <c r="M14" s="808" t="s">
        <v>537</v>
      </c>
      <c r="N14" s="808" t="s">
        <v>537</v>
      </c>
      <c r="O14" s="115"/>
      <c r="P14" s="115"/>
      <c r="Q14" s="178"/>
    </row>
    <row r="15" spans="2:17" ht="15.75" thickBot="1" x14ac:dyDescent="0.3">
      <c r="C15" s="398"/>
      <c r="D15" s="379"/>
      <c r="E15" s="390"/>
      <c r="F15" s="384" t="s">
        <v>20</v>
      </c>
      <c r="G15" s="937" t="s">
        <v>118</v>
      </c>
      <c r="I15" s="186" t="s">
        <v>479</v>
      </c>
      <c r="J15" s="936" t="s">
        <v>537</v>
      </c>
      <c r="K15" s="808" t="s">
        <v>537</v>
      </c>
      <c r="L15" s="115"/>
      <c r="M15" s="808" t="s">
        <v>537</v>
      </c>
      <c r="N15" s="808" t="s">
        <v>537</v>
      </c>
      <c r="O15" s="115"/>
      <c r="P15" s="115" t="s">
        <v>538</v>
      </c>
      <c r="Q15" s="178"/>
    </row>
    <row r="16" spans="2:17" ht="15.75" thickBot="1" x14ac:dyDescent="0.3">
      <c r="C16" s="398"/>
      <c r="D16" s="379"/>
      <c r="E16" s="422" t="s">
        <v>39</v>
      </c>
      <c r="F16" s="424" t="s">
        <v>42</v>
      </c>
      <c r="G16" s="192" t="s">
        <v>120</v>
      </c>
      <c r="I16" s="186" t="s">
        <v>480</v>
      </c>
      <c r="J16" s="116"/>
      <c r="K16" s="808" t="s">
        <v>537</v>
      </c>
      <c r="L16" s="115"/>
      <c r="M16" s="808" t="s">
        <v>537</v>
      </c>
      <c r="N16" s="808" t="s">
        <v>537</v>
      </c>
      <c r="O16" s="115"/>
      <c r="P16" s="115" t="s">
        <v>123</v>
      </c>
      <c r="Q16" s="178"/>
    </row>
    <row r="17" spans="3:17" ht="15.75" thickBot="1" x14ac:dyDescent="0.3">
      <c r="C17" s="398"/>
      <c r="D17" s="379"/>
      <c r="E17" s="379" t="s">
        <v>43</v>
      </c>
      <c r="F17" s="81" t="s">
        <v>111</v>
      </c>
      <c r="G17" s="376" t="s">
        <v>431</v>
      </c>
      <c r="I17" s="186" t="s">
        <v>418</v>
      </c>
      <c r="J17" s="116"/>
      <c r="K17" s="808" t="s">
        <v>537</v>
      </c>
      <c r="L17" s="115"/>
      <c r="M17" s="808" t="s">
        <v>537</v>
      </c>
      <c r="N17" s="115"/>
      <c r="O17" s="115"/>
      <c r="P17" s="115" t="s">
        <v>15</v>
      </c>
      <c r="Q17" s="178"/>
    </row>
    <row r="18" spans="3:17" ht="15.75" thickBot="1" x14ac:dyDescent="0.3">
      <c r="C18" s="398"/>
      <c r="D18" s="379"/>
      <c r="E18" s="379"/>
      <c r="F18" s="382" t="s">
        <v>7</v>
      </c>
      <c r="G18" s="376" t="s">
        <v>365</v>
      </c>
      <c r="I18" s="186" t="s">
        <v>481</v>
      </c>
      <c r="J18" s="116"/>
      <c r="K18" s="115"/>
      <c r="L18" s="115"/>
      <c r="M18" s="115"/>
      <c r="N18" s="808" t="s">
        <v>537</v>
      </c>
      <c r="O18" s="115"/>
      <c r="P18" s="115"/>
      <c r="Q18" s="178"/>
    </row>
    <row r="19" spans="3:17" ht="15.75" thickBot="1" x14ac:dyDescent="0.3">
      <c r="C19" s="938"/>
      <c r="D19" s="410"/>
      <c r="E19" s="410"/>
      <c r="F19" s="412" t="s">
        <v>426</v>
      </c>
      <c r="G19" s="193" t="s">
        <v>117</v>
      </c>
      <c r="I19" s="186" t="s">
        <v>482</v>
      </c>
      <c r="J19" s="116"/>
      <c r="K19" s="808" t="s">
        <v>537</v>
      </c>
      <c r="L19" s="115"/>
      <c r="M19" s="808" t="s">
        <v>537</v>
      </c>
      <c r="N19" s="115"/>
      <c r="O19" s="808" t="s">
        <v>537</v>
      </c>
      <c r="P19" s="115"/>
      <c r="Q19" s="178"/>
    </row>
    <row r="20" spans="3:17" ht="15.75" thickBot="1" x14ac:dyDescent="0.3">
      <c r="C20" s="933" t="s">
        <v>432</v>
      </c>
      <c r="D20" s="939" t="s">
        <v>412</v>
      </c>
      <c r="E20" s="371" t="s">
        <v>37</v>
      </c>
      <c r="F20" s="374" t="s">
        <v>2</v>
      </c>
      <c r="G20" s="940" t="s">
        <v>6</v>
      </c>
      <c r="I20" s="186" t="s">
        <v>483</v>
      </c>
      <c r="J20" s="116"/>
      <c r="K20" s="808" t="s">
        <v>537</v>
      </c>
      <c r="L20" s="115"/>
      <c r="M20" s="808" t="s">
        <v>537</v>
      </c>
      <c r="N20" s="808" t="s">
        <v>537</v>
      </c>
      <c r="O20" s="808" t="s">
        <v>537</v>
      </c>
      <c r="P20" s="115"/>
    </row>
    <row r="21" spans="3:17" ht="15.75" thickBot="1" x14ac:dyDescent="0.3">
      <c r="C21" s="398" t="s">
        <v>433</v>
      </c>
      <c r="D21" s="379"/>
      <c r="E21" s="379"/>
      <c r="F21" s="382" t="s">
        <v>4</v>
      </c>
      <c r="G21" s="935" t="s">
        <v>6</v>
      </c>
      <c r="I21" s="186" t="s">
        <v>539</v>
      </c>
      <c r="J21" s="116"/>
      <c r="K21" s="808" t="s">
        <v>537</v>
      </c>
      <c r="L21" s="808" t="s">
        <v>537</v>
      </c>
      <c r="M21" s="808" t="s">
        <v>537</v>
      </c>
      <c r="N21" s="808" t="s">
        <v>537</v>
      </c>
      <c r="O21" s="115"/>
      <c r="P21" s="115"/>
    </row>
    <row r="22" spans="3:17" ht="15.75" thickBot="1" x14ac:dyDescent="0.3">
      <c r="C22" s="398" t="s">
        <v>434</v>
      </c>
      <c r="D22" s="379"/>
      <c r="E22" s="390"/>
      <c r="F22" s="384" t="s">
        <v>33</v>
      </c>
      <c r="G22" s="937" t="s">
        <v>6</v>
      </c>
      <c r="I22" s="188" t="s">
        <v>16</v>
      </c>
      <c r="J22" s="116"/>
      <c r="K22" s="808" t="s">
        <v>537</v>
      </c>
      <c r="L22" s="808" t="s">
        <v>537</v>
      </c>
      <c r="M22" s="808" t="s">
        <v>537</v>
      </c>
      <c r="N22" s="808" t="s">
        <v>537</v>
      </c>
      <c r="O22" s="115"/>
      <c r="P22" s="115" t="s">
        <v>540</v>
      </c>
    </row>
    <row r="23" spans="3:17" ht="15" x14ac:dyDescent="0.25">
      <c r="C23" s="398" t="s">
        <v>435</v>
      </c>
      <c r="D23" s="379"/>
      <c r="E23" s="422" t="s">
        <v>5</v>
      </c>
      <c r="F23" s="424" t="s">
        <v>33</v>
      </c>
      <c r="G23" s="941" t="s">
        <v>6</v>
      </c>
    </row>
    <row r="24" spans="3:17" ht="15" x14ac:dyDescent="0.25">
      <c r="C24" s="398" t="s">
        <v>436</v>
      </c>
      <c r="D24" s="379"/>
      <c r="E24" s="390" t="s">
        <v>39</v>
      </c>
      <c r="F24" s="384" t="s">
        <v>42</v>
      </c>
      <c r="G24" s="191" t="s">
        <v>120</v>
      </c>
    </row>
    <row r="25" spans="3:17" ht="15" x14ac:dyDescent="0.25">
      <c r="C25" s="398" t="s">
        <v>437</v>
      </c>
      <c r="D25" s="379"/>
      <c r="E25" s="379" t="s">
        <v>43</v>
      </c>
      <c r="F25" s="81" t="s">
        <v>111</v>
      </c>
      <c r="G25" s="376" t="s">
        <v>431</v>
      </c>
    </row>
    <row r="26" spans="3:17" ht="15.75" thickBot="1" x14ac:dyDescent="0.3">
      <c r="C26" s="938"/>
      <c r="D26" s="410"/>
      <c r="E26" s="410"/>
      <c r="F26" s="194" t="s">
        <v>7</v>
      </c>
      <c r="G26" s="413" t="s">
        <v>365</v>
      </c>
    </row>
    <row r="27" spans="3:17" ht="15" x14ac:dyDescent="0.25">
      <c r="C27" s="933" t="s">
        <v>438</v>
      </c>
      <c r="D27" s="374" t="s">
        <v>11</v>
      </c>
      <c r="E27" s="371" t="s">
        <v>37</v>
      </c>
      <c r="F27" s="374" t="s">
        <v>2</v>
      </c>
      <c r="G27" s="942" t="s">
        <v>6</v>
      </c>
    </row>
    <row r="28" spans="3:17" ht="15" x14ac:dyDescent="0.25">
      <c r="C28" s="398" t="s">
        <v>439</v>
      </c>
      <c r="D28" s="379"/>
      <c r="E28" s="379"/>
      <c r="F28" s="382" t="s">
        <v>4</v>
      </c>
      <c r="G28" s="943" t="s">
        <v>6</v>
      </c>
    </row>
    <row r="29" spans="3:17" x14ac:dyDescent="0.3">
      <c r="C29" s="398"/>
      <c r="D29" s="379"/>
      <c r="E29" s="390"/>
      <c r="F29" s="384" t="s">
        <v>33</v>
      </c>
      <c r="G29" s="944" t="s">
        <v>6</v>
      </c>
    </row>
    <row r="30" spans="3:17" x14ac:dyDescent="0.3">
      <c r="C30" s="398"/>
      <c r="D30" s="379"/>
      <c r="E30" s="422" t="s">
        <v>5</v>
      </c>
      <c r="F30" s="424" t="s">
        <v>33</v>
      </c>
      <c r="G30" s="941" t="s">
        <v>6</v>
      </c>
    </row>
    <row r="31" spans="3:17" x14ac:dyDescent="0.3">
      <c r="C31" s="398"/>
      <c r="D31" s="379"/>
      <c r="E31" s="422" t="s">
        <v>39</v>
      </c>
      <c r="F31" s="424" t="s">
        <v>42</v>
      </c>
      <c r="G31" s="192" t="s">
        <v>120</v>
      </c>
    </row>
    <row r="32" spans="3:17" x14ac:dyDescent="0.3">
      <c r="C32" s="398"/>
      <c r="D32" s="379"/>
      <c r="E32" s="379" t="s">
        <v>43</v>
      </c>
      <c r="F32" s="81" t="s">
        <v>111</v>
      </c>
      <c r="G32" s="376" t="s">
        <v>431</v>
      </c>
    </row>
    <row r="33" spans="3:7" x14ac:dyDescent="0.3">
      <c r="C33" s="398"/>
      <c r="D33" s="379"/>
      <c r="E33" s="379"/>
      <c r="F33" s="81" t="s">
        <v>7</v>
      </c>
      <c r="G33" s="376" t="s">
        <v>365</v>
      </c>
    </row>
    <row r="34" spans="3:7" x14ac:dyDescent="0.3">
      <c r="C34" s="398"/>
      <c r="D34" s="379"/>
      <c r="E34" s="379"/>
      <c r="F34" s="382" t="s">
        <v>9</v>
      </c>
      <c r="G34" s="945" t="s">
        <v>73</v>
      </c>
    </row>
    <row r="35" spans="3:7" ht="15" thickBot="1" x14ac:dyDescent="0.35">
      <c r="C35" s="938"/>
      <c r="D35" s="410"/>
      <c r="E35" s="410"/>
      <c r="F35" s="412" t="s">
        <v>426</v>
      </c>
      <c r="G35" s="946" t="s">
        <v>73</v>
      </c>
    </row>
    <row r="36" spans="3:7" x14ac:dyDescent="0.3">
      <c r="C36" s="933" t="s">
        <v>440</v>
      </c>
      <c r="D36" s="374" t="s">
        <v>420</v>
      </c>
      <c r="E36" s="371" t="s">
        <v>37</v>
      </c>
      <c r="F36" s="374" t="s">
        <v>2</v>
      </c>
      <c r="G36" s="195" t="s">
        <v>117</v>
      </c>
    </row>
    <row r="37" spans="3:7" x14ac:dyDescent="0.3">
      <c r="C37" s="398" t="s">
        <v>441</v>
      </c>
      <c r="D37" s="379"/>
      <c r="E37" s="379"/>
      <c r="F37" s="382" t="s">
        <v>4</v>
      </c>
      <c r="G37" s="190" t="s">
        <v>117</v>
      </c>
    </row>
    <row r="38" spans="3:7" x14ac:dyDescent="0.3">
      <c r="C38" s="398" t="s">
        <v>442</v>
      </c>
      <c r="D38" s="379"/>
      <c r="E38" s="390"/>
      <c r="F38" s="384" t="s">
        <v>33</v>
      </c>
      <c r="G38" s="191" t="s">
        <v>117</v>
      </c>
    </row>
    <row r="39" spans="3:7" x14ac:dyDescent="0.3">
      <c r="C39" s="398" t="s">
        <v>463</v>
      </c>
      <c r="D39" s="379"/>
      <c r="E39" s="422" t="s">
        <v>5</v>
      </c>
      <c r="F39" s="424" t="s">
        <v>33</v>
      </c>
      <c r="G39" s="941" t="s">
        <v>6</v>
      </c>
    </row>
    <row r="40" spans="3:7" x14ac:dyDescent="0.3">
      <c r="C40" s="398"/>
      <c r="D40" s="379"/>
      <c r="E40" s="422" t="s">
        <v>39</v>
      </c>
      <c r="F40" s="424" t="s">
        <v>42</v>
      </c>
      <c r="G40" s="192" t="s">
        <v>120</v>
      </c>
    </row>
    <row r="41" spans="3:7" x14ac:dyDescent="0.3">
      <c r="C41" s="398"/>
      <c r="D41" s="379"/>
      <c r="E41" s="379" t="s">
        <v>43</v>
      </c>
      <c r="F41" s="81" t="s">
        <v>111</v>
      </c>
      <c r="G41" s="376" t="s">
        <v>431</v>
      </c>
    </row>
    <row r="42" spans="3:7" x14ac:dyDescent="0.3">
      <c r="C42" s="398"/>
      <c r="D42" s="379"/>
      <c r="E42" s="379"/>
      <c r="F42" s="81" t="s">
        <v>7</v>
      </c>
      <c r="G42" s="376" t="s">
        <v>365</v>
      </c>
    </row>
    <row r="43" spans="3:7" x14ac:dyDescent="0.3">
      <c r="C43" s="398"/>
      <c r="D43" s="379"/>
      <c r="E43" s="379"/>
      <c r="F43" s="382" t="s">
        <v>9</v>
      </c>
      <c r="G43" s="190" t="s">
        <v>117</v>
      </c>
    </row>
    <row r="44" spans="3:7" ht="15" thickBot="1" x14ac:dyDescent="0.35">
      <c r="C44" s="938"/>
      <c r="D44" s="410"/>
      <c r="E44" s="410"/>
      <c r="F44" s="412" t="s">
        <v>426</v>
      </c>
      <c r="G44" s="193" t="s">
        <v>117</v>
      </c>
    </row>
    <row r="45" spans="3:7" x14ac:dyDescent="0.3">
      <c r="C45" s="933" t="s">
        <v>443</v>
      </c>
      <c r="D45" s="371" t="s">
        <v>13</v>
      </c>
      <c r="E45" s="947" t="s">
        <v>39</v>
      </c>
      <c r="F45" s="948" t="s">
        <v>42</v>
      </c>
      <c r="G45" s="196" t="s">
        <v>120</v>
      </c>
    </row>
    <row r="46" spans="3:7" x14ac:dyDescent="0.3">
      <c r="C46" s="398"/>
      <c r="D46" s="379"/>
      <c r="E46" s="379" t="s">
        <v>43</v>
      </c>
      <c r="F46" s="382" t="s">
        <v>9</v>
      </c>
      <c r="G46" s="945" t="s">
        <v>123</v>
      </c>
    </row>
    <row r="47" spans="3:7" ht="15" thickBot="1" x14ac:dyDescent="0.35">
      <c r="C47" s="938"/>
      <c r="D47" s="410"/>
      <c r="E47" s="410"/>
      <c r="F47" s="412" t="s">
        <v>426</v>
      </c>
      <c r="G47" s="946" t="s">
        <v>123</v>
      </c>
    </row>
    <row r="48" spans="3:7" x14ac:dyDescent="0.3">
      <c r="C48" s="933" t="s">
        <v>444</v>
      </c>
      <c r="D48" s="374" t="s">
        <v>418</v>
      </c>
      <c r="E48" s="371" t="s">
        <v>37</v>
      </c>
      <c r="F48" s="374" t="s">
        <v>2</v>
      </c>
      <c r="G48" s="940" t="s">
        <v>6</v>
      </c>
    </row>
    <row r="49" spans="3:7" x14ac:dyDescent="0.3">
      <c r="C49" s="398" t="s">
        <v>445</v>
      </c>
      <c r="D49" s="379"/>
      <c r="E49" s="379"/>
      <c r="F49" s="382" t="s">
        <v>4</v>
      </c>
      <c r="G49" s="935" t="s">
        <v>6</v>
      </c>
    </row>
    <row r="50" spans="3:7" x14ac:dyDescent="0.3">
      <c r="C50" s="398" t="s">
        <v>446</v>
      </c>
      <c r="D50" s="379"/>
      <c r="E50" s="390"/>
      <c r="F50" s="384" t="s">
        <v>33</v>
      </c>
      <c r="G50" s="937" t="s">
        <v>6</v>
      </c>
    </row>
    <row r="51" spans="3:7" x14ac:dyDescent="0.3">
      <c r="C51" s="398"/>
      <c r="D51" s="379"/>
      <c r="E51" s="422" t="s">
        <v>5</v>
      </c>
      <c r="F51" s="424" t="s">
        <v>33</v>
      </c>
      <c r="G51" s="941" t="s">
        <v>6</v>
      </c>
    </row>
    <row r="52" spans="3:7" x14ac:dyDescent="0.3">
      <c r="C52" s="398"/>
      <c r="D52" s="379"/>
      <c r="E52" s="422" t="s">
        <v>39</v>
      </c>
      <c r="F52" s="424" t="s">
        <v>42</v>
      </c>
      <c r="G52" s="192" t="s">
        <v>120</v>
      </c>
    </row>
    <row r="53" spans="3:7" x14ac:dyDescent="0.3">
      <c r="C53" s="398"/>
      <c r="D53" s="379"/>
      <c r="E53" s="379" t="s">
        <v>43</v>
      </c>
      <c r="F53" s="382" t="s">
        <v>9</v>
      </c>
      <c r="G53" s="935" t="s">
        <v>6</v>
      </c>
    </row>
    <row r="54" spans="3:7" ht="15" thickBot="1" x14ac:dyDescent="0.35">
      <c r="C54" s="938"/>
      <c r="D54" s="410"/>
      <c r="E54" s="410"/>
      <c r="F54" s="412" t="s">
        <v>14</v>
      </c>
      <c r="G54" s="949" t="s">
        <v>15</v>
      </c>
    </row>
    <row r="55" spans="3:7" x14ac:dyDescent="0.3">
      <c r="C55" s="950" t="s">
        <v>447</v>
      </c>
      <c r="D55" s="371" t="s">
        <v>417</v>
      </c>
      <c r="E55" s="371" t="s">
        <v>43</v>
      </c>
      <c r="F55" s="197" t="s">
        <v>111</v>
      </c>
      <c r="G55" s="951" t="s">
        <v>431</v>
      </c>
    </row>
    <row r="56" spans="3:7" ht="15" thickBot="1" x14ac:dyDescent="0.35">
      <c r="C56" s="938"/>
      <c r="D56" s="410"/>
      <c r="E56" s="410"/>
      <c r="F56" s="194" t="s">
        <v>7</v>
      </c>
      <c r="G56" s="413" t="s">
        <v>365</v>
      </c>
    </row>
    <row r="57" spans="3:7" x14ac:dyDescent="0.3">
      <c r="C57" s="933" t="s">
        <v>448</v>
      </c>
      <c r="D57" s="371" t="s">
        <v>419</v>
      </c>
      <c r="E57" s="371" t="s">
        <v>37</v>
      </c>
      <c r="F57" s="374" t="s">
        <v>2</v>
      </c>
      <c r="G57" s="940" t="s">
        <v>6</v>
      </c>
    </row>
    <row r="58" spans="3:7" x14ac:dyDescent="0.3">
      <c r="C58" s="398" t="s">
        <v>449</v>
      </c>
      <c r="D58" s="379"/>
      <c r="E58" s="379"/>
      <c r="F58" s="382" t="s">
        <v>4</v>
      </c>
      <c r="G58" s="935" t="s">
        <v>6</v>
      </c>
    </row>
    <row r="59" spans="3:7" x14ac:dyDescent="0.3">
      <c r="C59" s="398" t="s">
        <v>450</v>
      </c>
      <c r="D59" s="379"/>
      <c r="E59" s="390"/>
      <c r="F59" s="384" t="s">
        <v>33</v>
      </c>
      <c r="G59" s="937" t="s">
        <v>6</v>
      </c>
    </row>
    <row r="60" spans="3:7" x14ac:dyDescent="0.3">
      <c r="C60" s="398" t="s">
        <v>451</v>
      </c>
      <c r="D60" s="379"/>
      <c r="E60" s="422" t="s">
        <v>5</v>
      </c>
      <c r="F60" s="424" t="s">
        <v>33</v>
      </c>
      <c r="G60" s="941" t="s">
        <v>6</v>
      </c>
    </row>
    <row r="61" spans="3:7" x14ac:dyDescent="0.3">
      <c r="C61" s="398" t="s">
        <v>452</v>
      </c>
      <c r="D61" s="379"/>
      <c r="E61" s="422" t="s">
        <v>44</v>
      </c>
      <c r="F61" s="424" t="s">
        <v>29</v>
      </c>
      <c r="G61" s="952" t="s">
        <v>121</v>
      </c>
    </row>
    <row r="62" spans="3:7" x14ac:dyDescent="0.3">
      <c r="C62" s="398"/>
      <c r="D62" s="379"/>
      <c r="E62" s="379" t="s">
        <v>43</v>
      </c>
      <c r="F62" s="382" t="s">
        <v>426</v>
      </c>
      <c r="G62" s="945" t="s">
        <v>121</v>
      </c>
    </row>
    <row r="63" spans="3:7" x14ac:dyDescent="0.3">
      <c r="C63" s="398"/>
      <c r="D63" s="379"/>
      <c r="E63" s="379"/>
      <c r="F63" s="382" t="s">
        <v>24</v>
      </c>
      <c r="G63" s="945" t="s">
        <v>121</v>
      </c>
    </row>
    <row r="64" spans="3:7" x14ac:dyDescent="0.3">
      <c r="C64" s="398"/>
      <c r="D64" s="379"/>
      <c r="E64" s="379"/>
      <c r="F64" s="382" t="s">
        <v>25</v>
      </c>
      <c r="G64" s="945" t="s">
        <v>121</v>
      </c>
    </row>
    <row r="65" spans="3:7" ht="15" thickBot="1" x14ac:dyDescent="0.35">
      <c r="C65" s="938"/>
      <c r="D65" s="410"/>
      <c r="E65" s="410"/>
      <c r="F65" s="412" t="s">
        <v>26</v>
      </c>
      <c r="G65" s="946" t="s">
        <v>121</v>
      </c>
    </row>
    <row r="66" spans="3:7" x14ac:dyDescent="0.3">
      <c r="C66" s="933" t="s">
        <v>467</v>
      </c>
      <c r="D66" s="374" t="s">
        <v>468</v>
      </c>
      <c r="E66" s="371" t="s">
        <v>37</v>
      </c>
      <c r="F66" s="374" t="s">
        <v>2</v>
      </c>
      <c r="G66" s="940" t="s">
        <v>6</v>
      </c>
    </row>
    <row r="67" spans="3:7" x14ac:dyDescent="0.3">
      <c r="C67" s="398" t="s">
        <v>453</v>
      </c>
      <c r="D67" s="379"/>
      <c r="E67" s="379"/>
      <c r="F67" s="382" t="s">
        <v>4</v>
      </c>
      <c r="G67" s="935" t="s">
        <v>6</v>
      </c>
    </row>
    <row r="68" spans="3:7" x14ac:dyDescent="0.3">
      <c r="C68" s="398" t="s">
        <v>469</v>
      </c>
      <c r="D68" s="379"/>
      <c r="E68" s="390"/>
      <c r="F68" s="384" t="s">
        <v>33</v>
      </c>
      <c r="G68" s="937" t="s">
        <v>6</v>
      </c>
    </row>
    <row r="69" spans="3:7" x14ac:dyDescent="0.3">
      <c r="C69" s="398" t="s">
        <v>470</v>
      </c>
      <c r="D69" s="379"/>
      <c r="E69" s="422" t="s">
        <v>5</v>
      </c>
      <c r="F69" s="424" t="s">
        <v>33</v>
      </c>
      <c r="G69" s="941" t="s">
        <v>6</v>
      </c>
    </row>
    <row r="70" spans="3:7" x14ac:dyDescent="0.3">
      <c r="C70" s="398" t="s">
        <v>454</v>
      </c>
      <c r="D70" s="379"/>
      <c r="E70" s="379" t="s">
        <v>391</v>
      </c>
      <c r="F70" s="382" t="s">
        <v>114</v>
      </c>
      <c r="G70" s="943" t="s">
        <v>118</v>
      </c>
    </row>
    <row r="71" spans="3:7" x14ac:dyDescent="0.3">
      <c r="C71" s="398" t="s">
        <v>455</v>
      </c>
      <c r="D71" s="379"/>
      <c r="E71" s="379"/>
      <c r="F71" s="382" t="s">
        <v>41</v>
      </c>
      <c r="G71" s="943" t="s">
        <v>118</v>
      </c>
    </row>
    <row r="72" spans="3:7" x14ac:dyDescent="0.3">
      <c r="C72" s="398" t="s">
        <v>456</v>
      </c>
      <c r="D72" s="379"/>
      <c r="E72" s="390"/>
      <c r="F72" s="384" t="s">
        <v>20</v>
      </c>
      <c r="G72" s="944" t="s">
        <v>118</v>
      </c>
    </row>
    <row r="73" spans="3:7" x14ac:dyDescent="0.3">
      <c r="C73" s="398" t="s">
        <v>457</v>
      </c>
      <c r="D73" s="379"/>
      <c r="E73" s="379" t="s">
        <v>44</v>
      </c>
      <c r="F73" s="382" t="s">
        <v>27</v>
      </c>
      <c r="G73" s="945" t="s">
        <v>121</v>
      </c>
    </row>
    <row r="74" spans="3:7" x14ac:dyDescent="0.3">
      <c r="C74" s="398" t="s">
        <v>458</v>
      </c>
      <c r="D74" s="379"/>
      <c r="E74" s="379"/>
      <c r="F74" s="382" t="s">
        <v>28</v>
      </c>
      <c r="G74" s="945" t="s">
        <v>121</v>
      </c>
    </row>
    <row r="75" spans="3:7" x14ac:dyDescent="0.3">
      <c r="C75" s="398"/>
      <c r="D75" s="379"/>
      <c r="E75" s="390"/>
      <c r="F75" s="384" t="s">
        <v>29</v>
      </c>
      <c r="G75" s="953" t="s">
        <v>121</v>
      </c>
    </row>
    <row r="76" spans="3:7" x14ac:dyDescent="0.3">
      <c r="C76" s="398"/>
      <c r="D76" s="379"/>
      <c r="E76" s="422" t="s">
        <v>39</v>
      </c>
      <c r="F76" s="424" t="s">
        <v>42</v>
      </c>
      <c r="G76" s="192" t="s">
        <v>120</v>
      </c>
    </row>
    <row r="77" spans="3:7" x14ac:dyDescent="0.3">
      <c r="C77" s="398"/>
      <c r="D77" s="379"/>
      <c r="E77" s="379" t="s">
        <v>43</v>
      </c>
      <c r="F77" s="81" t="s">
        <v>111</v>
      </c>
      <c r="G77" s="376" t="s">
        <v>431</v>
      </c>
    </row>
    <row r="78" spans="3:7" x14ac:dyDescent="0.3">
      <c r="C78" s="398"/>
      <c r="D78" s="379"/>
      <c r="E78" s="379"/>
      <c r="F78" s="81" t="s">
        <v>7</v>
      </c>
      <c r="G78" s="376" t="s">
        <v>365</v>
      </c>
    </row>
    <row r="79" spans="3:7" x14ac:dyDescent="0.3">
      <c r="C79" s="398"/>
      <c r="D79" s="379"/>
      <c r="E79" s="379"/>
      <c r="F79" s="382" t="s">
        <v>9</v>
      </c>
      <c r="G79" s="945" t="s">
        <v>121</v>
      </c>
    </row>
    <row r="80" spans="3:7" ht="15" thickBot="1" x14ac:dyDescent="0.35">
      <c r="C80" s="938"/>
      <c r="D80" s="410"/>
      <c r="E80" s="410"/>
      <c r="F80" s="412" t="s">
        <v>426</v>
      </c>
      <c r="G80" s="946" t="s">
        <v>121</v>
      </c>
    </row>
    <row r="81" spans="3:7" x14ac:dyDescent="0.3">
      <c r="C81" s="933" t="s">
        <v>459</v>
      </c>
      <c r="D81" s="371" t="s">
        <v>16</v>
      </c>
      <c r="E81" s="371" t="s">
        <v>45</v>
      </c>
      <c r="F81" s="374" t="s">
        <v>2</v>
      </c>
      <c r="G81" s="954" t="s">
        <v>122</v>
      </c>
    </row>
    <row r="82" spans="3:7" x14ac:dyDescent="0.3">
      <c r="C82" s="398" t="s">
        <v>462</v>
      </c>
      <c r="D82" s="379"/>
      <c r="E82" s="379"/>
      <c r="F82" s="382" t="s">
        <v>18</v>
      </c>
      <c r="G82" s="945" t="s">
        <v>122</v>
      </c>
    </row>
    <row r="83" spans="3:7" x14ac:dyDescent="0.3">
      <c r="C83" s="398"/>
      <c r="D83" s="379"/>
      <c r="E83" s="390"/>
      <c r="F83" s="384" t="s">
        <v>33</v>
      </c>
      <c r="G83" s="953" t="s">
        <v>122</v>
      </c>
    </row>
    <row r="84" spans="3:7" x14ac:dyDescent="0.3">
      <c r="C84" s="398"/>
      <c r="D84" s="379"/>
      <c r="E84" s="379" t="s">
        <v>38</v>
      </c>
      <c r="F84" s="382" t="s">
        <v>114</v>
      </c>
      <c r="G84" s="935" t="s">
        <v>118</v>
      </c>
    </row>
    <row r="85" spans="3:7" x14ac:dyDescent="0.3">
      <c r="C85" s="398"/>
      <c r="D85" s="379"/>
      <c r="E85" s="379"/>
      <c r="F85" s="382" t="s">
        <v>127</v>
      </c>
      <c r="G85" s="935" t="s">
        <v>118</v>
      </c>
    </row>
    <row r="86" spans="3:7" x14ac:dyDescent="0.3">
      <c r="C86" s="398"/>
      <c r="D86" s="379"/>
      <c r="E86" s="379"/>
      <c r="F86" s="382" t="s">
        <v>41</v>
      </c>
      <c r="G86" s="935" t="s">
        <v>118</v>
      </c>
    </row>
    <row r="87" spans="3:7" x14ac:dyDescent="0.3">
      <c r="C87" s="398"/>
      <c r="D87" s="379"/>
      <c r="E87" s="390"/>
      <c r="F87" s="384" t="s">
        <v>20</v>
      </c>
      <c r="G87" s="953" t="s">
        <v>122</v>
      </c>
    </row>
    <row r="88" spans="3:7" x14ac:dyDescent="0.3">
      <c r="C88" s="398"/>
      <c r="D88" s="379"/>
      <c r="E88" s="422" t="s">
        <v>39</v>
      </c>
      <c r="F88" s="424" t="s">
        <v>42</v>
      </c>
      <c r="G88" s="192" t="s">
        <v>120</v>
      </c>
    </row>
    <row r="89" spans="3:7" x14ac:dyDescent="0.3">
      <c r="C89" s="398"/>
      <c r="D89" s="379"/>
      <c r="E89" s="379" t="s">
        <v>43</v>
      </c>
      <c r="F89" s="81" t="s">
        <v>111</v>
      </c>
      <c r="G89" s="376" t="s">
        <v>431</v>
      </c>
    </row>
    <row r="90" spans="3:7" x14ac:dyDescent="0.3">
      <c r="C90" s="398"/>
      <c r="D90" s="379"/>
      <c r="E90" s="379"/>
      <c r="F90" s="81" t="s">
        <v>7</v>
      </c>
      <c r="G90" s="376" t="s">
        <v>365</v>
      </c>
    </row>
    <row r="91" spans="3:7" x14ac:dyDescent="0.3">
      <c r="C91" s="398"/>
      <c r="D91" s="379"/>
      <c r="E91" s="379"/>
      <c r="F91" s="382" t="s">
        <v>112</v>
      </c>
      <c r="G91" s="935" t="s">
        <v>135</v>
      </c>
    </row>
    <row r="92" spans="3:7" ht="15" thickBot="1" x14ac:dyDescent="0.35">
      <c r="C92" s="938"/>
      <c r="D92" s="410"/>
      <c r="E92" s="410"/>
      <c r="F92" s="412" t="s">
        <v>21</v>
      </c>
      <c r="G92" s="946" t="s">
        <v>122</v>
      </c>
    </row>
  </sheetData>
  <mergeCells count="9">
    <mergeCell ref="N8:N11"/>
    <mergeCell ref="O8:O11"/>
    <mergeCell ref="P8:P11"/>
    <mergeCell ref="C7:G7"/>
    <mergeCell ref="I8:I11"/>
    <mergeCell ref="J8:J11"/>
    <mergeCell ref="K8:K11"/>
    <mergeCell ref="L8:L11"/>
    <mergeCell ref="M8:M11"/>
  </mergeCells>
  <pageMargins left="0.45" right="0.45" top="0.75" bottom="0.5" header="0.3" footer="0.3"/>
  <pageSetup scale="75" fitToWidth="2" fitToHeight="0" orientation="portrait" r:id="rId1"/>
  <headerFooter>
    <oddHeader>&amp;C&amp;"-,Bold"&amp;12&amp;F, &amp;A</oddHeader>
    <oddFooter>&amp;R&amp;10Page &amp;P</oddFooter>
  </headerFooter>
  <colBreaks count="1" manualBreakCount="1">
    <brk id="8" min="6" max="91"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808080"/>
  </sheetPr>
  <dimension ref="A2:F39"/>
  <sheetViews>
    <sheetView zoomScale="90" zoomScaleNormal="90" workbookViewId="0">
      <pane xSplit="2" ySplit="4" topLeftCell="C5" activePane="bottomRight" state="frozen"/>
      <selection activeCell="P22" sqref="P22"/>
      <selection pane="topRight" activeCell="P22" sqref="P22"/>
      <selection pane="bottomLeft" activeCell="P22" sqref="P22"/>
      <selection pane="bottomRight" activeCell="P22" sqref="P22"/>
    </sheetView>
  </sheetViews>
  <sheetFormatPr defaultColWidth="8.88671875" defaultRowHeight="14.4" x14ac:dyDescent="0.3"/>
  <cols>
    <col min="1" max="1" width="3.88671875" style="13" customWidth="1"/>
    <col min="2" max="2" width="25.44140625" style="13" bestFit="1" customWidth="1"/>
    <col min="3" max="3" width="25.109375" style="13" bestFit="1" customWidth="1"/>
    <col min="4" max="4" width="26.5546875" style="13" customWidth="1"/>
    <col min="5" max="5" width="8.88671875" style="13"/>
    <col min="6" max="6" width="11.33203125" style="13" customWidth="1"/>
    <col min="7" max="16384" width="8.88671875" style="13"/>
  </cols>
  <sheetData>
    <row r="2" spans="1:6" ht="15" x14ac:dyDescent="0.25">
      <c r="A2" s="2"/>
    </row>
    <row r="3" spans="1:6" ht="15.75" thickBot="1" x14ac:dyDescent="0.3">
      <c r="D3" s="13" t="s">
        <v>357</v>
      </c>
    </row>
    <row r="4" spans="1:6" ht="15.75" thickBot="1" x14ac:dyDescent="0.3">
      <c r="B4" s="1180" t="s">
        <v>101</v>
      </c>
      <c r="C4" s="4" t="s">
        <v>102</v>
      </c>
      <c r="D4" s="1181" t="s">
        <v>277</v>
      </c>
    </row>
    <row r="5" spans="1:6" ht="15" x14ac:dyDescent="0.25">
      <c r="B5" s="567" t="s">
        <v>1</v>
      </c>
      <c r="C5" s="185" t="s">
        <v>84</v>
      </c>
      <c r="D5" s="1178" t="str">
        <f>IF(ISNA(VLOOKUP(C5,list!$B$44:$C$75,2,FALSE))," ",VLOOKUP(C5,list!$B$44:$C$75,2,FALSE))</f>
        <v xml:space="preserve"> </v>
      </c>
      <c r="F5" s="13" t="str">
        <f>IF('Data Entry'!F:F=C5,'Data Entry'!G:G," ")</f>
        <v xml:space="preserve"> </v>
      </c>
    </row>
    <row r="6" spans="1:6" ht="15" x14ac:dyDescent="0.25">
      <c r="B6" s="577"/>
      <c r="C6" s="183" t="s">
        <v>85</v>
      </c>
      <c r="D6" s="465" t="str">
        <f>IF(ISNA(VLOOKUP(C6,list!$B$44:$C$75,2,FALSE))," ",VLOOKUP(C6,list!$B$44:$C$75,2,FALSE))</f>
        <v xml:space="preserve"> </v>
      </c>
    </row>
    <row r="7" spans="1:6" ht="15" x14ac:dyDescent="0.25">
      <c r="B7" s="577"/>
      <c r="C7" s="183" t="s">
        <v>86</v>
      </c>
      <c r="D7" s="465" t="str">
        <f>IF(ISNA(VLOOKUP(C7,list!$B$44:$C$75,2,FALSE))," ",VLOOKUP(C7,list!$B$44:$C$75,2,FALSE))</f>
        <v xml:space="preserve"> </v>
      </c>
    </row>
    <row r="8" spans="1:6" ht="15" x14ac:dyDescent="0.25">
      <c r="B8" s="577"/>
      <c r="C8" s="183" t="s">
        <v>87</v>
      </c>
      <c r="D8" s="465" t="str">
        <f>IF(ISNA(VLOOKUP(C8,list!$B$44:$C$75,2,FALSE))," ",VLOOKUP(C8,list!$B$44:$C$75,2,FALSE))</f>
        <v xml:space="preserve"> </v>
      </c>
    </row>
    <row r="9" spans="1:6" ht="15" x14ac:dyDescent="0.25">
      <c r="B9" s="640"/>
      <c r="C9" s="420" t="s">
        <v>88</v>
      </c>
      <c r="D9" s="465" t="str">
        <f>IF(ISNA(VLOOKUP(C9,list!$B$44:$C$75,2,FALSE))," ",VLOOKUP(C9,list!$B$44:$C$75,2,FALSE))</f>
        <v xml:space="preserve"> </v>
      </c>
    </row>
    <row r="10" spans="1:6" ht="15" x14ac:dyDescent="0.25">
      <c r="B10" s="589" t="s">
        <v>412</v>
      </c>
      <c r="C10" s="1182" t="s">
        <v>383</v>
      </c>
      <c r="D10" s="465" t="str">
        <f>IF(ISNA(VLOOKUP(C10,list!$B$44:$C$75,2,FALSE))," ",VLOOKUP(C10,list!$B$44:$C$75,2,FALSE))</f>
        <v xml:space="preserve"> </v>
      </c>
    </row>
    <row r="11" spans="1:6" ht="15" x14ac:dyDescent="0.25">
      <c r="B11" s="577"/>
      <c r="C11" s="886" t="s">
        <v>384</v>
      </c>
      <c r="D11" s="465" t="str">
        <f>IF(ISNA(VLOOKUP(C11,list!$B$44:$C$75,2,FALSE))," ",VLOOKUP(C11,list!$B$44:$C$75,2,FALSE))</f>
        <v xml:space="preserve"> </v>
      </c>
      <c r="F11" s="1179"/>
    </row>
    <row r="12" spans="1:6" ht="15" x14ac:dyDescent="0.25">
      <c r="B12" s="577"/>
      <c r="C12" s="886" t="s">
        <v>385</v>
      </c>
      <c r="D12" s="465" t="str">
        <f>IF(ISNA(VLOOKUP(C12,list!$B$44:$C$75,2,FALSE))," ",VLOOKUP(C12,list!$B$44:$C$75,2,FALSE))</f>
        <v xml:space="preserve"> </v>
      </c>
    </row>
    <row r="13" spans="1:6" ht="15" x14ac:dyDescent="0.25">
      <c r="B13" s="577"/>
      <c r="C13" s="886" t="s">
        <v>386</v>
      </c>
      <c r="D13" s="465" t="str">
        <f>IF(ISNA(VLOOKUP(C13,list!$B$44:$C$75,2,FALSE))," ",VLOOKUP(C13,list!$B$44:$C$75,2,FALSE))</f>
        <v xml:space="preserve"> </v>
      </c>
    </row>
    <row r="14" spans="1:6" ht="15" x14ac:dyDescent="0.25">
      <c r="B14" s="640"/>
      <c r="C14" s="886" t="s">
        <v>387</v>
      </c>
      <c r="D14" s="465" t="str">
        <f>IF(ISNA(VLOOKUP(C14,list!$B$44:$C$75,2,FALSE))," ",VLOOKUP(C14,list!$B$44:$C$75,2,FALSE))</f>
        <v xml:space="preserve"> </v>
      </c>
    </row>
    <row r="15" spans="1:6" ht="15" x14ac:dyDescent="0.25">
      <c r="B15" s="391" t="s">
        <v>11</v>
      </c>
      <c r="C15" s="1182" t="s">
        <v>89</v>
      </c>
      <c r="D15" s="465" t="str">
        <f>IF(ISNA(VLOOKUP(C15,list!$B$44:$C$75,2,FALSE))," ",VLOOKUP(C15,list!$B$44:$C$75,2,FALSE))</f>
        <v xml:space="preserve"> </v>
      </c>
    </row>
    <row r="16" spans="1:6" ht="15" x14ac:dyDescent="0.25">
      <c r="B16" s="377"/>
      <c r="C16" s="886" t="s">
        <v>90</v>
      </c>
      <c r="D16" s="465" t="str">
        <f>IF(ISNA(VLOOKUP(C16,list!$B$44:$C$75,2,FALSE))," ",VLOOKUP(C16,list!$B$44:$C$75,2,FALSE))</f>
        <v xml:space="preserve"> </v>
      </c>
    </row>
    <row r="17" spans="2:4" ht="15" x14ac:dyDescent="0.25">
      <c r="B17" s="377"/>
      <c r="C17" s="886" t="s">
        <v>766</v>
      </c>
      <c r="D17" s="465" t="str">
        <f>IF(ISNA(VLOOKUP(C17,list!$B$44:$C$75,2,FALSE))," ",VLOOKUP(C17,list!$B$44:$C$75,2,FALSE))</f>
        <v xml:space="preserve"> </v>
      </c>
    </row>
    <row r="18" spans="2:4" ht="15" x14ac:dyDescent="0.25">
      <c r="B18" s="377"/>
      <c r="C18" s="886" t="s">
        <v>767</v>
      </c>
      <c r="D18" s="465" t="str">
        <f>IF(ISNA(VLOOKUP(C18,list!$B$44:$C$75,2,FALSE))," ",VLOOKUP(C18,list!$B$44:$C$75,2,FALSE))</f>
        <v xml:space="preserve"> </v>
      </c>
    </row>
    <row r="19" spans="2:4" ht="15" x14ac:dyDescent="0.25">
      <c r="B19" s="393"/>
      <c r="C19" s="1183" t="s">
        <v>765</v>
      </c>
      <c r="D19" s="465" t="str">
        <f>IF(ISNA(VLOOKUP(C19,list!$B$44:$C$75,2,FALSE))," ",VLOOKUP(C19,list!$B$44:$C$75,2,FALSE))</f>
        <v xml:space="preserve"> </v>
      </c>
    </row>
    <row r="20" spans="2:4" ht="15" x14ac:dyDescent="0.25">
      <c r="B20" s="589" t="s">
        <v>420</v>
      </c>
      <c r="C20" s="1182" t="s">
        <v>421</v>
      </c>
      <c r="D20" s="465" t="str">
        <f>IF(ISNA(VLOOKUP(C20,list!$B$44:$C$75,2,FALSE))," ",VLOOKUP(C20,list!$B$44:$C$75,2,FALSE))</f>
        <v xml:space="preserve"> </v>
      </c>
    </row>
    <row r="21" spans="2:4" ht="15" x14ac:dyDescent="0.25">
      <c r="B21" s="640"/>
      <c r="C21" s="1183" t="s">
        <v>422</v>
      </c>
      <c r="D21" s="465" t="str">
        <f>IF(ISNA(VLOOKUP(C21,list!$B$44:$C$75,2,FALSE))," ",VLOOKUP(C21,list!$B$44:$C$75,2,FALSE))</f>
        <v xml:space="preserve"> </v>
      </c>
    </row>
    <row r="22" spans="2:4" ht="15" x14ac:dyDescent="0.25">
      <c r="B22" s="589" t="s">
        <v>13</v>
      </c>
      <c r="C22" s="1182" t="s">
        <v>91</v>
      </c>
      <c r="D22" s="465" t="str">
        <f>IF(ISNA(VLOOKUP(C22,list!$B$44:$C$75,2,FALSE))," ",VLOOKUP(C22,list!$B$44:$C$75,2,FALSE))</f>
        <v xml:space="preserve"> </v>
      </c>
    </row>
    <row r="23" spans="2:4" ht="15" x14ac:dyDescent="0.25">
      <c r="B23" s="577"/>
      <c r="C23" s="886" t="s">
        <v>92</v>
      </c>
      <c r="D23" s="465" t="str">
        <f>IF(ISNA(VLOOKUP(C23,list!$B$44:$C$75,2,FALSE))," ",VLOOKUP(C23,list!$B$44:$C$75,2,FALSE))</f>
        <v xml:space="preserve"> </v>
      </c>
    </row>
    <row r="24" spans="2:4" ht="15" x14ac:dyDescent="0.25">
      <c r="B24" s="577"/>
      <c r="C24" s="886" t="s">
        <v>93</v>
      </c>
      <c r="D24" s="465" t="str">
        <f>IF(ISNA(VLOOKUP(C24,list!$B$44:$C$75,2,FALSE))," ",VLOOKUP(C24,list!$B$44:$C$75,2,FALSE))</f>
        <v xml:space="preserve"> </v>
      </c>
    </row>
    <row r="25" spans="2:4" ht="15" x14ac:dyDescent="0.25">
      <c r="B25" s="577"/>
      <c r="C25" s="886" t="s">
        <v>94</v>
      </c>
      <c r="D25" s="465" t="str">
        <f>IF(ISNA(VLOOKUP(C25,list!$B$44:$C$75,2,FALSE))," ",VLOOKUP(C25,list!$B$44:$C$75,2,FALSE))</f>
        <v xml:space="preserve"> </v>
      </c>
    </row>
    <row r="26" spans="2:4" ht="15" x14ac:dyDescent="0.25">
      <c r="B26" s="640"/>
      <c r="C26" s="1183" t="s">
        <v>95</v>
      </c>
      <c r="D26" s="465" t="str">
        <f>IF(ISNA(VLOOKUP(C26,list!$B$44:$C$75,2,FALSE))," ",VLOOKUP(C26,list!$B$44:$C$75,2,FALSE))</f>
        <v xml:space="preserve"> </v>
      </c>
    </row>
    <row r="27" spans="2:4" x14ac:dyDescent="0.3">
      <c r="B27" s="624" t="s">
        <v>418</v>
      </c>
      <c r="C27" s="1184" t="s">
        <v>418</v>
      </c>
      <c r="D27" s="465" t="str">
        <f>IF(ISNA(VLOOKUP(C27,list!$B$44:$C$75,2,FALSE))," ",VLOOKUP(C27,list!$B$44:$C$75,2,FALSE))</f>
        <v xml:space="preserve"> </v>
      </c>
    </row>
    <row r="28" spans="2:4" x14ac:dyDescent="0.3">
      <c r="B28" s="589" t="s">
        <v>16</v>
      </c>
      <c r="C28" s="1182" t="s">
        <v>96</v>
      </c>
      <c r="D28" s="465" t="str">
        <f>IF(ISNA(VLOOKUP(C28,list!$B$44:$C$75,2,FALSE))," ",VLOOKUP(C28,list!$B$44:$C$75,2,FALSE))</f>
        <v xml:space="preserve"> </v>
      </c>
    </row>
    <row r="29" spans="2:4" x14ac:dyDescent="0.3">
      <c r="B29" s="577"/>
      <c r="C29" s="886" t="s">
        <v>97</v>
      </c>
      <c r="D29" s="465" t="str">
        <f>IF(ISNA(VLOOKUP(C29,list!$B$44:$C$75,2,FALSE))," ",VLOOKUP(C29,list!$B$44:$C$75,2,FALSE))</f>
        <v xml:space="preserve"> </v>
      </c>
    </row>
    <row r="30" spans="2:4" x14ac:dyDescent="0.3">
      <c r="B30" s="577"/>
      <c r="C30" s="886" t="s">
        <v>98</v>
      </c>
      <c r="D30" s="465" t="str">
        <f>IF(ISNA(VLOOKUP(C30,list!$B$44:$C$75,2,FALSE))," ",VLOOKUP(C30,list!$B$44:$C$75,2,FALSE))</f>
        <v xml:space="preserve"> </v>
      </c>
    </row>
    <row r="31" spans="2:4" x14ac:dyDescent="0.3">
      <c r="B31" s="576"/>
      <c r="C31" s="886" t="s">
        <v>99</v>
      </c>
      <c r="D31" s="465" t="str">
        <f>IF(ISNA(VLOOKUP(C31,list!$B$44:$C$75,2,FALSE))," ",VLOOKUP(C31,list!$B$44:$C$75,2,FALSE))</f>
        <v xml:space="preserve"> </v>
      </c>
    </row>
    <row r="32" spans="2:4" x14ac:dyDescent="0.3">
      <c r="B32" s="640"/>
      <c r="C32" s="1183" t="s">
        <v>100</v>
      </c>
      <c r="D32" s="465" t="str">
        <f>IF(ISNA(VLOOKUP(C32,list!$B$44:$C$75,2,FALSE))," ",VLOOKUP(C32,list!$B$44:$C$75,2,FALSE))</f>
        <v xml:space="preserve"> </v>
      </c>
    </row>
    <row r="33" spans="2:4" x14ac:dyDescent="0.3">
      <c r="B33" s="206" t="s">
        <v>417</v>
      </c>
      <c r="C33" s="636" t="s">
        <v>417</v>
      </c>
      <c r="D33" s="465" t="str">
        <f>IF(ISNA(VLOOKUP(C33,list!$B$44:$C$75,2,FALSE))," ",VLOOKUP(C33,list!$B$44:$C$75,2,FALSE))</f>
        <v xml:space="preserve"> </v>
      </c>
    </row>
    <row r="34" spans="2:4" x14ac:dyDescent="0.3">
      <c r="B34" s="589" t="s">
        <v>419</v>
      </c>
      <c r="C34" s="1182" t="s">
        <v>419</v>
      </c>
      <c r="D34" s="465" t="str">
        <f>IF(ISNA(VLOOKUP(C34,list!$B$44:$C$75,2,FALSE))," ",VLOOKUP(C34,list!$B$44:$C$75,2,FALSE))</f>
        <v xml:space="preserve"> </v>
      </c>
    </row>
    <row r="35" spans="2:4" x14ac:dyDescent="0.3">
      <c r="B35" s="589" t="s">
        <v>471</v>
      </c>
      <c r="C35" s="599" t="s">
        <v>106</v>
      </c>
      <c r="D35" s="465" t="str">
        <f>IF(ISNA(VLOOKUP(C35,list!$B$44:$C$75,2,FALSE))," ",VLOOKUP(C35,list!$B$44:$C$75,2,FALSE))</f>
        <v xml:space="preserve"> </v>
      </c>
    </row>
    <row r="36" spans="2:4" x14ac:dyDescent="0.3">
      <c r="B36" s="577"/>
      <c r="C36" s="183" t="s">
        <v>107</v>
      </c>
      <c r="D36" s="465" t="str">
        <f>IF(ISNA(VLOOKUP(C36,list!$B$44:$C$75,2,FALSE))," ",VLOOKUP(C36,list!$B$44:$C$75,2,FALSE))</f>
        <v xml:space="preserve"> </v>
      </c>
    </row>
    <row r="37" spans="2:4" x14ac:dyDescent="0.3">
      <c r="B37" s="577"/>
      <c r="C37" s="183" t="s">
        <v>108</v>
      </c>
      <c r="D37" s="465" t="str">
        <f>IF(ISNA(VLOOKUP(C37,list!$B$44:$C$75,2,FALSE))," ",VLOOKUP(C37,list!$B$44:$C$75,2,FALSE))</f>
        <v xml:space="preserve"> </v>
      </c>
    </row>
    <row r="38" spans="2:4" x14ac:dyDescent="0.3">
      <c r="B38" s="577"/>
      <c r="C38" s="183" t="s">
        <v>109</v>
      </c>
      <c r="D38" s="465" t="str">
        <f>IF(ISNA(VLOOKUP(C38,list!$B$44:$C$75,2,FALSE))," ",VLOOKUP(C38,list!$B$44:$C$75,2,FALSE))</f>
        <v xml:space="preserve"> </v>
      </c>
    </row>
    <row r="39" spans="2:4" ht="15" thickBot="1" x14ac:dyDescent="0.35">
      <c r="B39" s="116"/>
      <c r="C39" s="1011" t="s">
        <v>110</v>
      </c>
      <c r="D39" s="470" t="str">
        <f>IF(ISNA(VLOOKUP(C39,list!$B$44:$C$75,2,FALSE))," ",VLOOKUP(C39,list!$B$44:$C$75,2,FALSE))</f>
        <v xml:space="preserve"> </v>
      </c>
    </row>
  </sheetData>
  <sheetProtection algorithmName="SHA-512" hashValue="PkvW1tH5doaQC56JwQzU3zxbj0x35Ib4WqJXBo+hv3M2o9KRrToFwLwv2CQUL7toSuaFWWOrb6EkjHjgL5CTDw==" saltValue="MoHwiv4EJTwSp/spc4bHzQ==" spinCount="100000" sheet="1" objects="1" scenarios="1"/>
  <printOptions headings="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808080"/>
  </sheetPr>
  <dimension ref="B2:H295"/>
  <sheetViews>
    <sheetView zoomScaleNormal="100" workbookViewId="0">
      <pane ySplit="4" topLeftCell="A5" activePane="bottomLeft" state="frozen"/>
      <selection activeCell="C99" sqref="C99"/>
      <selection pane="bottomLeft" activeCell="A5" sqref="A5"/>
    </sheetView>
  </sheetViews>
  <sheetFormatPr defaultColWidth="8.88671875" defaultRowHeight="14.4" x14ac:dyDescent="0.3"/>
  <cols>
    <col min="1" max="1" width="2.6640625" style="13" customWidth="1"/>
    <col min="2" max="2" width="26.33203125" style="2" bestFit="1" customWidth="1"/>
    <col min="3" max="3" width="25.109375" style="82" hidden="1" customWidth="1"/>
    <col min="4" max="4" width="25.6640625" style="82" hidden="1" customWidth="1"/>
    <col min="5" max="5" width="16.88671875" style="13" customWidth="1"/>
    <col min="6" max="6" width="23.33203125" style="13" customWidth="1"/>
    <col min="7" max="7" width="22.33203125" style="13" bestFit="1" customWidth="1"/>
    <col min="8" max="16384" width="8.88671875" style="13"/>
  </cols>
  <sheetData>
    <row r="2" spans="2:8" ht="15" x14ac:dyDescent="0.25">
      <c r="B2" s="13"/>
      <c r="G2" s="13" t="s">
        <v>357</v>
      </c>
    </row>
    <row r="3" spans="2:8" ht="15.75" thickBot="1" x14ac:dyDescent="0.3">
      <c r="C3" s="1185" t="s">
        <v>291</v>
      </c>
      <c r="D3" s="964" t="s">
        <v>291</v>
      </c>
    </row>
    <row r="4" spans="2:8" ht="15.75" thickBot="1" x14ac:dyDescent="0.3">
      <c r="B4" s="1180" t="s">
        <v>101</v>
      </c>
      <c r="C4" s="56" t="s">
        <v>102</v>
      </c>
      <c r="D4" s="31"/>
      <c r="E4" s="4" t="s">
        <v>102</v>
      </c>
      <c r="F4" s="57" t="s">
        <v>31</v>
      </c>
      <c r="G4" s="94" t="s">
        <v>124</v>
      </c>
    </row>
    <row r="5" spans="2:8" ht="15" x14ac:dyDescent="0.25">
      <c r="B5" s="1186" t="s">
        <v>1</v>
      </c>
      <c r="C5" s="1187" t="s">
        <v>84</v>
      </c>
      <c r="D5" s="1187" t="s">
        <v>84</v>
      </c>
      <c r="E5" s="1188" t="str">
        <f>VLOOKUP(D5,'Airport Mapping'!$C$5:$D$39,2,FALSE)</f>
        <v xml:space="preserve"> </v>
      </c>
      <c r="F5" s="58" t="s">
        <v>117</v>
      </c>
      <c r="G5" s="53">
        <f>SUMIFS('Data Entry'!M:M,'Data Entry'!F:F,D5,'Data Entry'!L:L,F5)</f>
        <v>0</v>
      </c>
    </row>
    <row r="6" spans="2:8" ht="15" hidden="1" x14ac:dyDescent="0.25">
      <c r="B6" s="1189"/>
      <c r="C6" s="961"/>
      <c r="D6" s="961" t="s">
        <v>84</v>
      </c>
      <c r="E6" s="576"/>
      <c r="F6" s="59" t="s">
        <v>6</v>
      </c>
      <c r="G6" s="54">
        <f>SUMIFS('Data Entry'!M:M,'Data Entry'!F:F,D6,'Data Entry'!L:L,F6)</f>
        <v>0</v>
      </c>
    </row>
    <row r="7" spans="2:8" ht="15" x14ac:dyDescent="0.25">
      <c r="B7" s="1189"/>
      <c r="C7" s="961"/>
      <c r="D7" s="961" t="s">
        <v>84</v>
      </c>
      <c r="E7" s="576"/>
      <c r="F7" s="59" t="s">
        <v>118</v>
      </c>
      <c r="G7" s="54">
        <f>SUMIFS('Data Entry'!M:M,'Data Entry'!F:F,D7,'Data Entry'!L:L,F7)</f>
        <v>0</v>
      </c>
    </row>
    <row r="8" spans="2:8" ht="15" x14ac:dyDescent="0.25">
      <c r="B8" s="1189"/>
      <c r="C8" s="961"/>
      <c r="D8" s="961" t="s">
        <v>84</v>
      </c>
      <c r="E8" s="576"/>
      <c r="F8" s="59" t="s">
        <v>120</v>
      </c>
      <c r="G8" s="54">
        <f>SUMIFS('Data Entry'!M:M,'Data Entry'!F:F,D8,'Data Entry'!L:L,F8)</f>
        <v>0</v>
      </c>
    </row>
    <row r="9" spans="2:8" ht="15" x14ac:dyDescent="0.25">
      <c r="B9" s="1189"/>
      <c r="C9" s="961"/>
      <c r="D9" s="961" t="s">
        <v>84</v>
      </c>
      <c r="E9" s="576"/>
      <c r="F9" s="59" t="s">
        <v>119</v>
      </c>
      <c r="G9" s="54">
        <f>SUMIFS('Data Entry'!M:M,'Data Entry'!F:F,D9,'Data Entry'!L:L,F9)</f>
        <v>0</v>
      </c>
    </row>
    <row r="10" spans="2:8" ht="15" x14ac:dyDescent="0.25">
      <c r="B10" s="1189"/>
      <c r="C10" s="961"/>
      <c r="D10" s="961" t="s">
        <v>84</v>
      </c>
      <c r="E10" s="576"/>
      <c r="F10" s="183" t="s">
        <v>424</v>
      </c>
      <c r="G10" s="54">
        <f>SUMIFS('Data Entry'!M:M,'Data Entry'!F:F,D10,'Data Entry'!L:L,F10)</f>
        <v>0</v>
      </c>
      <c r="H10" s="1190"/>
    </row>
    <row r="11" spans="2:8" ht="15" x14ac:dyDescent="0.25">
      <c r="B11" s="1189"/>
      <c r="C11" s="961"/>
      <c r="D11" s="961" t="s">
        <v>84</v>
      </c>
      <c r="E11" s="576"/>
      <c r="F11" s="183" t="s">
        <v>365</v>
      </c>
      <c r="G11" s="54">
        <f>SUMIFS('Data Entry'!M:M,'Data Entry'!F:F,D11,'Data Entry'!L:L,F11)</f>
        <v>0</v>
      </c>
      <c r="H11" s="1190"/>
    </row>
    <row r="12" spans="2:8" ht="15" x14ac:dyDescent="0.25">
      <c r="B12" s="1189"/>
      <c r="C12" s="961"/>
      <c r="D12" s="961" t="str">
        <f>D11</f>
        <v>Terminal A</v>
      </c>
      <c r="E12" s="576"/>
      <c r="F12" s="439" t="s">
        <v>362</v>
      </c>
      <c r="G12" s="54">
        <f>SUMIFS('Data Entry'!M:M,'Data Entry'!F:F,D12,'Data Entry'!L:L,F12)</f>
        <v>0</v>
      </c>
    </row>
    <row r="13" spans="2:8" ht="15" x14ac:dyDescent="0.25">
      <c r="B13" s="1189"/>
      <c r="C13" s="961"/>
      <c r="D13" s="961" t="str">
        <f>D12</f>
        <v>Terminal A</v>
      </c>
      <c r="E13" s="576"/>
      <c r="F13" s="439" t="s">
        <v>363</v>
      </c>
      <c r="G13" s="54">
        <f>SUMIFS('Data Entry'!M:M,'Data Entry'!F:F,D13,'Data Entry'!L:L,F13)</f>
        <v>0</v>
      </c>
    </row>
    <row r="14" spans="2:8" ht="15.75" thickBot="1" x14ac:dyDescent="0.3">
      <c r="B14" s="1189"/>
      <c r="C14" s="1191"/>
      <c r="D14" s="1191" t="str">
        <f>D13</f>
        <v>Terminal A</v>
      </c>
      <c r="E14" s="605"/>
      <c r="F14" s="606" t="s">
        <v>364</v>
      </c>
      <c r="G14" s="61">
        <f>SUMIFS('Data Entry'!M:M,'Data Entry'!F:F,D14,'Data Entry'!L:L,F14)</f>
        <v>0</v>
      </c>
    </row>
    <row r="15" spans="2:8" ht="15" x14ac:dyDescent="0.25">
      <c r="B15" s="1189"/>
      <c r="C15" s="961" t="s">
        <v>85</v>
      </c>
      <c r="D15" s="961" t="s">
        <v>85</v>
      </c>
      <c r="E15" s="576" t="str">
        <f>VLOOKUP(D15,'Airport Mapping'!$C$5:$D$39,2,FALSE)</f>
        <v xml:space="preserve"> </v>
      </c>
      <c r="F15" s="58" t="s">
        <v>117</v>
      </c>
      <c r="G15" s="53">
        <f>SUMIFS('Data Entry'!M:M,'Data Entry'!F:F,D15,'Data Entry'!L:L,F15)</f>
        <v>0</v>
      </c>
    </row>
    <row r="16" spans="2:8" ht="15" hidden="1" x14ac:dyDescent="0.25">
      <c r="B16" s="1189"/>
      <c r="C16" s="961"/>
      <c r="D16" s="961" t="s">
        <v>85</v>
      </c>
      <c r="E16" s="576"/>
      <c r="F16" s="59" t="s">
        <v>6</v>
      </c>
      <c r="G16" s="54">
        <f>SUMIFS('Data Entry'!M:M,'Data Entry'!F:F,D16,'Data Entry'!L:L,F16)</f>
        <v>0</v>
      </c>
    </row>
    <row r="17" spans="2:7" ht="15" x14ac:dyDescent="0.25">
      <c r="B17" s="1189"/>
      <c r="C17" s="961"/>
      <c r="D17" s="961" t="s">
        <v>85</v>
      </c>
      <c r="E17" s="576"/>
      <c r="F17" s="59" t="s">
        <v>118</v>
      </c>
      <c r="G17" s="54">
        <f>SUMIFS('Data Entry'!M:M,'Data Entry'!F:F,D17,'Data Entry'!L:L,F17)</f>
        <v>0</v>
      </c>
    </row>
    <row r="18" spans="2:7" ht="15" x14ac:dyDescent="0.25">
      <c r="B18" s="1189"/>
      <c r="C18" s="961"/>
      <c r="D18" s="961" t="s">
        <v>85</v>
      </c>
      <c r="E18" s="576"/>
      <c r="F18" s="59" t="s">
        <v>120</v>
      </c>
      <c r="G18" s="54">
        <f>SUMIFS('Data Entry'!M:M,'Data Entry'!F:F,D18,'Data Entry'!L:L,F18)</f>
        <v>0</v>
      </c>
    </row>
    <row r="19" spans="2:7" ht="15" x14ac:dyDescent="0.25">
      <c r="B19" s="1189"/>
      <c r="C19" s="961"/>
      <c r="D19" s="961" t="s">
        <v>85</v>
      </c>
      <c r="E19" s="576"/>
      <c r="F19" s="59" t="s">
        <v>119</v>
      </c>
      <c r="G19" s="54">
        <f>SUMIFS('Data Entry'!M:M,'Data Entry'!F:F,D19,'Data Entry'!L:L,F19)</f>
        <v>0</v>
      </c>
    </row>
    <row r="20" spans="2:7" ht="15" x14ac:dyDescent="0.25">
      <c r="B20" s="1189"/>
      <c r="C20" s="961"/>
      <c r="D20" s="961" t="s">
        <v>85</v>
      </c>
      <c r="E20" s="576"/>
      <c r="F20" s="183" t="s">
        <v>424</v>
      </c>
      <c r="G20" s="54">
        <f>SUMIFS('Data Entry'!M:M,'Data Entry'!F:F,D20,'Data Entry'!L:L,F20)</f>
        <v>0</v>
      </c>
    </row>
    <row r="21" spans="2:7" ht="15" x14ac:dyDescent="0.25">
      <c r="B21" s="1189"/>
      <c r="C21" s="961"/>
      <c r="D21" s="961" t="s">
        <v>85</v>
      </c>
      <c r="E21" s="576"/>
      <c r="F21" s="183" t="s">
        <v>365</v>
      </c>
      <c r="G21" s="54">
        <f>SUMIFS('Data Entry'!M:M,'Data Entry'!F:F,D21,'Data Entry'!L:L,F21)</f>
        <v>0</v>
      </c>
    </row>
    <row r="22" spans="2:7" ht="15" x14ac:dyDescent="0.25">
      <c r="B22" s="1189"/>
      <c r="C22" s="961"/>
      <c r="D22" s="961" t="str">
        <f>D21</f>
        <v>Terminal B</v>
      </c>
      <c r="E22" s="576"/>
      <c r="F22" s="439" t="s">
        <v>362</v>
      </c>
      <c r="G22" s="54">
        <f>SUMIFS('Data Entry'!M:M,'Data Entry'!F:F,D22,'Data Entry'!L:L,F22)</f>
        <v>0</v>
      </c>
    </row>
    <row r="23" spans="2:7" ht="15" x14ac:dyDescent="0.25">
      <c r="B23" s="1189"/>
      <c r="C23" s="961"/>
      <c r="D23" s="961" t="str">
        <f>D22</f>
        <v>Terminal B</v>
      </c>
      <c r="E23" s="576"/>
      <c r="F23" s="439" t="s">
        <v>363</v>
      </c>
      <c r="G23" s="54">
        <f>SUMIFS('Data Entry'!M:M,'Data Entry'!F:F,D23,'Data Entry'!L:L,F23)</f>
        <v>0</v>
      </c>
    </row>
    <row r="24" spans="2:7" ht="15.75" thickBot="1" x14ac:dyDescent="0.3">
      <c r="B24" s="1189"/>
      <c r="C24" s="1191"/>
      <c r="D24" s="1191" t="str">
        <f>D23</f>
        <v>Terminal B</v>
      </c>
      <c r="E24" s="605"/>
      <c r="F24" s="606" t="s">
        <v>364</v>
      </c>
      <c r="G24" s="55">
        <f>SUMIFS('Data Entry'!M:M,'Data Entry'!F:F,D24,'Data Entry'!L:L,F24)</f>
        <v>0</v>
      </c>
    </row>
    <row r="25" spans="2:7" ht="15" x14ac:dyDescent="0.25">
      <c r="B25" s="1189"/>
      <c r="C25" s="1187" t="s">
        <v>86</v>
      </c>
      <c r="D25" s="1187" t="s">
        <v>86</v>
      </c>
      <c r="E25" s="1188" t="str">
        <f>VLOOKUP(D25,'Airport Mapping'!$C$5:$D$39,2,FALSE)</f>
        <v xml:space="preserve"> </v>
      </c>
      <c r="F25" s="58" t="s">
        <v>117</v>
      </c>
      <c r="G25" s="62">
        <f>SUMIFS('Data Entry'!M:M,'Data Entry'!F:F,D25,'Data Entry'!L:L,F25)</f>
        <v>0</v>
      </c>
    </row>
    <row r="26" spans="2:7" ht="15" hidden="1" x14ac:dyDescent="0.25">
      <c r="B26" s="1189"/>
      <c r="C26" s="961"/>
      <c r="D26" s="961" t="s">
        <v>86</v>
      </c>
      <c r="E26" s="576"/>
      <c r="F26" s="59" t="s">
        <v>6</v>
      </c>
      <c r="G26" s="54">
        <f>SUMIFS('Data Entry'!M:M,'Data Entry'!F:F,D26,'Data Entry'!L:L,F26)</f>
        <v>0</v>
      </c>
    </row>
    <row r="27" spans="2:7" ht="15" x14ac:dyDescent="0.25">
      <c r="B27" s="1189"/>
      <c r="C27" s="961"/>
      <c r="D27" s="961" t="s">
        <v>86</v>
      </c>
      <c r="E27" s="576"/>
      <c r="F27" s="59" t="s">
        <v>118</v>
      </c>
      <c r="G27" s="54">
        <f>SUMIFS('Data Entry'!M:M,'Data Entry'!F:F,D27,'Data Entry'!L:L,F27)</f>
        <v>0</v>
      </c>
    </row>
    <row r="28" spans="2:7" x14ac:dyDescent="0.3">
      <c r="B28" s="1189"/>
      <c r="C28" s="961"/>
      <c r="D28" s="961" t="s">
        <v>86</v>
      </c>
      <c r="E28" s="576"/>
      <c r="F28" s="59" t="s">
        <v>120</v>
      </c>
      <c r="G28" s="54">
        <f>SUMIFS('Data Entry'!M:M,'Data Entry'!F:F,D28,'Data Entry'!L:L,F28)</f>
        <v>0</v>
      </c>
    </row>
    <row r="29" spans="2:7" x14ac:dyDescent="0.3">
      <c r="B29" s="1189"/>
      <c r="C29" s="961"/>
      <c r="D29" s="961" t="s">
        <v>86</v>
      </c>
      <c r="E29" s="576"/>
      <c r="F29" s="59" t="s">
        <v>119</v>
      </c>
      <c r="G29" s="54">
        <f>SUMIFS('Data Entry'!M:M,'Data Entry'!F:F,D29,'Data Entry'!L:L,F29)</f>
        <v>0</v>
      </c>
    </row>
    <row r="30" spans="2:7" x14ac:dyDescent="0.3">
      <c r="B30" s="1189"/>
      <c r="C30" s="961"/>
      <c r="D30" s="961" t="s">
        <v>86</v>
      </c>
      <c r="E30" s="576"/>
      <c r="F30" s="183" t="s">
        <v>424</v>
      </c>
      <c r="G30" s="54">
        <f>SUMIFS('Data Entry'!M:M,'Data Entry'!F:F,D30,'Data Entry'!L:L,F30)</f>
        <v>0</v>
      </c>
    </row>
    <row r="31" spans="2:7" x14ac:dyDescent="0.3">
      <c r="B31" s="1189"/>
      <c r="C31" s="961"/>
      <c r="D31" s="961" t="s">
        <v>86</v>
      </c>
      <c r="E31" s="576"/>
      <c r="F31" s="183" t="s">
        <v>365</v>
      </c>
      <c r="G31" s="54">
        <f>SUMIFS('Data Entry'!M:M,'Data Entry'!F:F,D31,'Data Entry'!L:L,F31)</f>
        <v>0</v>
      </c>
    </row>
    <row r="32" spans="2:7" x14ac:dyDescent="0.3">
      <c r="B32" s="1189"/>
      <c r="C32" s="961"/>
      <c r="D32" s="961" t="str">
        <f>D31</f>
        <v>Terminal C</v>
      </c>
      <c r="E32" s="576"/>
      <c r="F32" s="439" t="s">
        <v>362</v>
      </c>
      <c r="G32" s="54">
        <f>SUMIFS('Data Entry'!M:M,'Data Entry'!F:F,D32,'Data Entry'!L:L,F32)</f>
        <v>0</v>
      </c>
    </row>
    <row r="33" spans="2:7" x14ac:dyDescent="0.3">
      <c r="B33" s="1189"/>
      <c r="C33" s="961"/>
      <c r="D33" s="961" t="str">
        <f>D32</f>
        <v>Terminal C</v>
      </c>
      <c r="E33" s="576"/>
      <c r="F33" s="439" t="s">
        <v>363</v>
      </c>
      <c r="G33" s="54">
        <f>SUMIFS('Data Entry'!M:M,'Data Entry'!F:F,D33,'Data Entry'!L:L,F33)</f>
        <v>0</v>
      </c>
    </row>
    <row r="34" spans="2:7" ht="15" thickBot="1" x14ac:dyDescent="0.35">
      <c r="B34" s="1189"/>
      <c r="C34" s="1191"/>
      <c r="D34" s="1191" t="str">
        <f>D33</f>
        <v>Terminal C</v>
      </c>
      <c r="E34" s="605"/>
      <c r="F34" s="606" t="s">
        <v>364</v>
      </c>
      <c r="G34" s="61">
        <f>SUMIFS('Data Entry'!M:M,'Data Entry'!F:F,D34,'Data Entry'!L:L,F34)</f>
        <v>0</v>
      </c>
    </row>
    <row r="35" spans="2:7" x14ac:dyDescent="0.3">
      <c r="B35" s="1189"/>
      <c r="C35" s="1187" t="s">
        <v>87</v>
      </c>
      <c r="D35" s="1187" t="s">
        <v>87</v>
      </c>
      <c r="E35" s="1188" t="str">
        <f>VLOOKUP(D35,'Airport Mapping'!$C$5:$D$39,2,FALSE)</f>
        <v xml:space="preserve"> </v>
      </c>
      <c r="F35" s="58" t="s">
        <v>117</v>
      </c>
      <c r="G35" s="53">
        <f>SUMIFS('Data Entry'!M:M,'Data Entry'!F:F,D35,'Data Entry'!L:L,F35)</f>
        <v>0</v>
      </c>
    </row>
    <row r="36" spans="2:7" ht="15" hidden="1" x14ac:dyDescent="0.25">
      <c r="B36" s="1189"/>
      <c r="C36" s="961"/>
      <c r="D36" s="961" t="s">
        <v>87</v>
      </c>
      <c r="E36" s="576"/>
      <c r="F36" s="59" t="s">
        <v>6</v>
      </c>
      <c r="G36" s="54">
        <f>SUMIFS('Data Entry'!M:M,'Data Entry'!F:F,D36,'Data Entry'!L:L,F36)</f>
        <v>0</v>
      </c>
    </row>
    <row r="37" spans="2:7" x14ac:dyDescent="0.3">
      <c r="B37" s="1189"/>
      <c r="C37" s="961"/>
      <c r="D37" s="961" t="s">
        <v>87</v>
      </c>
      <c r="E37" s="576"/>
      <c r="F37" s="59" t="s">
        <v>118</v>
      </c>
      <c r="G37" s="54">
        <f>SUMIFS('Data Entry'!M:M,'Data Entry'!F:F,D37,'Data Entry'!L:L,F37)</f>
        <v>0</v>
      </c>
    </row>
    <row r="38" spans="2:7" x14ac:dyDescent="0.3">
      <c r="B38" s="1189"/>
      <c r="C38" s="961"/>
      <c r="D38" s="961" t="s">
        <v>87</v>
      </c>
      <c r="E38" s="576"/>
      <c r="F38" s="59" t="s">
        <v>120</v>
      </c>
      <c r="G38" s="54">
        <f>SUMIFS('Data Entry'!M:M,'Data Entry'!F:F,D38,'Data Entry'!L:L,F38)</f>
        <v>0</v>
      </c>
    </row>
    <row r="39" spans="2:7" x14ac:dyDescent="0.3">
      <c r="B39" s="1189"/>
      <c r="C39" s="961"/>
      <c r="D39" s="961" t="s">
        <v>87</v>
      </c>
      <c r="E39" s="576"/>
      <c r="F39" s="59" t="s">
        <v>119</v>
      </c>
      <c r="G39" s="54">
        <f>SUMIFS('Data Entry'!M:M,'Data Entry'!F:F,D39,'Data Entry'!L:L,F39)</f>
        <v>0</v>
      </c>
    </row>
    <row r="40" spans="2:7" x14ac:dyDescent="0.3">
      <c r="B40" s="1189"/>
      <c r="C40" s="961"/>
      <c r="D40" s="961" t="s">
        <v>87</v>
      </c>
      <c r="E40" s="576"/>
      <c r="F40" s="183" t="s">
        <v>424</v>
      </c>
      <c r="G40" s="54">
        <f>SUMIFS('Data Entry'!M:M,'Data Entry'!F:F,D40,'Data Entry'!L:L,F40)</f>
        <v>0</v>
      </c>
    </row>
    <row r="41" spans="2:7" x14ac:dyDescent="0.3">
      <c r="B41" s="1189"/>
      <c r="C41" s="961"/>
      <c r="D41" s="961" t="s">
        <v>87</v>
      </c>
      <c r="E41" s="576"/>
      <c r="F41" s="183" t="s">
        <v>365</v>
      </c>
      <c r="G41" s="54">
        <f>SUMIFS('Data Entry'!M:M,'Data Entry'!F:F,D41,'Data Entry'!L:L,F41)</f>
        <v>0</v>
      </c>
    </row>
    <row r="42" spans="2:7" x14ac:dyDescent="0.3">
      <c r="B42" s="1189"/>
      <c r="C42" s="961"/>
      <c r="D42" s="961" t="str">
        <f>D41</f>
        <v>Terminal D</v>
      </c>
      <c r="E42" s="576"/>
      <c r="F42" s="439" t="s">
        <v>362</v>
      </c>
      <c r="G42" s="54">
        <f>SUMIFS('Data Entry'!M:M,'Data Entry'!F:F,D42,'Data Entry'!L:L,F42)</f>
        <v>0</v>
      </c>
    </row>
    <row r="43" spans="2:7" x14ac:dyDescent="0.3">
      <c r="B43" s="1189"/>
      <c r="C43" s="961"/>
      <c r="D43" s="961" t="str">
        <f>D42</f>
        <v>Terminal D</v>
      </c>
      <c r="E43" s="576"/>
      <c r="F43" s="439" t="s">
        <v>363</v>
      </c>
      <c r="G43" s="54">
        <f>SUMIFS('Data Entry'!M:M,'Data Entry'!F:F,D43,'Data Entry'!L:L,F43)</f>
        <v>0</v>
      </c>
    </row>
    <row r="44" spans="2:7" ht="15" thickBot="1" x14ac:dyDescent="0.35">
      <c r="B44" s="1189"/>
      <c r="C44" s="1191"/>
      <c r="D44" s="1191" t="str">
        <f>D43</f>
        <v>Terminal D</v>
      </c>
      <c r="E44" s="605"/>
      <c r="F44" s="606" t="s">
        <v>364</v>
      </c>
      <c r="G44" s="55">
        <f>SUMIFS('Data Entry'!M:M,'Data Entry'!F:F,D44,'Data Entry'!L:L,F44)</f>
        <v>0</v>
      </c>
    </row>
    <row r="45" spans="2:7" x14ac:dyDescent="0.3">
      <c r="B45" s="1189"/>
      <c r="C45" s="1187" t="s">
        <v>88</v>
      </c>
      <c r="D45" s="1187" t="s">
        <v>88</v>
      </c>
      <c r="E45" s="1188" t="str">
        <f>VLOOKUP(D45,'Airport Mapping'!$C$5:$D$39,2,FALSE)</f>
        <v xml:space="preserve"> </v>
      </c>
      <c r="F45" s="58" t="s">
        <v>117</v>
      </c>
      <c r="G45" s="62">
        <f>SUMIFS('Data Entry'!M:M,'Data Entry'!F:F,D45,'Data Entry'!L:L,F45)</f>
        <v>0</v>
      </c>
    </row>
    <row r="46" spans="2:7" ht="15" hidden="1" x14ac:dyDescent="0.25">
      <c r="B46" s="1189"/>
      <c r="C46" s="961"/>
      <c r="D46" s="961" t="s">
        <v>88</v>
      </c>
      <c r="E46" s="576"/>
      <c r="F46" s="59" t="s">
        <v>6</v>
      </c>
      <c r="G46" s="54">
        <f>SUMIFS('Data Entry'!M:M,'Data Entry'!F:F,D46,'Data Entry'!L:L,F46)</f>
        <v>0</v>
      </c>
    </row>
    <row r="47" spans="2:7" x14ac:dyDescent="0.3">
      <c r="B47" s="1189"/>
      <c r="C47" s="961"/>
      <c r="D47" s="961" t="s">
        <v>88</v>
      </c>
      <c r="E47" s="576"/>
      <c r="F47" s="59" t="s">
        <v>118</v>
      </c>
      <c r="G47" s="54">
        <f>SUMIFS('Data Entry'!M:M,'Data Entry'!F:F,D47,'Data Entry'!L:L,F47)</f>
        <v>0</v>
      </c>
    </row>
    <row r="48" spans="2:7" x14ac:dyDescent="0.3">
      <c r="B48" s="1189"/>
      <c r="C48" s="961"/>
      <c r="D48" s="961" t="s">
        <v>88</v>
      </c>
      <c r="E48" s="576"/>
      <c r="F48" s="59" t="s">
        <v>120</v>
      </c>
      <c r="G48" s="54">
        <f>SUMIFS('Data Entry'!M:M,'Data Entry'!F:F,D48,'Data Entry'!L:L,F48)</f>
        <v>0</v>
      </c>
    </row>
    <row r="49" spans="2:7" x14ac:dyDescent="0.3">
      <c r="B49" s="1189"/>
      <c r="C49" s="961"/>
      <c r="D49" s="961" t="s">
        <v>88</v>
      </c>
      <c r="E49" s="576"/>
      <c r="F49" s="59" t="s">
        <v>119</v>
      </c>
      <c r="G49" s="54">
        <f>SUMIFS('Data Entry'!M:M,'Data Entry'!F:F,D49,'Data Entry'!L:L,F49)</f>
        <v>0</v>
      </c>
    </row>
    <row r="50" spans="2:7" x14ac:dyDescent="0.3">
      <c r="B50" s="1189"/>
      <c r="C50" s="961"/>
      <c r="D50" s="961" t="s">
        <v>88</v>
      </c>
      <c r="E50" s="576"/>
      <c r="F50" s="183" t="s">
        <v>424</v>
      </c>
      <c r="G50" s="54">
        <f>SUMIFS('Data Entry'!M:M,'Data Entry'!F:F,D50,'Data Entry'!L:L,F50)</f>
        <v>0</v>
      </c>
    </row>
    <row r="51" spans="2:7" x14ac:dyDescent="0.3">
      <c r="B51" s="1189"/>
      <c r="C51" s="961"/>
      <c r="D51" s="961" t="s">
        <v>88</v>
      </c>
      <c r="E51" s="576"/>
      <c r="F51" s="183" t="s">
        <v>365</v>
      </c>
      <c r="G51" s="54">
        <f>SUMIFS('Data Entry'!M:M,'Data Entry'!F:F,D51,'Data Entry'!L:L,F51)</f>
        <v>0</v>
      </c>
    </row>
    <row r="52" spans="2:7" x14ac:dyDescent="0.3">
      <c r="B52" s="1189"/>
      <c r="C52" s="961"/>
      <c r="D52" s="961" t="str">
        <f>D51</f>
        <v>Terminal E</v>
      </c>
      <c r="E52" s="576"/>
      <c r="F52" s="439" t="s">
        <v>362</v>
      </c>
      <c r="G52" s="54">
        <f>SUMIFS('Data Entry'!M:M,'Data Entry'!F:F,D52,'Data Entry'!L:L,F52)</f>
        <v>0</v>
      </c>
    </row>
    <row r="53" spans="2:7" x14ac:dyDescent="0.3">
      <c r="B53" s="1189"/>
      <c r="C53" s="961"/>
      <c r="D53" s="961" t="str">
        <f>D52</f>
        <v>Terminal E</v>
      </c>
      <c r="E53" s="576"/>
      <c r="F53" s="439" t="s">
        <v>363</v>
      </c>
      <c r="G53" s="54">
        <f>SUMIFS('Data Entry'!M:M,'Data Entry'!F:F,D53,'Data Entry'!L:L,F53)</f>
        <v>0</v>
      </c>
    </row>
    <row r="54" spans="2:7" ht="15" thickBot="1" x14ac:dyDescent="0.35">
      <c r="B54" s="1189"/>
      <c r="C54" s="1191"/>
      <c r="D54" s="1191" t="str">
        <f>D53</f>
        <v>Terminal E</v>
      </c>
      <c r="E54" s="605"/>
      <c r="F54" s="606" t="s">
        <v>364</v>
      </c>
      <c r="G54" s="61">
        <f>SUMIFS('Data Entry'!M:M,'Data Entry'!F:F,D54,'Data Entry'!L:L,F54)</f>
        <v>0</v>
      </c>
    </row>
    <row r="55" spans="2:7" x14ac:dyDescent="0.3">
      <c r="B55" s="1186" t="s">
        <v>412</v>
      </c>
      <c r="C55" s="1187" t="s">
        <v>383</v>
      </c>
      <c r="D55" s="1187" t="s">
        <v>383</v>
      </c>
      <c r="E55" s="1188" t="str">
        <f>VLOOKUP(D55,'Airport Mapping'!$C$5:$D$39,2,FALSE)</f>
        <v xml:space="preserve"> </v>
      </c>
      <c r="F55" s="1192" t="s">
        <v>6</v>
      </c>
      <c r="G55" s="53">
        <f>SUMIFS('Data Entry'!M:M,'Data Entry'!F:F,D55,'Data Entry'!L:L,F55)</f>
        <v>0</v>
      </c>
    </row>
    <row r="56" spans="2:7" x14ac:dyDescent="0.3">
      <c r="B56" s="1189"/>
      <c r="C56" s="1193"/>
      <c r="D56" s="961" t="s">
        <v>383</v>
      </c>
      <c r="E56" s="576"/>
      <c r="F56" s="60" t="s">
        <v>120</v>
      </c>
      <c r="G56" s="54">
        <f>SUMIFS('Data Entry'!M:M,'Data Entry'!F:F,D56,'Data Entry'!L:L,F56)</f>
        <v>0</v>
      </c>
    </row>
    <row r="57" spans="2:7" x14ac:dyDescent="0.3">
      <c r="B57" s="1189"/>
      <c r="C57" s="1193"/>
      <c r="D57" s="961" t="s">
        <v>383</v>
      </c>
      <c r="E57" s="576"/>
      <c r="F57" s="183" t="s">
        <v>424</v>
      </c>
      <c r="G57" s="54">
        <f>SUMIFS('Data Entry'!M:M,'Data Entry'!F:F,D57,'Data Entry'!L:L,F57)</f>
        <v>0</v>
      </c>
    </row>
    <row r="58" spans="2:7" x14ac:dyDescent="0.3">
      <c r="B58" s="1189"/>
      <c r="C58" s="1193"/>
      <c r="D58" s="961" t="s">
        <v>383</v>
      </c>
      <c r="E58" s="576"/>
      <c r="F58" s="183" t="s">
        <v>365</v>
      </c>
      <c r="G58" s="54">
        <f>SUMIFS('Data Entry'!M:M,'Data Entry'!F:F,D58,'Data Entry'!L:L,F58)</f>
        <v>0</v>
      </c>
    </row>
    <row r="59" spans="2:7" x14ac:dyDescent="0.3">
      <c r="B59" s="1189"/>
      <c r="C59" s="961"/>
      <c r="D59" s="961" t="s">
        <v>383</v>
      </c>
      <c r="E59" s="576"/>
      <c r="F59" s="439" t="s">
        <v>362</v>
      </c>
      <c r="G59" s="54">
        <f>SUMIFS('Data Entry'!M:M,'Data Entry'!F:F,D59,'Data Entry'!L:L,F59)</f>
        <v>0</v>
      </c>
    </row>
    <row r="60" spans="2:7" x14ac:dyDescent="0.3">
      <c r="B60" s="1189"/>
      <c r="C60" s="961"/>
      <c r="D60" s="961" t="s">
        <v>383</v>
      </c>
      <c r="E60" s="576"/>
      <c r="F60" s="439" t="s">
        <v>363</v>
      </c>
      <c r="G60" s="54">
        <f>SUMIFS('Data Entry'!M:M,'Data Entry'!F:F,D60,'Data Entry'!L:L,F60)</f>
        <v>0</v>
      </c>
    </row>
    <row r="61" spans="2:7" ht="15" thickBot="1" x14ac:dyDescent="0.35">
      <c r="B61" s="1189"/>
      <c r="C61" s="961"/>
      <c r="D61" s="961" t="s">
        <v>383</v>
      </c>
      <c r="E61" s="605"/>
      <c r="F61" s="606" t="s">
        <v>364</v>
      </c>
      <c r="G61" s="55">
        <f>SUMIFS('Data Entry'!M:M,'Data Entry'!F:F,D61,'Data Entry'!L:L,F61)</f>
        <v>0</v>
      </c>
    </row>
    <row r="62" spans="2:7" x14ac:dyDescent="0.3">
      <c r="B62" s="1189"/>
      <c r="C62" s="1194" t="s">
        <v>384</v>
      </c>
      <c r="D62" s="1195" t="s">
        <v>384</v>
      </c>
      <c r="E62" s="1188" t="str">
        <f>VLOOKUP(D62,'Airport Mapping'!$C$5:$D$39,2,FALSE)</f>
        <v xml:space="preserve"> </v>
      </c>
      <c r="F62" s="1192" t="s">
        <v>6</v>
      </c>
      <c r="G62" s="62">
        <f>SUMIFS('Data Entry'!M:M,'Data Entry'!F:F,D62,'Data Entry'!L:L,F62)</f>
        <v>0</v>
      </c>
    </row>
    <row r="63" spans="2:7" x14ac:dyDescent="0.3">
      <c r="B63" s="1189"/>
      <c r="C63" s="1196"/>
      <c r="D63" s="1197" t="s">
        <v>384</v>
      </c>
      <c r="E63" s="576"/>
      <c r="F63" s="60" t="s">
        <v>120</v>
      </c>
      <c r="G63" s="54">
        <f>SUMIFS('Data Entry'!M:M,'Data Entry'!F:F,D63,'Data Entry'!L:L,F63)</f>
        <v>0</v>
      </c>
    </row>
    <row r="64" spans="2:7" x14ac:dyDescent="0.3">
      <c r="B64" s="1189"/>
      <c r="C64" s="1196"/>
      <c r="D64" s="1197" t="s">
        <v>384</v>
      </c>
      <c r="E64" s="576"/>
      <c r="F64" s="183" t="s">
        <v>424</v>
      </c>
      <c r="G64" s="54">
        <f>SUMIFS('Data Entry'!M:M,'Data Entry'!F:F,D64,'Data Entry'!L:L,F64)</f>
        <v>0</v>
      </c>
    </row>
    <row r="65" spans="2:7" x14ac:dyDescent="0.3">
      <c r="B65" s="1189"/>
      <c r="C65" s="1196"/>
      <c r="D65" s="1197" t="s">
        <v>384</v>
      </c>
      <c r="E65" s="576"/>
      <c r="F65" s="183" t="s">
        <v>365</v>
      </c>
      <c r="G65" s="54">
        <f>SUMIFS('Data Entry'!M:M,'Data Entry'!F:F,D65,'Data Entry'!L:L,F65)</f>
        <v>0</v>
      </c>
    </row>
    <row r="66" spans="2:7" x14ac:dyDescent="0.3">
      <c r="B66" s="1189"/>
      <c r="C66" s="1198"/>
      <c r="D66" s="1197" t="s">
        <v>384</v>
      </c>
      <c r="E66" s="576"/>
      <c r="F66" s="439" t="s">
        <v>362</v>
      </c>
      <c r="G66" s="54">
        <f>SUMIFS('Data Entry'!M:M,'Data Entry'!F:F,D66,'Data Entry'!L:L,F66)</f>
        <v>0</v>
      </c>
    </row>
    <row r="67" spans="2:7" x14ac:dyDescent="0.3">
      <c r="B67" s="1189"/>
      <c r="C67" s="1198"/>
      <c r="D67" s="1197" t="s">
        <v>384</v>
      </c>
      <c r="E67" s="576"/>
      <c r="F67" s="439" t="s">
        <v>363</v>
      </c>
      <c r="G67" s="54">
        <f>SUMIFS('Data Entry'!M:M,'Data Entry'!F:F,D67,'Data Entry'!L:L,F67)</f>
        <v>0</v>
      </c>
    </row>
    <row r="68" spans="2:7" ht="15" thickBot="1" x14ac:dyDescent="0.35">
      <c r="B68" s="1189"/>
      <c r="C68" s="1199"/>
      <c r="D68" s="1200" t="s">
        <v>384</v>
      </c>
      <c r="E68" s="605"/>
      <c r="F68" s="606" t="s">
        <v>364</v>
      </c>
      <c r="G68" s="61">
        <f>SUMIFS('Data Entry'!M:M,'Data Entry'!F:F,D68,'Data Entry'!L:L,F68)</f>
        <v>0</v>
      </c>
    </row>
    <row r="69" spans="2:7" x14ac:dyDescent="0.3">
      <c r="B69" s="1189"/>
      <c r="C69" s="1194" t="s">
        <v>385</v>
      </c>
      <c r="D69" s="1195" t="s">
        <v>385</v>
      </c>
      <c r="E69" s="1188" t="str">
        <f>VLOOKUP(D69,'Airport Mapping'!$C$5:$D$39,2,FALSE)</f>
        <v xml:space="preserve"> </v>
      </c>
      <c r="F69" s="1192" t="s">
        <v>6</v>
      </c>
      <c r="G69" s="53">
        <f>SUMIFS('Data Entry'!M:M,'Data Entry'!F:F,D69,'Data Entry'!L:L,F69)</f>
        <v>0</v>
      </c>
    </row>
    <row r="70" spans="2:7" x14ac:dyDescent="0.3">
      <c r="B70" s="1189"/>
      <c r="C70" s="1196"/>
      <c r="D70" s="1197" t="s">
        <v>385</v>
      </c>
      <c r="E70" s="576"/>
      <c r="F70" s="60" t="s">
        <v>120</v>
      </c>
      <c r="G70" s="54">
        <f>SUMIFS('Data Entry'!M:M,'Data Entry'!F:F,D70,'Data Entry'!L:L,F70)</f>
        <v>0</v>
      </c>
    </row>
    <row r="71" spans="2:7" x14ac:dyDescent="0.3">
      <c r="B71" s="1189"/>
      <c r="C71" s="1196"/>
      <c r="D71" s="1197" t="s">
        <v>385</v>
      </c>
      <c r="E71" s="576"/>
      <c r="F71" s="183" t="s">
        <v>424</v>
      </c>
      <c r="G71" s="54">
        <f>SUMIFS('Data Entry'!M:M,'Data Entry'!F:F,D71,'Data Entry'!L:L,F71)</f>
        <v>0</v>
      </c>
    </row>
    <row r="72" spans="2:7" x14ac:dyDescent="0.3">
      <c r="B72" s="1189"/>
      <c r="C72" s="1196"/>
      <c r="D72" s="1197" t="s">
        <v>385</v>
      </c>
      <c r="E72" s="576"/>
      <c r="F72" s="183" t="s">
        <v>365</v>
      </c>
      <c r="G72" s="54">
        <f>SUMIFS('Data Entry'!M:M,'Data Entry'!F:F,D72,'Data Entry'!L:L,F72)</f>
        <v>0</v>
      </c>
    </row>
    <row r="73" spans="2:7" x14ac:dyDescent="0.3">
      <c r="B73" s="1189"/>
      <c r="C73" s="1198"/>
      <c r="D73" s="1197" t="s">
        <v>385</v>
      </c>
      <c r="E73" s="576"/>
      <c r="F73" s="439" t="s">
        <v>362</v>
      </c>
      <c r="G73" s="54">
        <f>SUMIFS('Data Entry'!M:M,'Data Entry'!F:F,D73,'Data Entry'!L:L,F73)</f>
        <v>0</v>
      </c>
    </row>
    <row r="74" spans="2:7" x14ac:dyDescent="0.3">
      <c r="B74" s="1189"/>
      <c r="C74" s="1198"/>
      <c r="D74" s="1197" t="s">
        <v>385</v>
      </c>
      <c r="E74" s="576"/>
      <c r="F74" s="439" t="s">
        <v>363</v>
      </c>
      <c r="G74" s="54">
        <f>SUMIFS('Data Entry'!M:M,'Data Entry'!F:F,D74,'Data Entry'!L:L,F74)</f>
        <v>0</v>
      </c>
    </row>
    <row r="75" spans="2:7" ht="15" thickBot="1" x14ac:dyDescent="0.35">
      <c r="B75" s="1189"/>
      <c r="C75" s="1199"/>
      <c r="D75" s="1200" t="s">
        <v>385</v>
      </c>
      <c r="E75" s="605"/>
      <c r="F75" s="606" t="s">
        <v>364</v>
      </c>
      <c r="G75" s="55">
        <f>SUMIFS('Data Entry'!M:M,'Data Entry'!F:F,D75,'Data Entry'!L:L,F75)</f>
        <v>0</v>
      </c>
    </row>
    <row r="76" spans="2:7" x14ac:dyDescent="0.3">
      <c r="B76" s="1189"/>
      <c r="C76" s="1194" t="s">
        <v>386</v>
      </c>
      <c r="D76" s="1195" t="s">
        <v>386</v>
      </c>
      <c r="E76" s="1188" t="str">
        <f>VLOOKUP(D76,'Airport Mapping'!$C$5:$D$39,2,FALSE)</f>
        <v xml:space="preserve"> </v>
      </c>
      <c r="F76" s="1192" t="s">
        <v>6</v>
      </c>
      <c r="G76" s="62">
        <f>SUMIFS('Data Entry'!M:M,'Data Entry'!F:F,D76,'Data Entry'!L:L,F76)</f>
        <v>0</v>
      </c>
    </row>
    <row r="77" spans="2:7" x14ac:dyDescent="0.3">
      <c r="B77" s="1189"/>
      <c r="C77" s="1196"/>
      <c r="D77" s="1197" t="s">
        <v>386</v>
      </c>
      <c r="E77" s="576"/>
      <c r="F77" s="60" t="s">
        <v>120</v>
      </c>
      <c r="G77" s="54">
        <f>SUMIFS('Data Entry'!M:M,'Data Entry'!F:F,D77,'Data Entry'!L:L,F77)</f>
        <v>0</v>
      </c>
    </row>
    <row r="78" spans="2:7" x14ac:dyDescent="0.3">
      <c r="B78" s="1189"/>
      <c r="C78" s="1196"/>
      <c r="D78" s="1197" t="s">
        <v>386</v>
      </c>
      <c r="E78" s="576"/>
      <c r="F78" s="183" t="s">
        <v>424</v>
      </c>
      <c r="G78" s="54">
        <f>SUMIFS('Data Entry'!M:M,'Data Entry'!F:F,D78,'Data Entry'!L:L,F78)</f>
        <v>0</v>
      </c>
    </row>
    <row r="79" spans="2:7" x14ac:dyDescent="0.3">
      <c r="B79" s="1189"/>
      <c r="C79" s="1196"/>
      <c r="D79" s="1197" t="s">
        <v>386</v>
      </c>
      <c r="E79" s="576"/>
      <c r="F79" s="183" t="s">
        <v>365</v>
      </c>
      <c r="G79" s="54">
        <f>SUMIFS('Data Entry'!M:M,'Data Entry'!F:F,D79,'Data Entry'!L:L,F79)</f>
        <v>0</v>
      </c>
    </row>
    <row r="80" spans="2:7" x14ac:dyDescent="0.3">
      <c r="B80" s="1189"/>
      <c r="C80" s="1198"/>
      <c r="D80" s="1197" t="s">
        <v>386</v>
      </c>
      <c r="E80" s="576"/>
      <c r="F80" s="439" t="s">
        <v>362</v>
      </c>
      <c r="G80" s="54">
        <f>SUMIFS('Data Entry'!M:M,'Data Entry'!F:F,D80,'Data Entry'!L:L,F80)</f>
        <v>0</v>
      </c>
    </row>
    <row r="81" spans="2:7" x14ac:dyDescent="0.3">
      <c r="B81" s="1189"/>
      <c r="C81" s="1198"/>
      <c r="D81" s="1197" t="s">
        <v>386</v>
      </c>
      <c r="E81" s="576"/>
      <c r="F81" s="439" t="s">
        <v>363</v>
      </c>
      <c r="G81" s="54">
        <f>SUMIFS('Data Entry'!M:M,'Data Entry'!F:F,D81,'Data Entry'!L:L,F81)</f>
        <v>0</v>
      </c>
    </row>
    <row r="82" spans="2:7" ht="15" thickBot="1" x14ac:dyDescent="0.35">
      <c r="B82" s="1189"/>
      <c r="C82" s="1199"/>
      <c r="D82" s="1200" t="s">
        <v>386</v>
      </c>
      <c r="E82" s="605"/>
      <c r="F82" s="606" t="s">
        <v>364</v>
      </c>
      <c r="G82" s="61">
        <f>SUMIFS('Data Entry'!M:M,'Data Entry'!F:F,D82,'Data Entry'!L:L,F82)</f>
        <v>0</v>
      </c>
    </row>
    <row r="83" spans="2:7" x14ac:dyDescent="0.3">
      <c r="B83" s="1189"/>
      <c r="C83" s="1194" t="s">
        <v>387</v>
      </c>
      <c r="D83" s="1195" t="s">
        <v>387</v>
      </c>
      <c r="E83" s="1188" t="str">
        <f>VLOOKUP(D83,'Airport Mapping'!$C$5:$D$39,2,FALSE)</f>
        <v xml:space="preserve"> </v>
      </c>
      <c r="F83" s="1192" t="s">
        <v>6</v>
      </c>
      <c r="G83" s="53">
        <f>SUMIFS('Data Entry'!M:M,'Data Entry'!F:F,D83,'Data Entry'!L:L,F83)</f>
        <v>0</v>
      </c>
    </row>
    <row r="84" spans="2:7" x14ac:dyDescent="0.3">
      <c r="B84" s="1189"/>
      <c r="C84" s="1196"/>
      <c r="D84" s="1197" t="s">
        <v>387</v>
      </c>
      <c r="E84" s="576"/>
      <c r="F84" s="60" t="s">
        <v>120</v>
      </c>
      <c r="G84" s="54">
        <f>SUMIFS('Data Entry'!M:M,'Data Entry'!F:F,D84,'Data Entry'!L:L,F84)</f>
        <v>0</v>
      </c>
    </row>
    <row r="85" spans="2:7" x14ac:dyDescent="0.3">
      <c r="B85" s="1189"/>
      <c r="C85" s="1196"/>
      <c r="D85" s="1197" t="s">
        <v>387</v>
      </c>
      <c r="E85" s="576"/>
      <c r="F85" s="183" t="s">
        <v>424</v>
      </c>
      <c r="G85" s="54">
        <f>SUMIFS('Data Entry'!M:M,'Data Entry'!F:F,D85,'Data Entry'!L:L,F85)</f>
        <v>0</v>
      </c>
    </row>
    <row r="86" spans="2:7" x14ac:dyDescent="0.3">
      <c r="B86" s="1189"/>
      <c r="C86" s="1196"/>
      <c r="D86" s="1197" t="s">
        <v>387</v>
      </c>
      <c r="E86" s="576"/>
      <c r="F86" s="183" t="s">
        <v>365</v>
      </c>
      <c r="G86" s="54">
        <f>SUMIFS('Data Entry'!M:M,'Data Entry'!F:F,D86,'Data Entry'!L:L,F86)</f>
        <v>0</v>
      </c>
    </row>
    <row r="87" spans="2:7" x14ac:dyDescent="0.3">
      <c r="B87" s="1189"/>
      <c r="C87" s="1198"/>
      <c r="D87" s="1197" t="s">
        <v>387</v>
      </c>
      <c r="E87" s="576"/>
      <c r="F87" s="439" t="s">
        <v>362</v>
      </c>
      <c r="G87" s="54">
        <f>SUMIFS('Data Entry'!M:M,'Data Entry'!F:F,D87,'Data Entry'!L:L,F87)</f>
        <v>0</v>
      </c>
    </row>
    <row r="88" spans="2:7" x14ac:dyDescent="0.3">
      <c r="B88" s="1189"/>
      <c r="C88" s="1198"/>
      <c r="D88" s="1197" t="s">
        <v>387</v>
      </c>
      <c r="E88" s="576"/>
      <c r="F88" s="439" t="s">
        <v>363</v>
      </c>
      <c r="G88" s="54">
        <f>SUMIFS('Data Entry'!M:M,'Data Entry'!F:F,D88,'Data Entry'!L:L,F88)</f>
        <v>0</v>
      </c>
    </row>
    <row r="89" spans="2:7" ht="15" thickBot="1" x14ac:dyDescent="0.35">
      <c r="B89" s="1189"/>
      <c r="C89" s="1199"/>
      <c r="D89" s="1200" t="s">
        <v>387</v>
      </c>
      <c r="E89" s="605"/>
      <c r="F89" s="606" t="s">
        <v>364</v>
      </c>
      <c r="G89" s="55">
        <f>SUMIFS('Data Entry'!M:M,'Data Entry'!F:F,D89,'Data Entry'!L:L,F89)</f>
        <v>0</v>
      </c>
    </row>
    <row r="90" spans="2:7" x14ac:dyDescent="0.3">
      <c r="B90" s="1186" t="s">
        <v>11</v>
      </c>
      <c r="C90" s="1201" t="s">
        <v>89</v>
      </c>
      <c r="D90" s="1187" t="s">
        <v>89</v>
      </c>
      <c r="E90" s="1188" t="str">
        <f>VLOOKUP(D90,'Airport Mapping'!$C$5:$D$39,2,FALSE)</f>
        <v xml:space="preserve"> </v>
      </c>
      <c r="F90" s="1192" t="s">
        <v>73</v>
      </c>
      <c r="G90" s="62">
        <f>SUMIFS('Data Entry'!M:M,'Data Entry'!F:F,D90,'Data Entry'!L:L,F90)</f>
        <v>0</v>
      </c>
    </row>
    <row r="91" spans="2:7" x14ac:dyDescent="0.3">
      <c r="B91" s="1189"/>
      <c r="C91" s="1193"/>
      <c r="D91" s="961" t="s">
        <v>89</v>
      </c>
      <c r="E91" s="576"/>
      <c r="F91" s="60" t="s">
        <v>6</v>
      </c>
      <c r="G91" s="62">
        <f>SUMIFS('Data Entry'!M:M,'Data Entry'!F:F,D91,'Data Entry'!L:L,F91)</f>
        <v>0</v>
      </c>
    </row>
    <row r="92" spans="2:7" x14ac:dyDescent="0.3">
      <c r="B92" s="1189"/>
      <c r="C92" s="1193"/>
      <c r="D92" s="961" t="s">
        <v>89</v>
      </c>
      <c r="E92" s="576"/>
      <c r="F92" s="60" t="s">
        <v>120</v>
      </c>
      <c r="G92" s="62">
        <f>SUMIFS('Data Entry'!M:M,'Data Entry'!F:F,D92,'Data Entry'!L:L,F92)</f>
        <v>0</v>
      </c>
    </row>
    <row r="93" spans="2:7" x14ac:dyDescent="0.3">
      <c r="B93" s="1189"/>
      <c r="C93" s="1193"/>
      <c r="D93" s="961" t="s">
        <v>89</v>
      </c>
      <c r="E93" s="576"/>
      <c r="F93" s="183" t="s">
        <v>424</v>
      </c>
      <c r="G93" s="62">
        <f>SUMIFS('Data Entry'!M:M,'Data Entry'!F:F,D93,'Data Entry'!L:L,F93)</f>
        <v>0</v>
      </c>
    </row>
    <row r="94" spans="2:7" x14ac:dyDescent="0.3">
      <c r="B94" s="1189"/>
      <c r="C94" s="1193"/>
      <c r="D94" s="961" t="s">
        <v>89</v>
      </c>
      <c r="E94" s="576"/>
      <c r="F94" s="183" t="s">
        <v>365</v>
      </c>
      <c r="G94" s="62">
        <f>SUMIFS('Data Entry'!M:M,'Data Entry'!F:F,D94,'Data Entry'!L:L,F94)</f>
        <v>0</v>
      </c>
    </row>
    <row r="95" spans="2:7" x14ac:dyDescent="0.3">
      <c r="B95" s="1189"/>
      <c r="C95" s="961"/>
      <c r="D95" s="961" t="str">
        <f>D94</f>
        <v>Rental Car Center A</v>
      </c>
      <c r="E95" s="576"/>
      <c r="F95" s="439" t="s">
        <v>362</v>
      </c>
      <c r="G95" s="62">
        <f>SUMIFS('Data Entry'!M:M,'Data Entry'!F:F,D95,'Data Entry'!L:L,F95)</f>
        <v>0</v>
      </c>
    </row>
    <row r="96" spans="2:7" x14ac:dyDescent="0.3">
      <c r="B96" s="1189"/>
      <c r="C96" s="961"/>
      <c r="D96" s="961" t="str">
        <f>D95</f>
        <v>Rental Car Center A</v>
      </c>
      <c r="E96" s="576"/>
      <c r="F96" s="439" t="s">
        <v>363</v>
      </c>
      <c r="G96" s="62">
        <f>SUMIFS('Data Entry'!M:M,'Data Entry'!F:F,D96,'Data Entry'!L:L,F96)</f>
        <v>0</v>
      </c>
    </row>
    <row r="97" spans="2:7" ht="15" thickBot="1" x14ac:dyDescent="0.35">
      <c r="B97" s="1189"/>
      <c r="C97" s="1191"/>
      <c r="D97" s="1191" t="str">
        <f>D96</f>
        <v>Rental Car Center A</v>
      </c>
      <c r="E97" s="605"/>
      <c r="F97" s="606" t="s">
        <v>364</v>
      </c>
      <c r="G97" s="818">
        <f>SUMIFS('Data Entry'!M:M,'Data Entry'!F:F,D97,'Data Entry'!L:L,F97)</f>
        <v>0</v>
      </c>
    </row>
    <row r="98" spans="2:7" x14ac:dyDescent="0.3">
      <c r="B98" s="1189"/>
      <c r="C98" s="1201" t="s">
        <v>90</v>
      </c>
      <c r="D98" s="1187" t="s">
        <v>90</v>
      </c>
      <c r="E98" s="1188" t="str">
        <f>VLOOKUP(D98,'Airport Mapping'!$C$5:$D$39,2,FALSE)</f>
        <v xml:space="preserve"> </v>
      </c>
      <c r="F98" s="1192" t="s">
        <v>73</v>
      </c>
      <c r="G98" s="53">
        <f>SUMIFS('Data Entry'!M:M,'Data Entry'!F:F,D98,'Data Entry'!L:L,F98)</f>
        <v>0</v>
      </c>
    </row>
    <row r="99" spans="2:7" x14ac:dyDescent="0.3">
      <c r="B99" s="1189"/>
      <c r="C99" s="1193"/>
      <c r="D99" s="961" t="s">
        <v>90</v>
      </c>
      <c r="E99" s="576"/>
      <c r="F99" s="60" t="s">
        <v>6</v>
      </c>
      <c r="G99" s="62">
        <f>SUMIFS('Data Entry'!M:M,'Data Entry'!F:F,D99,'Data Entry'!L:L,F99)</f>
        <v>0</v>
      </c>
    </row>
    <row r="100" spans="2:7" x14ac:dyDescent="0.3">
      <c r="B100" s="1189"/>
      <c r="C100" s="1193"/>
      <c r="D100" s="961" t="s">
        <v>90</v>
      </c>
      <c r="E100" s="576"/>
      <c r="F100" s="60" t="s">
        <v>120</v>
      </c>
      <c r="G100" s="62">
        <f>SUMIFS('Data Entry'!M:M,'Data Entry'!F:F,D100,'Data Entry'!L:L,F100)</f>
        <v>0</v>
      </c>
    </row>
    <row r="101" spans="2:7" x14ac:dyDescent="0.3">
      <c r="B101" s="1189"/>
      <c r="C101" s="1193"/>
      <c r="D101" s="961" t="s">
        <v>90</v>
      </c>
      <c r="E101" s="576"/>
      <c r="F101" s="183" t="s">
        <v>424</v>
      </c>
      <c r="G101" s="62">
        <f>SUMIFS('Data Entry'!M:M,'Data Entry'!F:F,D101,'Data Entry'!L:L,F101)</f>
        <v>0</v>
      </c>
    </row>
    <row r="102" spans="2:7" x14ac:dyDescent="0.3">
      <c r="B102" s="1189"/>
      <c r="C102" s="1193"/>
      <c r="D102" s="961" t="s">
        <v>90</v>
      </c>
      <c r="E102" s="576"/>
      <c r="F102" s="183" t="s">
        <v>365</v>
      </c>
      <c r="G102" s="62">
        <f>SUMIFS('Data Entry'!M:M,'Data Entry'!F:F,D102,'Data Entry'!L:L,F102)</f>
        <v>0</v>
      </c>
    </row>
    <row r="103" spans="2:7" x14ac:dyDescent="0.3">
      <c r="B103" s="1189"/>
      <c r="C103" s="961"/>
      <c r="D103" s="961" t="str">
        <f>D102</f>
        <v>Rental Car Center B</v>
      </c>
      <c r="E103" s="576"/>
      <c r="F103" s="439" t="s">
        <v>362</v>
      </c>
      <c r="G103" s="62">
        <f>SUMIFS('Data Entry'!M:M,'Data Entry'!F:F,D103,'Data Entry'!L:L,F103)</f>
        <v>0</v>
      </c>
    </row>
    <row r="104" spans="2:7" x14ac:dyDescent="0.3">
      <c r="B104" s="1189"/>
      <c r="C104" s="961"/>
      <c r="D104" s="961" t="str">
        <f>D103</f>
        <v>Rental Car Center B</v>
      </c>
      <c r="E104" s="576"/>
      <c r="F104" s="439" t="s">
        <v>363</v>
      </c>
      <c r="G104" s="62">
        <f>SUMIFS('Data Entry'!M:M,'Data Entry'!F:F,D104,'Data Entry'!L:L,F104)</f>
        <v>0</v>
      </c>
    </row>
    <row r="105" spans="2:7" ht="15" thickBot="1" x14ac:dyDescent="0.35">
      <c r="B105" s="1189"/>
      <c r="C105" s="1191"/>
      <c r="D105" s="1191" t="str">
        <f>D104</f>
        <v>Rental Car Center B</v>
      </c>
      <c r="E105" s="605"/>
      <c r="F105" s="606" t="s">
        <v>364</v>
      </c>
      <c r="G105" s="687">
        <f>SUMIFS('Data Entry'!M:M,'Data Entry'!F:F,D105,'Data Entry'!L:L,F105)</f>
        <v>0</v>
      </c>
    </row>
    <row r="106" spans="2:7" x14ac:dyDescent="0.3">
      <c r="B106" s="1189"/>
      <c r="C106" s="1201" t="s">
        <v>766</v>
      </c>
      <c r="D106" s="1187" t="s">
        <v>766</v>
      </c>
      <c r="E106" s="1188" t="str">
        <f>VLOOKUP(D106,'Airport Mapping'!$C$5:$D$39,2,FALSE)</f>
        <v xml:space="preserve"> </v>
      </c>
      <c r="F106" s="1192" t="s">
        <v>73</v>
      </c>
      <c r="G106" s="53">
        <f>SUMIFS('Data Entry'!M:M,'Data Entry'!F:F,D106,'Data Entry'!L:L,F106)</f>
        <v>0</v>
      </c>
    </row>
    <row r="107" spans="2:7" x14ac:dyDescent="0.3">
      <c r="B107" s="1189"/>
      <c r="C107" s="1193"/>
      <c r="D107" s="961" t="s">
        <v>766</v>
      </c>
      <c r="E107" s="576"/>
      <c r="F107" s="60" t="s">
        <v>6</v>
      </c>
      <c r="G107" s="62">
        <f>SUMIFS('Data Entry'!M:M,'Data Entry'!F:F,D107,'Data Entry'!L:L,F107)</f>
        <v>0</v>
      </c>
    </row>
    <row r="108" spans="2:7" x14ac:dyDescent="0.3">
      <c r="B108" s="1189"/>
      <c r="C108" s="1193"/>
      <c r="D108" s="961" t="s">
        <v>766</v>
      </c>
      <c r="E108" s="576"/>
      <c r="F108" s="60" t="s">
        <v>120</v>
      </c>
      <c r="G108" s="62">
        <f>SUMIFS('Data Entry'!M:M,'Data Entry'!F:F,D108,'Data Entry'!L:L,F108)</f>
        <v>0</v>
      </c>
    </row>
    <row r="109" spans="2:7" x14ac:dyDescent="0.3">
      <c r="B109" s="1189"/>
      <c r="C109" s="1193"/>
      <c r="D109" s="961" t="s">
        <v>766</v>
      </c>
      <c r="E109" s="576"/>
      <c r="F109" s="183" t="s">
        <v>424</v>
      </c>
      <c r="G109" s="62">
        <f>SUMIFS('Data Entry'!M:M,'Data Entry'!F:F,D109,'Data Entry'!L:L,F109)</f>
        <v>0</v>
      </c>
    </row>
    <row r="110" spans="2:7" x14ac:dyDescent="0.3">
      <c r="B110" s="1189"/>
      <c r="C110" s="1193"/>
      <c r="D110" s="961" t="s">
        <v>766</v>
      </c>
      <c r="E110" s="576"/>
      <c r="F110" s="183" t="s">
        <v>365</v>
      </c>
      <c r="G110" s="62">
        <f>SUMIFS('Data Entry'!M:M,'Data Entry'!F:F,D110,'Data Entry'!L:L,F110)</f>
        <v>0</v>
      </c>
    </row>
    <row r="111" spans="2:7" x14ac:dyDescent="0.3">
      <c r="B111" s="1189"/>
      <c r="C111" s="961"/>
      <c r="D111" s="961" t="str">
        <f>D110</f>
        <v>Rental Car Center C</v>
      </c>
      <c r="E111" s="576"/>
      <c r="F111" s="439" t="s">
        <v>362</v>
      </c>
      <c r="G111" s="62">
        <f>SUMIFS('Data Entry'!M:M,'Data Entry'!F:F,D111,'Data Entry'!L:L,F111)</f>
        <v>0</v>
      </c>
    </row>
    <row r="112" spans="2:7" x14ac:dyDescent="0.3">
      <c r="B112" s="1189"/>
      <c r="C112" s="961"/>
      <c r="D112" s="961" t="str">
        <f>D111</f>
        <v>Rental Car Center C</v>
      </c>
      <c r="E112" s="576"/>
      <c r="F112" s="439" t="s">
        <v>363</v>
      </c>
      <c r="G112" s="62">
        <f>SUMIFS('Data Entry'!M:M,'Data Entry'!F:F,D112,'Data Entry'!L:L,F112)</f>
        <v>0</v>
      </c>
    </row>
    <row r="113" spans="2:7" ht="15" thickBot="1" x14ac:dyDescent="0.35">
      <c r="B113" s="1189"/>
      <c r="C113" s="1191"/>
      <c r="D113" s="1191" t="str">
        <f>D112</f>
        <v>Rental Car Center C</v>
      </c>
      <c r="E113" s="605"/>
      <c r="F113" s="606" t="s">
        <v>364</v>
      </c>
      <c r="G113" s="687">
        <f>SUMIFS('Data Entry'!M:M,'Data Entry'!F:F,D113,'Data Entry'!L:L,F113)</f>
        <v>0</v>
      </c>
    </row>
    <row r="114" spans="2:7" x14ac:dyDescent="0.3">
      <c r="B114" s="1189"/>
      <c r="C114" s="1201" t="s">
        <v>767</v>
      </c>
      <c r="D114" s="1187" t="s">
        <v>767</v>
      </c>
      <c r="E114" s="1188" t="str">
        <f>VLOOKUP(D114,'Airport Mapping'!$C$5:$D$39,2,FALSE)</f>
        <v xml:space="preserve"> </v>
      </c>
      <c r="F114" s="1192" t="s">
        <v>73</v>
      </c>
      <c r="G114" s="62">
        <f>SUMIFS('Data Entry'!M:M,'Data Entry'!F:F,D114,'Data Entry'!L:L,F114)</f>
        <v>0</v>
      </c>
    </row>
    <row r="115" spans="2:7" x14ac:dyDescent="0.3">
      <c r="B115" s="1189"/>
      <c r="C115" s="1193"/>
      <c r="D115" s="961" t="s">
        <v>767</v>
      </c>
      <c r="E115" s="576"/>
      <c r="F115" s="60" t="s">
        <v>6</v>
      </c>
      <c r="G115" s="62">
        <f>SUMIFS('Data Entry'!M:M,'Data Entry'!F:F,D115,'Data Entry'!L:L,F115)</f>
        <v>0</v>
      </c>
    </row>
    <row r="116" spans="2:7" x14ac:dyDescent="0.3">
      <c r="B116" s="1189"/>
      <c r="C116" s="1193"/>
      <c r="D116" s="961" t="s">
        <v>767</v>
      </c>
      <c r="E116" s="576"/>
      <c r="F116" s="60" t="s">
        <v>120</v>
      </c>
      <c r="G116" s="62">
        <f>SUMIFS('Data Entry'!M:M,'Data Entry'!F:F,D116,'Data Entry'!L:L,F116)</f>
        <v>0</v>
      </c>
    </row>
    <row r="117" spans="2:7" x14ac:dyDescent="0.3">
      <c r="B117" s="1189"/>
      <c r="C117" s="1193"/>
      <c r="D117" s="961" t="s">
        <v>767</v>
      </c>
      <c r="E117" s="576"/>
      <c r="F117" s="183" t="s">
        <v>424</v>
      </c>
      <c r="G117" s="62">
        <f>SUMIFS('Data Entry'!M:M,'Data Entry'!F:F,D117,'Data Entry'!L:L,F117)</f>
        <v>0</v>
      </c>
    </row>
    <row r="118" spans="2:7" x14ac:dyDescent="0.3">
      <c r="B118" s="1189"/>
      <c r="C118" s="1193"/>
      <c r="D118" s="961" t="s">
        <v>767</v>
      </c>
      <c r="E118" s="576"/>
      <c r="F118" s="183" t="s">
        <v>365</v>
      </c>
      <c r="G118" s="62">
        <f>SUMIFS('Data Entry'!M:M,'Data Entry'!F:F,D118,'Data Entry'!L:L,F118)</f>
        <v>0</v>
      </c>
    </row>
    <row r="119" spans="2:7" x14ac:dyDescent="0.3">
      <c r="B119" s="1189"/>
      <c r="C119" s="961"/>
      <c r="D119" s="961" t="str">
        <f>D118</f>
        <v>Rental Car Center D</v>
      </c>
      <c r="E119" s="576"/>
      <c r="F119" s="439" t="s">
        <v>362</v>
      </c>
      <c r="G119" s="62">
        <f>SUMIFS('Data Entry'!M:M,'Data Entry'!F:F,D119,'Data Entry'!L:L,F119)</f>
        <v>0</v>
      </c>
    </row>
    <row r="120" spans="2:7" x14ac:dyDescent="0.3">
      <c r="B120" s="1189"/>
      <c r="C120" s="961"/>
      <c r="D120" s="961" t="str">
        <f>D119</f>
        <v>Rental Car Center D</v>
      </c>
      <c r="E120" s="576"/>
      <c r="F120" s="439" t="s">
        <v>363</v>
      </c>
      <c r="G120" s="62">
        <f>SUMIFS('Data Entry'!M:M,'Data Entry'!F:F,D120,'Data Entry'!L:L,F120)</f>
        <v>0</v>
      </c>
    </row>
    <row r="121" spans="2:7" ht="15" thickBot="1" x14ac:dyDescent="0.35">
      <c r="B121" s="1189"/>
      <c r="C121" s="1191"/>
      <c r="D121" s="1191" t="str">
        <f>D120</f>
        <v>Rental Car Center D</v>
      </c>
      <c r="E121" s="605"/>
      <c r="F121" s="606" t="s">
        <v>364</v>
      </c>
      <c r="G121" s="818">
        <f>SUMIFS('Data Entry'!M:M,'Data Entry'!F:F,D121,'Data Entry'!L:L,F121)</f>
        <v>0</v>
      </c>
    </row>
    <row r="122" spans="2:7" x14ac:dyDescent="0.3">
      <c r="B122" s="1189"/>
      <c r="C122" s="1201" t="s">
        <v>765</v>
      </c>
      <c r="D122" s="1187" t="s">
        <v>765</v>
      </c>
      <c r="E122" s="1188" t="str">
        <f>VLOOKUP(D122,'Airport Mapping'!$C$5:$D$39,2,FALSE)</f>
        <v xml:space="preserve"> </v>
      </c>
      <c r="F122" s="1192" t="s">
        <v>73</v>
      </c>
      <c r="G122" s="53">
        <f>SUMIFS('Data Entry'!M:M,'Data Entry'!F:F,D122,'Data Entry'!L:L,F122)</f>
        <v>0</v>
      </c>
    </row>
    <row r="123" spans="2:7" x14ac:dyDescent="0.3">
      <c r="B123" s="1189"/>
      <c r="C123" s="1193"/>
      <c r="D123" s="961" t="s">
        <v>765</v>
      </c>
      <c r="E123" s="576"/>
      <c r="F123" s="60" t="s">
        <v>6</v>
      </c>
      <c r="G123" s="62">
        <f>SUMIFS('Data Entry'!M:M,'Data Entry'!F:F,D123,'Data Entry'!L:L,F123)</f>
        <v>0</v>
      </c>
    </row>
    <row r="124" spans="2:7" x14ac:dyDescent="0.3">
      <c r="B124" s="1189"/>
      <c r="C124" s="1193"/>
      <c r="D124" s="961" t="s">
        <v>765</v>
      </c>
      <c r="E124" s="576"/>
      <c r="F124" s="60" t="s">
        <v>120</v>
      </c>
      <c r="G124" s="62">
        <f>SUMIFS('Data Entry'!M:M,'Data Entry'!F:F,D124,'Data Entry'!L:L,F124)</f>
        <v>0</v>
      </c>
    </row>
    <row r="125" spans="2:7" x14ac:dyDescent="0.3">
      <c r="B125" s="1189"/>
      <c r="C125" s="1193"/>
      <c r="D125" s="961" t="s">
        <v>765</v>
      </c>
      <c r="E125" s="576"/>
      <c r="F125" s="183" t="s">
        <v>424</v>
      </c>
      <c r="G125" s="62">
        <f>SUMIFS('Data Entry'!M:M,'Data Entry'!F:F,D125,'Data Entry'!L:L,F125)</f>
        <v>0</v>
      </c>
    </row>
    <row r="126" spans="2:7" x14ac:dyDescent="0.3">
      <c r="B126" s="1189"/>
      <c r="C126" s="1193"/>
      <c r="D126" s="961" t="s">
        <v>765</v>
      </c>
      <c r="E126" s="576"/>
      <c r="F126" s="183" t="s">
        <v>365</v>
      </c>
      <c r="G126" s="62">
        <f>SUMIFS('Data Entry'!M:M,'Data Entry'!F:F,D126,'Data Entry'!L:L,F126)</f>
        <v>0</v>
      </c>
    </row>
    <row r="127" spans="2:7" x14ac:dyDescent="0.3">
      <c r="B127" s="1189"/>
      <c r="C127" s="961"/>
      <c r="D127" s="961" t="str">
        <f>D126</f>
        <v>Rental Car Center E</v>
      </c>
      <c r="E127" s="576"/>
      <c r="F127" s="439" t="s">
        <v>362</v>
      </c>
      <c r="G127" s="62">
        <f>SUMIFS('Data Entry'!M:M,'Data Entry'!F:F,D127,'Data Entry'!L:L,F127)</f>
        <v>0</v>
      </c>
    </row>
    <row r="128" spans="2:7" x14ac:dyDescent="0.3">
      <c r="B128" s="1189"/>
      <c r="C128" s="961"/>
      <c r="D128" s="961" t="str">
        <f>D127</f>
        <v>Rental Car Center E</v>
      </c>
      <c r="E128" s="576"/>
      <c r="F128" s="439" t="s">
        <v>363</v>
      </c>
      <c r="G128" s="62">
        <f>SUMIFS('Data Entry'!M:M,'Data Entry'!F:F,D128,'Data Entry'!L:L,F128)</f>
        <v>0</v>
      </c>
    </row>
    <row r="129" spans="2:7" ht="15" thickBot="1" x14ac:dyDescent="0.35">
      <c r="B129" s="1189"/>
      <c r="C129" s="1191"/>
      <c r="D129" s="1191" t="str">
        <f>D128</f>
        <v>Rental Car Center E</v>
      </c>
      <c r="E129" s="605"/>
      <c r="F129" s="606" t="s">
        <v>364</v>
      </c>
      <c r="G129" s="687">
        <f>SUMIFS('Data Entry'!M:M,'Data Entry'!F:F,D129,'Data Entry'!L:L,F129)</f>
        <v>0</v>
      </c>
    </row>
    <row r="130" spans="2:7" x14ac:dyDescent="0.3">
      <c r="B130" s="1186" t="s">
        <v>420</v>
      </c>
      <c r="C130" s="1202" t="s">
        <v>421</v>
      </c>
      <c r="D130" s="1203" t="s">
        <v>421</v>
      </c>
      <c r="E130" s="1188" t="str">
        <f>VLOOKUP(D130,'Airport Mapping'!$C$5:$D$39,2,FALSE)</f>
        <v xml:space="preserve"> </v>
      </c>
      <c r="F130" s="1192" t="s">
        <v>117</v>
      </c>
      <c r="G130" s="62">
        <f>SUMIFS('Data Entry'!M:M,'Data Entry'!F:F,D130,'Data Entry'!L:L,F130)</f>
        <v>0</v>
      </c>
    </row>
    <row r="131" spans="2:7" x14ac:dyDescent="0.3">
      <c r="B131" s="1189"/>
      <c r="C131" s="1196"/>
      <c r="D131" s="1204" t="s">
        <v>421</v>
      </c>
      <c r="E131" s="576"/>
      <c r="F131" s="60" t="s">
        <v>6</v>
      </c>
      <c r="G131" s="54">
        <f>SUMIFS('Data Entry'!M:M,'Data Entry'!F:F,D131,'Data Entry'!L:L,F131)</f>
        <v>0</v>
      </c>
    </row>
    <row r="132" spans="2:7" x14ac:dyDescent="0.3">
      <c r="B132" s="1189"/>
      <c r="C132" s="1196"/>
      <c r="D132" s="1204" t="s">
        <v>421</v>
      </c>
      <c r="E132" s="576"/>
      <c r="F132" s="60" t="s">
        <v>120</v>
      </c>
      <c r="G132" s="54">
        <f>SUMIFS('Data Entry'!M:M,'Data Entry'!F:F,D132,'Data Entry'!L:L,F132)</f>
        <v>0</v>
      </c>
    </row>
    <row r="133" spans="2:7" x14ac:dyDescent="0.3">
      <c r="B133" s="1189"/>
      <c r="C133" s="1196"/>
      <c r="D133" s="1204" t="s">
        <v>421</v>
      </c>
      <c r="E133" s="576"/>
      <c r="F133" s="183" t="s">
        <v>424</v>
      </c>
      <c r="G133" s="54">
        <f>SUMIFS('Data Entry'!M:M,'Data Entry'!F:F,D133,'Data Entry'!L:L,F133)</f>
        <v>0</v>
      </c>
    </row>
    <row r="134" spans="2:7" x14ac:dyDescent="0.3">
      <c r="B134" s="1189"/>
      <c r="C134" s="1196"/>
      <c r="D134" s="1204" t="s">
        <v>421</v>
      </c>
      <c r="E134" s="576"/>
      <c r="F134" s="183" t="s">
        <v>365</v>
      </c>
      <c r="G134" s="54">
        <f>SUMIFS('Data Entry'!M:M,'Data Entry'!F:F,D134,'Data Entry'!L:L,F134)</f>
        <v>0</v>
      </c>
    </row>
    <row r="135" spans="2:7" x14ac:dyDescent="0.3">
      <c r="B135" s="1189"/>
      <c r="C135" s="1198"/>
      <c r="D135" s="1204" t="s">
        <v>421</v>
      </c>
      <c r="E135" s="576"/>
      <c r="F135" s="439" t="s">
        <v>362</v>
      </c>
      <c r="G135" s="54">
        <f>SUMIFS('Data Entry'!M:M,'Data Entry'!F:F,D135,'Data Entry'!L:L,F135)</f>
        <v>0</v>
      </c>
    </row>
    <row r="136" spans="2:7" x14ac:dyDescent="0.3">
      <c r="B136" s="1189"/>
      <c r="C136" s="1198"/>
      <c r="D136" s="1204" t="s">
        <v>421</v>
      </c>
      <c r="E136" s="576"/>
      <c r="F136" s="439" t="s">
        <v>363</v>
      </c>
      <c r="G136" s="54">
        <f>SUMIFS('Data Entry'!M:M,'Data Entry'!F:F,D136,'Data Entry'!L:L,F136)</f>
        <v>0</v>
      </c>
    </row>
    <row r="137" spans="2:7" ht="15" thickBot="1" x14ac:dyDescent="0.35">
      <c r="B137" s="1189"/>
      <c r="C137" s="1199"/>
      <c r="D137" s="1205" t="s">
        <v>421</v>
      </c>
      <c r="E137" s="605"/>
      <c r="F137" s="606" t="s">
        <v>364</v>
      </c>
      <c r="G137" s="61">
        <f>SUMIFS('Data Entry'!M:M,'Data Entry'!F:F,D137,'Data Entry'!L:L,F137)</f>
        <v>0</v>
      </c>
    </row>
    <row r="138" spans="2:7" x14ac:dyDescent="0.3">
      <c r="B138" s="1189"/>
      <c r="C138" s="1202" t="s">
        <v>422</v>
      </c>
      <c r="D138" s="1203" t="s">
        <v>422</v>
      </c>
      <c r="E138" s="1188" t="str">
        <f>VLOOKUP(D138,'Airport Mapping'!$C$5:$D$39,2,FALSE)</f>
        <v xml:space="preserve"> </v>
      </c>
      <c r="F138" s="1192" t="s">
        <v>117</v>
      </c>
      <c r="G138" s="53">
        <f>SUMIFS('Data Entry'!M:M,'Data Entry'!F:F,D138,'Data Entry'!L:L,F138)</f>
        <v>0</v>
      </c>
    </row>
    <row r="139" spans="2:7" x14ac:dyDescent="0.3">
      <c r="B139" s="1189"/>
      <c r="C139" s="1196"/>
      <c r="D139" s="1204" t="s">
        <v>422</v>
      </c>
      <c r="E139" s="576"/>
      <c r="F139" s="60" t="s">
        <v>6</v>
      </c>
      <c r="G139" s="54">
        <f>SUMIFS('Data Entry'!M:M,'Data Entry'!F:F,D139,'Data Entry'!L:L,F139)</f>
        <v>0</v>
      </c>
    </row>
    <row r="140" spans="2:7" x14ac:dyDescent="0.3">
      <c r="B140" s="1189"/>
      <c r="C140" s="1196"/>
      <c r="D140" s="1204" t="s">
        <v>422</v>
      </c>
      <c r="E140" s="576"/>
      <c r="F140" s="60" t="s">
        <v>120</v>
      </c>
      <c r="G140" s="54">
        <f>SUMIFS('Data Entry'!M:M,'Data Entry'!F:F,D140,'Data Entry'!L:L,F140)</f>
        <v>0</v>
      </c>
    </row>
    <row r="141" spans="2:7" x14ac:dyDescent="0.3">
      <c r="B141" s="1189"/>
      <c r="C141" s="1196"/>
      <c r="D141" s="1204" t="s">
        <v>422</v>
      </c>
      <c r="E141" s="576"/>
      <c r="F141" s="183" t="s">
        <v>424</v>
      </c>
      <c r="G141" s="54">
        <f>SUMIFS('Data Entry'!M:M,'Data Entry'!F:F,D141,'Data Entry'!L:L,F141)</f>
        <v>0</v>
      </c>
    </row>
    <row r="142" spans="2:7" x14ac:dyDescent="0.3">
      <c r="B142" s="1189"/>
      <c r="C142" s="1196"/>
      <c r="D142" s="1204" t="s">
        <v>422</v>
      </c>
      <c r="E142" s="576"/>
      <c r="F142" s="183" t="s">
        <v>365</v>
      </c>
      <c r="G142" s="54">
        <f>SUMIFS('Data Entry'!M:M,'Data Entry'!F:F,D142,'Data Entry'!L:L,F142)</f>
        <v>0</v>
      </c>
    </row>
    <row r="143" spans="2:7" x14ac:dyDescent="0.3">
      <c r="B143" s="1189"/>
      <c r="C143" s="1198"/>
      <c r="D143" s="1204" t="s">
        <v>422</v>
      </c>
      <c r="E143" s="576"/>
      <c r="F143" s="439" t="s">
        <v>362</v>
      </c>
      <c r="G143" s="54">
        <f>SUMIFS('Data Entry'!M:M,'Data Entry'!F:F,D143,'Data Entry'!L:L,F143)</f>
        <v>0</v>
      </c>
    </row>
    <row r="144" spans="2:7" x14ac:dyDescent="0.3">
      <c r="B144" s="1189"/>
      <c r="C144" s="1198"/>
      <c r="D144" s="1204" t="s">
        <v>422</v>
      </c>
      <c r="E144" s="576"/>
      <c r="F144" s="439" t="s">
        <v>363</v>
      </c>
      <c r="G144" s="54">
        <f>SUMIFS('Data Entry'!M:M,'Data Entry'!F:F,D144,'Data Entry'!L:L,F144)</f>
        <v>0</v>
      </c>
    </row>
    <row r="145" spans="2:7" ht="15" thickBot="1" x14ac:dyDescent="0.35">
      <c r="B145" s="1189"/>
      <c r="C145" s="1199"/>
      <c r="D145" s="1205" t="s">
        <v>422</v>
      </c>
      <c r="E145" s="605"/>
      <c r="F145" s="606" t="s">
        <v>364</v>
      </c>
      <c r="G145" s="55">
        <f>SUMIFS('Data Entry'!M:M,'Data Entry'!F:F,D145,'Data Entry'!L:L,F145)</f>
        <v>0</v>
      </c>
    </row>
    <row r="146" spans="2:7" x14ac:dyDescent="0.3">
      <c r="B146" s="1186" t="s">
        <v>13</v>
      </c>
      <c r="C146" s="1201" t="s">
        <v>91</v>
      </c>
      <c r="D146" s="1187" t="s">
        <v>91</v>
      </c>
      <c r="E146" s="1188" t="str">
        <f>VLOOKUP(D146,'Airport Mapping'!$C$5:$D$39,2,FALSE)</f>
        <v xml:space="preserve"> </v>
      </c>
      <c r="F146" s="1192" t="s">
        <v>123</v>
      </c>
      <c r="G146" s="62">
        <f>SUMIFS('Data Entry'!M:M,'Data Entry'!F:F,D146,'Data Entry'!L:L,F146)</f>
        <v>0</v>
      </c>
    </row>
    <row r="147" spans="2:7" ht="15" hidden="1" x14ac:dyDescent="0.25">
      <c r="B147" s="1189"/>
      <c r="C147" s="1193"/>
      <c r="D147" s="961" t="s">
        <v>91</v>
      </c>
      <c r="E147" s="576"/>
      <c r="F147" s="60" t="s">
        <v>6</v>
      </c>
      <c r="G147" s="54">
        <f>SUMIFS('Data Entry'!M:M,'Data Entry'!F:F,D147,'Data Entry'!L:L,F147)</f>
        <v>0</v>
      </c>
    </row>
    <row r="148" spans="2:7" x14ac:dyDescent="0.3">
      <c r="B148" s="1189"/>
      <c r="C148" s="1193"/>
      <c r="D148" s="961" t="s">
        <v>91</v>
      </c>
      <c r="E148" s="576"/>
      <c r="F148" s="60" t="s">
        <v>120</v>
      </c>
      <c r="G148" s="54">
        <f>SUMIFS('Data Entry'!M:M,'Data Entry'!F:F,D148,'Data Entry'!L:L,F148)</f>
        <v>0</v>
      </c>
    </row>
    <row r="149" spans="2:7" x14ac:dyDescent="0.3">
      <c r="B149" s="1189"/>
      <c r="C149" s="961"/>
      <c r="D149" s="961" t="str">
        <f>D148</f>
        <v>Parking A</v>
      </c>
      <c r="E149" s="576"/>
      <c r="F149" s="439" t="s">
        <v>362</v>
      </c>
      <c r="G149" s="54">
        <f>SUMIFS('Data Entry'!M:M,'Data Entry'!F:F,D149,'Data Entry'!L:L,F149)</f>
        <v>0</v>
      </c>
    </row>
    <row r="150" spans="2:7" x14ac:dyDescent="0.3">
      <c r="B150" s="1189"/>
      <c r="C150" s="961"/>
      <c r="D150" s="961" t="str">
        <f>D149</f>
        <v>Parking A</v>
      </c>
      <c r="E150" s="576"/>
      <c r="F150" s="439" t="s">
        <v>363</v>
      </c>
      <c r="G150" s="54">
        <f>SUMIFS('Data Entry'!M:M,'Data Entry'!F:F,D150,'Data Entry'!L:L,F150)</f>
        <v>0</v>
      </c>
    </row>
    <row r="151" spans="2:7" ht="15" thickBot="1" x14ac:dyDescent="0.35">
      <c r="B151" s="1189"/>
      <c r="C151" s="1191"/>
      <c r="D151" s="1191" t="str">
        <f>D150</f>
        <v>Parking A</v>
      </c>
      <c r="E151" s="605"/>
      <c r="F151" s="606" t="s">
        <v>364</v>
      </c>
      <c r="G151" s="61">
        <f>SUMIFS('Data Entry'!M:M,'Data Entry'!F:F,D151,'Data Entry'!L:L,F151)</f>
        <v>0</v>
      </c>
    </row>
    <row r="152" spans="2:7" x14ac:dyDescent="0.3">
      <c r="B152" s="1189"/>
      <c r="C152" s="1201" t="s">
        <v>92</v>
      </c>
      <c r="D152" s="1187" t="s">
        <v>92</v>
      </c>
      <c r="E152" s="1188" t="str">
        <f>VLOOKUP(D152,'Airport Mapping'!$C$5:$D$39,2,FALSE)</f>
        <v xml:space="preserve"> </v>
      </c>
      <c r="F152" s="1192" t="s">
        <v>123</v>
      </c>
      <c r="G152" s="53">
        <f>SUMIFS('Data Entry'!M:M,'Data Entry'!F:F,D152,'Data Entry'!L:L,F152)</f>
        <v>0</v>
      </c>
    </row>
    <row r="153" spans="2:7" ht="15" hidden="1" x14ac:dyDescent="0.25">
      <c r="B153" s="1189"/>
      <c r="C153" s="1193"/>
      <c r="D153" s="961" t="s">
        <v>92</v>
      </c>
      <c r="E153" s="576"/>
      <c r="F153" s="60" t="s">
        <v>6</v>
      </c>
      <c r="G153" s="54">
        <f>SUMIFS('Data Entry'!M:M,'Data Entry'!F:F,D153,'Data Entry'!L:L,F153)</f>
        <v>0</v>
      </c>
    </row>
    <row r="154" spans="2:7" x14ac:dyDescent="0.3">
      <c r="B154" s="1189"/>
      <c r="C154" s="1193"/>
      <c r="D154" s="961" t="s">
        <v>92</v>
      </c>
      <c r="E154" s="576"/>
      <c r="F154" s="60" t="s">
        <v>120</v>
      </c>
      <c r="G154" s="54">
        <f>SUMIFS('Data Entry'!M:M,'Data Entry'!F:F,D154,'Data Entry'!L:L,F154)</f>
        <v>0</v>
      </c>
    </row>
    <row r="155" spans="2:7" x14ac:dyDescent="0.3">
      <c r="B155" s="1189"/>
      <c r="C155" s="961"/>
      <c r="D155" s="961" t="str">
        <f>D154</f>
        <v>Parking B</v>
      </c>
      <c r="E155" s="576"/>
      <c r="F155" s="439" t="s">
        <v>362</v>
      </c>
      <c r="G155" s="54">
        <f>SUMIFS('Data Entry'!M:M,'Data Entry'!F:F,D155,'Data Entry'!L:L,F155)</f>
        <v>0</v>
      </c>
    </row>
    <row r="156" spans="2:7" x14ac:dyDescent="0.3">
      <c r="B156" s="1189"/>
      <c r="C156" s="961"/>
      <c r="D156" s="961" t="str">
        <f>D155</f>
        <v>Parking B</v>
      </c>
      <c r="E156" s="576"/>
      <c r="F156" s="439" t="s">
        <v>363</v>
      </c>
      <c r="G156" s="54">
        <f>SUMIFS('Data Entry'!M:M,'Data Entry'!F:F,D156,'Data Entry'!L:L,F156)</f>
        <v>0</v>
      </c>
    </row>
    <row r="157" spans="2:7" ht="15" thickBot="1" x14ac:dyDescent="0.35">
      <c r="B157" s="1189"/>
      <c r="C157" s="1191"/>
      <c r="D157" s="1191" t="str">
        <f>D156</f>
        <v>Parking B</v>
      </c>
      <c r="E157" s="605"/>
      <c r="F157" s="606" t="s">
        <v>364</v>
      </c>
      <c r="G157" s="55">
        <f>SUMIFS('Data Entry'!M:M,'Data Entry'!F:F,D157,'Data Entry'!L:L,F157)</f>
        <v>0</v>
      </c>
    </row>
    <row r="158" spans="2:7" x14ac:dyDescent="0.3">
      <c r="B158" s="1189"/>
      <c r="C158" s="1201" t="s">
        <v>93</v>
      </c>
      <c r="D158" s="1187" t="s">
        <v>93</v>
      </c>
      <c r="E158" s="1188" t="str">
        <f>VLOOKUP(D158,'Airport Mapping'!$C$5:$D$39,2,FALSE)</f>
        <v xml:space="preserve"> </v>
      </c>
      <c r="F158" s="1192" t="s">
        <v>123</v>
      </c>
      <c r="G158" s="62">
        <f>SUMIFS('Data Entry'!M:M,'Data Entry'!F:F,D158,'Data Entry'!L:L,F158)</f>
        <v>0</v>
      </c>
    </row>
    <row r="159" spans="2:7" ht="15" hidden="1" x14ac:dyDescent="0.25">
      <c r="B159" s="1189"/>
      <c r="C159" s="1193"/>
      <c r="D159" s="961" t="s">
        <v>93</v>
      </c>
      <c r="E159" s="576"/>
      <c r="F159" s="60" t="s">
        <v>6</v>
      </c>
      <c r="G159" s="54">
        <f>SUMIFS('Data Entry'!M:M,'Data Entry'!F:F,D159,'Data Entry'!L:L,F159)</f>
        <v>0</v>
      </c>
    </row>
    <row r="160" spans="2:7" x14ac:dyDescent="0.3">
      <c r="B160" s="1189"/>
      <c r="C160" s="1193"/>
      <c r="D160" s="961" t="s">
        <v>93</v>
      </c>
      <c r="E160" s="576"/>
      <c r="F160" s="60" t="s">
        <v>120</v>
      </c>
      <c r="G160" s="54">
        <f>SUMIFS('Data Entry'!M:M,'Data Entry'!F:F,D160,'Data Entry'!L:L,F160)</f>
        <v>0</v>
      </c>
    </row>
    <row r="161" spans="2:7" x14ac:dyDescent="0.3">
      <c r="B161" s="1189"/>
      <c r="C161" s="961"/>
      <c r="D161" s="961" t="str">
        <f>D160</f>
        <v>Parking C</v>
      </c>
      <c r="E161" s="576"/>
      <c r="F161" s="439" t="s">
        <v>362</v>
      </c>
      <c r="G161" s="54">
        <f>SUMIFS('Data Entry'!M:M,'Data Entry'!F:F,D161,'Data Entry'!L:L,F161)</f>
        <v>0</v>
      </c>
    </row>
    <row r="162" spans="2:7" x14ac:dyDescent="0.3">
      <c r="B162" s="1189"/>
      <c r="C162" s="961"/>
      <c r="D162" s="961" t="str">
        <f>D161</f>
        <v>Parking C</v>
      </c>
      <c r="E162" s="576"/>
      <c r="F162" s="439" t="s">
        <v>363</v>
      </c>
      <c r="G162" s="54">
        <f>SUMIFS('Data Entry'!M:M,'Data Entry'!F:F,D162,'Data Entry'!L:L,F162)</f>
        <v>0</v>
      </c>
    </row>
    <row r="163" spans="2:7" ht="15" thickBot="1" x14ac:dyDescent="0.35">
      <c r="B163" s="1189"/>
      <c r="C163" s="1191"/>
      <c r="D163" s="1191" t="str">
        <f>D162</f>
        <v>Parking C</v>
      </c>
      <c r="E163" s="605"/>
      <c r="F163" s="606" t="s">
        <v>364</v>
      </c>
      <c r="G163" s="61">
        <f>SUMIFS('Data Entry'!M:M,'Data Entry'!F:F,D163,'Data Entry'!L:L,F163)</f>
        <v>0</v>
      </c>
    </row>
    <row r="164" spans="2:7" x14ac:dyDescent="0.3">
      <c r="B164" s="1189"/>
      <c r="C164" s="1201" t="s">
        <v>94</v>
      </c>
      <c r="D164" s="1187" t="s">
        <v>94</v>
      </c>
      <c r="E164" s="1188" t="str">
        <f>VLOOKUP(D164,'Airport Mapping'!$C$5:$D$39,2,FALSE)</f>
        <v xml:space="preserve"> </v>
      </c>
      <c r="F164" s="1192" t="s">
        <v>123</v>
      </c>
      <c r="G164" s="53">
        <f>SUMIFS('Data Entry'!M:M,'Data Entry'!F:F,D164,'Data Entry'!L:L,F164)</f>
        <v>0</v>
      </c>
    </row>
    <row r="165" spans="2:7" ht="15" hidden="1" x14ac:dyDescent="0.25">
      <c r="B165" s="1189"/>
      <c r="C165" s="1193"/>
      <c r="D165" s="961" t="s">
        <v>94</v>
      </c>
      <c r="E165" s="576"/>
      <c r="F165" s="60" t="s">
        <v>6</v>
      </c>
      <c r="G165" s="54">
        <f>SUMIFS('Data Entry'!M:M,'Data Entry'!F:F,D165,'Data Entry'!L:L,F165)</f>
        <v>0</v>
      </c>
    </row>
    <row r="166" spans="2:7" x14ac:dyDescent="0.3">
      <c r="B166" s="1189"/>
      <c r="C166" s="1193"/>
      <c r="D166" s="961" t="s">
        <v>94</v>
      </c>
      <c r="E166" s="576"/>
      <c r="F166" s="60" t="s">
        <v>120</v>
      </c>
      <c r="G166" s="54">
        <f>SUMIFS('Data Entry'!M:M,'Data Entry'!F:F,D166,'Data Entry'!L:L,F166)</f>
        <v>0</v>
      </c>
    </row>
    <row r="167" spans="2:7" x14ac:dyDescent="0.3">
      <c r="B167" s="1189"/>
      <c r="C167" s="961"/>
      <c r="D167" s="961" t="str">
        <f>D166</f>
        <v>Parking D</v>
      </c>
      <c r="E167" s="576"/>
      <c r="F167" s="439" t="s">
        <v>362</v>
      </c>
      <c r="G167" s="54">
        <f>SUMIFS('Data Entry'!M:M,'Data Entry'!F:F,D167,'Data Entry'!L:L,F167)</f>
        <v>0</v>
      </c>
    </row>
    <row r="168" spans="2:7" x14ac:dyDescent="0.3">
      <c r="B168" s="1189"/>
      <c r="C168" s="961"/>
      <c r="D168" s="961" t="str">
        <f>D167</f>
        <v>Parking D</v>
      </c>
      <c r="E168" s="576"/>
      <c r="F168" s="439" t="s">
        <v>363</v>
      </c>
      <c r="G168" s="54">
        <f>SUMIFS('Data Entry'!M:M,'Data Entry'!F:F,D168,'Data Entry'!L:L,F168)</f>
        <v>0</v>
      </c>
    </row>
    <row r="169" spans="2:7" ht="15" thickBot="1" x14ac:dyDescent="0.35">
      <c r="B169" s="1189"/>
      <c r="C169" s="1191"/>
      <c r="D169" s="1191" t="str">
        <f>D168</f>
        <v>Parking D</v>
      </c>
      <c r="E169" s="605"/>
      <c r="F169" s="606" t="s">
        <v>364</v>
      </c>
      <c r="G169" s="55">
        <f>SUMIFS('Data Entry'!M:M,'Data Entry'!F:F,D169,'Data Entry'!L:L,F169)</f>
        <v>0</v>
      </c>
    </row>
    <row r="170" spans="2:7" x14ac:dyDescent="0.3">
      <c r="B170" s="1189"/>
      <c r="C170" s="1201" t="s">
        <v>95</v>
      </c>
      <c r="D170" s="1187" t="s">
        <v>95</v>
      </c>
      <c r="E170" s="1188" t="str">
        <f>VLOOKUP(D170,'Airport Mapping'!$C$5:$D$39,2,FALSE)</f>
        <v xml:space="preserve"> </v>
      </c>
      <c r="F170" s="1192" t="s">
        <v>123</v>
      </c>
      <c r="G170" s="62">
        <f>SUMIFS('Data Entry'!M:M,'Data Entry'!F:F,D170,'Data Entry'!L:L,F170)</f>
        <v>0</v>
      </c>
    </row>
    <row r="171" spans="2:7" ht="15" hidden="1" x14ac:dyDescent="0.25">
      <c r="B171" s="1189"/>
      <c r="C171" s="1193"/>
      <c r="D171" s="961" t="s">
        <v>95</v>
      </c>
      <c r="E171" s="576"/>
      <c r="F171" s="60" t="s">
        <v>6</v>
      </c>
      <c r="G171" s="54">
        <f>SUMIFS('Data Entry'!M:M,'Data Entry'!F:F,D171,'Data Entry'!L:L,F171)</f>
        <v>0</v>
      </c>
    </row>
    <row r="172" spans="2:7" x14ac:dyDescent="0.3">
      <c r="B172" s="1189"/>
      <c r="C172" s="1193"/>
      <c r="D172" s="961" t="s">
        <v>95</v>
      </c>
      <c r="E172" s="576"/>
      <c r="F172" s="60" t="s">
        <v>120</v>
      </c>
      <c r="G172" s="54">
        <f>SUMIFS('Data Entry'!M:M,'Data Entry'!F:F,D172,'Data Entry'!L:L,F172)</f>
        <v>0</v>
      </c>
    </row>
    <row r="173" spans="2:7" x14ac:dyDescent="0.3">
      <c r="B173" s="1189"/>
      <c r="C173" s="961"/>
      <c r="D173" s="961" t="str">
        <f>D172</f>
        <v>Parking E</v>
      </c>
      <c r="E173" s="576"/>
      <c r="F173" s="439" t="s">
        <v>362</v>
      </c>
      <c r="G173" s="54">
        <f>SUMIFS('Data Entry'!M:M,'Data Entry'!F:F,D173,'Data Entry'!L:L,F173)</f>
        <v>0</v>
      </c>
    </row>
    <row r="174" spans="2:7" x14ac:dyDescent="0.3">
      <c r="B174" s="1189"/>
      <c r="C174" s="961"/>
      <c r="D174" s="961" t="str">
        <f>D173</f>
        <v>Parking E</v>
      </c>
      <c r="E174" s="576"/>
      <c r="F174" s="439" t="s">
        <v>363</v>
      </c>
      <c r="G174" s="54">
        <f>SUMIFS('Data Entry'!M:M,'Data Entry'!F:F,D174,'Data Entry'!L:L,F174)</f>
        <v>0</v>
      </c>
    </row>
    <row r="175" spans="2:7" ht="15" thickBot="1" x14ac:dyDescent="0.35">
      <c r="B175" s="1189"/>
      <c r="C175" s="1191"/>
      <c r="D175" s="1191" t="str">
        <f>D174</f>
        <v>Parking E</v>
      </c>
      <c r="E175" s="605"/>
      <c r="F175" s="606" t="s">
        <v>364</v>
      </c>
      <c r="G175" s="61">
        <f>SUMIFS('Data Entry'!M:M,'Data Entry'!F:F,D175,'Data Entry'!L:L,F175)</f>
        <v>0</v>
      </c>
    </row>
    <row r="176" spans="2:7" x14ac:dyDescent="0.3">
      <c r="B176" s="1186" t="s">
        <v>418</v>
      </c>
      <c r="C176" s="1201" t="s">
        <v>418</v>
      </c>
      <c r="D176" s="1187" t="s">
        <v>418</v>
      </c>
      <c r="E176" s="1188" t="str">
        <f>VLOOKUP(D176,'Airport Mapping'!$C$5:$D$39,2,FALSE)</f>
        <v xml:space="preserve"> </v>
      </c>
      <c r="F176" s="1192" t="s">
        <v>6</v>
      </c>
      <c r="G176" s="53">
        <f>SUMIFS('Data Entry'!M:M,'Data Entry'!F:F,D176,'Data Entry'!L:L,F176)</f>
        <v>0</v>
      </c>
    </row>
    <row r="177" spans="2:7" x14ac:dyDescent="0.3">
      <c r="B177" s="1189"/>
      <c r="C177" s="961"/>
      <c r="D177" s="961" t="s">
        <v>418</v>
      </c>
      <c r="E177" s="576"/>
      <c r="F177" s="60" t="s">
        <v>120</v>
      </c>
      <c r="G177" s="54">
        <f>SUMIFS('Data Entry'!M:M,'Data Entry'!F:F,D177,'Data Entry'!L:L,F177)</f>
        <v>0</v>
      </c>
    </row>
    <row r="178" spans="2:7" x14ac:dyDescent="0.3">
      <c r="B178" s="1189"/>
      <c r="C178" s="961"/>
      <c r="D178" s="961" t="s">
        <v>418</v>
      </c>
      <c r="E178" s="576"/>
      <c r="F178" s="60" t="s">
        <v>15</v>
      </c>
      <c r="G178" s="54">
        <f>SUMIFS('Data Entry'!M:M,'Data Entry'!F:F,D178,'Data Entry'!L:L,F178)</f>
        <v>0</v>
      </c>
    </row>
    <row r="179" spans="2:7" x14ac:dyDescent="0.3">
      <c r="B179" s="7"/>
      <c r="C179" s="961"/>
      <c r="D179" s="961" t="str">
        <f>D178</f>
        <v>Fire and Police Stations</v>
      </c>
      <c r="E179" s="576"/>
      <c r="F179" s="439" t="s">
        <v>362</v>
      </c>
      <c r="G179" s="54">
        <f>SUMIFS('Data Entry'!M:M,'Data Entry'!F:F,D179,'Data Entry'!L:L,F179)</f>
        <v>0</v>
      </c>
    </row>
    <row r="180" spans="2:7" x14ac:dyDescent="0.3">
      <c r="B180" s="1189"/>
      <c r="C180" s="961"/>
      <c r="D180" s="961" t="str">
        <f>D179</f>
        <v>Fire and Police Stations</v>
      </c>
      <c r="E180" s="576"/>
      <c r="F180" s="439" t="s">
        <v>363</v>
      </c>
      <c r="G180" s="54">
        <f>SUMIFS('Data Entry'!M:M,'Data Entry'!F:F,D180,'Data Entry'!L:L,F180)</f>
        <v>0</v>
      </c>
    </row>
    <row r="181" spans="2:7" ht="15" thickBot="1" x14ac:dyDescent="0.35">
      <c r="B181" s="1206"/>
      <c r="C181" s="1191"/>
      <c r="D181" s="1191" t="str">
        <f>D180</f>
        <v>Fire and Police Stations</v>
      </c>
      <c r="E181" s="605"/>
      <c r="F181" s="606" t="s">
        <v>364</v>
      </c>
      <c r="G181" s="55">
        <f>SUMIFS('Data Entry'!M:M,'Data Entry'!F:F,D181,'Data Entry'!L:L,F181)</f>
        <v>0</v>
      </c>
    </row>
    <row r="182" spans="2:7" x14ac:dyDescent="0.3">
      <c r="B182" s="1189" t="s">
        <v>16</v>
      </c>
      <c r="C182" s="1201" t="s">
        <v>96</v>
      </c>
      <c r="D182" s="1187" t="s">
        <v>96</v>
      </c>
      <c r="E182" s="1188" t="str">
        <f>VLOOKUP(D182,'Airport Mapping'!$C$5:$D$39,2,FALSE)</f>
        <v xml:space="preserve"> </v>
      </c>
      <c r="F182" s="1192" t="s">
        <v>122</v>
      </c>
      <c r="G182" s="62">
        <f>SUMIFS('Data Entry'!M:M,'Data Entry'!F:F,D182,'Data Entry'!L:L,F182)</f>
        <v>0</v>
      </c>
    </row>
    <row r="183" spans="2:7" ht="15" hidden="1" x14ac:dyDescent="0.25">
      <c r="B183" s="1189"/>
      <c r="C183" s="1193"/>
      <c r="D183" s="961" t="s">
        <v>96</v>
      </c>
      <c r="E183" s="576"/>
      <c r="F183" s="60" t="s">
        <v>6</v>
      </c>
      <c r="G183" s="54">
        <f>SUMIFS('Data Entry'!M:M,'Data Entry'!F:F,D183,'Data Entry'!L:L,F183)</f>
        <v>0</v>
      </c>
    </row>
    <row r="184" spans="2:7" x14ac:dyDescent="0.3">
      <c r="B184" s="1189"/>
      <c r="C184" s="1193"/>
      <c r="D184" s="961" t="s">
        <v>96</v>
      </c>
      <c r="E184" s="576"/>
      <c r="F184" s="60" t="s">
        <v>118</v>
      </c>
      <c r="G184" s="54">
        <f>SUMIFS('Data Entry'!M:M,'Data Entry'!F:F,D184,'Data Entry'!L:L,F184)</f>
        <v>0</v>
      </c>
    </row>
    <row r="185" spans="2:7" x14ac:dyDescent="0.3">
      <c r="B185" s="1189"/>
      <c r="C185" s="1193"/>
      <c r="D185" s="961" t="s">
        <v>96</v>
      </c>
      <c r="E185" s="576"/>
      <c r="F185" s="60" t="s">
        <v>120</v>
      </c>
      <c r="G185" s="54">
        <f>SUMIFS('Data Entry'!M:M,'Data Entry'!F:F,D185,'Data Entry'!L:L,F185)</f>
        <v>0</v>
      </c>
    </row>
    <row r="186" spans="2:7" x14ac:dyDescent="0.3">
      <c r="B186" s="1189"/>
      <c r="C186" s="1193"/>
      <c r="D186" s="961" t="s">
        <v>96</v>
      </c>
      <c r="E186" s="576"/>
      <c r="F186" s="1207" t="s">
        <v>135</v>
      </c>
      <c r="G186" s="54">
        <f>SUMIFS('Data Entry'!M:M,'Data Entry'!F:F,D186,'Data Entry'!L:L,F186)</f>
        <v>0</v>
      </c>
    </row>
    <row r="187" spans="2:7" x14ac:dyDescent="0.3">
      <c r="B187" s="1189"/>
      <c r="C187" s="1193"/>
      <c r="D187" s="961" t="s">
        <v>96</v>
      </c>
      <c r="E187" s="576"/>
      <c r="F187" s="1207"/>
      <c r="G187" s="54">
        <f>SUMIFS('Data Entry'!M:M,'Data Entry'!F:F,D187,'Data Entry'!L:L,F187)</f>
        <v>0</v>
      </c>
    </row>
    <row r="188" spans="2:7" x14ac:dyDescent="0.3">
      <c r="B188" s="1189"/>
      <c r="C188" s="1193"/>
      <c r="D188" s="961" t="s">
        <v>96</v>
      </c>
      <c r="E188" s="576"/>
      <c r="F188" s="183" t="s">
        <v>424</v>
      </c>
      <c r="G188" s="54">
        <f>SUMIFS('Data Entry'!M:M,'Data Entry'!F:F,D188,'Data Entry'!L:L,F188)</f>
        <v>0</v>
      </c>
    </row>
    <row r="189" spans="2:7" x14ac:dyDescent="0.3">
      <c r="B189" s="1189"/>
      <c r="C189" s="1193"/>
      <c r="D189" s="961" t="s">
        <v>96</v>
      </c>
      <c r="E189" s="576"/>
      <c r="F189" s="183" t="s">
        <v>365</v>
      </c>
      <c r="G189" s="54">
        <f>SUMIFS('Data Entry'!M:M,'Data Entry'!F:F,D189,'Data Entry'!L:L,F189)</f>
        <v>0</v>
      </c>
    </row>
    <row r="190" spans="2:7" x14ac:dyDescent="0.3">
      <c r="B190" s="1189"/>
      <c r="C190" s="961"/>
      <c r="D190" s="961" t="str">
        <f>D189</f>
        <v>Hotel A</v>
      </c>
      <c r="E190" s="576"/>
      <c r="F190" s="439" t="s">
        <v>362</v>
      </c>
      <c r="G190" s="54">
        <f>SUMIFS('Data Entry'!M:M,'Data Entry'!F:F,D190,'Data Entry'!L:L,F190)</f>
        <v>0</v>
      </c>
    </row>
    <row r="191" spans="2:7" x14ac:dyDescent="0.3">
      <c r="B191" s="1189"/>
      <c r="C191" s="961"/>
      <c r="D191" s="961" t="str">
        <f>D190</f>
        <v>Hotel A</v>
      </c>
      <c r="E191" s="576"/>
      <c r="F191" s="439" t="s">
        <v>363</v>
      </c>
      <c r="G191" s="54">
        <f>SUMIFS('Data Entry'!M:M,'Data Entry'!F:F,D191,'Data Entry'!L:L,F191)</f>
        <v>0</v>
      </c>
    </row>
    <row r="192" spans="2:7" ht="15" thickBot="1" x14ac:dyDescent="0.35">
      <c r="B192" s="1189"/>
      <c r="C192" s="1191"/>
      <c r="D192" s="1191" t="str">
        <f>D191</f>
        <v>Hotel A</v>
      </c>
      <c r="E192" s="605"/>
      <c r="F192" s="606" t="s">
        <v>364</v>
      </c>
      <c r="G192" s="61">
        <f>SUMIFS('Data Entry'!M:M,'Data Entry'!F:F,D192,'Data Entry'!L:L,F192)</f>
        <v>0</v>
      </c>
    </row>
    <row r="193" spans="2:7" x14ac:dyDescent="0.3">
      <c r="B193" s="1189"/>
      <c r="C193" s="1201" t="s">
        <v>97</v>
      </c>
      <c r="D193" s="1187" t="s">
        <v>97</v>
      </c>
      <c r="E193" s="1188" t="str">
        <f>VLOOKUP(D193,'Airport Mapping'!$C$5:$D$39,2,FALSE)</f>
        <v xml:space="preserve"> </v>
      </c>
      <c r="F193" s="1192" t="s">
        <v>122</v>
      </c>
      <c r="G193" s="53">
        <f>SUMIFS('Data Entry'!M:M,'Data Entry'!F:F,D193,'Data Entry'!L:L,F193)</f>
        <v>0</v>
      </c>
    </row>
    <row r="194" spans="2:7" ht="15" hidden="1" x14ac:dyDescent="0.25">
      <c r="B194" s="1189"/>
      <c r="C194" s="1193"/>
      <c r="D194" s="961" t="s">
        <v>97</v>
      </c>
      <c r="E194" s="576"/>
      <c r="F194" s="60" t="s">
        <v>6</v>
      </c>
      <c r="G194" s="54">
        <f>SUMIFS('Data Entry'!M:M,'Data Entry'!F:F,D194,'Data Entry'!L:L,F194)</f>
        <v>0</v>
      </c>
    </row>
    <row r="195" spans="2:7" x14ac:dyDescent="0.3">
      <c r="B195" s="1189"/>
      <c r="C195" s="1193"/>
      <c r="D195" s="961" t="s">
        <v>97</v>
      </c>
      <c r="E195" s="576"/>
      <c r="F195" s="60" t="s">
        <v>118</v>
      </c>
      <c r="G195" s="54">
        <f>SUMIFS('Data Entry'!M:M,'Data Entry'!F:F,D195,'Data Entry'!L:L,F195)</f>
        <v>0</v>
      </c>
    </row>
    <row r="196" spans="2:7" x14ac:dyDescent="0.3">
      <c r="B196" s="1189"/>
      <c r="C196" s="1193"/>
      <c r="D196" s="961" t="s">
        <v>97</v>
      </c>
      <c r="E196" s="576"/>
      <c r="F196" s="60" t="s">
        <v>120</v>
      </c>
      <c r="G196" s="54">
        <f>SUMIFS('Data Entry'!M:M,'Data Entry'!F:F,D196,'Data Entry'!L:L,F196)</f>
        <v>0</v>
      </c>
    </row>
    <row r="197" spans="2:7" x14ac:dyDescent="0.3">
      <c r="B197" s="1189"/>
      <c r="C197" s="1193"/>
      <c r="D197" s="961" t="s">
        <v>97</v>
      </c>
      <c r="E197" s="576"/>
      <c r="F197" s="1207" t="s">
        <v>135</v>
      </c>
      <c r="G197" s="54">
        <f>SUMIFS('Data Entry'!M:M,'Data Entry'!F:F,D197,'Data Entry'!L:L,F197)</f>
        <v>0</v>
      </c>
    </row>
    <row r="198" spans="2:7" x14ac:dyDescent="0.3">
      <c r="B198" s="1189"/>
      <c r="C198" s="1193"/>
      <c r="D198" s="961" t="s">
        <v>97</v>
      </c>
      <c r="E198" s="576"/>
      <c r="F198" s="1207"/>
      <c r="G198" s="54">
        <f>SUMIFS('Data Entry'!M:M,'Data Entry'!F:F,D198,'Data Entry'!L:L,F198)</f>
        <v>0</v>
      </c>
    </row>
    <row r="199" spans="2:7" x14ac:dyDescent="0.3">
      <c r="B199" s="1189"/>
      <c r="C199" s="1193"/>
      <c r="D199" s="961" t="s">
        <v>97</v>
      </c>
      <c r="E199" s="576"/>
      <c r="F199" s="183" t="s">
        <v>424</v>
      </c>
      <c r="G199" s="54">
        <f>SUMIFS('Data Entry'!M:M,'Data Entry'!F:F,D199,'Data Entry'!L:L,F199)</f>
        <v>0</v>
      </c>
    </row>
    <row r="200" spans="2:7" x14ac:dyDescent="0.3">
      <c r="B200" s="1189"/>
      <c r="C200" s="1193"/>
      <c r="D200" s="961" t="s">
        <v>97</v>
      </c>
      <c r="E200" s="576"/>
      <c r="F200" s="183" t="s">
        <v>365</v>
      </c>
      <c r="G200" s="54">
        <f>SUMIFS('Data Entry'!M:M,'Data Entry'!F:F,D200,'Data Entry'!L:L,F200)</f>
        <v>0</v>
      </c>
    </row>
    <row r="201" spans="2:7" x14ac:dyDescent="0.3">
      <c r="B201" s="1189"/>
      <c r="C201" s="961"/>
      <c r="D201" s="961" t="str">
        <f>D200</f>
        <v>Hotel B</v>
      </c>
      <c r="E201" s="576"/>
      <c r="F201" s="439" t="s">
        <v>362</v>
      </c>
      <c r="G201" s="54">
        <f>SUMIFS('Data Entry'!M:M,'Data Entry'!F:F,D201,'Data Entry'!L:L,F201)</f>
        <v>0</v>
      </c>
    </row>
    <row r="202" spans="2:7" x14ac:dyDescent="0.3">
      <c r="B202" s="1189"/>
      <c r="C202" s="961"/>
      <c r="D202" s="961" t="str">
        <f>D201</f>
        <v>Hotel B</v>
      </c>
      <c r="E202" s="576"/>
      <c r="F202" s="439" t="s">
        <v>363</v>
      </c>
      <c r="G202" s="54">
        <f>SUMIFS('Data Entry'!M:M,'Data Entry'!F:F,D202,'Data Entry'!L:L,F202)</f>
        <v>0</v>
      </c>
    </row>
    <row r="203" spans="2:7" ht="15" thickBot="1" x14ac:dyDescent="0.35">
      <c r="B203" s="1189"/>
      <c r="C203" s="1191"/>
      <c r="D203" s="1191" t="str">
        <f>D202</f>
        <v>Hotel B</v>
      </c>
      <c r="E203" s="605"/>
      <c r="F203" s="606" t="s">
        <v>364</v>
      </c>
      <c r="G203" s="55">
        <f>SUMIFS('Data Entry'!M:M,'Data Entry'!F:F,D203,'Data Entry'!L:L,F203)</f>
        <v>0</v>
      </c>
    </row>
    <row r="204" spans="2:7" x14ac:dyDescent="0.3">
      <c r="B204" s="1189"/>
      <c r="C204" s="1201" t="s">
        <v>98</v>
      </c>
      <c r="D204" s="1187" t="s">
        <v>98</v>
      </c>
      <c r="E204" s="1188" t="str">
        <f>VLOOKUP(D204,'Airport Mapping'!$C$5:$D$39,2,FALSE)</f>
        <v xml:space="preserve"> </v>
      </c>
      <c r="F204" s="1192" t="s">
        <v>122</v>
      </c>
      <c r="G204" s="62">
        <f>SUMIFS('Data Entry'!M:M,'Data Entry'!F:F,D204,'Data Entry'!L:L,F204)</f>
        <v>0</v>
      </c>
    </row>
    <row r="205" spans="2:7" ht="15" hidden="1" x14ac:dyDescent="0.25">
      <c r="B205" s="1189"/>
      <c r="C205" s="1193"/>
      <c r="D205" s="961" t="s">
        <v>98</v>
      </c>
      <c r="E205" s="576"/>
      <c r="F205" s="60" t="s">
        <v>6</v>
      </c>
      <c r="G205" s="54">
        <f>SUMIFS('Data Entry'!M:M,'Data Entry'!F:F,D205,'Data Entry'!L:L,F205)</f>
        <v>0</v>
      </c>
    </row>
    <row r="206" spans="2:7" x14ac:dyDescent="0.3">
      <c r="B206" s="1189"/>
      <c r="C206" s="1193"/>
      <c r="D206" s="961" t="s">
        <v>98</v>
      </c>
      <c r="E206" s="576"/>
      <c r="F206" s="60" t="s">
        <v>118</v>
      </c>
      <c r="G206" s="54">
        <f>SUMIFS('Data Entry'!M:M,'Data Entry'!F:F,D206,'Data Entry'!L:L,F206)</f>
        <v>0</v>
      </c>
    </row>
    <row r="207" spans="2:7" x14ac:dyDescent="0.3">
      <c r="B207" s="1189"/>
      <c r="C207" s="1193"/>
      <c r="D207" s="961" t="s">
        <v>98</v>
      </c>
      <c r="E207" s="576"/>
      <c r="F207" s="60" t="s">
        <v>120</v>
      </c>
      <c r="G207" s="54">
        <f>SUMIFS('Data Entry'!M:M,'Data Entry'!F:F,D207,'Data Entry'!L:L,F207)</f>
        <v>0</v>
      </c>
    </row>
    <row r="208" spans="2:7" x14ac:dyDescent="0.3">
      <c r="B208" s="1189"/>
      <c r="C208" s="1193"/>
      <c r="D208" s="961" t="s">
        <v>98</v>
      </c>
      <c r="E208" s="576"/>
      <c r="F208" s="1207" t="s">
        <v>135</v>
      </c>
      <c r="G208" s="54">
        <f>SUMIFS('Data Entry'!M:M,'Data Entry'!F:F,D208,'Data Entry'!L:L,F208)</f>
        <v>0</v>
      </c>
    </row>
    <row r="209" spans="2:7" x14ac:dyDescent="0.3">
      <c r="B209" s="1189"/>
      <c r="C209" s="1193"/>
      <c r="D209" s="961" t="s">
        <v>98</v>
      </c>
      <c r="E209" s="576"/>
      <c r="F209" s="1207"/>
      <c r="G209" s="54">
        <f>SUMIFS('Data Entry'!M:M,'Data Entry'!F:F,D209,'Data Entry'!L:L,F209)</f>
        <v>0</v>
      </c>
    </row>
    <row r="210" spans="2:7" x14ac:dyDescent="0.3">
      <c r="B210" s="1189"/>
      <c r="C210" s="1193"/>
      <c r="D210" s="961" t="s">
        <v>98</v>
      </c>
      <c r="E210" s="576"/>
      <c r="F210" s="183" t="s">
        <v>424</v>
      </c>
      <c r="G210" s="54">
        <f>SUMIFS('Data Entry'!M:M,'Data Entry'!F:F,D210,'Data Entry'!L:L,F210)</f>
        <v>0</v>
      </c>
    </row>
    <row r="211" spans="2:7" x14ac:dyDescent="0.3">
      <c r="B211" s="1189"/>
      <c r="C211" s="1193"/>
      <c r="D211" s="961" t="s">
        <v>98</v>
      </c>
      <c r="E211" s="576"/>
      <c r="F211" s="183" t="s">
        <v>365</v>
      </c>
      <c r="G211" s="54">
        <f>SUMIFS('Data Entry'!M:M,'Data Entry'!F:F,D211,'Data Entry'!L:L,F211)</f>
        <v>0</v>
      </c>
    </row>
    <row r="212" spans="2:7" x14ac:dyDescent="0.3">
      <c r="B212" s="1189"/>
      <c r="C212" s="961"/>
      <c r="D212" s="961" t="str">
        <f>D211</f>
        <v>Hotel C</v>
      </c>
      <c r="E212" s="576"/>
      <c r="F212" s="439" t="s">
        <v>362</v>
      </c>
      <c r="G212" s="54">
        <f>SUMIFS('Data Entry'!M:M,'Data Entry'!F:F,D212,'Data Entry'!L:L,F212)</f>
        <v>0</v>
      </c>
    </row>
    <row r="213" spans="2:7" x14ac:dyDescent="0.3">
      <c r="B213" s="1189"/>
      <c r="C213" s="961"/>
      <c r="D213" s="961" t="str">
        <f>D212</f>
        <v>Hotel C</v>
      </c>
      <c r="E213" s="576"/>
      <c r="F213" s="439" t="s">
        <v>363</v>
      </c>
      <c r="G213" s="54">
        <f>SUMIFS('Data Entry'!M:M,'Data Entry'!F:F,D213,'Data Entry'!L:L,F213)</f>
        <v>0</v>
      </c>
    </row>
    <row r="214" spans="2:7" ht="15" thickBot="1" x14ac:dyDescent="0.35">
      <c r="B214" s="1189"/>
      <c r="C214" s="1191"/>
      <c r="D214" s="1191" t="str">
        <f>D213</f>
        <v>Hotel C</v>
      </c>
      <c r="E214" s="605"/>
      <c r="F214" s="606" t="s">
        <v>364</v>
      </c>
      <c r="G214" s="61">
        <f>SUMIFS('Data Entry'!M:M,'Data Entry'!F:F,D214,'Data Entry'!L:L,F214)</f>
        <v>0</v>
      </c>
    </row>
    <row r="215" spans="2:7" x14ac:dyDescent="0.3">
      <c r="B215" s="7"/>
      <c r="C215" s="1201" t="s">
        <v>99</v>
      </c>
      <c r="D215" s="1187" t="s">
        <v>99</v>
      </c>
      <c r="E215" s="1188" t="str">
        <f>VLOOKUP(D215,'Airport Mapping'!$C$5:$D$39,2,FALSE)</f>
        <v xml:space="preserve"> </v>
      </c>
      <c r="F215" s="1192" t="s">
        <v>122</v>
      </c>
      <c r="G215" s="53">
        <f>SUMIFS('Data Entry'!M:M,'Data Entry'!F:F,D215,'Data Entry'!L:L,F215)</f>
        <v>0</v>
      </c>
    </row>
    <row r="216" spans="2:7" ht="15" hidden="1" x14ac:dyDescent="0.25">
      <c r="B216" s="7"/>
      <c r="C216" s="1193"/>
      <c r="D216" s="961" t="s">
        <v>99</v>
      </c>
      <c r="E216" s="576"/>
      <c r="F216" s="60" t="s">
        <v>6</v>
      </c>
      <c r="G216" s="54">
        <f>SUMIFS('Data Entry'!M:M,'Data Entry'!F:F,D216,'Data Entry'!L:L,F216)</f>
        <v>0</v>
      </c>
    </row>
    <row r="217" spans="2:7" x14ac:dyDescent="0.3">
      <c r="B217" s="7"/>
      <c r="C217" s="1193"/>
      <c r="D217" s="961" t="s">
        <v>99</v>
      </c>
      <c r="E217" s="576"/>
      <c r="F217" s="60" t="s">
        <v>118</v>
      </c>
      <c r="G217" s="54">
        <f>SUMIFS('Data Entry'!M:M,'Data Entry'!F:F,D217,'Data Entry'!L:L,F217)</f>
        <v>0</v>
      </c>
    </row>
    <row r="218" spans="2:7" x14ac:dyDescent="0.3">
      <c r="B218" s="7"/>
      <c r="C218" s="1193"/>
      <c r="D218" s="961" t="s">
        <v>99</v>
      </c>
      <c r="E218" s="576"/>
      <c r="F218" s="60" t="s">
        <v>120</v>
      </c>
      <c r="G218" s="54">
        <f>SUMIFS('Data Entry'!M:M,'Data Entry'!F:F,D218,'Data Entry'!L:L,F218)</f>
        <v>0</v>
      </c>
    </row>
    <row r="219" spans="2:7" x14ac:dyDescent="0.3">
      <c r="B219" s="7"/>
      <c r="C219" s="1193"/>
      <c r="D219" s="961" t="s">
        <v>99</v>
      </c>
      <c r="E219" s="576"/>
      <c r="F219" s="1207" t="s">
        <v>135</v>
      </c>
      <c r="G219" s="54">
        <f>SUMIFS('Data Entry'!M:M,'Data Entry'!F:F,D219,'Data Entry'!L:L,F219)</f>
        <v>0</v>
      </c>
    </row>
    <row r="220" spans="2:7" x14ac:dyDescent="0.3">
      <c r="B220" s="7"/>
      <c r="C220" s="1193"/>
      <c r="D220" s="961" t="s">
        <v>99</v>
      </c>
      <c r="E220" s="576"/>
      <c r="F220" s="1207"/>
      <c r="G220" s="54">
        <f>SUMIFS('Data Entry'!M:M,'Data Entry'!F:F,D220,'Data Entry'!L:L,F220)</f>
        <v>0</v>
      </c>
    </row>
    <row r="221" spans="2:7" x14ac:dyDescent="0.3">
      <c r="B221" s="7"/>
      <c r="C221" s="1193"/>
      <c r="D221" s="961" t="s">
        <v>99</v>
      </c>
      <c r="E221" s="576"/>
      <c r="F221" s="183" t="s">
        <v>424</v>
      </c>
      <c r="G221" s="54">
        <f>SUMIFS('Data Entry'!M:M,'Data Entry'!F:F,D221,'Data Entry'!L:L,F221)</f>
        <v>0</v>
      </c>
    </row>
    <row r="222" spans="2:7" x14ac:dyDescent="0.3">
      <c r="B222" s="7"/>
      <c r="C222" s="1193"/>
      <c r="D222" s="961" t="s">
        <v>99</v>
      </c>
      <c r="E222" s="576"/>
      <c r="F222" s="183" t="s">
        <v>365</v>
      </c>
      <c r="G222" s="54">
        <f>SUMIFS('Data Entry'!M:M,'Data Entry'!F:F,D222,'Data Entry'!L:L,F222)</f>
        <v>0</v>
      </c>
    </row>
    <row r="223" spans="2:7" x14ac:dyDescent="0.3">
      <c r="B223" s="7"/>
      <c r="C223" s="961"/>
      <c r="D223" s="961" t="str">
        <f>D222</f>
        <v>Hotel D</v>
      </c>
      <c r="E223" s="576"/>
      <c r="F223" s="439" t="s">
        <v>362</v>
      </c>
      <c r="G223" s="54">
        <f>SUMIFS('Data Entry'!M:M,'Data Entry'!F:F,D223,'Data Entry'!L:L,F223)</f>
        <v>0</v>
      </c>
    </row>
    <row r="224" spans="2:7" x14ac:dyDescent="0.3">
      <c r="B224" s="7"/>
      <c r="C224" s="961"/>
      <c r="D224" s="961" t="str">
        <f>D223</f>
        <v>Hotel D</v>
      </c>
      <c r="E224" s="576"/>
      <c r="F224" s="439" t="s">
        <v>363</v>
      </c>
      <c r="G224" s="54">
        <f>SUMIFS('Data Entry'!M:M,'Data Entry'!F:F,D224,'Data Entry'!L:L,F224)</f>
        <v>0</v>
      </c>
    </row>
    <row r="225" spans="2:7" ht="15" thickBot="1" x14ac:dyDescent="0.35">
      <c r="B225" s="7"/>
      <c r="C225" s="1191"/>
      <c r="D225" s="1191" t="str">
        <f>D224</f>
        <v>Hotel D</v>
      </c>
      <c r="E225" s="605"/>
      <c r="F225" s="606" t="s">
        <v>364</v>
      </c>
      <c r="G225" s="55">
        <f>SUMIFS('Data Entry'!M:M,'Data Entry'!F:F,D225,'Data Entry'!L:L,F225)</f>
        <v>0</v>
      </c>
    </row>
    <row r="226" spans="2:7" x14ac:dyDescent="0.3">
      <c r="B226" s="1189"/>
      <c r="C226" s="1201" t="s">
        <v>100</v>
      </c>
      <c r="D226" s="1187" t="s">
        <v>100</v>
      </c>
      <c r="E226" s="1188" t="str">
        <f>VLOOKUP(D226,'Airport Mapping'!$C$5:$D$39,2,FALSE)</f>
        <v xml:space="preserve"> </v>
      </c>
      <c r="F226" s="1192" t="s">
        <v>122</v>
      </c>
      <c r="G226" s="62">
        <f>SUMIFS('Data Entry'!M:M,'Data Entry'!F:F,D226,'Data Entry'!L:L,F226)</f>
        <v>0</v>
      </c>
    </row>
    <row r="227" spans="2:7" ht="15" hidden="1" x14ac:dyDescent="0.25">
      <c r="B227" s="1189"/>
      <c r="C227" s="1193"/>
      <c r="D227" s="961" t="s">
        <v>100</v>
      </c>
      <c r="E227" s="576"/>
      <c r="F227" s="60" t="s">
        <v>6</v>
      </c>
      <c r="G227" s="54">
        <f>SUMIFS('Data Entry'!M:M,'Data Entry'!F:F,D227,'Data Entry'!L:L,F227)</f>
        <v>0</v>
      </c>
    </row>
    <row r="228" spans="2:7" x14ac:dyDescent="0.3">
      <c r="B228" s="1189"/>
      <c r="C228" s="1193"/>
      <c r="D228" s="961" t="s">
        <v>100</v>
      </c>
      <c r="E228" s="576"/>
      <c r="F228" s="60" t="s">
        <v>118</v>
      </c>
      <c r="G228" s="54">
        <f>SUMIFS('Data Entry'!M:M,'Data Entry'!F:F,D228,'Data Entry'!L:L,F228)</f>
        <v>0</v>
      </c>
    </row>
    <row r="229" spans="2:7" x14ac:dyDescent="0.3">
      <c r="B229" s="1189"/>
      <c r="C229" s="1193"/>
      <c r="D229" s="961" t="s">
        <v>100</v>
      </c>
      <c r="E229" s="576"/>
      <c r="F229" s="60" t="s">
        <v>120</v>
      </c>
      <c r="G229" s="54">
        <f>SUMIFS('Data Entry'!M:M,'Data Entry'!F:F,D229,'Data Entry'!L:L,F229)</f>
        <v>0</v>
      </c>
    </row>
    <row r="230" spans="2:7" x14ac:dyDescent="0.3">
      <c r="B230" s="1189"/>
      <c r="C230" s="1193"/>
      <c r="D230" s="961" t="s">
        <v>100</v>
      </c>
      <c r="E230" s="576"/>
      <c r="F230" s="1207" t="s">
        <v>135</v>
      </c>
      <c r="G230" s="54">
        <f>SUMIFS('Data Entry'!M:M,'Data Entry'!F:F,D230,'Data Entry'!L:L,F230)</f>
        <v>0</v>
      </c>
    </row>
    <row r="231" spans="2:7" x14ac:dyDescent="0.3">
      <c r="B231" s="1189"/>
      <c r="C231" s="1193"/>
      <c r="D231" s="961" t="s">
        <v>100</v>
      </c>
      <c r="E231" s="576"/>
      <c r="F231" s="1207"/>
      <c r="G231" s="54">
        <f>SUMIFS('Data Entry'!M:M,'Data Entry'!F:F,D231,'Data Entry'!L:L,F231)</f>
        <v>0</v>
      </c>
    </row>
    <row r="232" spans="2:7" x14ac:dyDescent="0.3">
      <c r="B232" s="1189"/>
      <c r="C232" s="1193"/>
      <c r="D232" s="961" t="s">
        <v>100</v>
      </c>
      <c r="E232" s="576"/>
      <c r="F232" s="183" t="s">
        <v>424</v>
      </c>
      <c r="G232" s="54">
        <f>SUMIFS('Data Entry'!M:M,'Data Entry'!F:F,D232,'Data Entry'!L:L,F232)</f>
        <v>0</v>
      </c>
    </row>
    <row r="233" spans="2:7" x14ac:dyDescent="0.3">
      <c r="B233" s="1189"/>
      <c r="C233" s="1193"/>
      <c r="D233" s="961" t="s">
        <v>100</v>
      </c>
      <c r="E233" s="576"/>
      <c r="F233" s="183" t="s">
        <v>365</v>
      </c>
      <c r="G233" s="54">
        <f>SUMIFS('Data Entry'!M:M,'Data Entry'!F:F,D233,'Data Entry'!L:L,F233)</f>
        <v>0</v>
      </c>
    </row>
    <row r="234" spans="2:7" x14ac:dyDescent="0.3">
      <c r="B234" s="1189"/>
      <c r="C234" s="961"/>
      <c r="D234" s="961" t="str">
        <f>D233</f>
        <v>Hotel E</v>
      </c>
      <c r="E234" s="576"/>
      <c r="F234" s="439" t="s">
        <v>362</v>
      </c>
      <c r="G234" s="54">
        <f>SUMIFS('Data Entry'!M:M,'Data Entry'!F:F,D234,'Data Entry'!L:L,F234)</f>
        <v>0</v>
      </c>
    </row>
    <row r="235" spans="2:7" x14ac:dyDescent="0.3">
      <c r="B235" s="1189"/>
      <c r="C235" s="961"/>
      <c r="D235" s="961" t="str">
        <f>D234</f>
        <v>Hotel E</v>
      </c>
      <c r="E235" s="576"/>
      <c r="F235" s="439" t="s">
        <v>363</v>
      </c>
      <c r="G235" s="54">
        <f>SUMIFS('Data Entry'!M:M,'Data Entry'!F:F,D235,'Data Entry'!L:L,F235)</f>
        <v>0</v>
      </c>
    </row>
    <row r="236" spans="2:7" ht="15" thickBot="1" x14ac:dyDescent="0.35">
      <c r="B236" s="1189"/>
      <c r="C236" s="1191"/>
      <c r="D236" s="1191" t="str">
        <f>D235</f>
        <v>Hotel E</v>
      </c>
      <c r="E236" s="605"/>
      <c r="F236" s="606" t="s">
        <v>364</v>
      </c>
      <c r="G236" s="61">
        <f>SUMIFS('Data Entry'!M:M,'Data Entry'!F:F,D236,'Data Entry'!L:L,F236)</f>
        <v>0</v>
      </c>
    </row>
    <row r="237" spans="2:7" ht="15.75" hidden="1" thickBot="1" x14ac:dyDescent="0.3">
      <c r="B237" s="1186" t="s">
        <v>22</v>
      </c>
      <c r="C237" s="1201" t="s">
        <v>22</v>
      </c>
      <c r="D237" s="1187" t="s">
        <v>22</v>
      </c>
      <c r="E237" s="1188" t="e">
        <f>VLOOKUP(D237,'Airport Mapping'!$C$5:$D$39,2,FALSE)</f>
        <v>#N/A</v>
      </c>
      <c r="F237" s="1192" t="s">
        <v>6</v>
      </c>
      <c r="G237" s="53">
        <f>SUMIFS('Data Entry'!M:M,'Data Entry'!F:F,D237,'Data Entry'!L:L,F237)</f>
        <v>0</v>
      </c>
    </row>
    <row r="238" spans="2:7" ht="15.75" hidden="1" thickBot="1" x14ac:dyDescent="0.3">
      <c r="B238" s="1189"/>
      <c r="C238" s="1193"/>
      <c r="D238" s="961" t="s">
        <v>22</v>
      </c>
      <c r="E238" s="576"/>
      <c r="F238" s="60" t="s">
        <v>120</v>
      </c>
      <c r="G238" s="61">
        <f>SUMIFS('Data Entry'!M:M,'Data Entry'!F:F,D238,'Data Entry'!L:L,F238)</f>
        <v>0</v>
      </c>
    </row>
    <row r="239" spans="2:7" x14ac:dyDescent="0.3">
      <c r="B239" s="815" t="s">
        <v>417</v>
      </c>
      <c r="C239" s="206" t="s">
        <v>417</v>
      </c>
      <c r="D239" s="206" t="s">
        <v>417</v>
      </c>
      <c r="E239" s="576"/>
      <c r="F239" s="183" t="s">
        <v>424</v>
      </c>
      <c r="G239" s="53">
        <f>SUMIFS('Data Entry'!M:M,'Data Entry'!F:F,D239,'Data Entry'!L:L,F239)</f>
        <v>0</v>
      </c>
    </row>
    <row r="240" spans="2:7" x14ac:dyDescent="0.3">
      <c r="B240" s="1189"/>
      <c r="C240" s="961"/>
      <c r="D240" s="206" t="s">
        <v>417</v>
      </c>
      <c r="E240" s="576"/>
      <c r="F240" s="183" t="s">
        <v>365</v>
      </c>
      <c r="G240" s="54">
        <f>SUMIFS('Data Entry'!M:M,'Data Entry'!F:F,D240,'Data Entry'!L:L,F240)</f>
        <v>0</v>
      </c>
    </row>
    <row r="241" spans="2:7" x14ac:dyDescent="0.3">
      <c r="B241" s="1189"/>
      <c r="C241" s="961"/>
      <c r="D241" s="206" t="s">
        <v>417</v>
      </c>
      <c r="E241" s="576"/>
      <c r="F241" s="439" t="s">
        <v>362</v>
      </c>
      <c r="G241" s="54">
        <f>SUMIFS('Data Entry'!M:M,'Data Entry'!F:F,D241,'Data Entry'!L:L,F241)</f>
        <v>0</v>
      </c>
    </row>
    <row r="242" spans="2:7" x14ac:dyDescent="0.3">
      <c r="B242" s="1189"/>
      <c r="C242" s="961"/>
      <c r="D242" s="206" t="s">
        <v>417</v>
      </c>
      <c r="E242" s="576"/>
      <c r="F242" s="439" t="s">
        <v>363</v>
      </c>
      <c r="G242" s="54">
        <f>SUMIFS('Data Entry'!M:M,'Data Entry'!F:F,D242,'Data Entry'!L:L,F242)</f>
        <v>0</v>
      </c>
    </row>
    <row r="243" spans="2:7" ht="15" thickBot="1" x14ac:dyDescent="0.35">
      <c r="B243" s="1189"/>
      <c r="C243" s="1191"/>
      <c r="D243" s="206" t="s">
        <v>417</v>
      </c>
      <c r="E243" s="605"/>
      <c r="F243" s="606" t="s">
        <v>364</v>
      </c>
      <c r="G243" s="55">
        <f>SUMIFS('Data Entry'!M:M,'Data Entry'!F:F,D243,'Data Entry'!L:L,F243)</f>
        <v>0</v>
      </c>
    </row>
    <row r="244" spans="2:7" x14ac:dyDescent="0.3">
      <c r="B244" s="1186" t="s">
        <v>419</v>
      </c>
      <c r="C244" s="1201" t="s">
        <v>419</v>
      </c>
      <c r="D244" s="1208" t="s">
        <v>419</v>
      </c>
      <c r="E244" s="185" t="str">
        <f>VLOOKUP(D244,'Airport Mapping'!$C$5:$D$39,2,FALSE)</f>
        <v xml:space="preserve"> </v>
      </c>
      <c r="F244" s="1192" t="s">
        <v>121</v>
      </c>
      <c r="G244" s="62">
        <f>SUMIFS('Data Entry'!M:M,'Data Entry'!F:F,D244,'Data Entry'!L:L,F244)</f>
        <v>0</v>
      </c>
    </row>
    <row r="245" spans="2:7" x14ac:dyDescent="0.3">
      <c r="B245" s="1189"/>
      <c r="C245" s="961"/>
      <c r="D245" s="1209" t="s">
        <v>419</v>
      </c>
      <c r="E245" s="183"/>
      <c r="F245" s="60" t="s">
        <v>6</v>
      </c>
      <c r="G245" s="54">
        <f>SUMIFS('Data Entry'!M:M,'Data Entry'!F:F,D245,'Data Entry'!L:L,F245)</f>
        <v>0</v>
      </c>
    </row>
    <row r="246" spans="2:7" ht="15" hidden="1" x14ac:dyDescent="0.25">
      <c r="B246" s="1189"/>
      <c r="C246" s="961"/>
      <c r="D246" s="1209" t="s">
        <v>419</v>
      </c>
      <c r="E246" s="183"/>
      <c r="F246" s="60" t="s">
        <v>120</v>
      </c>
      <c r="G246" s="54">
        <f>SUMIFS('Data Entry'!M:M,'Data Entry'!F:F,D246,'Data Entry'!L:L,F246)</f>
        <v>0</v>
      </c>
    </row>
    <row r="247" spans="2:7" x14ac:dyDescent="0.3">
      <c r="B247" s="1189"/>
      <c r="C247" s="961"/>
      <c r="D247" s="1209" t="s">
        <v>419</v>
      </c>
      <c r="E247" s="183"/>
      <c r="F247" s="439" t="s">
        <v>362</v>
      </c>
      <c r="G247" s="54">
        <f>SUMIFS('Data Entry'!M:M,'Data Entry'!F:F,D247,'Data Entry'!L:L,F247)</f>
        <v>0</v>
      </c>
    </row>
    <row r="248" spans="2:7" x14ac:dyDescent="0.3">
      <c r="B248" s="1189"/>
      <c r="C248" s="961"/>
      <c r="D248" s="1209" t="s">
        <v>419</v>
      </c>
      <c r="E248" s="183"/>
      <c r="F248" s="439" t="s">
        <v>363</v>
      </c>
      <c r="G248" s="54">
        <f>SUMIFS('Data Entry'!M:M,'Data Entry'!F:F,D248,'Data Entry'!L:L,F248)</f>
        <v>0</v>
      </c>
    </row>
    <row r="249" spans="2:7" ht="15" thickBot="1" x14ac:dyDescent="0.35">
      <c r="B249" s="1206"/>
      <c r="C249" s="1191"/>
      <c r="D249" s="1210" t="s">
        <v>419</v>
      </c>
      <c r="E249" s="1011"/>
      <c r="F249" s="606" t="s">
        <v>364</v>
      </c>
      <c r="G249" s="61">
        <f>SUMIFS('Data Entry'!M:M,'Data Entry'!F:F,D249,'Data Entry'!L:L,F249)</f>
        <v>0</v>
      </c>
    </row>
    <row r="250" spans="2:7" x14ac:dyDescent="0.3">
      <c r="B250" s="1189" t="s">
        <v>471</v>
      </c>
      <c r="C250" s="1187" t="s">
        <v>106</v>
      </c>
      <c r="D250" s="961" t="s">
        <v>106</v>
      </c>
      <c r="E250" s="1188" t="str">
        <f>VLOOKUP(D250,'Airport Mapping'!$C$5:$D$39,2,FALSE)</f>
        <v xml:space="preserve"> </v>
      </c>
      <c r="F250" s="1192" t="s">
        <v>121</v>
      </c>
      <c r="G250" s="53">
        <f>SUMIFS('Data Entry'!M:M,'Data Entry'!F:F,D250,'Data Entry'!L:L,F250)</f>
        <v>0</v>
      </c>
    </row>
    <row r="251" spans="2:7" x14ac:dyDescent="0.3">
      <c r="B251" s="1189"/>
      <c r="C251" s="961"/>
      <c r="D251" s="961" t="s">
        <v>106</v>
      </c>
      <c r="E251" s="576"/>
      <c r="F251" s="60" t="s">
        <v>6</v>
      </c>
      <c r="G251" s="54">
        <f>SUMIFS('Data Entry'!M:M,'Data Entry'!F:F,D251,'Data Entry'!L:L,F251)</f>
        <v>0</v>
      </c>
    </row>
    <row r="252" spans="2:7" x14ac:dyDescent="0.3">
      <c r="B252" s="1189"/>
      <c r="C252" s="961"/>
      <c r="D252" s="961" t="s">
        <v>106</v>
      </c>
      <c r="E252" s="576"/>
      <c r="F252" s="60" t="s">
        <v>118</v>
      </c>
      <c r="G252" s="54">
        <f>SUMIFS('Data Entry'!M:M,'Data Entry'!F:F,D252,'Data Entry'!L:L,F252)</f>
        <v>0</v>
      </c>
    </row>
    <row r="253" spans="2:7" x14ac:dyDescent="0.3">
      <c r="B253" s="1189"/>
      <c r="C253" s="961"/>
      <c r="D253" s="961" t="s">
        <v>106</v>
      </c>
      <c r="E253" s="576"/>
      <c r="F253" s="60" t="s">
        <v>120</v>
      </c>
      <c r="G253" s="54">
        <f>SUMIFS('Data Entry'!M:M,'Data Entry'!F:F,D253,'Data Entry'!L:L,F253)</f>
        <v>0</v>
      </c>
    </row>
    <row r="254" spans="2:7" x14ac:dyDescent="0.3">
      <c r="B254" s="1189"/>
      <c r="C254" s="961"/>
      <c r="D254" s="961" t="s">
        <v>106</v>
      </c>
      <c r="E254" s="576"/>
      <c r="F254" s="183" t="s">
        <v>424</v>
      </c>
      <c r="G254" s="54">
        <f>SUMIFS('Data Entry'!M:M,'Data Entry'!F:F,D254,'Data Entry'!L:L,F254)</f>
        <v>0</v>
      </c>
    </row>
    <row r="255" spans="2:7" x14ac:dyDescent="0.3">
      <c r="B255" s="1189"/>
      <c r="C255" s="961"/>
      <c r="D255" s="961" t="s">
        <v>106</v>
      </c>
      <c r="E255" s="576"/>
      <c r="F255" s="183" t="s">
        <v>365</v>
      </c>
      <c r="G255" s="54">
        <f>SUMIFS('Data Entry'!M:M,'Data Entry'!F:F,D255,'Data Entry'!L:L,F255)</f>
        <v>0</v>
      </c>
    </row>
    <row r="256" spans="2:7" x14ac:dyDescent="0.3">
      <c r="B256" s="1189"/>
      <c r="C256" s="961"/>
      <c r="D256" s="961" t="str">
        <f>D255</f>
        <v>Tenant A</v>
      </c>
      <c r="E256" s="576"/>
      <c r="F256" s="439" t="s">
        <v>362</v>
      </c>
      <c r="G256" s="54">
        <f>SUMIFS('Data Entry'!M:M,'Data Entry'!F:F,D256,'Data Entry'!L:L,F256)</f>
        <v>0</v>
      </c>
    </row>
    <row r="257" spans="2:7" x14ac:dyDescent="0.3">
      <c r="B257" s="1189"/>
      <c r="C257" s="961"/>
      <c r="D257" s="961" t="str">
        <f>D256</f>
        <v>Tenant A</v>
      </c>
      <c r="E257" s="576"/>
      <c r="F257" s="439" t="s">
        <v>363</v>
      </c>
      <c r="G257" s="54">
        <f>SUMIFS('Data Entry'!M:M,'Data Entry'!F:F,D257,'Data Entry'!L:L,F257)</f>
        <v>0</v>
      </c>
    </row>
    <row r="258" spans="2:7" ht="15" thickBot="1" x14ac:dyDescent="0.35">
      <c r="B258" s="1189"/>
      <c r="C258" s="1191"/>
      <c r="D258" s="1191" t="str">
        <f>D257</f>
        <v>Tenant A</v>
      </c>
      <c r="E258" s="605"/>
      <c r="F258" s="606" t="s">
        <v>364</v>
      </c>
      <c r="G258" s="55">
        <f>SUMIFS('Data Entry'!M:M,'Data Entry'!F:F,D258,'Data Entry'!L:L,F258)</f>
        <v>0</v>
      </c>
    </row>
    <row r="259" spans="2:7" x14ac:dyDescent="0.3">
      <c r="B259" s="1189"/>
      <c r="C259" s="1187" t="s">
        <v>107</v>
      </c>
      <c r="D259" s="1187" t="s">
        <v>107</v>
      </c>
      <c r="E259" s="1188" t="str">
        <f>VLOOKUP(D259,'Airport Mapping'!$C$5:$D$39,2,FALSE)</f>
        <v xml:space="preserve"> </v>
      </c>
      <c r="F259" s="1192" t="s">
        <v>121</v>
      </c>
      <c r="G259" s="62">
        <f>SUMIFS('Data Entry'!M:M,'Data Entry'!F:F,D259,'Data Entry'!L:L,F259)</f>
        <v>0</v>
      </c>
    </row>
    <row r="260" spans="2:7" x14ac:dyDescent="0.3">
      <c r="B260" s="1189"/>
      <c r="C260" s="961"/>
      <c r="D260" s="961" t="s">
        <v>107</v>
      </c>
      <c r="E260" s="576"/>
      <c r="F260" s="60" t="s">
        <v>6</v>
      </c>
      <c r="G260" s="54">
        <f>SUMIFS('Data Entry'!M:M,'Data Entry'!F:F,D260,'Data Entry'!L:L,F260)</f>
        <v>0</v>
      </c>
    </row>
    <row r="261" spans="2:7" x14ac:dyDescent="0.3">
      <c r="B261" s="1189"/>
      <c r="C261" s="961"/>
      <c r="D261" s="961" t="s">
        <v>107</v>
      </c>
      <c r="E261" s="576"/>
      <c r="F261" s="60" t="s">
        <v>118</v>
      </c>
      <c r="G261" s="54">
        <f>SUMIFS('Data Entry'!M:M,'Data Entry'!F:F,D261,'Data Entry'!L:L,F261)</f>
        <v>0</v>
      </c>
    </row>
    <row r="262" spans="2:7" x14ac:dyDescent="0.3">
      <c r="B262" s="1189"/>
      <c r="C262" s="961"/>
      <c r="D262" s="961" t="s">
        <v>107</v>
      </c>
      <c r="E262" s="576"/>
      <c r="F262" s="60" t="s">
        <v>120</v>
      </c>
      <c r="G262" s="54">
        <f>SUMIFS('Data Entry'!M:M,'Data Entry'!F:F,D262,'Data Entry'!L:L,F262)</f>
        <v>0</v>
      </c>
    </row>
    <row r="263" spans="2:7" x14ac:dyDescent="0.3">
      <c r="B263" s="1189"/>
      <c r="C263" s="961"/>
      <c r="D263" s="961" t="s">
        <v>107</v>
      </c>
      <c r="E263" s="576"/>
      <c r="F263" s="183" t="s">
        <v>424</v>
      </c>
      <c r="G263" s="54">
        <f>SUMIFS('Data Entry'!M:M,'Data Entry'!F:F,D263,'Data Entry'!L:L,F263)</f>
        <v>0</v>
      </c>
    </row>
    <row r="264" spans="2:7" x14ac:dyDescent="0.3">
      <c r="B264" s="1189"/>
      <c r="C264" s="961"/>
      <c r="D264" s="961" t="s">
        <v>107</v>
      </c>
      <c r="E264" s="576"/>
      <c r="F264" s="183" t="s">
        <v>365</v>
      </c>
      <c r="G264" s="54">
        <f>SUMIFS('Data Entry'!M:M,'Data Entry'!F:F,D264,'Data Entry'!L:L,F264)</f>
        <v>0</v>
      </c>
    </row>
    <row r="265" spans="2:7" x14ac:dyDescent="0.3">
      <c r="B265" s="1189"/>
      <c r="C265" s="961"/>
      <c r="D265" s="961" t="str">
        <f>D264</f>
        <v>Tenant B</v>
      </c>
      <c r="E265" s="576"/>
      <c r="F265" s="439" t="s">
        <v>362</v>
      </c>
      <c r="G265" s="54">
        <f>SUMIFS('Data Entry'!M:M,'Data Entry'!F:F,D265,'Data Entry'!L:L,F265)</f>
        <v>0</v>
      </c>
    </row>
    <row r="266" spans="2:7" x14ac:dyDescent="0.3">
      <c r="B266" s="1189"/>
      <c r="C266" s="961"/>
      <c r="D266" s="961" t="str">
        <f>D265</f>
        <v>Tenant B</v>
      </c>
      <c r="E266" s="576"/>
      <c r="F266" s="439" t="s">
        <v>363</v>
      </c>
      <c r="G266" s="54">
        <f>SUMIFS('Data Entry'!M:M,'Data Entry'!F:F,D266,'Data Entry'!L:L,F266)</f>
        <v>0</v>
      </c>
    </row>
    <row r="267" spans="2:7" ht="15" thickBot="1" x14ac:dyDescent="0.35">
      <c r="B267" s="1189"/>
      <c r="C267" s="1191"/>
      <c r="D267" s="1191" t="str">
        <f>D266</f>
        <v>Tenant B</v>
      </c>
      <c r="E267" s="605"/>
      <c r="F267" s="606" t="s">
        <v>364</v>
      </c>
      <c r="G267" s="61">
        <f>SUMIFS('Data Entry'!M:M,'Data Entry'!F:F,D267,'Data Entry'!L:L,F267)</f>
        <v>0</v>
      </c>
    </row>
    <row r="268" spans="2:7" x14ac:dyDescent="0.3">
      <c r="B268" s="1189"/>
      <c r="C268" s="1187" t="s">
        <v>108</v>
      </c>
      <c r="D268" s="1187" t="s">
        <v>108</v>
      </c>
      <c r="E268" s="1188" t="str">
        <f>VLOOKUP(D268,'Airport Mapping'!$C$5:$D$39,2,FALSE)</f>
        <v xml:space="preserve"> </v>
      </c>
      <c r="F268" s="1192" t="s">
        <v>121</v>
      </c>
      <c r="G268" s="53">
        <f>SUMIFS('Data Entry'!M:M,'Data Entry'!F:F,D268,'Data Entry'!L:L,F268)</f>
        <v>0</v>
      </c>
    </row>
    <row r="269" spans="2:7" x14ac:dyDescent="0.3">
      <c r="B269" s="1189"/>
      <c r="C269" s="961"/>
      <c r="D269" s="961" t="s">
        <v>108</v>
      </c>
      <c r="E269" s="576"/>
      <c r="F269" s="60" t="s">
        <v>6</v>
      </c>
      <c r="G269" s="54">
        <f>SUMIFS('Data Entry'!M:M,'Data Entry'!F:F,D269,'Data Entry'!L:L,F269)</f>
        <v>0</v>
      </c>
    </row>
    <row r="270" spans="2:7" x14ac:dyDescent="0.3">
      <c r="B270" s="1189"/>
      <c r="C270" s="961"/>
      <c r="D270" s="961" t="s">
        <v>108</v>
      </c>
      <c r="E270" s="576"/>
      <c r="F270" s="60" t="s">
        <v>118</v>
      </c>
      <c r="G270" s="54">
        <f>SUMIFS('Data Entry'!M:M,'Data Entry'!F:F,D270,'Data Entry'!L:L,F270)</f>
        <v>0</v>
      </c>
    </row>
    <row r="271" spans="2:7" x14ac:dyDescent="0.3">
      <c r="B271" s="1189"/>
      <c r="C271" s="961"/>
      <c r="D271" s="961" t="s">
        <v>108</v>
      </c>
      <c r="E271" s="576"/>
      <c r="F271" s="60" t="s">
        <v>120</v>
      </c>
      <c r="G271" s="54">
        <f>SUMIFS('Data Entry'!M:M,'Data Entry'!F:F,D271,'Data Entry'!L:L,F271)</f>
        <v>0</v>
      </c>
    </row>
    <row r="272" spans="2:7" x14ac:dyDescent="0.3">
      <c r="B272" s="1189"/>
      <c r="C272" s="961"/>
      <c r="D272" s="961" t="s">
        <v>108</v>
      </c>
      <c r="E272" s="576"/>
      <c r="F272" s="183" t="s">
        <v>424</v>
      </c>
      <c r="G272" s="54">
        <f>SUMIFS('Data Entry'!M:M,'Data Entry'!F:F,D272,'Data Entry'!L:L,F272)</f>
        <v>0</v>
      </c>
    </row>
    <row r="273" spans="2:7" x14ac:dyDescent="0.3">
      <c r="B273" s="1189"/>
      <c r="C273" s="961"/>
      <c r="D273" s="961" t="s">
        <v>108</v>
      </c>
      <c r="E273" s="576"/>
      <c r="F273" s="183" t="s">
        <v>365</v>
      </c>
      <c r="G273" s="54">
        <f>SUMIFS('Data Entry'!M:M,'Data Entry'!F:F,D273,'Data Entry'!L:L,F273)</f>
        <v>0</v>
      </c>
    </row>
    <row r="274" spans="2:7" x14ac:dyDescent="0.3">
      <c r="B274" s="1189"/>
      <c r="C274" s="961"/>
      <c r="D274" s="961" t="str">
        <f>D273</f>
        <v>Tenant C</v>
      </c>
      <c r="E274" s="576"/>
      <c r="F274" s="439" t="s">
        <v>362</v>
      </c>
      <c r="G274" s="54">
        <f>SUMIFS('Data Entry'!M:M,'Data Entry'!F:F,D274,'Data Entry'!L:L,F274)</f>
        <v>0</v>
      </c>
    </row>
    <row r="275" spans="2:7" x14ac:dyDescent="0.3">
      <c r="B275" s="1189"/>
      <c r="C275" s="961"/>
      <c r="D275" s="961" t="str">
        <f>D274</f>
        <v>Tenant C</v>
      </c>
      <c r="E275" s="576"/>
      <c r="F275" s="439" t="s">
        <v>363</v>
      </c>
      <c r="G275" s="54">
        <f>SUMIFS('Data Entry'!M:M,'Data Entry'!F:F,D275,'Data Entry'!L:L,F275)</f>
        <v>0</v>
      </c>
    </row>
    <row r="276" spans="2:7" ht="15" thickBot="1" x14ac:dyDescent="0.35">
      <c r="B276" s="1189"/>
      <c r="C276" s="1191"/>
      <c r="D276" s="1191" t="str">
        <f>D275</f>
        <v>Tenant C</v>
      </c>
      <c r="E276" s="605"/>
      <c r="F276" s="606" t="s">
        <v>364</v>
      </c>
      <c r="G276" s="55">
        <f>SUMIFS('Data Entry'!M:M,'Data Entry'!F:F,D276,'Data Entry'!L:L,F276)</f>
        <v>0</v>
      </c>
    </row>
    <row r="277" spans="2:7" x14ac:dyDescent="0.3">
      <c r="B277" s="1189"/>
      <c r="C277" s="1187" t="s">
        <v>109</v>
      </c>
      <c r="D277" s="1187" t="s">
        <v>109</v>
      </c>
      <c r="E277" s="1188" t="str">
        <f>VLOOKUP(D277,'Airport Mapping'!$C$5:$D$39,2,FALSE)</f>
        <v xml:space="preserve"> </v>
      </c>
      <c r="F277" s="1192" t="s">
        <v>121</v>
      </c>
      <c r="G277" s="62">
        <f>SUMIFS('Data Entry'!M:M,'Data Entry'!F:F,D277,'Data Entry'!L:L,F277)</f>
        <v>0</v>
      </c>
    </row>
    <row r="278" spans="2:7" x14ac:dyDescent="0.3">
      <c r="B278" s="1189"/>
      <c r="C278" s="961"/>
      <c r="D278" s="961" t="s">
        <v>109</v>
      </c>
      <c r="E278" s="576"/>
      <c r="F278" s="60" t="s">
        <v>6</v>
      </c>
      <c r="G278" s="54">
        <f>SUMIFS('Data Entry'!M:M,'Data Entry'!F:F,D278,'Data Entry'!L:L,F278)</f>
        <v>0</v>
      </c>
    </row>
    <row r="279" spans="2:7" x14ac:dyDescent="0.3">
      <c r="B279" s="1189"/>
      <c r="C279" s="961"/>
      <c r="D279" s="961" t="s">
        <v>109</v>
      </c>
      <c r="E279" s="576"/>
      <c r="F279" s="60" t="s">
        <v>118</v>
      </c>
      <c r="G279" s="54">
        <f>SUMIFS('Data Entry'!M:M,'Data Entry'!F:F,D279,'Data Entry'!L:L,F279)</f>
        <v>0</v>
      </c>
    </row>
    <row r="280" spans="2:7" x14ac:dyDescent="0.3">
      <c r="B280" s="1189"/>
      <c r="C280" s="961"/>
      <c r="D280" s="961" t="s">
        <v>109</v>
      </c>
      <c r="E280" s="576"/>
      <c r="F280" s="60" t="s">
        <v>120</v>
      </c>
      <c r="G280" s="54">
        <f>SUMIFS('Data Entry'!M:M,'Data Entry'!F:F,D280,'Data Entry'!L:L,F280)</f>
        <v>0</v>
      </c>
    </row>
    <row r="281" spans="2:7" x14ac:dyDescent="0.3">
      <c r="B281" s="1189"/>
      <c r="C281" s="961"/>
      <c r="D281" s="961" t="s">
        <v>109</v>
      </c>
      <c r="E281" s="576"/>
      <c r="F281" s="183" t="s">
        <v>424</v>
      </c>
      <c r="G281" s="54">
        <f>SUMIFS('Data Entry'!M:M,'Data Entry'!F:F,D281,'Data Entry'!L:L,F281)</f>
        <v>0</v>
      </c>
    </row>
    <row r="282" spans="2:7" x14ac:dyDescent="0.3">
      <c r="B282" s="1189"/>
      <c r="C282" s="961"/>
      <c r="D282" s="961" t="s">
        <v>109</v>
      </c>
      <c r="E282" s="576"/>
      <c r="F282" s="183" t="s">
        <v>365</v>
      </c>
      <c r="G282" s="54">
        <f>SUMIFS('Data Entry'!M:M,'Data Entry'!F:F,D282,'Data Entry'!L:L,F282)</f>
        <v>0</v>
      </c>
    </row>
    <row r="283" spans="2:7" x14ac:dyDescent="0.3">
      <c r="B283" s="1189"/>
      <c r="C283" s="961"/>
      <c r="D283" s="961" t="str">
        <f>D282</f>
        <v>Tenant D</v>
      </c>
      <c r="E283" s="576"/>
      <c r="F283" s="439" t="s">
        <v>362</v>
      </c>
      <c r="G283" s="54">
        <f>SUMIFS('Data Entry'!M:M,'Data Entry'!F:F,D283,'Data Entry'!L:L,F283)</f>
        <v>0</v>
      </c>
    </row>
    <row r="284" spans="2:7" x14ac:dyDescent="0.3">
      <c r="B284" s="1189"/>
      <c r="C284" s="961"/>
      <c r="D284" s="961" t="str">
        <f>D283</f>
        <v>Tenant D</v>
      </c>
      <c r="E284" s="576"/>
      <c r="F284" s="439" t="s">
        <v>363</v>
      </c>
      <c r="G284" s="54">
        <f>SUMIFS('Data Entry'!M:M,'Data Entry'!F:F,D284,'Data Entry'!L:L,F284)</f>
        <v>0</v>
      </c>
    </row>
    <row r="285" spans="2:7" ht="15" thickBot="1" x14ac:dyDescent="0.35">
      <c r="B285" s="1189"/>
      <c r="C285" s="1191"/>
      <c r="D285" s="1191" t="str">
        <f>D284</f>
        <v>Tenant D</v>
      </c>
      <c r="E285" s="605"/>
      <c r="F285" s="606" t="s">
        <v>364</v>
      </c>
      <c r="G285" s="61">
        <f>SUMIFS('Data Entry'!M:M,'Data Entry'!F:F,D285,'Data Entry'!L:L,F285)</f>
        <v>0</v>
      </c>
    </row>
    <row r="286" spans="2:7" x14ac:dyDescent="0.3">
      <c r="B286" s="1189"/>
      <c r="C286" s="1187" t="s">
        <v>110</v>
      </c>
      <c r="D286" s="1187" t="s">
        <v>110</v>
      </c>
      <c r="E286" s="1188" t="str">
        <f>VLOOKUP(D286,'Airport Mapping'!$C$5:$D$39,2,FALSE)</f>
        <v xml:space="preserve"> </v>
      </c>
      <c r="F286" s="1192" t="s">
        <v>121</v>
      </c>
      <c r="G286" s="53">
        <f>SUMIFS('Data Entry'!M:M,'Data Entry'!F:F,D286,'Data Entry'!L:L,F286)</f>
        <v>0</v>
      </c>
    </row>
    <row r="287" spans="2:7" x14ac:dyDescent="0.3">
      <c r="B287" s="7"/>
      <c r="C287" s="961"/>
      <c r="D287" s="961" t="s">
        <v>110</v>
      </c>
      <c r="E287" s="576"/>
      <c r="F287" s="60" t="s">
        <v>6</v>
      </c>
      <c r="G287" s="54">
        <f>SUMIFS('Data Entry'!M:M,'Data Entry'!F:F,D287,'Data Entry'!L:L,F287)</f>
        <v>0</v>
      </c>
    </row>
    <row r="288" spans="2:7" x14ac:dyDescent="0.3">
      <c r="B288" s="7"/>
      <c r="C288" s="961"/>
      <c r="D288" s="961" t="s">
        <v>110</v>
      </c>
      <c r="E288" s="576"/>
      <c r="F288" s="60" t="s">
        <v>118</v>
      </c>
      <c r="G288" s="54">
        <f>SUMIFS('Data Entry'!M:M,'Data Entry'!F:F,D288,'Data Entry'!L:L,F288)</f>
        <v>0</v>
      </c>
    </row>
    <row r="289" spans="2:7" x14ac:dyDescent="0.3">
      <c r="B289" s="7"/>
      <c r="C289" s="961"/>
      <c r="D289" s="961" t="s">
        <v>110</v>
      </c>
      <c r="E289" s="576"/>
      <c r="F289" s="60" t="s">
        <v>120</v>
      </c>
      <c r="G289" s="54">
        <f>SUMIFS('Data Entry'!M:M,'Data Entry'!F:F,D289,'Data Entry'!L:L,F289)</f>
        <v>0</v>
      </c>
    </row>
    <row r="290" spans="2:7" x14ac:dyDescent="0.3">
      <c r="B290" s="7"/>
      <c r="C290" s="961"/>
      <c r="D290" s="961" t="s">
        <v>110</v>
      </c>
      <c r="E290" s="576"/>
      <c r="F290" s="183" t="s">
        <v>424</v>
      </c>
      <c r="G290" s="54">
        <f>SUMIFS('Data Entry'!M:M,'Data Entry'!F:F,D290,'Data Entry'!L:L,F290)</f>
        <v>0</v>
      </c>
    </row>
    <row r="291" spans="2:7" x14ac:dyDescent="0.3">
      <c r="B291" s="7"/>
      <c r="C291" s="961"/>
      <c r="D291" s="961" t="s">
        <v>110</v>
      </c>
      <c r="E291" s="576"/>
      <c r="F291" s="183" t="s">
        <v>365</v>
      </c>
      <c r="G291" s="54">
        <f>SUMIFS('Data Entry'!M:M,'Data Entry'!F:F,D291,'Data Entry'!L:L,F291)</f>
        <v>0</v>
      </c>
    </row>
    <row r="292" spans="2:7" x14ac:dyDescent="0.3">
      <c r="B292" s="7"/>
      <c r="C292" s="961"/>
      <c r="D292" s="961" t="str">
        <f>D291</f>
        <v>Tenant E</v>
      </c>
      <c r="E292" s="576"/>
      <c r="F292" s="439" t="s">
        <v>362</v>
      </c>
      <c r="G292" s="54">
        <f>SUMIFS('Data Entry'!M:M,'Data Entry'!F:F,D292,'Data Entry'!L:L,F292)</f>
        <v>0</v>
      </c>
    </row>
    <row r="293" spans="2:7" x14ac:dyDescent="0.3">
      <c r="B293" s="7"/>
      <c r="C293" s="961"/>
      <c r="D293" s="961" t="str">
        <f>D292</f>
        <v>Tenant E</v>
      </c>
      <c r="E293" s="576"/>
      <c r="F293" s="439" t="s">
        <v>363</v>
      </c>
      <c r="G293" s="54">
        <f>SUMIFS('Data Entry'!M:M,'Data Entry'!F:F,D293,'Data Entry'!L:L,F293)</f>
        <v>0</v>
      </c>
    </row>
    <row r="294" spans="2:7" ht="15" thickBot="1" x14ac:dyDescent="0.35">
      <c r="B294" s="8"/>
      <c r="C294" s="1191"/>
      <c r="D294" s="1191" t="str">
        <f>D293</f>
        <v>Tenant E</v>
      </c>
      <c r="E294" s="605"/>
      <c r="F294" s="606" t="s">
        <v>364</v>
      </c>
      <c r="G294" s="55">
        <f>SUMIFS('Data Entry'!M:M,'Data Entry'!F:F,D294,'Data Entry'!L:L,F294)</f>
        <v>0</v>
      </c>
    </row>
    <row r="295" spans="2:7" x14ac:dyDescent="0.3">
      <c r="B295" s="6"/>
      <c r="C295" s="961"/>
    </row>
  </sheetData>
  <sheetProtection algorithmName="SHA-512" hashValue="+WicpjbQ9KQCjVfzu1GXYDPeRD1RxOXFvnYryoClGmSUOK2VTraOdv8csPmJzq1Mw71gulMa/SrfMdB0U6sLrA==" saltValue="qOcj1FDG4r7v7KT4ThhVbw==" spinCount="100000" sheet="1" objects="1" scenarios="1"/>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808080"/>
  </sheetPr>
  <dimension ref="A1:BB130"/>
  <sheetViews>
    <sheetView zoomScaleNormal="100" workbookViewId="0"/>
  </sheetViews>
  <sheetFormatPr defaultColWidth="8.88671875" defaultRowHeight="14.4" x14ac:dyDescent="0.3"/>
  <cols>
    <col min="1" max="1" width="8.88671875" style="13"/>
    <col min="2" max="3" width="25.109375" style="13" bestFit="1" customWidth="1"/>
    <col min="4" max="4" width="4.33203125" style="13" customWidth="1"/>
    <col min="5" max="5" width="33.5546875" style="13" customWidth="1"/>
    <col min="6" max="7" width="8.88671875" style="13"/>
    <col min="8" max="8" width="27.109375" style="13" bestFit="1" customWidth="1"/>
    <col min="9" max="9" width="32.6640625" style="125" bestFit="1" customWidth="1"/>
    <col min="10" max="10" width="53.88671875" style="125" bestFit="1" customWidth="1"/>
    <col min="11" max="11" width="13.33203125" style="125" bestFit="1" customWidth="1"/>
    <col min="12" max="12" width="21" style="13" bestFit="1" customWidth="1"/>
    <col min="13" max="13" width="24.33203125" style="13" customWidth="1"/>
    <col min="14" max="14" width="8.88671875" style="13"/>
    <col min="15" max="15" width="30.33203125" style="13" bestFit="1" customWidth="1"/>
    <col min="16" max="20" width="26.6640625" style="13" bestFit="1" customWidth="1"/>
    <col min="21" max="21" width="30" style="13" bestFit="1" customWidth="1"/>
    <col min="22" max="22" width="29.88671875" style="13" bestFit="1" customWidth="1"/>
    <col min="23" max="23" width="32.6640625" style="13" bestFit="1" customWidth="1"/>
    <col min="24" max="24" width="27" style="13" bestFit="1" customWidth="1"/>
    <col min="25" max="26" width="8.88671875" style="13"/>
    <col min="27" max="27" width="34.6640625" style="13" customWidth="1"/>
    <col min="28" max="28" width="19.33203125" style="13" customWidth="1"/>
    <col min="29" max="29" width="20.44140625" style="13" customWidth="1"/>
    <col min="30" max="30" width="18.88671875" style="13" customWidth="1"/>
    <col min="31" max="31" width="22.6640625" style="13" customWidth="1"/>
    <col min="32" max="32" width="28.33203125" style="13" customWidth="1"/>
    <col min="33" max="33" width="20.44140625" style="13" customWidth="1"/>
    <col min="34" max="34" width="21" style="13" customWidth="1"/>
    <col min="35" max="35" width="20.6640625" style="13" customWidth="1"/>
    <col min="36" max="36" width="20.33203125" style="13" customWidth="1"/>
    <col min="37" max="37" width="19" style="13" customWidth="1"/>
    <col min="38" max="38" width="19.6640625" style="13" customWidth="1"/>
    <col min="39" max="39" width="20.5546875" style="13" customWidth="1"/>
    <col min="40" max="40" width="21.6640625" style="13" customWidth="1"/>
    <col min="41" max="41" width="19.6640625" style="13" customWidth="1"/>
    <col min="42" max="42" width="17.5546875" style="13" customWidth="1"/>
    <col min="43" max="45" width="13.33203125" style="13" bestFit="1" customWidth="1"/>
    <col min="46" max="46" width="3.6640625" style="13" customWidth="1"/>
    <col min="47" max="47" width="8.88671875" style="13"/>
    <col min="48" max="48" width="37.88671875" style="13" bestFit="1" customWidth="1"/>
    <col min="49" max="16384" width="8.88671875" style="13"/>
  </cols>
  <sheetData>
    <row r="1" spans="2:54" x14ac:dyDescent="0.3">
      <c r="I1" s="1474"/>
      <c r="J1" s="1474"/>
      <c r="P1" s="2" t="s">
        <v>296</v>
      </c>
    </row>
    <row r="2" spans="2:54" x14ac:dyDescent="0.3">
      <c r="B2" s="41"/>
      <c r="C2" s="91" t="s">
        <v>297</v>
      </c>
      <c r="E2" s="92" t="s">
        <v>298</v>
      </c>
      <c r="H2" s="2" t="s">
        <v>299</v>
      </c>
      <c r="I2" s="1474"/>
      <c r="J2" s="1474"/>
      <c r="K2" s="5" t="s">
        <v>300</v>
      </c>
      <c r="L2" s="2" t="s">
        <v>301</v>
      </c>
      <c r="M2" s="2" t="s">
        <v>302</v>
      </c>
      <c r="AU2" s="41"/>
      <c r="AV2" s="39" t="s">
        <v>370</v>
      </c>
      <c r="AW2" s="978"/>
    </row>
    <row r="3" spans="2:54" ht="15" thickBot="1" x14ac:dyDescent="0.35">
      <c r="B3" s="44"/>
      <c r="C3" s="929"/>
      <c r="E3" s="215"/>
      <c r="I3" s="1474"/>
      <c r="J3" s="1474"/>
      <c r="O3" s="2" t="s">
        <v>303</v>
      </c>
      <c r="AU3" s="41">
        <f>'Data Entry'!B53</f>
        <v>1</v>
      </c>
      <c r="AV3" s="77" t="e">
        <f>'Data Entry'!V54</f>
        <v>#N/A</v>
      </c>
      <c r="AW3" s="979">
        <f>'Data Entry'!X54</f>
        <v>1</v>
      </c>
      <c r="AZ3" s="13" t="s">
        <v>410</v>
      </c>
      <c r="BA3" s="124">
        <v>1</v>
      </c>
      <c r="BB3" s="124">
        <v>1</v>
      </c>
    </row>
    <row r="4" spans="2:54" ht="15" x14ac:dyDescent="0.25">
      <c r="B4" s="928" t="s">
        <v>1</v>
      </c>
      <c r="C4" s="929" t="s">
        <v>84</v>
      </c>
      <c r="E4" s="215" t="s">
        <v>304</v>
      </c>
      <c r="H4" s="179" t="s">
        <v>1</v>
      </c>
      <c r="I4" s="980" t="str">
        <f>K4&amp;"-"&amp;L4</f>
        <v>Restrooms-Toilets</v>
      </c>
      <c r="J4" s="980" t="str">
        <f>H4&amp;"-"&amp;I4</f>
        <v>Terminals-Restrooms-Toilets</v>
      </c>
      <c r="K4" s="981" t="s">
        <v>37</v>
      </c>
      <c r="L4" s="567" t="s">
        <v>2</v>
      </c>
      <c r="M4" s="36" t="s">
        <v>117</v>
      </c>
      <c r="O4" s="7" t="s">
        <v>1</v>
      </c>
      <c r="P4" s="37" t="s">
        <v>412</v>
      </c>
      <c r="Q4" s="982" t="s">
        <v>11</v>
      </c>
      <c r="R4" s="982" t="s">
        <v>420</v>
      </c>
      <c r="S4" s="983" t="s">
        <v>13</v>
      </c>
      <c r="T4" s="982" t="s">
        <v>418</v>
      </c>
      <c r="U4" s="983" t="s">
        <v>16</v>
      </c>
      <c r="V4" s="984" t="s">
        <v>417</v>
      </c>
      <c r="W4" s="985" t="s">
        <v>419</v>
      </c>
      <c r="X4" s="982" t="s">
        <v>471</v>
      </c>
      <c r="Y4" s="985" t="s">
        <v>380</v>
      </c>
      <c r="AB4" s="38" t="s">
        <v>305</v>
      </c>
      <c r="AC4" s="39" t="s">
        <v>306</v>
      </c>
      <c r="AD4" s="39" t="s">
        <v>307</v>
      </c>
      <c r="AE4" s="39" t="s">
        <v>308</v>
      </c>
      <c r="AF4" s="39" t="s">
        <v>309</v>
      </c>
      <c r="AG4" s="39" t="s">
        <v>310</v>
      </c>
      <c r="AH4" s="39" t="s">
        <v>311</v>
      </c>
      <c r="AI4" s="39" t="s">
        <v>312</v>
      </c>
      <c r="AJ4" s="39" t="s">
        <v>313</v>
      </c>
      <c r="AK4" s="39" t="s">
        <v>314</v>
      </c>
      <c r="AL4" s="39" t="s">
        <v>315</v>
      </c>
      <c r="AM4" s="39" t="s">
        <v>316</v>
      </c>
      <c r="AN4" s="39" t="s">
        <v>317</v>
      </c>
      <c r="AO4" s="39" t="s">
        <v>318</v>
      </c>
      <c r="AP4" s="96" t="s">
        <v>319</v>
      </c>
      <c r="AQ4" s="39" t="s">
        <v>320</v>
      </c>
      <c r="AR4" s="39" t="s">
        <v>321</v>
      </c>
      <c r="AS4" s="39" t="s">
        <v>322</v>
      </c>
      <c r="AT4" s="6"/>
      <c r="AU4" s="44"/>
      <c r="AV4" s="59" t="e">
        <f>'Data Entry'!V55</f>
        <v>#N/A</v>
      </c>
      <c r="AW4" s="78">
        <f>'Data Entry'!X55</f>
        <v>0.5</v>
      </c>
      <c r="AZ4" s="13" t="s">
        <v>411</v>
      </c>
      <c r="BA4" s="124">
        <v>2</v>
      </c>
      <c r="BB4" s="124">
        <v>2</v>
      </c>
    </row>
    <row r="5" spans="2:54" ht="15" x14ac:dyDescent="0.25">
      <c r="B5" s="928" t="s">
        <v>1</v>
      </c>
      <c r="C5" s="929" t="s">
        <v>85</v>
      </c>
      <c r="E5" s="215" t="s">
        <v>323</v>
      </c>
      <c r="H5" s="180" t="s">
        <v>1</v>
      </c>
      <c r="I5" s="85" t="str">
        <f t="shared" ref="I5:I67" si="0">K5&amp;"-"&amp;L5</f>
        <v>Restrooms-Urinals</v>
      </c>
      <c r="J5" s="85" t="str">
        <f t="shared" ref="J5:J67" si="1">H5&amp;"-"&amp;I5</f>
        <v>Terminals-Restrooms-Urinals</v>
      </c>
      <c r="K5" s="439" t="s">
        <v>37</v>
      </c>
      <c r="L5" s="577" t="s">
        <v>4</v>
      </c>
      <c r="M5" s="15" t="s">
        <v>117</v>
      </c>
      <c r="O5" s="45" t="s">
        <v>304</v>
      </c>
      <c r="P5" s="13" t="s">
        <v>304</v>
      </c>
      <c r="Q5" s="13" t="s">
        <v>304</v>
      </c>
      <c r="R5" s="13" t="s">
        <v>304</v>
      </c>
      <c r="S5" s="45" t="s">
        <v>324</v>
      </c>
      <c r="T5" s="13" t="s">
        <v>304</v>
      </c>
      <c r="U5" s="45" t="s">
        <v>325</v>
      </c>
      <c r="V5" s="13" t="s">
        <v>326</v>
      </c>
      <c r="W5" s="13" t="s">
        <v>304</v>
      </c>
      <c r="X5" s="13" t="s">
        <v>304</v>
      </c>
      <c r="Z5" s="13">
        <v>1</v>
      </c>
      <c r="AA5" s="40" t="s">
        <v>1</v>
      </c>
      <c r="AB5" s="41" t="s">
        <v>304</v>
      </c>
      <c r="AC5" s="42" t="s">
        <v>323</v>
      </c>
      <c r="AD5" s="42" t="s">
        <v>327</v>
      </c>
      <c r="AE5" s="42" t="s">
        <v>328</v>
      </c>
      <c r="AF5" s="42" t="s">
        <v>329</v>
      </c>
      <c r="AG5" s="42" t="s">
        <v>330</v>
      </c>
      <c r="AH5" s="42" t="s">
        <v>331</v>
      </c>
      <c r="AI5" s="42" t="s">
        <v>324</v>
      </c>
      <c r="AJ5" s="42" t="s">
        <v>326</v>
      </c>
      <c r="AK5" s="42" t="s">
        <v>332</v>
      </c>
      <c r="AL5" s="42" t="s">
        <v>425</v>
      </c>
      <c r="AM5" s="42" t="s">
        <v>333</v>
      </c>
      <c r="AN5" s="42" t="s">
        <v>334</v>
      </c>
      <c r="AO5" s="42" t="s">
        <v>335</v>
      </c>
      <c r="AQ5" s="42"/>
      <c r="AR5" s="42"/>
      <c r="AS5" s="42"/>
      <c r="AT5" s="45"/>
      <c r="AU5" s="44"/>
      <c r="AV5" s="59" t="e">
        <f>'Data Entry'!V56</f>
        <v>#N/A</v>
      </c>
      <c r="AW5" s="78">
        <f>'Data Entry'!X56</f>
        <v>0.5</v>
      </c>
      <c r="BA5" s="124">
        <v>3</v>
      </c>
      <c r="BB5" s="124"/>
    </row>
    <row r="6" spans="2:54" ht="15" x14ac:dyDescent="0.25">
      <c r="B6" s="928" t="s">
        <v>1</v>
      </c>
      <c r="C6" s="929" t="s">
        <v>86</v>
      </c>
      <c r="E6" s="215" t="s">
        <v>327</v>
      </c>
      <c r="H6" s="180" t="s">
        <v>1</v>
      </c>
      <c r="I6" s="85" t="str">
        <f t="shared" si="0"/>
        <v>Restrooms-Faucets</v>
      </c>
      <c r="J6" s="85" t="str">
        <f t="shared" si="1"/>
        <v>Terminals-Restrooms-Faucets</v>
      </c>
      <c r="K6" s="986" t="s">
        <v>37</v>
      </c>
      <c r="L6" s="640" t="s">
        <v>33</v>
      </c>
      <c r="M6" s="16" t="s">
        <v>117</v>
      </c>
      <c r="O6" s="45" t="s">
        <v>323</v>
      </c>
      <c r="P6" s="13" t="s">
        <v>323</v>
      </c>
      <c r="Q6" s="13" t="s">
        <v>323</v>
      </c>
      <c r="R6" s="13" t="s">
        <v>323</v>
      </c>
      <c r="S6" s="45" t="s">
        <v>336</v>
      </c>
      <c r="T6" s="13" t="s">
        <v>323</v>
      </c>
      <c r="U6" s="45" t="s">
        <v>337</v>
      </c>
      <c r="V6" s="13" t="s">
        <v>332</v>
      </c>
      <c r="W6" s="13" t="s">
        <v>323</v>
      </c>
      <c r="X6" s="13" t="s">
        <v>323</v>
      </c>
      <c r="Z6" s="13">
        <v>2</v>
      </c>
      <c r="AA6" s="43" t="s">
        <v>412</v>
      </c>
      <c r="AB6" s="44" t="s">
        <v>304</v>
      </c>
      <c r="AC6" s="45" t="s">
        <v>323</v>
      </c>
      <c r="AD6" s="45" t="s">
        <v>327</v>
      </c>
      <c r="AE6" s="45" t="s">
        <v>338</v>
      </c>
      <c r="AF6" s="45" t="s">
        <v>324</v>
      </c>
      <c r="AG6" s="45" t="s">
        <v>326</v>
      </c>
      <c r="AH6" s="45" t="s">
        <v>332</v>
      </c>
      <c r="AI6" s="45" t="s">
        <v>333</v>
      </c>
      <c r="AJ6" s="45" t="s">
        <v>334</v>
      </c>
      <c r="AK6" s="45" t="s">
        <v>335</v>
      </c>
      <c r="AL6" s="45"/>
      <c r="AM6" s="45"/>
      <c r="AN6" s="45"/>
      <c r="AO6" s="45"/>
      <c r="AP6" s="45"/>
      <c r="AQ6" s="45"/>
      <c r="AR6" s="45"/>
      <c r="AS6" s="45"/>
      <c r="AT6" s="45"/>
      <c r="AU6" s="44"/>
      <c r="AV6" s="59" t="e">
        <f>'Data Entry'!V57</f>
        <v>#N/A</v>
      </c>
      <c r="AW6" s="78">
        <f>'Data Entry'!X57</f>
        <v>0.5</v>
      </c>
      <c r="BA6" s="124">
        <v>4</v>
      </c>
      <c r="BB6" s="124"/>
    </row>
    <row r="7" spans="2:54" ht="15" x14ac:dyDescent="0.25">
      <c r="B7" s="928" t="s">
        <v>1</v>
      </c>
      <c r="C7" s="929" t="s">
        <v>87</v>
      </c>
      <c r="E7" s="215" t="s">
        <v>338</v>
      </c>
      <c r="H7" s="180" t="s">
        <v>1</v>
      </c>
      <c r="I7" s="85" t="str">
        <f t="shared" si="0"/>
        <v>Food Service-Kitchen faucets</v>
      </c>
      <c r="J7" s="85" t="str">
        <f t="shared" si="1"/>
        <v>Terminals-Food Service-Kitchen faucets</v>
      </c>
      <c r="K7" s="439" t="s">
        <v>38</v>
      </c>
      <c r="L7" s="577" t="s">
        <v>114</v>
      </c>
      <c r="M7" s="598" t="s">
        <v>118</v>
      </c>
      <c r="O7" s="45" t="s">
        <v>327</v>
      </c>
      <c r="P7" s="13" t="s">
        <v>327</v>
      </c>
      <c r="Q7" s="13" t="s">
        <v>327</v>
      </c>
      <c r="R7" s="13" t="s">
        <v>327</v>
      </c>
      <c r="S7" s="45" t="s">
        <v>425</v>
      </c>
      <c r="T7" s="13" t="s">
        <v>327</v>
      </c>
      <c r="U7" s="45" t="s">
        <v>339</v>
      </c>
      <c r="V7" s="13" t="s">
        <v>333</v>
      </c>
      <c r="W7" s="13" t="s">
        <v>327</v>
      </c>
      <c r="X7" s="13" t="s">
        <v>327</v>
      </c>
      <c r="Z7" s="13">
        <v>3</v>
      </c>
      <c r="AA7" s="987" t="s">
        <v>11</v>
      </c>
      <c r="AB7" s="44" t="s">
        <v>304</v>
      </c>
      <c r="AC7" s="45" t="s">
        <v>323</v>
      </c>
      <c r="AD7" s="45" t="s">
        <v>327</v>
      </c>
      <c r="AE7" s="45" t="s">
        <v>338</v>
      </c>
      <c r="AF7" s="45" t="s">
        <v>324</v>
      </c>
      <c r="AG7" s="45" t="s">
        <v>326</v>
      </c>
      <c r="AH7" s="45" t="s">
        <v>332</v>
      </c>
      <c r="AI7" s="45" t="s">
        <v>336</v>
      </c>
      <c r="AJ7" s="45" t="s">
        <v>425</v>
      </c>
      <c r="AK7" s="45" t="s">
        <v>333</v>
      </c>
      <c r="AL7" s="45" t="s">
        <v>334</v>
      </c>
      <c r="AM7" s="45" t="s">
        <v>335</v>
      </c>
      <c r="AN7" s="45"/>
      <c r="AO7" s="45"/>
      <c r="AP7" s="45"/>
      <c r="AQ7" s="45"/>
      <c r="AR7" s="45"/>
      <c r="AS7" s="929"/>
      <c r="AT7" s="45"/>
      <c r="AU7" s="41">
        <f ca="1">OFFSET('Data Entry'!$B$53,20,)</f>
        <v>2</v>
      </c>
      <c r="AV7" s="42" t="e">
        <f ca="1">OFFSET('Data Entry'!V$54,20,)</f>
        <v>#N/A</v>
      </c>
      <c r="AW7" s="978">
        <f ca="1">OFFSET('Data Entry'!X$54,20,)</f>
        <v>1</v>
      </c>
      <c r="BA7" s="124">
        <v>5</v>
      </c>
      <c r="BB7" s="124"/>
    </row>
    <row r="8" spans="2:54" ht="15" x14ac:dyDescent="0.25">
      <c r="B8" s="928" t="s">
        <v>1</v>
      </c>
      <c r="C8" s="929" t="s">
        <v>88</v>
      </c>
      <c r="E8" s="215" t="s">
        <v>328</v>
      </c>
      <c r="H8" s="180" t="s">
        <v>1</v>
      </c>
      <c r="I8" s="85" t="str">
        <f t="shared" si="0"/>
        <v>Food Service-Pre-rinse spray valves</v>
      </c>
      <c r="J8" s="85" t="str">
        <f t="shared" si="1"/>
        <v>Terminals-Food Service-Pre-rinse spray valves</v>
      </c>
      <c r="K8" s="293" t="s">
        <v>38</v>
      </c>
      <c r="L8" s="577" t="s">
        <v>127</v>
      </c>
      <c r="M8" s="598" t="s">
        <v>118</v>
      </c>
      <c r="O8" s="45" t="s">
        <v>328</v>
      </c>
      <c r="P8" s="13" t="s">
        <v>338</v>
      </c>
      <c r="Q8" s="13" t="s">
        <v>338</v>
      </c>
      <c r="R8" s="13" t="s">
        <v>338</v>
      </c>
      <c r="S8" s="13" t="s">
        <v>333</v>
      </c>
      <c r="T8" s="13" t="s">
        <v>338</v>
      </c>
      <c r="U8" s="45" t="s">
        <v>328</v>
      </c>
      <c r="V8" s="13" t="s">
        <v>334</v>
      </c>
      <c r="W8" s="13" t="s">
        <v>338</v>
      </c>
      <c r="X8" s="13" t="s">
        <v>338</v>
      </c>
      <c r="Z8" s="13">
        <v>4</v>
      </c>
      <c r="AA8" s="987" t="s">
        <v>420</v>
      </c>
      <c r="AB8" s="44" t="s">
        <v>304</v>
      </c>
      <c r="AC8" s="45" t="s">
        <v>323</v>
      </c>
      <c r="AD8" s="45" t="s">
        <v>327</v>
      </c>
      <c r="AE8" s="45" t="s">
        <v>338</v>
      </c>
      <c r="AF8" s="45" t="s">
        <v>324</v>
      </c>
      <c r="AG8" s="45" t="s">
        <v>326</v>
      </c>
      <c r="AH8" s="45" t="s">
        <v>332</v>
      </c>
      <c r="AI8" s="45" t="s">
        <v>336</v>
      </c>
      <c r="AJ8" s="45" t="s">
        <v>425</v>
      </c>
      <c r="AK8" s="45" t="s">
        <v>333</v>
      </c>
      <c r="AL8" s="45" t="s">
        <v>334</v>
      </c>
      <c r="AM8" s="45" t="s">
        <v>335</v>
      </c>
      <c r="AN8" s="45"/>
      <c r="AO8" s="45"/>
      <c r="AP8" s="45"/>
      <c r="AQ8" s="45"/>
      <c r="AR8" s="45"/>
      <c r="AS8" s="929"/>
      <c r="AT8" s="45"/>
      <c r="AU8" s="44"/>
      <c r="AV8" s="45" t="e">
        <f ca="1">OFFSET('Data Entry'!V55,20,)</f>
        <v>#N/A</v>
      </c>
      <c r="AW8" s="929">
        <f ca="1">OFFSET('Data Entry'!X55,20,)</f>
        <v>0.5</v>
      </c>
    </row>
    <row r="9" spans="2:54" ht="15" x14ac:dyDescent="0.25">
      <c r="B9" s="928" t="s">
        <v>412</v>
      </c>
      <c r="C9" s="383" t="s">
        <v>383</v>
      </c>
      <c r="E9" s="215" t="s">
        <v>329</v>
      </c>
      <c r="H9" s="180" t="s">
        <v>1</v>
      </c>
      <c r="I9" s="85" t="str">
        <f t="shared" si="0"/>
        <v>Food Service-Dishwashers</v>
      </c>
      <c r="J9" s="85" t="str">
        <f t="shared" si="1"/>
        <v>Terminals-Food Service-Dishwashers</v>
      </c>
      <c r="K9" s="439" t="s">
        <v>38</v>
      </c>
      <c r="L9" s="577" t="s">
        <v>41</v>
      </c>
      <c r="M9" s="598" t="s">
        <v>118</v>
      </c>
      <c r="O9" s="45" t="s">
        <v>329</v>
      </c>
      <c r="P9" s="13" t="s">
        <v>324</v>
      </c>
      <c r="Q9" s="13" t="s">
        <v>324</v>
      </c>
      <c r="R9" s="13" t="s">
        <v>324</v>
      </c>
      <c r="S9" s="13" t="s">
        <v>334</v>
      </c>
      <c r="T9" s="13" t="s">
        <v>324</v>
      </c>
      <c r="U9" s="45" t="s">
        <v>329</v>
      </c>
      <c r="V9" s="13" t="s">
        <v>335</v>
      </c>
      <c r="W9" s="13" t="s">
        <v>425</v>
      </c>
      <c r="X9" s="13" t="s">
        <v>388</v>
      </c>
      <c r="Z9" s="13">
        <v>5</v>
      </c>
      <c r="AA9" s="987" t="s">
        <v>13</v>
      </c>
      <c r="AB9" s="44" t="s">
        <v>324</v>
      </c>
      <c r="AC9" s="45" t="s">
        <v>336</v>
      </c>
      <c r="AD9" s="45" t="s">
        <v>425</v>
      </c>
      <c r="AE9" s="45" t="s">
        <v>333</v>
      </c>
      <c r="AF9" s="45" t="s">
        <v>334</v>
      </c>
      <c r="AG9" s="45" t="s">
        <v>335</v>
      </c>
      <c r="AH9" s="45"/>
      <c r="AI9" s="45"/>
      <c r="AJ9" s="45"/>
      <c r="AK9" s="45"/>
      <c r="AL9" s="45"/>
      <c r="AM9" s="45"/>
      <c r="AN9" s="45"/>
      <c r="AO9" s="45"/>
      <c r="AP9" s="45"/>
      <c r="AQ9" s="45"/>
      <c r="AR9" s="45"/>
      <c r="AS9" s="929"/>
      <c r="AT9" s="45"/>
      <c r="AU9" s="44"/>
      <c r="AV9" s="45" t="e">
        <f ca="1">OFFSET('Data Entry'!V56,20,)</f>
        <v>#N/A</v>
      </c>
      <c r="AW9" s="929">
        <f ca="1">OFFSET('Data Entry'!X56,20,)</f>
        <v>0.5</v>
      </c>
    </row>
    <row r="10" spans="2:54" ht="15" x14ac:dyDescent="0.25">
      <c r="B10" s="928" t="s">
        <v>412</v>
      </c>
      <c r="C10" s="383" t="s">
        <v>384</v>
      </c>
      <c r="E10" s="215" t="s">
        <v>330</v>
      </c>
      <c r="H10" s="180" t="s">
        <v>1</v>
      </c>
      <c r="I10" s="85" t="str">
        <f t="shared" si="0"/>
        <v>Food Service-Ice machines</v>
      </c>
      <c r="J10" s="85" t="str">
        <f t="shared" si="1"/>
        <v>Terminals-Food Service-Ice machines</v>
      </c>
      <c r="K10" s="986" t="s">
        <v>38</v>
      </c>
      <c r="L10" s="640" t="s">
        <v>20</v>
      </c>
      <c r="M10" s="988" t="s">
        <v>118</v>
      </c>
      <c r="O10" s="45" t="s">
        <v>330</v>
      </c>
      <c r="P10" s="13" t="s">
        <v>326</v>
      </c>
      <c r="Q10" s="13" t="s">
        <v>326</v>
      </c>
      <c r="R10" s="13" t="s">
        <v>326</v>
      </c>
      <c r="S10" s="13" t="s">
        <v>335</v>
      </c>
      <c r="T10" s="13" t="s">
        <v>336</v>
      </c>
      <c r="U10" s="45" t="s">
        <v>330</v>
      </c>
      <c r="W10" s="13" t="s">
        <v>341</v>
      </c>
      <c r="X10" s="13" t="s">
        <v>389</v>
      </c>
      <c r="Z10" s="13">
        <v>6</v>
      </c>
      <c r="AA10" s="987" t="s">
        <v>418</v>
      </c>
      <c r="AB10" s="44" t="s">
        <v>304</v>
      </c>
      <c r="AC10" s="45" t="s">
        <v>323</v>
      </c>
      <c r="AD10" s="45" t="s">
        <v>327</v>
      </c>
      <c r="AE10" s="45" t="s">
        <v>338</v>
      </c>
      <c r="AF10" s="45" t="s">
        <v>324</v>
      </c>
      <c r="AG10" s="45" t="s">
        <v>336</v>
      </c>
      <c r="AH10" s="45" t="s">
        <v>340</v>
      </c>
      <c r="AI10" s="45" t="s">
        <v>333</v>
      </c>
      <c r="AJ10" s="45" t="s">
        <v>334</v>
      </c>
      <c r="AK10" s="45" t="s">
        <v>335</v>
      </c>
      <c r="AL10" s="45"/>
      <c r="AM10" s="45"/>
      <c r="AN10" s="45"/>
      <c r="AO10" s="45"/>
      <c r="AP10" s="45"/>
      <c r="AQ10" s="45"/>
      <c r="AR10" s="45"/>
      <c r="AS10" s="929"/>
      <c r="AT10" s="45"/>
      <c r="AU10" s="46"/>
      <c r="AV10" s="47" t="e">
        <f ca="1">OFFSET('Data Entry'!V57,20,)</f>
        <v>#N/A</v>
      </c>
      <c r="AW10" s="48">
        <f ca="1">OFFSET('Data Entry'!X57,20,)</f>
        <v>0.5</v>
      </c>
    </row>
    <row r="11" spans="2:54" ht="15" x14ac:dyDescent="0.25">
      <c r="B11" s="928" t="s">
        <v>412</v>
      </c>
      <c r="C11" s="383" t="s">
        <v>385</v>
      </c>
      <c r="E11" s="215" t="s">
        <v>331</v>
      </c>
      <c r="H11" s="180" t="s">
        <v>1</v>
      </c>
      <c r="I11" s="85" t="str">
        <f t="shared" si="0"/>
        <v>Landscaping-Outdoor irrigation</v>
      </c>
      <c r="J11" s="85" t="str">
        <f t="shared" si="1"/>
        <v>Terminals-Landscaping-Outdoor irrigation</v>
      </c>
      <c r="K11" s="439" t="s">
        <v>39</v>
      </c>
      <c r="L11" s="577" t="s">
        <v>42</v>
      </c>
      <c r="M11" s="16" t="s">
        <v>120</v>
      </c>
      <c r="O11" s="45" t="s">
        <v>331</v>
      </c>
      <c r="P11" s="13" t="s">
        <v>332</v>
      </c>
      <c r="Q11" s="13" t="s">
        <v>332</v>
      </c>
      <c r="R11" s="13" t="s">
        <v>332</v>
      </c>
      <c r="T11" s="13" t="s">
        <v>340</v>
      </c>
      <c r="U11" s="45" t="s">
        <v>331</v>
      </c>
      <c r="W11" s="13" t="s">
        <v>344</v>
      </c>
      <c r="X11" s="13" t="s">
        <v>390</v>
      </c>
      <c r="Z11" s="13">
        <v>7</v>
      </c>
      <c r="AA11" s="987" t="s">
        <v>16</v>
      </c>
      <c r="AB11" s="44" t="s">
        <v>325</v>
      </c>
      <c r="AC11" s="45" t="s">
        <v>337</v>
      </c>
      <c r="AD11" s="45" t="s">
        <v>339</v>
      </c>
      <c r="AE11" s="45" t="s">
        <v>328</v>
      </c>
      <c r="AF11" s="45" t="s">
        <v>329</v>
      </c>
      <c r="AG11" s="45" t="s">
        <v>330</v>
      </c>
      <c r="AH11" s="45" t="s">
        <v>331</v>
      </c>
      <c r="AI11" s="45" t="s">
        <v>326</v>
      </c>
      <c r="AJ11" s="45" t="s">
        <v>332</v>
      </c>
      <c r="AK11" s="45" t="s">
        <v>342</v>
      </c>
      <c r="AL11" s="45" t="s">
        <v>343</v>
      </c>
      <c r="AM11" s="45" t="s">
        <v>324</v>
      </c>
      <c r="AN11" s="45" t="s">
        <v>333</v>
      </c>
      <c r="AO11" s="45" t="s">
        <v>334</v>
      </c>
      <c r="AP11" s="45" t="s">
        <v>335</v>
      </c>
      <c r="AR11" s="45"/>
      <c r="AS11" s="929"/>
      <c r="AT11" s="45"/>
      <c r="AU11" s="44">
        <f ca="1">OFFSET('Data Entry'!$B$53,40,)</f>
        <v>3</v>
      </c>
      <c r="AV11" s="45" t="e">
        <f ca="1">OFFSET('Data Entry'!V54,40,)</f>
        <v>#N/A</v>
      </c>
      <c r="AW11" s="929">
        <f ca="1">OFFSET('Data Entry'!X54,40,)</f>
        <v>1</v>
      </c>
    </row>
    <row r="12" spans="2:54" ht="15" x14ac:dyDescent="0.25">
      <c r="B12" s="928" t="s">
        <v>412</v>
      </c>
      <c r="C12" s="383" t="s">
        <v>386</v>
      </c>
      <c r="E12" s="215" t="s">
        <v>324</v>
      </c>
      <c r="H12" s="180" t="s">
        <v>1</v>
      </c>
      <c r="I12" s="85" t="str">
        <f t="shared" si="0"/>
        <v>Maintenance-Boiler</v>
      </c>
      <c r="J12" s="85" t="str">
        <f t="shared" si="1"/>
        <v>Terminals-Maintenance-Boiler</v>
      </c>
      <c r="K12" s="602" t="s">
        <v>43</v>
      </c>
      <c r="L12" s="17" t="s">
        <v>111</v>
      </c>
      <c r="M12" s="576" t="s">
        <v>424</v>
      </c>
      <c r="O12" s="45" t="s">
        <v>324</v>
      </c>
      <c r="P12" s="13" t="s">
        <v>333</v>
      </c>
      <c r="Q12" s="13" t="s">
        <v>336</v>
      </c>
      <c r="R12" s="13" t="s">
        <v>336</v>
      </c>
      <c r="T12" s="13" t="s">
        <v>333</v>
      </c>
      <c r="U12" s="45" t="s">
        <v>326</v>
      </c>
      <c r="W12" s="13" t="s">
        <v>346</v>
      </c>
      <c r="X12" s="13" t="s">
        <v>345</v>
      </c>
      <c r="Z12" s="13">
        <v>8</v>
      </c>
      <c r="AA12" s="815" t="s">
        <v>417</v>
      </c>
      <c r="AB12" s="44" t="s">
        <v>326</v>
      </c>
      <c r="AC12" s="45" t="s">
        <v>332</v>
      </c>
      <c r="AD12" s="45" t="s">
        <v>333</v>
      </c>
      <c r="AE12" s="45" t="s">
        <v>334</v>
      </c>
      <c r="AF12" s="45" t="s">
        <v>335</v>
      </c>
      <c r="AG12" s="45"/>
      <c r="AH12" s="45"/>
      <c r="AI12" s="45"/>
      <c r="AJ12" s="45"/>
      <c r="AK12" s="45"/>
      <c r="AL12" s="45"/>
      <c r="AM12" s="45"/>
      <c r="AN12" s="45"/>
      <c r="AO12" s="45"/>
      <c r="AP12" s="45"/>
      <c r="AQ12" s="45"/>
      <c r="AR12" s="45"/>
      <c r="AS12" s="929"/>
      <c r="AT12" s="45"/>
      <c r="AU12" s="44"/>
      <c r="AV12" s="45" t="e">
        <f ca="1">OFFSET('Data Entry'!V55,40,)</f>
        <v>#N/A</v>
      </c>
      <c r="AW12" s="929">
        <f ca="1">OFFSET('Data Entry'!X55,40,)</f>
        <v>0.5</v>
      </c>
    </row>
    <row r="13" spans="2:54" ht="15" x14ac:dyDescent="0.25">
      <c r="B13" s="928" t="s">
        <v>412</v>
      </c>
      <c r="C13" s="383" t="s">
        <v>387</v>
      </c>
      <c r="E13" s="215" t="s">
        <v>325</v>
      </c>
      <c r="H13" s="180" t="s">
        <v>1</v>
      </c>
      <c r="I13" s="85" t="str">
        <f t="shared" si="0"/>
        <v>Maintenance-Cooling</v>
      </c>
      <c r="J13" s="85" t="str">
        <f t="shared" si="1"/>
        <v>Terminals-Maintenance-Cooling</v>
      </c>
      <c r="K13" s="439" t="s">
        <v>43</v>
      </c>
      <c r="L13" s="577" t="s">
        <v>7</v>
      </c>
      <c r="M13" s="576" t="s">
        <v>365</v>
      </c>
      <c r="O13" s="45" t="s">
        <v>326</v>
      </c>
      <c r="P13" s="13" t="s">
        <v>334</v>
      </c>
      <c r="Q13" s="13" t="s">
        <v>425</v>
      </c>
      <c r="R13" s="13" t="s">
        <v>425</v>
      </c>
      <c r="T13" s="13" t="s">
        <v>334</v>
      </c>
      <c r="U13" s="45" t="s">
        <v>332</v>
      </c>
      <c r="W13" s="13" t="s">
        <v>348</v>
      </c>
      <c r="X13" s="13" t="s">
        <v>347</v>
      </c>
      <c r="Z13" s="13">
        <v>9</v>
      </c>
      <c r="AA13" s="987" t="s">
        <v>419</v>
      </c>
      <c r="AB13" s="44" t="s">
        <v>304</v>
      </c>
      <c r="AC13" s="45" t="s">
        <v>323</v>
      </c>
      <c r="AD13" s="45" t="s">
        <v>327</v>
      </c>
      <c r="AE13" s="45" t="s">
        <v>338</v>
      </c>
      <c r="AF13" s="45" t="s">
        <v>425</v>
      </c>
      <c r="AG13" s="45" t="s">
        <v>341</v>
      </c>
      <c r="AH13" s="45" t="s">
        <v>344</v>
      </c>
      <c r="AI13" s="45" t="s">
        <v>346</v>
      </c>
      <c r="AJ13" s="47" t="s">
        <v>348</v>
      </c>
      <c r="AK13" s="45" t="s">
        <v>333</v>
      </c>
      <c r="AL13" s="45" t="s">
        <v>334</v>
      </c>
      <c r="AM13" s="45" t="s">
        <v>335</v>
      </c>
      <c r="AN13" s="45"/>
      <c r="AO13" s="45"/>
      <c r="AP13" s="45"/>
      <c r="AQ13" s="45"/>
      <c r="AR13" s="45"/>
      <c r="AS13" s="929"/>
      <c r="AT13" s="45"/>
      <c r="AU13" s="44"/>
      <c r="AV13" s="45" t="e">
        <f ca="1">OFFSET('Data Entry'!V56,40,)</f>
        <v>#N/A</v>
      </c>
      <c r="AW13" s="929">
        <f ca="1">OFFSET('Data Entry'!X56,40,)</f>
        <v>0.5</v>
      </c>
    </row>
    <row r="14" spans="2:54" ht="15" x14ac:dyDescent="0.25">
      <c r="B14" s="405" t="s">
        <v>11</v>
      </c>
      <c r="C14" s="383" t="s">
        <v>89</v>
      </c>
      <c r="E14" s="215" t="s">
        <v>337</v>
      </c>
      <c r="H14" s="180" t="s">
        <v>1</v>
      </c>
      <c r="I14" s="85" t="str">
        <f t="shared" si="0"/>
        <v>Maintenance-Pavement cleaning</v>
      </c>
      <c r="J14" s="85" t="str">
        <f t="shared" si="1"/>
        <v>Terminals-Maintenance-Pavement cleaning</v>
      </c>
      <c r="K14" s="986" t="s">
        <v>43</v>
      </c>
      <c r="L14" s="640" t="s">
        <v>426</v>
      </c>
      <c r="M14" s="16" t="s">
        <v>117</v>
      </c>
      <c r="O14" s="45" t="s">
        <v>332</v>
      </c>
      <c r="P14" s="13" t="s">
        <v>335</v>
      </c>
      <c r="Q14" s="13" t="s">
        <v>333</v>
      </c>
      <c r="R14" s="13" t="s">
        <v>333</v>
      </c>
      <c r="T14" s="13" t="s">
        <v>335</v>
      </c>
      <c r="U14" s="45" t="s">
        <v>342</v>
      </c>
      <c r="W14" s="13" t="s">
        <v>333</v>
      </c>
      <c r="X14" s="13" t="s">
        <v>348</v>
      </c>
      <c r="Z14" s="13">
        <v>10</v>
      </c>
      <c r="AA14" s="989" t="s">
        <v>471</v>
      </c>
      <c r="AB14" s="46" t="s">
        <v>304</v>
      </c>
      <c r="AC14" s="47" t="s">
        <v>323</v>
      </c>
      <c r="AD14" s="47" t="s">
        <v>327</v>
      </c>
      <c r="AE14" s="47" t="s">
        <v>338</v>
      </c>
      <c r="AF14" s="47" t="s">
        <v>388</v>
      </c>
      <c r="AG14" s="47" t="s">
        <v>389</v>
      </c>
      <c r="AH14" s="47" t="s">
        <v>390</v>
      </c>
      <c r="AI14" s="47" t="s">
        <v>345</v>
      </c>
      <c r="AJ14" s="47" t="s">
        <v>347</v>
      </c>
      <c r="AK14" s="47" t="s">
        <v>348</v>
      </c>
      <c r="AL14" s="47" t="s">
        <v>324</v>
      </c>
      <c r="AM14" s="47" t="s">
        <v>326</v>
      </c>
      <c r="AN14" s="47" t="s">
        <v>332</v>
      </c>
      <c r="AO14" s="47" t="s">
        <v>336</v>
      </c>
      <c r="AP14" s="47" t="s">
        <v>425</v>
      </c>
      <c r="AQ14" s="47" t="s">
        <v>333</v>
      </c>
      <c r="AR14" s="47" t="s">
        <v>334</v>
      </c>
      <c r="AS14" s="48" t="s">
        <v>335</v>
      </c>
      <c r="AT14" s="45"/>
      <c r="AU14" s="44"/>
      <c r="AV14" s="45" t="e">
        <f ca="1">OFFSET('Data Entry'!V57,40,)</f>
        <v>#N/A</v>
      </c>
      <c r="AW14" s="929">
        <f ca="1">OFFSET('Data Entry'!X57,40,)</f>
        <v>0.5</v>
      </c>
    </row>
    <row r="15" spans="2:54" ht="15" x14ac:dyDescent="0.25">
      <c r="B15" s="405" t="s">
        <v>11</v>
      </c>
      <c r="C15" s="383" t="s">
        <v>90</v>
      </c>
      <c r="E15" s="215" t="s">
        <v>339</v>
      </c>
      <c r="H15" s="180" t="s">
        <v>1</v>
      </c>
      <c r="I15" s="85" t="str">
        <f t="shared" si="0"/>
        <v>Other-Other 1</v>
      </c>
      <c r="J15" s="85" t="str">
        <f t="shared" si="1"/>
        <v>Terminals-Other-Other 1</v>
      </c>
      <c r="K15" s="439" t="s">
        <v>8</v>
      </c>
      <c r="L15" s="577" t="s">
        <v>52</v>
      </c>
      <c r="M15" s="636" t="s">
        <v>362</v>
      </c>
      <c r="O15" s="45" t="s">
        <v>425</v>
      </c>
      <c r="Q15" s="13" t="s">
        <v>334</v>
      </c>
      <c r="R15" s="13" t="s">
        <v>334</v>
      </c>
      <c r="U15" s="45" t="s">
        <v>343</v>
      </c>
      <c r="W15" s="13" t="s">
        <v>334</v>
      </c>
      <c r="X15" s="13" t="s">
        <v>324</v>
      </c>
      <c r="AU15" s="41">
        <f ca="1">OFFSET('Data Entry'!$B$53,60,)</f>
        <v>4</v>
      </c>
      <c r="AV15" s="42" t="e">
        <f ca="1">OFFSET('Data Entry'!V54,60,)</f>
        <v>#N/A</v>
      </c>
      <c r="AW15" s="978">
        <f ca="1">OFFSET('Data Entry'!X54,60,)</f>
        <v>1</v>
      </c>
    </row>
    <row r="16" spans="2:54" ht="15" x14ac:dyDescent="0.25">
      <c r="B16" s="405" t="s">
        <v>11</v>
      </c>
      <c r="C16" s="182" t="s">
        <v>766</v>
      </c>
      <c r="E16" s="215" t="s">
        <v>326</v>
      </c>
      <c r="H16" s="180" t="s">
        <v>1</v>
      </c>
      <c r="I16" s="85" t="str">
        <f t="shared" si="0"/>
        <v>Other-Other 2</v>
      </c>
      <c r="J16" s="85" t="str">
        <f t="shared" si="1"/>
        <v>Terminals-Other-Other 2</v>
      </c>
      <c r="K16" s="439" t="s">
        <v>8</v>
      </c>
      <c r="L16" s="577" t="s">
        <v>53</v>
      </c>
      <c r="M16" s="636" t="s">
        <v>363</v>
      </c>
      <c r="O16" s="45" t="s">
        <v>333</v>
      </c>
      <c r="Q16" s="13" t="s">
        <v>335</v>
      </c>
      <c r="R16" s="13" t="s">
        <v>335</v>
      </c>
      <c r="U16" s="45" t="s">
        <v>324</v>
      </c>
      <c r="W16" s="13" t="s">
        <v>335</v>
      </c>
      <c r="X16" s="13" t="s">
        <v>326</v>
      </c>
      <c r="AU16" s="44"/>
      <c r="AV16" s="45" t="e">
        <f ca="1">OFFSET('Data Entry'!V55,60,)</f>
        <v>#N/A</v>
      </c>
      <c r="AW16" s="929">
        <f ca="1">OFFSET('Data Entry'!X55,60,)</f>
        <v>0.5</v>
      </c>
    </row>
    <row r="17" spans="2:49" ht="15.75" thickBot="1" x14ac:dyDescent="0.3">
      <c r="B17" s="405" t="s">
        <v>11</v>
      </c>
      <c r="C17" s="182" t="s">
        <v>767</v>
      </c>
      <c r="E17" s="215" t="s">
        <v>332</v>
      </c>
      <c r="H17" s="990" t="s">
        <v>1</v>
      </c>
      <c r="I17" s="991" t="str">
        <f t="shared" si="0"/>
        <v>Other-Other 3</v>
      </c>
      <c r="J17" s="991" t="str">
        <f t="shared" si="1"/>
        <v>Terminals-Other-Other 3</v>
      </c>
      <c r="K17" s="606" t="s">
        <v>8</v>
      </c>
      <c r="L17" s="116" t="s">
        <v>54</v>
      </c>
      <c r="M17" s="992" t="s">
        <v>364</v>
      </c>
      <c r="O17" s="13" t="s">
        <v>334</v>
      </c>
      <c r="U17" s="13" t="s">
        <v>333</v>
      </c>
      <c r="X17" s="13" t="s">
        <v>332</v>
      </c>
      <c r="AU17" s="44"/>
      <c r="AV17" s="45" t="e">
        <f ca="1">OFFSET('Data Entry'!V56,60,)</f>
        <v>#N/A</v>
      </c>
      <c r="AW17" s="929">
        <f ca="1">OFFSET('Data Entry'!X56,60,)</f>
        <v>0.5</v>
      </c>
    </row>
    <row r="18" spans="2:49" ht="15" x14ac:dyDescent="0.25">
      <c r="B18" s="405" t="s">
        <v>11</v>
      </c>
      <c r="C18" s="182" t="s">
        <v>765</v>
      </c>
      <c r="E18" s="215" t="s">
        <v>336</v>
      </c>
      <c r="H18" s="993" t="s">
        <v>412</v>
      </c>
      <c r="I18" s="85" t="str">
        <f t="shared" si="0"/>
        <v>Restrooms-Toilets</v>
      </c>
      <c r="J18" s="85" t="str">
        <f t="shared" si="1"/>
        <v>Office Buildings-Restrooms-Toilets</v>
      </c>
      <c r="K18" s="181" t="s">
        <v>37</v>
      </c>
      <c r="L18" s="567" t="s">
        <v>2</v>
      </c>
      <c r="M18" s="620" t="s">
        <v>6</v>
      </c>
      <c r="O18" s="13" t="s">
        <v>335</v>
      </c>
      <c r="U18" s="13" t="s">
        <v>334</v>
      </c>
      <c r="X18" s="13" t="s">
        <v>336</v>
      </c>
      <c r="AU18" s="46"/>
      <c r="AV18" s="45" t="e">
        <f ca="1">OFFSET('Data Entry'!V57,60,)</f>
        <v>#N/A</v>
      </c>
      <c r="AW18" s="929">
        <f ca="1">OFFSET('Data Entry'!X57,60,)</f>
        <v>0.5</v>
      </c>
    </row>
    <row r="19" spans="2:49" ht="15" x14ac:dyDescent="0.25">
      <c r="B19" s="405" t="s">
        <v>420</v>
      </c>
      <c r="C19" s="383" t="s">
        <v>421</v>
      </c>
      <c r="E19" s="215" t="s">
        <v>425</v>
      </c>
      <c r="H19" s="993" t="s">
        <v>412</v>
      </c>
      <c r="I19" s="85" t="str">
        <f t="shared" si="0"/>
        <v>Restrooms-Urinals</v>
      </c>
      <c r="J19" s="85" t="str">
        <f t="shared" si="1"/>
        <v>Office Buildings-Restrooms-Urinals</v>
      </c>
      <c r="K19" s="181" t="s">
        <v>37</v>
      </c>
      <c r="L19" s="577" t="s">
        <v>4</v>
      </c>
      <c r="M19" s="598" t="s">
        <v>6</v>
      </c>
      <c r="U19" s="13" t="s">
        <v>335</v>
      </c>
      <c r="X19" s="13" t="s">
        <v>425</v>
      </c>
      <c r="AU19" s="41">
        <f ca="1">OFFSET('Data Entry'!$B$53,80,)</f>
        <v>5</v>
      </c>
      <c r="AV19" s="41" t="e">
        <f ca="1">OFFSET('Data Entry'!V54,80,)</f>
        <v>#N/A</v>
      </c>
      <c r="AW19" s="978">
        <f ca="1">OFFSET('Data Entry'!X54,80,)</f>
        <v>1</v>
      </c>
    </row>
    <row r="20" spans="2:49" ht="15" x14ac:dyDescent="0.25">
      <c r="B20" s="405" t="s">
        <v>420</v>
      </c>
      <c r="C20" s="383" t="s">
        <v>422</v>
      </c>
      <c r="E20" s="215" t="s">
        <v>340</v>
      </c>
      <c r="H20" s="993" t="s">
        <v>412</v>
      </c>
      <c r="I20" s="85" t="str">
        <f t="shared" si="0"/>
        <v>Restrooms-Faucets</v>
      </c>
      <c r="J20" s="85" t="str">
        <f t="shared" si="1"/>
        <v>Office Buildings-Restrooms-Faucets</v>
      </c>
      <c r="K20" s="181" t="s">
        <v>37</v>
      </c>
      <c r="L20" s="577" t="s">
        <v>33</v>
      </c>
      <c r="M20" s="598" t="s">
        <v>6</v>
      </c>
      <c r="X20" s="13" t="s">
        <v>333</v>
      </c>
      <c r="AU20" s="44"/>
      <c r="AV20" s="44" t="e">
        <f ca="1">OFFSET('Data Entry'!V55,80,)</f>
        <v>#N/A</v>
      </c>
      <c r="AW20" s="929">
        <f ca="1">OFFSET('Data Entry'!X55,80,)</f>
        <v>0.5</v>
      </c>
    </row>
    <row r="21" spans="2:49" x14ac:dyDescent="0.3">
      <c r="B21" s="405" t="s">
        <v>13</v>
      </c>
      <c r="C21" s="383" t="s">
        <v>91</v>
      </c>
      <c r="E21" s="215" t="s">
        <v>342</v>
      </c>
      <c r="H21" s="993" t="s">
        <v>412</v>
      </c>
      <c r="I21" s="85" t="str">
        <f t="shared" si="0"/>
        <v>Break rooms-Faucets</v>
      </c>
      <c r="J21" s="85" t="str">
        <f t="shared" si="1"/>
        <v>Office Buildings-Break rooms-Faucets</v>
      </c>
      <c r="K21" s="994" t="s">
        <v>5</v>
      </c>
      <c r="L21" s="624" t="s">
        <v>33</v>
      </c>
      <c r="M21" s="625" t="s">
        <v>6</v>
      </c>
      <c r="X21" s="13" t="s">
        <v>334</v>
      </c>
      <c r="AU21" s="44"/>
      <c r="AV21" s="44" t="e">
        <f ca="1">OFFSET('Data Entry'!V56,80,)</f>
        <v>#N/A</v>
      </c>
      <c r="AW21" s="929">
        <f ca="1">OFFSET('Data Entry'!X56,80,)</f>
        <v>0.5</v>
      </c>
    </row>
    <row r="22" spans="2:49" x14ac:dyDescent="0.3">
      <c r="B22" s="405" t="s">
        <v>13</v>
      </c>
      <c r="C22" s="383" t="s">
        <v>92</v>
      </c>
      <c r="E22" s="215" t="s">
        <v>343</v>
      </c>
      <c r="H22" s="993" t="s">
        <v>412</v>
      </c>
      <c r="I22" s="85" t="str">
        <f t="shared" si="0"/>
        <v>Landscaping-Outdoor irrigation</v>
      </c>
      <c r="J22" s="85" t="str">
        <f t="shared" si="1"/>
        <v>Office Buildings-Landscaping-Outdoor irrigation</v>
      </c>
      <c r="K22" s="181" t="s">
        <v>39</v>
      </c>
      <c r="L22" s="577" t="s">
        <v>42</v>
      </c>
      <c r="M22" s="15" t="s">
        <v>120</v>
      </c>
      <c r="X22" s="13" t="s">
        <v>335</v>
      </c>
      <c r="AU22" s="46"/>
      <c r="AV22" s="46" t="e">
        <f ca="1">OFFSET('Data Entry'!V57,80,)</f>
        <v>#N/A</v>
      </c>
      <c r="AW22" s="48">
        <f ca="1">OFFSET('Data Entry'!X57,80,)</f>
        <v>0.5</v>
      </c>
    </row>
    <row r="23" spans="2:49" x14ac:dyDescent="0.3">
      <c r="B23" s="405" t="s">
        <v>13</v>
      </c>
      <c r="C23" s="383" t="s">
        <v>93</v>
      </c>
      <c r="E23" s="215" t="s">
        <v>341</v>
      </c>
      <c r="H23" s="993" t="s">
        <v>412</v>
      </c>
      <c r="I23" s="85" t="str">
        <f t="shared" si="0"/>
        <v>Maintenance-Boiler</v>
      </c>
      <c r="J23" s="85" t="str">
        <f t="shared" si="1"/>
        <v>Office Buildings-Maintenance-Boiler</v>
      </c>
      <c r="K23" s="995" t="s">
        <v>43</v>
      </c>
      <c r="L23" s="17" t="s">
        <v>111</v>
      </c>
      <c r="M23" s="576" t="s">
        <v>424</v>
      </c>
      <c r="AU23" s="41">
        <f ca="1">OFFSET('Data Entry'!$B$53,100,)</f>
        <v>6</v>
      </c>
      <c r="AV23" s="45" t="e">
        <f ca="1">OFFSET('Data Entry'!V54,100,)</f>
        <v>#N/A</v>
      </c>
      <c r="AW23" s="929">
        <f ca="1">OFFSET('Data Entry'!X54,100,)</f>
        <v>1</v>
      </c>
    </row>
    <row r="24" spans="2:49" ht="15" thickBot="1" x14ac:dyDescent="0.35">
      <c r="B24" s="405" t="s">
        <v>13</v>
      </c>
      <c r="C24" s="383" t="s">
        <v>94</v>
      </c>
      <c r="E24" s="215" t="s">
        <v>344</v>
      </c>
      <c r="H24" s="993" t="s">
        <v>412</v>
      </c>
      <c r="I24" s="85" t="str">
        <f t="shared" si="0"/>
        <v>Maintenance-Cooling</v>
      </c>
      <c r="J24" s="85" t="str">
        <f t="shared" si="1"/>
        <v>Office Buildings-Maintenance-Cooling</v>
      </c>
      <c r="K24" s="996" t="s">
        <v>43</v>
      </c>
      <c r="L24" s="49" t="s">
        <v>7</v>
      </c>
      <c r="M24" s="576" t="s">
        <v>365</v>
      </c>
      <c r="O24" s="13" t="s">
        <v>349</v>
      </c>
      <c r="AU24" s="44"/>
      <c r="AV24" s="45" t="e">
        <f ca="1">OFFSET('Data Entry'!V55,100,)</f>
        <v>#N/A</v>
      </c>
      <c r="AW24" s="929">
        <f ca="1">OFFSET('Data Entry'!X55,100,)</f>
        <v>0.5</v>
      </c>
    </row>
    <row r="25" spans="2:49" x14ac:dyDescent="0.3">
      <c r="B25" s="405" t="s">
        <v>13</v>
      </c>
      <c r="C25" s="383" t="s">
        <v>95</v>
      </c>
      <c r="E25" s="215" t="s">
        <v>346</v>
      </c>
      <c r="H25" s="993" t="s">
        <v>412</v>
      </c>
      <c r="I25" s="85" t="str">
        <f t="shared" si="0"/>
        <v>Other-Other 1</v>
      </c>
      <c r="J25" s="85" t="str">
        <f t="shared" si="1"/>
        <v>Office Buildings-Other-Other 1</v>
      </c>
      <c r="K25" s="181" t="s">
        <v>8</v>
      </c>
      <c r="L25" s="577" t="s">
        <v>52</v>
      </c>
      <c r="M25" s="636" t="s">
        <v>362</v>
      </c>
      <c r="O25" s="74" t="s">
        <v>1</v>
      </c>
      <c r="P25" s="75" t="s">
        <v>412</v>
      </c>
      <c r="Q25" s="997" t="s">
        <v>11</v>
      </c>
      <c r="R25" s="997" t="s">
        <v>420</v>
      </c>
      <c r="S25" s="997" t="s">
        <v>13</v>
      </c>
      <c r="T25" s="997" t="s">
        <v>418</v>
      </c>
      <c r="U25" s="997" t="s">
        <v>16</v>
      </c>
      <c r="V25" s="998" t="s">
        <v>417</v>
      </c>
      <c r="W25" s="999" t="s">
        <v>419</v>
      </c>
      <c r="X25" s="1000" t="s">
        <v>471</v>
      </c>
      <c r="AU25" s="44"/>
      <c r="AV25" s="45" t="e">
        <f ca="1">OFFSET('Data Entry'!V56,100,)</f>
        <v>#N/A</v>
      </c>
      <c r="AW25" s="929">
        <f ca="1">OFFSET('Data Entry'!X56,100,)</f>
        <v>0.5</v>
      </c>
    </row>
    <row r="26" spans="2:49" x14ac:dyDescent="0.3">
      <c r="B26" s="405" t="s">
        <v>418</v>
      </c>
      <c r="C26" s="383" t="s">
        <v>418</v>
      </c>
      <c r="E26" s="215" t="s">
        <v>388</v>
      </c>
      <c r="H26" s="993" t="s">
        <v>412</v>
      </c>
      <c r="I26" s="85" t="str">
        <f t="shared" si="0"/>
        <v>Other-Other 2</v>
      </c>
      <c r="J26" s="85" t="str">
        <f t="shared" si="1"/>
        <v>Office Buildings-Other-Other 2</v>
      </c>
      <c r="K26" s="181" t="s">
        <v>8</v>
      </c>
      <c r="L26" s="577" t="s">
        <v>53</v>
      </c>
      <c r="M26" s="636" t="s">
        <v>363</v>
      </c>
      <c r="O26" s="44" t="s">
        <v>84</v>
      </c>
      <c r="P26" s="182" t="s">
        <v>383</v>
      </c>
      <c r="Q26" s="182" t="s">
        <v>89</v>
      </c>
      <c r="R26" s="182" t="s">
        <v>421</v>
      </c>
      <c r="S26" s="182" t="s">
        <v>91</v>
      </c>
      <c r="T26" s="182" t="s">
        <v>418</v>
      </c>
      <c r="U26" s="182" t="s">
        <v>96</v>
      </c>
      <c r="V26" s="206" t="s">
        <v>417</v>
      </c>
      <c r="W26" s="182" t="s">
        <v>419</v>
      </c>
      <c r="X26" s="929" t="s">
        <v>106</v>
      </c>
      <c r="AU26" s="46"/>
      <c r="AV26" s="45" t="e">
        <f ca="1">OFFSET('Data Entry'!V57,100,)</f>
        <v>#N/A</v>
      </c>
      <c r="AW26" s="929">
        <f ca="1">OFFSET('Data Entry'!X57,100,)</f>
        <v>0.5</v>
      </c>
    </row>
    <row r="27" spans="2:49" ht="15" thickBot="1" x14ac:dyDescent="0.35">
      <c r="B27" s="405" t="s">
        <v>16</v>
      </c>
      <c r="C27" s="383" t="s">
        <v>96</v>
      </c>
      <c r="E27" s="215" t="s">
        <v>389</v>
      </c>
      <c r="H27" s="993" t="s">
        <v>412</v>
      </c>
      <c r="I27" s="85" t="str">
        <f t="shared" si="0"/>
        <v>Other-Other 3</v>
      </c>
      <c r="J27" s="85" t="str">
        <f t="shared" si="1"/>
        <v>Office Buildings-Other-Other 3</v>
      </c>
      <c r="K27" s="181" t="s">
        <v>8</v>
      </c>
      <c r="L27" s="116" t="s">
        <v>54</v>
      </c>
      <c r="M27" s="992" t="s">
        <v>364</v>
      </c>
      <c r="O27" s="44" t="s">
        <v>85</v>
      </c>
      <c r="P27" s="182" t="s">
        <v>384</v>
      </c>
      <c r="Q27" s="182" t="s">
        <v>90</v>
      </c>
      <c r="R27" s="182" t="s">
        <v>422</v>
      </c>
      <c r="S27" s="182" t="s">
        <v>92</v>
      </c>
      <c r="T27" s="51"/>
      <c r="U27" s="182" t="s">
        <v>97</v>
      </c>
      <c r="V27" s="51"/>
      <c r="W27" s="51"/>
      <c r="X27" s="929" t="s">
        <v>107</v>
      </c>
      <c r="AU27" s="41">
        <f ca="1">OFFSET('Data Entry'!$B$53,120,)</f>
        <v>7</v>
      </c>
      <c r="AV27" s="41" t="e">
        <f ca="1">OFFSET('Data Entry'!V54,120,)</f>
        <v>#N/A</v>
      </c>
      <c r="AW27" s="978">
        <f ca="1">OFFSET('Data Entry'!X54,120,)</f>
        <v>1</v>
      </c>
    </row>
    <row r="28" spans="2:49" x14ac:dyDescent="0.3">
      <c r="B28" s="405" t="s">
        <v>16</v>
      </c>
      <c r="C28" s="383" t="s">
        <v>97</v>
      </c>
      <c r="E28" s="215" t="s">
        <v>390</v>
      </c>
      <c r="H28" s="482" t="s">
        <v>11</v>
      </c>
      <c r="I28" s="980" t="str">
        <f t="shared" si="0"/>
        <v>Restrooms-Toilets</v>
      </c>
      <c r="J28" s="980" t="str">
        <f t="shared" si="1"/>
        <v>Rental Car Center-Restrooms-Toilets</v>
      </c>
      <c r="K28" s="981" t="s">
        <v>37</v>
      </c>
      <c r="L28" s="577" t="s">
        <v>2</v>
      </c>
      <c r="M28" s="634" t="s">
        <v>6</v>
      </c>
      <c r="O28" s="44" t="s">
        <v>86</v>
      </c>
      <c r="P28" s="182" t="s">
        <v>385</v>
      </c>
      <c r="Q28" s="182" t="s">
        <v>766</v>
      </c>
      <c r="R28" s="51"/>
      <c r="S28" s="182" t="s">
        <v>93</v>
      </c>
      <c r="T28" s="51"/>
      <c r="U28" s="182" t="s">
        <v>98</v>
      </c>
      <c r="V28" s="51"/>
      <c r="W28" s="51"/>
      <c r="X28" s="929" t="s">
        <v>108</v>
      </c>
      <c r="AU28" s="44"/>
      <c r="AV28" s="44" t="e">
        <f ca="1">OFFSET('Data Entry'!V55,120,)</f>
        <v>#N/A</v>
      </c>
      <c r="AW28" s="929">
        <f ca="1">OFFSET('Data Entry'!X55,120,)</f>
        <v>0.5</v>
      </c>
    </row>
    <row r="29" spans="2:49" x14ac:dyDescent="0.3">
      <c r="B29" s="405" t="s">
        <v>16</v>
      </c>
      <c r="C29" s="383" t="s">
        <v>98</v>
      </c>
      <c r="E29" s="215" t="s">
        <v>345</v>
      </c>
      <c r="H29" s="885" t="s">
        <v>11</v>
      </c>
      <c r="I29" s="85" t="str">
        <f t="shared" si="0"/>
        <v>Restrooms-Urinals</v>
      </c>
      <c r="J29" s="85" t="str">
        <f t="shared" si="1"/>
        <v>Rental Car Center-Restrooms-Urinals</v>
      </c>
      <c r="K29" s="439" t="s">
        <v>37</v>
      </c>
      <c r="L29" s="577" t="s">
        <v>4</v>
      </c>
      <c r="M29" s="634" t="s">
        <v>6</v>
      </c>
      <c r="O29" s="44" t="s">
        <v>87</v>
      </c>
      <c r="P29" s="182" t="s">
        <v>386</v>
      </c>
      <c r="Q29" s="182" t="s">
        <v>767</v>
      </c>
      <c r="R29" s="51"/>
      <c r="S29" s="182" t="s">
        <v>94</v>
      </c>
      <c r="T29" s="51"/>
      <c r="U29" s="182" t="s">
        <v>99</v>
      </c>
      <c r="V29" s="51"/>
      <c r="W29" s="51"/>
      <c r="X29" s="929" t="s">
        <v>109</v>
      </c>
      <c r="AU29" s="44"/>
      <c r="AV29" s="44" t="e">
        <f ca="1">OFFSET('Data Entry'!V56,120,)</f>
        <v>#N/A</v>
      </c>
      <c r="AW29" s="929">
        <f ca="1">OFFSET('Data Entry'!X56,120,)</f>
        <v>0.5</v>
      </c>
    </row>
    <row r="30" spans="2:49" x14ac:dyDescent="0.3">
      <c r="B30" s="405" t="s">
        <v>16</v>
      </c>
      <c r="C30" s="383" t="s">
        <v>99</v>
      </c>
      <c r="E30" s="215" t="s">
        <v>347</v>
      </c>
      <c r="H30" s="885" t="s">
        <v>11</v>
      </c>
      <c r="I30" s="85" t="str">
        <f t="shared" si="0"/>
        <v>Restrooms-Faucets</v>
      </c>
      <c r="J30" s="85" t="str">
        <f t="shared" si="1"/>
        <v>Rental Car Center-Restrooms-Faucets</v>
      </c>
      <c r="K30" s="439" t="s">
        <v>37</v>
      </c>
      <c r="L30" s="577" t="s">
        <v>33</v>
      </c>
      <c r="M30" s="634" t="s">
        <v>6</v>
      </c>
      <c r="O30" s="46" t="s">
        <v>88</v>
      </c>
      <c r="P30" s="1001" t="s">
        <v>387</v>
      </c>
      <c r="Q30" s="182" t="s">
        <v>765</v>
      </c>
      <c r="R30" s="76"/>
      <c r="S30" s="1001" t="s">
        <v>95</v>
      </c>
      <c r="T30" s="76"/>
      <c r="U30" s="1001" t="s">
        <v>100</v>
      </c>
      <c r="V30" s="76"/>
      <c r="W30" s="76"/>
      <c r="X30" s="48" t="s">
        <v>110</v>
      </c>
      <c r="AU30" s="46"/>
      <c r="AV30" s="46" t="e">
        <f ca="1">OFFSET('Data Entry'!V57,120,)</f>
        <v>#N/A</v>
      </c>
      <c r="AW30" s="48">
        <f ca="1">OFFSET('Data Entry'!X57,120,)</f>
        <v>0.5</v>
      </c>
    </row>
    <row r="31" spans="2:49" x14ac:dyDescent="0.3">
      <c r="B31" s="405" t="s">
        <v>16</v>
      </c>
      <c r="C31" s="383" t="s">
        <v>100</v>
      </c>
      <c r="E31" s="215" t="s">
        <v>348</v>
      </c>
      <c r="H31" s="885" t="s">
        <v>11</v>
      </c>
      <c r="I31" s="85" t="str">
        <f t="shared" si="0"/>
        <v>Break rooms-Faucets</v>
      </c>
      <c r="J31" s="85" t="str">
        <f t="shared" si="1"/>
        <v>Rental Car Center-Break rooms-Faucets</v>
      </c>
      <c r="K31" s="467" t="s">
        <v>5</v>
      </c>
      <c r="L31" s="624" t="s">
        <v>33</v>
      </c>
      <c r="M31" s="625" t="s">
        <v>6</v>
      </c>
      <c r="O31" s="45"/>
      <c r="P31" s="45"/>
      <c r="Q31" s="45"/>
      <c r="R31" s="45"/>
      <c r="S31" s="45"/>
      <c r="T31" s="45"/>
      <c r="U31" s="45"/>
      <c r="V31" s="45"/>
      <c r="W31" s="45"/>
      <c r="X31" s="45"/>
      <c r="AU31" s="41">
        <f ca="1">OFFSET('Data Entry'!$B$53,140,)</f>
        <v>8</v>
      </c>
      <c r="AV31" s="45" t="e">
        <f ca="1">OFFSET('Data Entry'!V54,140,)</f>
        <v>#N/A</v>
      </c>
      <c r="AW31" s="929">
        <f ca="1">OFFSET('Data Entry'!X54,140,)</f>
        <v>1</v>
      </c>
    </row>
    <row r="32" spans="2:49" x14ac:dyDescent="0.3">
      <c r="B32" s="405" t="s">
        <v>417</v>
      </c>
      <c r="C32" s="441" t="s">
        <v>417</v>
      </c>
      <c r="E32" s="215" t="s">
        <v>333</v>
      </c>
      <c r="H32" s="885" t="s">
        <v>11</v>
      </c>
      <c r="I32" s="85" t="str">
        <f t="shared" si="0"/>
        <v>Landscaping-Outdoor irrigation</v>
      </c>
      <c r="J32" s="85" t="str">
        <f t="shared" si="1"/>
        <v>Rental Car Center-Landscaping-Outdoor irrigation</v>
      </c>
      <c r="K32" s="439" t="s">
        <v>39</v>
      </c>
      <c r="L32" s="577" t="s">
        <v>42</v>
      </c>
      <c r="M32" s="15" t="s">
        <v>120</v>
      </c>
      <c r="O32" s="45"/>
      <c r="P32" s="45"/>
      <c r="Q32" s="45"/>
      <c r="R32" s="45"/>
      <c r="S32" s="45"/>
      <c r="T32" s="45"/>
      <c r="U32" s="45"/>
      <c r="V32" s="45"/>
      <c r="W32" s="45"/>
      <c r="X32" s="45"/>
      <c r="AU32" s="44"/>
      <c r="AV32" s="45" t="e">
        <f ca="1">OFFSET('Data Entry'!V55,140,)</f>
        <v>#N/A</v>
      </c>
      <c r="AW32" s="929">
        <f ca="1">OFFSET('Data Entry'!X55,140,)</f>
        <v>0.5</v>
      </c>
    </row>
    <row r="33" spans="1:49" ht="15" thickBot="1" x14ac:dyDescent="0.35">
      <c r="B33" s="405" t="s">
        <v>419</v>
      </c>
      <c r="C33" s="441" t="s">
        <v>419</v>
      </c>
      <c r="E33" s="215" t="s">
        <v>334</v>
      </c>
      <c r="H33" s="885" t="s">
        <v>11</v>
      </c>
      <c r="I33" s="85" t="str">
        <f t="shared" si="0"/>
        <v>Maintenance-Boiler</v>
      </c>
      <c r="J33" s="85" t="str">
        <f t="shared" si="1"/>
        <v>Rental Car Center-Maintenance-Boiler</v>
      </c>
      <c r="K33" s="602" t="s">
        <v>43</v>
      </c>
      <c r="L33" s="17" t="s">
        <v>111</v>
      </c>
      <c r="M33" s="576" t="s">
        <v>424</v>
      </c>
      <c r="O33" s="45"/>
      <c r="P33" s="45"/>
      <c r="Q33" s="45"/>
      <c r="R33" s="45"/>
      <c r="S33" s="45"/>
      <c r="T33" s="45"/>
      <c r="U33" s="45"/>
      <c r="V33" s="45"/>
      <c r="W33" s="45"/>
      <c r="X33" s="45"/>
      <c r="AU33" s="44"/>
      <c r="AV33" s="45" t="e">
        <f ca="1">OFFSET('Data Entry'!V56,140,)</f>
        <v>#N/A</v>
      </c>
      <c r="AW33" s="929">
        <f ca="1">OFFSET('Data Entry'!X56,140,)</f>
        <v>0.5</v>
      </c>
    </row>
    <row r="34" spans="1:49" x14ac:dyDescent="0.3">
      <c r="B34" s="405" t="s">
        <v>471</v>
      </c>
      <c r="C34" s="929" t="s">
        <v>106</v>
      </c>
      <c r="E34" s="216" t="s">
        <v>335</v>
      </c>
      <c r="H34" s="885" t="s">
        <v>11</v>
      </c>
      <c r="I34" s="85" t="str">
        <f t="shared" si="0"/>
        <v>Maintenance-Cooling</v>
      </c>
      <c r="J34" s="85" t="str">
        <f t="shared" si="1"/>
        <v>Rental Car Center-Maintenance-Cooling</v>
      </c>
      <c r="K34" s="439" t="s">
        <v>43</v>
      </c>
      <c r="L34" s="18" t="s">
        <v>7</v>
      </c>
      <c r="M34" s="576" t="s">
        <v>365</v>
      </c>
      <c r="O34" s="50" t="s">
        <v>1</v>
      </c>
      <c r="P34" s="50" t="s">
        <v>412</v>
      </c>
      <c r="Q34" s="1002" t="s">
        <v>11</v>
      </c>
      <c r="R34" s="1002" t="s">
        <v>420</v>
      </c>
      <c r="S34" s="999" t="s">
        <v>13</v>
      </c>
      <c r="T34" s="1002" t="s">
        <v>418</v>
      </c>
      <c r="U34" s="999" t="s">
        <v>16</v>
      </c>
      <c r="V34" s="998" t="s">
        <v>417</v>
      </c>
      <c r="W34" s="999" t="s">
        <v>419</v>
      </c>
      <c r="X34" s="1003" t="s">
        <v>471</v>
      </c>
      <c r="AU34" s="46"/>
      <c r="AV34" s="45" t="e">
        <f ca="1">OFFSET('Data Entry'!V57,140,)</f>
        <v>#N/A</v>
      </c>
      <c r="AW34" s="929">
        <f ca="1">OFFSET('Data Entry'!X57,140,)</f>
        <v>0.5</v>
      </c>
    </row>
    <row r="35" spans="1:49" x14ac:dyDescent="0.3">
      <c r="B35" s="405" t="s">
        <v>471</v>
      </c>
      <c r="C35" s="929" t="s">
        <v>107</v>
      </c>
      <c r="H35" s="885" t="s">
        <v>11</v>
      </c>
      <c r="I35" s="85" t="str">
        <f t="shared" si="0"/>
        <v>Maintenance-Vehicle washing</v>
      </c>
      <c r="J35" s="85" t="str">
        <f t="shared" si="1"/>
        <v>Rental Car Center-Maintenance-Vehicle washing</v>
      </c>
      <c r="K35" s="439" t="s">
        <v>43</v>
      </c>
      <c r="L35" s="577" t="s">
        <v>9</v>
      </c>
      <c r="M35" s="635" t="s">
        <v>73</v>
      </c>
      <c r="O35" s="1004" t="s">
        <v>42</v>
      </c>
      <c r="P35" s="1005" t="s">
        <v>42</v>
      </c>
      <c r="Q35" s="1005" t="s">
        <v>42</v>
      </c>
      <c r="R35" s="1005" t="s">
        <v>42</v>
      </c>
      <c r="S35" s="1005" t="s">
        <v>42</v>
      </c>
      <c r="T35" s="1005" t="s">
        <v>42</v>
      </c>
      <c r="U35" s="1005" t="s">
        <v>42</v>
      </c>
      <c r="V35" s="77" t="s">
        <v>111</v>
      </c>
      <c r="W35" s="1005" t="s">
        <v>24</v>
      </c>
      <c r="X35" s="1006" t="s">
        <v>29</v>
      </c>
      <c r="AU35" s="41">
        <f ca="1">OFFSET('Data Entry'!$B$53,160,)</f>
        <v>9</v>
      </c>
      <c r="AV35" s="42" t="e">
        <f ca="1">OFFSET('Data Entry'!V54,160,)</f>
        <v>#N/A</v>
      </c>
      <c r="AW35" s="978">
        <f ca="1">OFFSET('Data Entry'!X54,160,)</f>
        <v>1</v>
      </c>
    </row>
    <row r="36" spans="1:49" x14ac:dyDescent="0.3">
      <c r="B36" s="405" t="s">
        <v>471</v>
      </c>
      <c r="C36" s="929" t="s">
        <v>108</v>
      </c>
      <c r="H36" s="885" t="s">
        <v>11</v>
      </c>
      <c r="I36" s="85" t="str">
        <f t="shared" si="0"/>
        <v>Maintenance-Pavement cleaning</v>
      </c>
      <c r="J36" s="85" t="str">
        <f t="shared" si="1"/>
        <v>Rental Car Center-Maintenance-Pavement cleaning</v>
      </c>
      <c r="K36" s="986" t="s">
        <v>43</v>
      </c>
      <c r="L36" s="640" t="s">
        <v>426</v>
      </c>
      <c r="M36" s="642" t="s">
        <v>73</v>
      </c>
      <c r="O36" s="73" t="s">
        <v>111</v>
      </c>
      <c r="P36" s="59" t="s">
        <v>111</v>
      </c>
      <c r="Q36" s="59" t="s">
        <v>111</v>
      </c>
      <c r="R36" s="59" t="s">
        <v>111</v>
      </c>
      <c r="S36" s="46" t="s">
        <v>368</v>
      </c>
      <c r="T36" s="182" t="s">
        <v>14</v>
      </c>
      <c r="U36" s="59" t="s">
        <v>111</v>
      </c>
      <c r="V36" s="59" t="s">
        <v>7</v>
      </c>
      <c r="W36" s="1006" t="s">
        <v>29</v>
      </c>
      <c r="X36" s="383" t="s">
        <v>42</v>
      </c>
      <c r="AU36" s="44"/>
      <c r="AV36" s="42" t="e">
        <f ca="1">OFFSET('Data Entry'!V55,160,)</f>
        <v>#N/A</v>
      </c>
      <c r="AW36" s="978">
        <f ca="1">OFFSET('Data Entry'!X55,160,)</f>
        <v>0.5</v>
      </c>
    </row>
    <row r="37" spans="1:49" x14ac:dyDescent="0.3">
      <c r="B37" s="405" t="s">
        <v>471</v>
      </c>
      <c r="C37" s="929" t="s">
        <v>109</v>
      </c>
      <c r="H37" s="885" t="s">
        <v>11</v>
      </c>
      <c r="I37" s="85" t="str">
        <f t="shared" si="0"/>
        <v>Other-Other 1</v>
      </c>
      <c r="J37" s="85" t="str">
        <f t="shared" si="1"/>
        <v>Rental Car Center-Other-Other 1</v>
      </c>
      <c r="K37" s="439" t="s">
        <v>8</v>
      </c>
      <c r="L37" s="577" t="s">
        <v>52</v>
      </c>
      <c r="M37" s="636" t="s">
        <v>362</v>
      </c>
      <c r="O37" s="73" t="s">
        <v>7</v>
      </c>
      <c r="P37" s="59" t="s">
        <v>7</v>
      </c>
      <c r="Q37" s="59" t="s">
        <v>7</v>
      </c>
      <c r="R37" s="59" t="s">
        <v>7</v>
      </c>
      <c r="S37" s="46" t="s">
        <v>368</v>
      </c>
      <c r="T37" s="46" t="s">
        <v>368</v>
      </c>
      <c r="U37" s="59" t="s">
        <v>7</v>
      </c>
      <c r="V37" s="46" t="s">
        <v>368</v>
      </c>
      <c r="W37" s="46" t="s">
        <v>368</v>
      </c>
      <c r="X37" s="78" t="s">
        <v>111</v>
      </c>
      <c r="AU37" s="44"/>
      <c r="AV37" s="42" t="e">
        <f ca="1">OFFSET('Data Entry'!V56,160,)</f>
        <v>#N/A</v>
      </c>
      <c r="AW37" s="978">
        <f ca="1">OFFSET('Data Entry'!X56,160,)</f>
        <v>0.5</v>
      </c>
    </row>
    <row r="38" spans="1:49" x14ac:dyDescent="0.3">
      <c r="B38" s="1007" t="s">
        <v>471</v>
      </c>
      <c r="C38" s="48" t="s">
        <v>110</v>
      </c>
      <c r="H38" s="885" t="s">
        <v>11</v>
      </c>
      <c r="I38" s="85" t="str">
        <f t="shared" si="0"/>
        <v>Other-Other 2</v>
      </c>
      <c r="J38" s="85" t="str">
        <f t="shared" si="1"/>
        <v>Rental Car Center-Other-Other 2</v>
      </c>
      <c r="K38" s="439" t="s">
        <v>8</v>
      </c>
      <c r="L38" s="577" t="s">
        <v>53</v>
      </c>
      <c r="M38" s="636" t="s">
        <v>363</v>
      </c>
      <c r="O38" s="46" t="s">
        <v>368</v>
      </c>
      <c r="P38" s="46" t="s">
        <v>368</v>
      </c>
      <c r="Q38" s="46" t="s">
        <v>368</v>
      </c>
      <c r="R38" s="46" t="s">
        <v>368</v>
      </c>
      <c r="S38" s="46" t="s">
        <v>368</v>
      </c>
      <c r="T38" s="46" t="s">
        <v>368</v>
      </c>
      <c r="U38" s="46" t="s">
        <v>368</v>
      </c>
      <c r="V38" s="46" t="s">
        <v>368</v>
      </c>
      <c r="W38" s="46" t="s">
        <v>368</v>
      </c>
      <c r="X38" s="79" t="s">
        <v>7</v>
      </c>
      <c r="AU38" s="46"/>
      <c r="AV38" s="42" t="e">
        <f ca="1">OFFSET('Data Entry'!V57,160,)</f>
        <v>#N/A</v>
      </c>
      <c r="AW38" s="978">
        <f ca="1">OFFSET('Data Entry'!X57,160,)</f>
        <v>0.5</v>
      </c>
    </row>
    <row r="39" spans="1:49" ht="15" thickBot="1" x14ac:dyDescent="0.35">
      <c r="B39" s="45"/>
      <c r="H39" s="888" t="s">
        <v>11</v>
      </c>
      <c r="I39" s="991" t="str">
        <f t="shared" si="0"/>
        <v>Other-Other 3</v>
      </c>
      <c r="J39" s="991" t="str">
        <f t="shared" si="1"/>
        <v>Rental Car Center-Other-Other 3</v>
      </c>
      <c r="K39" s="606" t="s">
        <v>8</v>
      </c>
      <c r="L39" s="116" t="s">
        <v>54</v>
      </c>
      <c r="M39" s="992" t="s">
        <v>364</v>
      </c>
      <c r="AU39" s="41">
        <f ca="1">OFFSET('Data Entry'!$B$53,180,)</f>
        <v>10</v>
      </c>
      <c r="AV39" s="42" t="e">
        <f ca="1">OFFSET('Data Entry'!V54,180,)</f>
        <v>#N/A</v>
      </c>
      <c r="AW39" s="978">
        <f ca="1">OFFSET('Data Entry'!X54,180,)</f>
        <v>1</v>
      </c>
    </row>
    <row r="40" spans="1:49" x14ac:dyDescent="0.3">
      <c r="H40" s="482" t="s">
        <v>420</v>
      </c>
      <c r="I40" s="980" t="str">
        <f t="shared" si="0"/>
        <v>Restrooms-Toilets</v>
      </c>
      <c r="J40" s="980" t="str">
        <f t="shared" si="1"/>
        <v>Ground Transportation-Restrooms-Toilets</v>
      </c>
      <c r="K40" s="981" t="s">
        <v>37</v>
      </c>
      <c r="L40" s="567" t="s">
        <v>2</v>
      </c>
      <c r="M40" s="15" t="s">
        <v>117</v>
      </c>
      <c r="AU40" s="44"/>
      <c r="AV40" s="42" t="e">
        <f ca="1">OFFSET('Data Entry'!V55,180,)</f>
        <v>#N/A</v>
      </c>
      <c r="AW40" s="978">
        <f ca="1">OFFSET('Data Entry'!X55,180,)</f>
        <v>0.5</v>
      </c>
    </row>
    <row r="41" spans="1:49" x14ac:dyDescent="0.3">
      <c r="H41" s="885" t="s">
        <v>420</v>
      </c>
      <c r="I41" s="85" t="str">
        <f t="shared" si="0"/>
        <v>Restrooms-Urinals</v>
      </c>
      <c r="J41" s="85" t="str">
        <f t="shared" si="1"/>
        <v>Ground Transportation-Restrooms-Urinals</v>
      </c>
      <c r="K41" s="439" t="s">
        <v>37</v>
      </c>
      <c r="L41" s="577" t="s">
        <v>4</v>
      </c>
      <c r="M41" s="15" t="s">
        <v>117</v>
      </c>
      <c r="AU41" s="44"/>
      <c r="AV41" s="42" t="e">
        <f ca="1">OFFSET('Data Entry'!V56,180,)</f>
        <v>#N/A</v>
      </c>
      <c r="AW41" s="978">
        <f ca="1">OFFSET('Data Entry'!X56,180,)</f>
        <v>0.5</v>
      </c>
    </row>
    <row r="42" spans="1:49" ht="15" thickBot="1" x14ac:dyDescent="0.35">
      <c r="H42" s="885" t="s">
        <v>420</v>
      </c>
      <c r="I42" s="85" t="str">
        <f t="shared" si="0"/>
        <v>Restrooms-Faucets</v>
      </c>
      <c r="J42" s="85" t="str">
        <f t="shared" si="1"/>
        <v>Ground Transportation-Restrooms-Faucets</v>
      </c>
      <c r="K42" s="439" t="s">
        <v>37</v>
      </c>
      <c r="L42" s="577" t="s">
        <v>33</v>
      </c>
      <c r="M42" s="15" t="s">
        <v>117</v>
      </c>
      <c r="AU42" s="46"/>
      <c r="AV42" s="42" t="e">
        <f ca="1">OFFSET('Data Entry'!V57,180,)</f>
        <v>#N/A</v>
      </c>
      <c r="AW42" s="978">
        <f ca="1">OFFSET('Data Entry'!X57,180,)</f>
        <v>0.5</v>
      </c>
    </row>
    <row r="43" spans="1:49" ht="15" thickBot="1" x14ac:dyDescent="0.35">
      <c r="B43" s="1475" t="s">
        <v>356</v>
      </c>
      <c r="C43" s="1476"/>
      <c r="H43" s="885" t="s">
        <v>420</v>
      </c>
      <c r="I43" s="85" t="str">
        <f t="shared" si="0"/>
        <v>Break rooms-Faucets</v>
      </c>
      <c r="J43" s="85" t="str">
        <f t="shared" si="1"/>
        <v>Ground Transportation-Break rooms-Faucets</v>
      </c>
      <c r="K43" s="467" t="s">
        <v>5</v>
      </c>
      <c r="L43" s="624" t="s">
        <v>33</v>
      </c>
      <c r="M43" s="625" t="s">
        <v>6</v>
      </c>
      <c r="O43" s="6"/>
      <c r="P43" s="80"/>
      <c r="Q43" s="1008"/>
      <c r="R43" s="1008"/>
      <c r="S43" s="1009"/>
      <c r="T43" s="1008"/>
      <c r="U43" s="1009"/>
      <c r="V43" s="1008"/>
      <c r="W43" s="1008"/>
      <c r="X43" s="1008"/>
      <c r="AU43" s="41">
        <f ca="1">OFFSET('Data Entry'!$B$53,200,)</f>
        <v>11</v>
      </c>
      <c r="AV43" s="42" t="e">
        <f ca="1">OFFSET('Data Entry'!V54,200,)</f>
        <v>#N/A</v>
      </c>
      <c r="AW43" s="978">
        <f ca="1">OFFSET('Data Entry'!X54,200,)</f>
        <v>1</v>
      </c>
    </row>
    <row r="44" spans="1:49" x14ac:dyDescent="0.3">
      <c r="A44" s="13">
        <v>1</v>
      </c>
      <c r="B44" s="179" t="str">
        <f>'Data Entry'!F10</f>
        <v xml:space="preserve">  </v>
      </c>
      <c r="C44" s="185">
        <f>IF('Data Entry'!G10=" ",0,'Data Entry'!G10)</f>
        <v>0</v>
      </c>
      <c r="H44" s="885" t="s">
        <v>420</v>
      </c>
      <c r="I44" s="85" t="str">
        <f t="shared" si="0"/>
        <v>Landscaping-Outdoor irrigation</v>
      </c>
      <c r="J44" s="85" t="str">
        <f t="shared" si="1"/>
        <v>Ground Transportation-Landscaping-Outdoor irrigation</v>
      </c>
      <c r="K44" s="439" t="s">
        <v>39</v>
      </c>
      <c r="L44" s="577" t="s">
        <v>42</v>
      </c>
      <c r="M44" s="15" t="s">
        <v>120</v>
      </c>
      <c r="O44" s="45"/>
      <c r="P44" s="45"/>
      <c r="Q44" s="45"/>
      <c r="R44" s="45"/>
      <c r="S44" s="45"/>
      <c r="T44" s="45"/>
      <c r="U44" s="45"/>
      <c r="V44" s="45"/>
      <c r="W44" s="45"/>
      <c r="X44" s="45"/>
      <c r="AU44" s="44"/>
      <c r="AV44" s="42" t="e">
        <f ca="1">OFFSET('Data Entry'!V55,200,)</f>
        <v>#N/A</v>
      </c>
      <c r="AW44" s="978">
        <f ca="1">OFFSET('Data Entry'!X55,200,)</f>
        <v>0.5</v>
      </c>
    </row>
    <row r="45" spans="1:49" x14ac:dyDescent="0.3">
      <c r="A45" s="13">
        <v>2</v>
      </c>
      <c r="B45" s="180" t="str">
        <f>'Data Entry'!F11</f>
        <v xml:space="preserve">  </v>
      </c>
      <c r="C45" s="183">
        <f>IF('Data Entry'!G11=" ",0,'Data Entry'!G11)</f>
        <v>0</v>
      </c>
      <c r="H45" s="885" t="s">
        <v>420</v>
      </c>
      <c r="I45" s="85" t="str">
        <f t="shared" si="0"/>
        <v>Maintenance-Boiler</v>
      </c>
      <c r="J45" s="85" t="str">
        <f t="shared" si="1"/>
        <v>Ground Transportation-Maintenance-Boiler</v>
      </c>
      <c r="K45" s="602" t="s">
        <v>43</v>
      </c>
      <c r="L45" s="17" t="s">
        <v>111</v>
      </c>
      <c r="M45" s="576" t="s">
        <v>424</v>
      </c>
      <c r="O45" s="45"/>
      <c r="P45" s="45"/>
      <c r="Q45" s="45"/>
      <c r="R45" s="45"/>
      <c r="S45" s="45"/>
      <c r="T45" s="45"/>
      <c r="U45" s="45"/>
      <c r="V45" s="45"/>
      <c r="W45" s="45"/>
      <c r="X45" s="45"/>
      <c r="AU45" s="44"/>
      <c r="AV45" s="42" t="e">
        <f ca="1">OFFSET('Data Entry'!V56,200,)</f>
        <v>#N/A</v>
      </c>
      <c r="AW45" s="978">
        <f ca="1">OFFSET('Data Entry'!X56,200,)</f>
        <v>0.5</v>
      </c>
    </row>
    <row r="46" spans="1:49" x14ac:dyDescent="0.3">
      <c r="A46" s="13">
        <v>3</v>
      </c>
      <c r="B46" s="180" t="str">
        <f>'Data Entry'!F12</f>
        <v xml:space="preserve">  </v>
      </c>
      <c r="C46" s="183">
        <f>IF('Data Entry'!G12=" ",0,'Data Entry'!G12)</f>
        <v>0</v>
      </c>
      <c r="H46" s="885" t="s">
        <v>420</v>
      </c>
      <c r="I46" s="85" t="str">
        <f t="shared" si="0"/>
        <v>Maintenance-Cooling</v>
      </c>
      <c r="J46" s="85" t="str">
        <f t="shared" si="1"/>
        <v>Ground Transportation-Maintenance-Cooling</v>
      </c>
      <c r="K46" s="439" t="s">
        <v>43</v>
      </c>
      <c r="L46" s="18" t="s">
        <v>7</v>
      </c>
      <c r="M46" s="576" t="s">
        <v>365</v>
      </c>
      <c r="O46" s="45"/>
      <c r="P46" s="45"/>
      <c r="Q46" s="45"/>
      <c r="R46" s="45"/>
      <c r="S46" s="45"/>
      <c r="T46" s="45"/>
      <c r="U46" s="45"/>
      <c r="V46" s="45"/>
      <c r="W46" s="45"/>
      <c r="X46" s="45"/>
      <c r="AU46" s="46"/>
      <c r="AV46" s="42" t="e">
        <f ca="1">OFFSET('Data Entry'!V57,200,)</f>
        <v>#N/A</v>
      </c>
      <c r="AW46" s="978">
        <f ca="1">OFFSET('Data Entry'!X57,200,)</f>
        <v>0.5</v>
      </c>
    </row>
    <row r="47" spans="1:49" x14ac:dyDescent="0.3">
      <c r="A47" s="13">
        <v>4</v>
      </c>
      <c r="B47" s="180" t="str">
        <f>'Data Entry'!F13</f>
        <v xml:space="preserve">  </v>
      </c>
      <c r="C47" s="183">
        <f>IF('Data Entry'!G13=" ",0,'Data Entry'!G13)</f>
        <v>0</v>
      </c>
      <c r="H47" s="885" t="s">
        <v>420</v>
      </c>
      <c r="I47" s="85" t="str">
        <f t="shared" si="0"/>
        <v>Maintenance-Vehicle washing</v>
      </c>
      <c r="J47" s="85" t="str">
        <f t="shared" si="1"/>
        <v>Ground Transportation-Maintenance-Vehicle washing</v>
      </c>
      <c r="K47" s="439" t="s">
        <v>43</v>
      </c>
      <c r="L47" s="577" t="s">
        <v>9</v>
      </c>
      <c r="M47" s="15" t="s">
        <v>117</v>
      </c>
      <c r="O47" s="45"/>
      <c r="P47" s="45"/>
      <c r="Q47" s="45"/>
      <c r="R47" s="45"/>
      <c r="S47" s="45"/>
      <c r="T47" s="45"/>
      <c r="U47" s="45"/>
      <c r="V47" s="45"/>
      <c r="W47" s="45"/>
      <c r="X47" s="45"/>
      <c r="AU47" s="41">
        <f ca="1">OFFSET('Data Entry'!$B$53,220,)</f>
        <v>12</v>
      </c>
      <c r="AV47" s="42" t="e">
        <f ca="1">OFFSET('Data Entry'!V54,220,)</f>
        <v>#N/A</v>
      </c>
      <c r="AW47" s="978">
        <f ca="1">OFFSET('Data Entry'!X54,220,)</f>
        <v>1</v>
      </c>
    </row>
    <row r="48" spans="1:49" x14ac:dyDescent="0.3">
      <c r="A48" s="13">
        <v>5</v>
      </c>
      <c r="B48" s="180" t="str">
        <f>'Data Entry'!F14</f>
        <v xml:space="preserve">  </v>
      </c>
      <c r="C48" s="183">
        <f>IF('Data Entry'!G14=" ",0,'Data Entry'!G14)</f>
        <v>0</v>
      </c>
      <c r="H48" s="885" t="s">
        <v>420</v>
      </c>
      <c r="I48" s="85" t="str">
        <f t="shared" si="0"/>
        <v>Maintenance-Pavement cleaning</v>
      </c>
      <c r="J48" s="85" t="str">
        <f t="shared" si="1"/>
        <v>Ground Transportation-Maintenance-Pavement cleaning</v>
      </c>
      <c r="K48" s="986" t="s">
        <v>43</v>
      </c>
      <c r="L48" s="640" t="s">
        <v>426</v>
      </c>
      <c r="M48" s="16" t="s">
        <v>117</v>
      </c>
      <c r="O48" s="45"/>
      <c r="P48" s="45"/>
      <c r="Q48" s="45"/>
      <c r="R48" s="45"/>
      <c r="S48" s="45"/>
      <c r="T48" s="45"/>
      <c r="U48" s="45"/>
      <c r="V48" s="45"/>
      <c r="W48" s="45"/>
      <c r="X48" s="45"/>
      <c r="AU48" s="44"/>
      <c r="AV48" s="42" t="e">
        <f ca="1">OFFSET('Data Entry'!V55,220,)</f>
        <v>#N/A</v>
      </c>
      <c r="AW48" s="978">
        <f ca="1">OFFSET('Data Entry'!X55,220,)</f>
        <v>0.5</v>
      </c>
    </row>
    <row r="49" spans="1:49" x14ac:dyDescent="0.3">
      <c r="A49" s="13">
        <v>6</v>
      </c>
      <c r="B49" s="180" t="str">
        <f>'Data Entry'!F15</f>
        <v xml:space="preserve">  </v>
      </c>
      <c r="C49" s="183">
        <f>IF('Data Entry'!G15=" ",0,'Data Entry'!G15)</f>
        <v>0</v>
      </c>
      <c r="H49" s="885" t="s">
        <v>420</v>
      </c>
      <c r="I49" s="85" t="str">
        <f t="shared" si="0"/>
        <v>Other-Other 1</v>
      </c>
      <c r="J49" s="85" t="str">
        <f t="shared" si="1"/>
        <v>Ground Transportation-Other-Other 1</v>
      </c>
      <c r="K49" s="439" t="s">
        <v>8</v>
      </c>
      <c r="L49" s="577" t="s">
        <v>52</v>
      </c>
      <c r="M49" s="636" t="s">
        <v>362</v>
      </c>
      <c r="O49" s="45"/>
      <c r="P49" s="45"/>
      <c r="Q49" s="45"/>
      <c r="R49" s="45"/>
      <c r="S49" s="45"/>
      <c r="T49" s="45"/>
      <c r="U49" s="45"/>
      <c r="V49" s="45"/>
      <c r="W49" s="45"/>
      <c r="X49" s="45"/>
      <c r="AU49" s="44"/>
      <c r="AV49" s="42" t="e">
        <f ca="1">OFFSET('Data Entry'!V56,220,)</f>
        <v>#N/A</v>
      </c>
      <c r="AW49" s="978">
        <f ca="1">OFFSET('Data Entry'!X56,220,)</f>
        <v>0.5</v>
      </c>
    </row>
    <row r="50" spans="1:49" x14ac:dyDescent="0.3">
      <c r="A50" s="13">
        <v>7</v>
      </c>
      <c r="B50" s="180" t="str">
        <f>'Data Entry'!F16</f>
        <v xml:space="preserve">  </v>
      </c>
      <c r="C50" s="183">
        <f>IF('Data Entry'!G16=" ",0,'Data Entry'!G16)</f>
        <v>0</v>
      </c>
      <c r="H50" s="885" t="s">
        <v>420</v>
      </c>
      <c r="I50" s="85" t="str">
        <f t="shared" si="0"/>
        <v>Other-Other 2</v>
      </c>
      <c r="J50" s="85" t="str">
        <f t="shared" si="1"/>
        <v>Ground Transportation-Other-Other 2</v>
      </c>
      <c r="K50" s="439" t="s">
        <v>8</v>
      </c>
      <c r="L50" s="577" t="s">
        <v>53</v>
      </c>
      <c r="M50" s="636" t="s">
        <v>363</v>
      </c>
      <c r="O50" s="45"/>
      <c r="P50" s="45"/>
      <c r="Q50" s="45"/>
      <c r="R50" s="45"/>
      <c r="S50" s="45"/>
      <c r="T50" s="45"/>
      <c r="U50" s="45"/>
      <c r="V50" s="45"/>
      <c r="W50" s="45"/>
      <c r="X50" s="45"/>
      <c r="AU50" s="46"/>
      <c r="AV50" s="42" t="e">
        <f ca="1">OFFSET('Data Entry'!V57,220,)</f>
        <v>#N/A</v>
      </c>
      <c r="AW50" s="978">
        <f ca="1">OFFSET('Data Entry'!X57,220,)</f>
        <v>0.5</v>
      </c>
    </row>
    <row r="51" spans="1:49" ht="15" thickBot="1" x14ac:dyDescent="0.35">
      <c r="A51" s="13">
        <v>8</v>
      </c>
      <c r="B51" s="180" t="str">
        <f>'Data Entry'!F17</f>
        <v xml:space="preserve">  </v>
      </c>
      <c r="C51" s="183">
        <f>IF('Data Entry'!G17=" ",0,'Data Entry'!G17)</f>
        <v>0</v>
      </c>
      <c r="H51" s="888" t="s">
        <v>420</v>
      </c>
      <c r="I51" s="991" t="str">
        <f t="shared" si="0"/>
        <v>Other-Other 3</v>
      </c>
      <c r="J51" s="991" t="str">
        <f t="shared" si="1"/>
        <v>Ground Transportation-Other-Other 3</v>
      </c>
      <c r="K51" s="606" t="s">
        <v>8</v>
      </c>
      <c r="L51" s="577" t="s">
        <v>54</v>
      </c>
      <c r="M51" s="992" t="s">
        <v>364</v>
      </c>
      <c r="O51" s="45"/>
      <c r="P51" s="45"/>
      <c r="Q51" s="45"/>
      <c r="R51" s="45"/>
      <c r="S51" s="45"/>
      <c r="T51" s="45"/>
      <c r="U51" s="45"/>
      <c r="V51" s="45"/>
      <c r="W51" s="45"/>
      <c r="X51" s="45"/>
      <c r="AU51" s="41">
        <f ca="1">OFFSET('Data Entry'!$B$53,240,)</f>
        <v>13</v>
      </c>
      <c r="AV51" s="42" t="e">
        <f ca="1">OFFSET('Data Entry'!V54,240,)</f>
        <v>#N/A</v>
      </c>
      <c r="AW51" s="978">
        <f ca="1">OFFSET('Data Entry'!X54,240,)</f>
        <v>1</v>
      </c>
    </row>
    <row r="52" spans="1:49" x14ac:dyDescent="0.3">
      <c r="A52" s="13">
        <v>9</v>
      </c>
      <c r="B52" s="180" t="str">
        <f>'Data Entry'!F18</f>
        <v xml:space="preserve">  </v>
      </c>
      <c r="C52" s="183">
        <f>IF('Data Entry'!G18=" ",0,'Data Entry'!G18)</f>
        <v>0</v>
      </c>
      <c r="H52" s="206" t="s">
        <v>13</v>
      </c>
      <c r="I52" s="85" t="str">
        <f t="shared" si="0"/>
        <v>Landscaping-Outdoor irrigation</v>
      </c>
      <c r="J52" s="85" t="str">
        <f t="shared" si="1"/>
        <v>Parking-Landscaping-Outdoor irrigation</v>
      </c>
      <c r="K52" s="181" t="s">
        <v>39</v>
      </c>
      <c r="L52" s="567" t="s">
        <v>42</v>
      </c>
      <c r="M52" s="52" t="s">
        <v>120</v>
      </c>
      <c r="O52" s="45"/>
      <c r="P52" s="45"/>
      <c r="Q52" s="45"/>
      <c r="R52" s="45"/>
      <c r="S52" s="45"/>
      <c r="T52" s="45"/>
      <c r="U52" s="45"/>
      <c r="V52" s="45"/>
      <c r="W52" s="45"/>
      <c r="X52" s="45"/>
      <c r="AU52" s="44"/>
      <c r="AV52" s="42" t="e">
        <f ca="1">OFFSET('Data Entry'!V55,240,)</f>
        <v>#N/A</v>
      </c>
      <c r="AW52" s="978">
        <f ca="1">OFFSET('Data Entry'!X55,240,)</f>
        <v>0.5</v>
      </c>
    </row>
    <row r="53" spans="1:49" x14ac:dyDescent="0.3">
      <c r="A53" s="13">
        <v>10</v>
      </c>
      <c r="B53" s="180" t="str">
        <f>'Data Entry'!F19</f>
        <v xml:space="preserve">  </v>
      </c>
      <c r="C53" s="183">
        <f>IF('Data Entry'!G19=" ",0,'Data Entry'!G19)</f>
        <v>0</v>
      </c>
      <c r="H53" s="206" t="s">
        <v>13</v>
      </c>
      <c r="I53" s="85" t="str">
        <f t="shared" si="0"/>
        <v>Maintenance-Vehicle washing</v>
      </c>
      <c r="J53" s="85" t="str">
        <f t="shared" si="1"/>
        <v>Parking-Maintenance-Vehicle washing</v>
      </c>
      <c r="K53" s="995" t="s">
        <v>43</v>
      </c>
      <c r="L53" s="589" t="s">
        <v>9</v>
      </c>
      <c r="M53" s="19" t="s">
        <v>123</v>
      </c>
      <c r="O53" s="45"/>
      <c r="P53" s="45"/>
      <c r="Q53" s="45"/>
      <c r="R53" s="45"/>
      <c r="S53" s="45"/>
      <c r="T53" s="45"/>
      <c r="U53" s="45"/>
      <c r="V53" s="45"/>
      <c r="W53" s="45"/>
      <c r="X53" s="45"/>
      <c r="AU53" s="44"/>
      <c r="AV53" s="42" t="e">
        <f ca="1">OFFSET('Data Entry'!V56,240,)</f>
        <v>#N/A</v>
      </c>
      <c r="AW53" s="978">
        <f ca="1">OFFSET('Data Entry'!X56,240,)</f>
        <v>0.5</v>
      </c>
    </row>
    <row r="54" spans="1:49" x14ac:dyDescent="0.3">
      <c r="A54" s="13">
        <v>11</v>
      </c>
      <c r="B54" s="180" t="str">
        <f>'Data Entry'!F20</f>
        <v xml:space="preserve">  </v>
      </c>
      <c r="C54" s="183">
        <f>IF('Data Entry'!G20=" ",0,'Data Entry'!G20)</f>
        <v>0</v>
      </c>
      <c r="H54" s="206" t="s">
        <v>13</v>
      </c>
      <c r="I54" s="85" t="str">
        <f t="shared" si="0"/>
        <v>Maintenance-Pavement cleaning</v>
      </c>
      <c r="J54" s="85" t="str">
        <f t="shared" si="1"/>
        <v>Parking-Maintenance-Pavement cleaning</v>
      </c>
      <c r="K54" s="996" t="s">
        <v>43</v>
      </c>
      <c r="L54" s="640" t="s">
        <v>426</v>
      </c>
      <c r="M54" s="642" t="s">
        <v>123</v>
      </c>
      <c r="O54" s="45"/>
      <c r="P54" s="45"/>
      <c r="Q54" s="45"/>
      <c r="R54" s="45"/>
      <c r="S54" s="45"/>
      <c r="T54" s="45"/>
      <c r="U54" s="45"/>
      <c r="V54" s="45"/>
      <c r="W54" s="45"/>
      <c r="X54" s="45"/>
      <c r="AU54" s="46"/>
      <c r="AV54" s="42" t="e">
        <f ca="1">OFFSET('Data Entry'!V57,240,)</f>
        <v>#N/A</v>
      </c>
      <c r="AW54" s="978">
        <f ca="1">OFFSET('Data Entry'!X57,240,)</f>
        <v>0.5</v>
      </c>
    </row>
    <row r="55" spans="1:49" x14ac:dyDescent="0.3">
      <c r="A55" s="13">
        <v>12</v>
      </c>
      <c r="B55" s="180" t="str">
        <f>'Data Entry'!F21</f>
        <v xml:space="preserve">  </v>
      </c>
      <c r="C55" s="183">
        <f>IF('Data Entry'!G21=" ",0,'Data Entry'!G21)</f>
        <v>0</v>
      </c>
      <c r="H55" s="206" t="s">
        <v>13</v>
      </c>
      <c r="I55" s="85" t="str">
        <f t="shared" si="0"/>
        <v>Other-Other 1</v>
      </c>
      <c r="J55" s="85" t="str">
        <f t="shared" si="1"/>
        <v>Parking-Other-Other 1</v>
      </c>
      <c r="K55" s="181" t="s">
        <v>8</v>
      </c>
      <c r="L55" s="577" t="s">
        <v>52</v>
      </c>
      <c r="M55" s="636" t="s">
        <v>362</v>
      </c>
      <c r="O55" s="45"/>
      <c r="P55" s="45"/>
      <c r="Q55" s="45"/>
      <c r="R55" s="45"/>
      <c r="S55" s="45"/>
      <c r="T55" s="45"/>
      <c r="U55" s="45"/>
      <c r="V55" s="45"/>
      <c r="W55" s="45"/>
      <c r="X55" s="45"/>
      <c r="AU55" s="41">
        <f ca="1">OFFSET('Data Entry'!$B$53,260,)</f>
        <v>14</v>
      </c>
      <c r="AV55" s="42" t="e">
        <f ca="1">OFFSET('Data Entry'!V54,260,)</f>
        <v>#N/A</v>
      </c>
      <c r="AW55" s="978">
        <f ca="1">OFFSET('Data Entry'!X54,260,)</f>
        <v>1</v>
      </c>
    </row>
    <row r="56" spans="1:49" x14ac:dyDescent="0.3">
      <c r="A56" s="13">
        <v>13</v>
      </c>
      <c r="B56" s="180" t="str">
        <f>'Data Entry'!F22</f>
        <v xml:space="preserve">  </v>
      </c>
      <c r="C56" s="183">
        <f>IF('Data Entry'!G22=" ",0,'Data Entry'!G22)</f>
        <v>0</v>
      </c>
      <c r="H56" s="206" t="s">
        <v>13</v>
      </c>
      <c r="I56" s="85" t="str">
        <f t="shared" si="0"/>
        <v>Other-Other 2</v>
      </c>
      <c r="J56" s="85" t="str">
        <f t="shared" si="1"/>
        <v>Parking-Other-Other 2</v>
      </c>
      <c r="K56" s="181" t="s">
        <v>8</v>
      </c>
      <c r="L56" s="577" t="s">
        <v>53</v>
      </c>
      <c r="M56" s="636" t="s">
        <v>363</v>
      </c>
      <c r="O56" s="45"/>
      <c r="P56" s="45"/>
      <c r="Q56" s="45"/>
      <c r="R56" s="45"/>
      <c r="S56" s="45"/>
      <c r="T56" s="45"/>
      <c r="U56" s="45"/>
      <c r="V56" s="45"/>
      <c r="W56" s="45"/>
      <c r="X56" s="45"/>
      <c r="AU56" s="44"/>
      <c r="AV56" s="42" t="e">
        <f ca="1">OFFSET('Data Entry'!V55,260,)</f>
        <v>#N/A</v>
      </c>
      <c r="AW56" s="978">
        <f ca="1">OFFSET('Data Entry'!X55,260,)</f>
        <v>0.5</v>
      </c>
    </row>
    <row r="57" spans="1:49" ht="15" thickBot="1" x14ac:dyDescent="0.35">
      <c r="A57" s="13">
        <v>14</v>
      </c>
      <c r="B57" s="180" t="str">
        <f>'Data Entry'!F23</f>
        <v xml:space="preserve">  </v>
      </c>
      <c r="C57" s="183">
        <f>IF('Data Entry'!G23=" ",0,'Data Entry'!G23)</f>
        <v>0</v>
      </c>
      <c r="H57" s="206" t="s">
        <v>13</v>
      </c>
      <c r="I57" s="85" t="str">
        <f t="shared" si="0"/>
        <v>Other-Other 3</v>
      </c>
      <c r="J57" s="85" t="str">
        <f t="shared" si="1"/>
        <v>Parking-Other-Other 3</v>
      </c>
      <c r="K57" s="181" t="s">
        <v>8</v>
      </c>
      <c r="L57" s="116" t="s">
        <v>54</v>
      </c>
      <c r="M57" s="992" t="s">
        <v>364</v>
      </c>
      <c r="O57" s="45"/>
      <c r="P57" s="45"/>
      <c r="Q57" s="45"/>
      <c r="R57" s="45"/>
      <c r="S57" s="45"/>
      <c r="T57" s="45"/>
      <c r="U57" s="45"/>
      <c r="V57" s="45"/>
      <c r="W57" s="45"/>
      <c r="X57" s="45"/>
      <c r="AU57" s="44"/>
      <c r="AV57" s="42" t="e">
        <f ca="1">OFFSET('Data Entry'!V56,260,)</f>
        <v>#N/A</v>
      </c>
      <c r="AW57" s="978">
        <f ca="1">OFFSET('Data Entry'!X56,260,)</f>
        <v>0.5</v>
      </c>
    </row>
    <row r="58" spans="1:49" x14ac:dyDescent="0.3">
      <c r="A58" s="13">
        <v>15</v>
      </c>
      <c r="B58" s="180" t="str">
        <f>'Data Entry'!F24</f>
        <v xml:space="preserve">  </v>
      </c>
      <c r="C58" s="183">
        <f>IF('Data Entry'!G24=" ",0,'Data Entry'!G24)</f>
        <v>0</v>
      </c>
      <c r="H58" s="482" t="s">
        <v>418</v>
      </c>
      <c r="I58" s="980" t="str">
        <f t="shared" si="0"/>
        <v>Restrooms-Toilets</v>
      </c>
      <c r="J58" s="980" t="str">
        <f t="shared" si="1"/>
        <v>Fire and Police Stations-Restrooms-Toilets</v>
      </c>
      <c r="K58" s="981" t="s">
        <v>37</v>
      </c>
      <c r="L58" s="567" t="s">
        <v>2</v>
      </c>
      <c r="M58" s="590" t="s">
        <v>6</v>
      </c>
      <c r="O58" s="45"/>
      <c r="P58" s="45"/>
      <c r="Q58" s="45"/>
      <c r="R58" s="45"/>
      <c r="S58" s="45"/>
      <c r="T58" s="45"/>
      <c r="U58" s="45"/>
      <c r="V58" s="45"/>
      <c r="W58" s="45"/>
      <c r="X58" s="45"/>
      <c r="AU58" s="46"/>
      <c r="AV58" s="42" t="e">
        <f ca="1">OFFSET('Data Entry'!V57,260,)</f>
        <v>#N/A</v>
      </c>
      <c r="AW58" s="978">
        <f ca="1">OFFSET('Data Entry'!X57,260,)</f>
        <v>0.5</v>
      </c>
    </row>
    <row r="59" spans="1:49" x14ac:dyDescent="0.3">
      <c r="A59" s="13">
        <v>16</v>
      </c>
      <c r="B59" s="180" t="str">
        <f>'Data Entry'!F25</f>
        <v xml:space="preserve">  </v>
      </c>
      <c r="C59" s="183">
        <f>IF('Data Entry'!G25=" ",0,'Data Entry'!G25)</f>
        <v>0</v>
      </c>
      <c r="H59" s="885" t="s">
        <v>418</v>
      </c>
      <c r="I59" s="85" t="str">
        <f t="shared" si="0"/>
        <v>Restrooms-Urinals</v>
      </c>
      <c r="J59" s="85" t="str">
        <f t="shared" si="1"/>
        <v>Fire and Police Stations-Restrooms-Urinals</v>
      </c>
      <c r="K59" s="439" t="s">
        <v>37</v>
      </c>
      <c r="L59" s="577" t="s">
        <v>4</v>
      </c>
      <c r="M59" s="598" t="s">
        <v>6</v>
      </c>
      <c r="O59" s="45"/>
      <c r="P59" s="45"/>
      <c r="Q59" s="45"/>
      <c r="R59" s="45"/>
      <c r="S59" s="45"/>
      <c r="T59" s="45"/>
      <c r="U59" s="45"/>
      <c r="V59" s="45"/>
      <c r="W59" s="45"/>
      <c r="X59" s="45"/>
      <c r="AU59" s="41">
        <f ca="1">OFFSET('Data Entry'!$B$53,280,)</f>
        <v>15</v>
      </c>
      <c r="AV59" s="42" t="e">
        <f ca="1">OFFSET('Data Entry'!V54,280,)</f>
        <v>#N/A</v>
      </c>
      <c r="AW59" s="978">
        <f ca="1">OFFSET('Data Entry'!X54,280,)</f>
        <v>1</v>
      </c>
    </row>
    <row r="60" spans="1:49" x14ac:dyDescent="0.3">
      <c r="A60" s="13">
        <v>17</v>
      </c>
      <c r="B60" s="180" t="str">
        <f>'Data Entry'!F26</f>
        <v xml:space="preserve">  </v>
      </c>
      <c r="C60" s="183">
        <f>IF('Data Entry'!G26=" ",0,'Data Entry'!G26)</f>
        <v>0</v>
      </c>
      <c r="H60" s="885" t="s">
        <v>418</v>
      </c>
      <c r="I60" s="85" t="str">
        <f t="shared" si="0"/>
        <v>Restrooms-Faucets</v>
      </c>
      <c r="J60" s="85" t="str">
        <f t="shared" si="1"/>
        <v>Fire and Police Stations-Restrooms-Faucets</v>
      </c>
      <c r="K60" s="439" t="s">
        <v>37</v>
      </c>
      <c r="L60" s="577" t="s">
        <v>33</v>
      </c>
      <c r="M60" s="598" t="s">
        <v>6</v>
      </c>
      <c r="O60" s="45"/>
      <c r="P60" s="45"/>
      <c r="Q60" s="45"/>
      <c r="R60" s="45"/>
      <c r="S60" s="45"/>
      <c r="T60" s="45"/>
      <c r="U60" s="45"/>
      <c r="V60" s="45"/>
      <c r="W60" s="45"/>
      <c r="X60" s="45"/>
      <c r="AU60" s="44"/>
      <c r="AV60" s="42" t="e">
        <f ca="1">OFFSET('Data Entry'!V55,280,)</f>
        <v>#N/A</v>
      </c>
      <c r="AW60" s="978">
        <f ca="1">OFFSET('Data Entry'!X55,280,)</f>
        <v>0.5</v>
      </c>
    </row>
    <row r="61" spans="1:49" x14ac:dyDescent="0.3">
      <c r="A61" s="13">
        <v>18</v>
      </c>
      <c r="B61" s="180" t="str">
        <f>'Data Entry'!F27</f>
        <v xml:space="preserve">  </v>
      </c>
      <c r="C61" s="183">
        <f>IF('Data Entry'!G27=" ",0,'Data Entry'!G27)</f>
        <v>0</v>
      </c>
      <c r="H61" s="885" t="s">
        <v>418</v>
      </c>
      <c r="I61" s="85" t="str">
        <f t="shared" si="0"/>
        <v>Break rooms-Faucets</v>
      </c>
      <c r="J61" s="85" t="str">
        <f t="shared" si="1"/>
        <v>Fire and Police Stations-Break rooms-Faucets</v>
      </c>
      <c r="K61" s="467" t="s">
        <v>5</v>
      </c>
      <c r="L61" s="624" t="s">
        <v>33</v>
      </c>
      <c r="M61" s="625" t="s">
        <v>6</v>
      </c>
      <c r="O61" s="45"/>
      <c r="P61" s="45"/>
      <c r="Q61" s="45"/>
      <c r="R61" s="45"/>
      <c r="S61" s="45"/>
      <c r="T61" s="45"/>
      <c r="U61" s="45"/>
      <c r="V61" s="45"/>
      <c r="W61" s="45"/>
      <c r="X61" s="45"/>
      <c r="AU61" s="44"/>
      <c r="AV61" s="42" t="e">
        <f ca="1">OFFSET('Data Entry'!V56,280,)</f>
        <v>#N/A</v>
      </c>
      <c r="AW61" s="978">
        <f ca="1">OFFSET('Data Entry'!X56,280,)</f>
        <v>0.5</v>
      </c>
    </row>
    <row r="62" spans="1:49" x14ac:dyDescent="0.3">
      <c r="A62" s="13">
        <v>19</v>
      </c>
      <c r="B62" s="180" t="str">
        <f>'Data Entry'!F28</f>
        <v xml:space="preserve">  </v>
      </c>
      <c r="C62" s="183">
        <f>IF('Data Entry'!G28=" ",0,'Data Entry'!G28)</f>
        <v>0</v>
      </c>
      <c r="H62" s="885" t="s">
        <v>418</v>
      </c>
      <c r="I62" s="85" t="str">
        <f t="shared" si="0"/>
        <v>Landscaping-Outdoor irrigation</v>
      </c>
      <c r="J62" s="85" t="str">
        <f t="shared" si="1"/>
        <v>Fire and Police Stations-Landscaping-Outdoor irrigation</v>
      </c>
      <c r="K62" s="439" t="s">
        <v>39</v>
      </c>
      <c r="L62" s="577" t="s">
        <v>42</v>
      </c>
      <c r="M62" s="15" t="s">
        <v>120</v>
      </c>
      <c r="O62" s="45"/>
      <c r="P62" s="45"/>
      <c r="Q62" s="45"/>
      <c r="R62" s="45"/>
      <c r="S62" s="45"/>
      <c r="T62" s="45"/>
      <c r="U62" s="45"/>
      <c r="V62" s="45"/>
      <c r="W62" s="45"/>
      <c r="X62" s="45"/>
      <c r="AU62" s="46"/>
      <c r="AV62" s="42" t="e">
        <f ca="1">OFFSET('Data Entry'!V57,280,)</f>
        <v>#N/A</v>
      </c>
      <c r="AW62" s="978">
        <f ca="1">OFFSET('Data Entry'!X57,280,)</f>
        <v>0.5</v>
      </c>
    </row>
    <row r="63" spans="1:49" x14ac:dyDescent="0.3">
      <c r="A63" s="13">
        <v>20</v>
      </c>
      <c r="B63" s="180" t="str">
        <f>'Data Entry'!F29</f>
        <v xml:space="preserve">  </v>
      </c>
      <c r="C63" s="183">
        <f>IF('Data Entry'!G29=" ",0,'Data Entry'!G29)</f>
        <v>0</v>
      </c>
      <c r="H63" s="885" t="s">
        <v>418</v>
      </c>
      <c r="I63" s="85" t="str">
        <f t="shared" si="0"/>
        <v>Maintenance-Vehicle washing</v>
      </c>
      <c r="J63" s="85" t="str">
        <f t="shared" si="1"/>
        <v>Fire and Police Stations-Maintenance-Vehicle washing</v>
      </c>
      <c r="K63" s="602" t="s">
        <v>43</v>
      </c>
      <c r="L63" s="589" t="s">
        <v>9</v>
      </c>
      <c r="M63" s="590" t="s">
        <v>6</v>
      </c>
      <c r="O63" s="45"/>
      <c r="P63" s="45"/>
      <c r="Q63" s="45"/>
      <c r="R63" s="45"/>
      <c r="S63" s="45"/>
      <c r="T63" s="45"/>
      <c r="U63" s="45"/>
      <c r="V63" s="45"/>
      <c r="W63" s="45"/>
      <c r="X63" s="45"/>
      <c r="AU63" s="41">
        <f ca="1">OFFSET('Data Entry'!$B$53,300,)</f>
        <v>16</v>
      </c>
      <c r="AV63" s="42" t="e">
        <f ca="1">OFFSET('Data Entry'!V54,300,)</f>
        <v>#N/A</v>
      </c>
      <c r="AW63" s="978">
        <f ca="1">OFFSET('Data Entry'!X54,300,)</f>
        <v>1</v>
      </c>
    </row>
    <row r="64" spans="1:49" x14ac:dyDescent="0.3">
      <c r="A64" s="13">
        <v>21</v>
      </c>
      <c r="B64" s="180" t="str">
        <f>'Data Entry'!F30</f>
        <v xml:space="preserve">  </v>
      </c>
      <c r="C64" s="183">
        <f>IF('Data Entry'!G30=" ",0,'Data Entry'!G30)</f>
        <v>0</v>
      </c>
      <c r="H64" s="885" t="s">
        <v>418</v>
      </c>
      <c r="I64" s="85" t="str">
        <f t="shared" si="0"/>
        <v>Maintenance-Training</v>
      </c>
      <c r="J64" s="85" t="str">
        <f t="shared" si="1"/>
        <v>Fire and Police Stations-Maintenance-Training</v>
      </c>
      <c r="K64" s="986" t="s">
        <v>43</v>
      </c>
      <c r="L64" s="640" t="s">
        <v>14</v>
      </c>
      <c r="M64" s="988" t="s">
        <v>15</v>
      </c>
      <c r="O64" s="45"/>
      <c r="P64" s="45"/>
      <c r="Q64" s="45"/>
      <c r="R64" s="45"/>
      <c r="S64" s="45"/>
      <c r="T64" s="45"/>
      <c r="U64" s="45"/>
      <c r="V64" s="45"/>
      <c r="W64" s="45"/>
      <c r="X64" s="45"/>
      <c r="AU64" s="44"/>
      <c r="AV64" s="42" t="e">
        <f ca="1">OFFSET('Data Entry'!V55,300,)</f>
        <v>#N/A</v>
      </c>
      <c r="AW64" s="978">
        <f ca="1">OFFSET('Data Entry'!X55,300,)</f>
        <v>0.5</v>
      </c>
    </row>
    <row r="65" spans="1:49" x14ac:dyDescent="0.3">
      <c r="A65" s="13">
        <v>22</v>
      </c>
      <c r="B65" s="180" t="str">
        <f>'Data Entry'!F31</f>
        <v xml:space="preserve">  </v>
      </c>
      <c r="C65" s="183">
        <f>IF('Data Entry'!G31=" ",0,'Data Entry'!G31)</f>
        <v>0</v>
      </c>
      <c r="H65" s="885" t="s">
        <v>418</v>
      </c>
      <c r="I65" s="85" t="str">
        <f t="shared" si="0"/>
        <v>Other-Other 1</v>
      </c>
      <c r="J65" s="85" t="str">
        <f t="shared" si="1"/>
        <v>Fire and Police Stations-Other-Other 1</v>
      </c>
      <c r="K65" s="439" t="s">
        <v>8</v>
      </c>
      <c r="L65" s="577" t="s">
        <v>52</v>
      </c>
      <c r="M65" s="636" t="s">
        <v>362</v>
      </c>
      <c r="AU65" s="44"/>
      <c r="AV65" s="42" t="e">
        <f ca="1">OFFSET('Data Entry'!V56,300,)</f>
        <v>#N/A</v>
      </c>
      <c r="AW65" s="978">
        <f ca="1">OFFSET('Data Entry'!X56,300,)</f>
        <v>0.5</v>
      </c>
    </row>
    <row r="66" spans="1:49" x14ac:dyDescent="0.3">
      <c r="A66" s="13">
        <v>23</v>
      </c>
      <c r="B66" s="180" t="str">
        <f>'Data Entry'!F32</f>
        <v xml:space="preserve">  </v>
      </c>
      <c r="C66" s="183">
        <f>IF('Data Entry'!G32=" ",0,'Data Entry'!G32)</f>
        <v>0</v>
      </c>
      <c r="H66" s="885" t="s">
        <v>418</v>
      </c>
      <c r="I66" s="85" t="str">
        <f t="shared" si="0"/>
        <v>Other-Other 2</v>
      </c>
      <c r="J66" s="85" t="str">
        <f t="shared" si="1"/>
        <v>Fire and Police Stations-Other-Other 2</v>
      </c>
      <c r="K66" s="439" t="s">
        <v>8</v>
      </c>
      <c r="L66" s="577" t="s">
        <v>53</v>
      </c>
      <c r="M66" s="636" t="s">
        <v>363</v>
      </c>
      <c r="AU66" s="46"/>
      <c r="AV66" s="42" t="e">
        <f ca="1">OFFSET('Data Entry'!V57,300,)</f>
        <v>#N/A</v>
      </c>
      <c r="AW66" s="978">
        <f ca="1">OFFSET('Data Entry'!X57,300,)</f>
        <v>0.5</v>
      </c>
    </row>
    <row r="67" spans="1:49" ht="15" thickBot="1" x14ac:dyDescent="0.35">
      <c r="A67" s="13">
        <v>24</v>
      </c>
      <c r="B67" s="180" t="str">
        <f>'Data Entry'!F33</f>
        <v xml:space="preserve">  </v>
      </c>
      <c r="C67" s="183">
        <f>IF('Data Entry'!G33=" ",0,'Data Entry'!G33)</f>
        <v>0</v>
      </c>
      <c r="H67" s="888" t="s">
        <v>418</v>
      </c>
      <c r="I67" s="991" t="str">
        <f t="shared" si="0"/>
        <v>Other-Other 3</v>
      </c>
      <c r="J67" s="991" t="str">
        <f t="shared" si="1"/>
        <v>Fire and Police Stations-Other-Other 3</v>
      </c>
      <c r="K67" s="606" t="s">
        <v>8</v>
      </c>
      <c r="L67" s="577" t="s">
        <v>54</v>
      </c>
      <c r="M67" s="992" t="s">
        <v>364</v>
      </c>
      <c r="AU67" s="41">
        <f ca="1">OFFSET('Data Entry'!$B$53,320,)</f>
        <v>17</v>
      </c>
      <c r="AV67" s="42" t="e">
        <f ca="1">OFFSET('Data Entry'!V54,320,)</f>
        <v>#N/A</v>
      </c>
      <c r="AW67" s="978">
        <f ca="1">OFFSET('Data Entry'!X54,320,)</f>
        <v>1</v>
      </c>
    </row>
    <row r="68" spans="1:49" x14ac:dyDescent="0.3">
      <c r="A68" s="13">
        <v>25</v>
      </c>
      <c r="B68" s="180" t="str">
        <f>'Data Entry'!F34</f>
        <v xml:space="preserve">  </v>
      </c>
      <c r="C68" s="183">
        <f>IF('Data Entry'!G34=" ",0,'Data Entry'!G34)</f>
        <v>0</v>
      </c>
      <c r="H68" s="206" t="s">
        <v>16</v>
      </c>
      <c r="I68" s="85" t="str">
        <f t="shared" ref="I68:I92" si="2">K68&amp;"-"&amp;L68</f>
        <v>Guestrooms-Toilets</v>
      </c>
      <c r="J68" s="85" t="str">
        <f t="shared" ref="J68:J92" si="3">H68&amp;"-"&amp;I68</f>
        <v>Hotels-Guestrooms-Toilets</v>
      </c>
      <c r="K68" s="181" t="s">
        <v>45</v>
      </c>
      <c r="L68" s="567" t="s">
        <v>2</v>
      </c>
      <c r="M68" s="639" t="s">
        <v>122</v>
      </c>
      <c r="AU68" s="44"/>
      <c r="AV68" s="42" t="e">
        <f ca="1">OFFSET('Data Entry'!V55,320,)</f>
        <v>#N/A</v>
      </c>
      <c r="AW68" s="978">
        <f ca="1">OFFSET('Data Entry'!X55,320,)</f>
        <v>0.5</v>
      </c>
    </row>
    <row r="69" spans="1:49" x14ac:dyDescent="0.3">
      <c r="A69" s="13">
        <v>26</v>
      </c>
      <c r="B69" s="180" t="str">
        <f>'Data Entry'!F35</f>
        <v xml:space="preserve">  </v>
      </c>
      <c r="C69" s="183">
        <f>IF('Data Entry'!G35=" ",0,'Data Entry'!G35)</f>
        <v>0</v>
      </c>
      <c r="H69" s="206" t="s">
        <v>16</v>
      </c>
      <c r="I69" s="85" t="str">
        <f t="shared" si="2"/>
        <v>Guestrooms-Showers</v>
      </c>
      <c r="J69" s="85" t="str">
        <f t="shared" si="3"/>
        <v>Hotels-Guestrooms-Showers</v>
      </c>
      <c r="K69" s="181" t="s">
        <v>45</v>
      </c>
      <c r="L69" s="577" t="s">
        <v>18</v>
      </c>
      <c r="M69" s="635" t="s">
        <v>122</v>
      </c>
      <c r="AU69" s="44"/>
      <c r="AV69" s="42" t="e">
        <f ca="1">OFFSET('Data Entry'!V56,320,)</f>
        <v>#N/A</v>
      </c>
      <c r="AW69" s="978">
        <f ca="1">OFFSET('Data Entry'!X56,320,)</f>
        <v>0.5</v>
      </c>
    </row>
    <row r="70" spans="1:49" ht="15" thickBot="1" x14ac:dyDescent="0.35">
      <c r="A70" s="13">
        <v>27</v>
      </c>
      <c r="B70" s="180" t="str">
        <f>'Data Entry'!F36</f>
        <v xml:space="preserve">  </v>
      </c>
      <c r="C70" s="183">
        <f>IF('Data Entry'!G36=" ",0,'Data Entry'!G36)</f>
        <v>0</v>
      </c>
      <c r="H70" s="206" t="s">
        <v>16</v>
      </c>
      <c r="I70" s="85" t="str">
        <f t="shared" si="2"/>
        <v>Guestrooms-Faucets</v>
      </c>
      <c r="J70" s="85" t="str">
        <f t="shared" si="3"/>
        <v>Hotels-Guestrooms-Faucets</v>
      </c>
      <c r="K70" s="996" t="s">
        <v>45</v>
      </c>
      <c r="L70" s="640" t="s">
        <v>33</v>
      </c>
      <c r="M70" s="1010" t="s">
        <v>122</v>
      </c>
      <c r="AU70" s="46"/>
      <c r="AV70" s="42" t="e">
        <f ca="1">OFFSET('Data Entry'!V57,320,)</f>
        <v>#N/A</v>
      </c>
      <c r="AW70" s="978">
        <f ca="1">OFFSET('Data Entry'!X57,320,)</f>
        <v>0.5</v>
      </c>
    </row>
    <row r="71" spans="1:49" x14ac:dyDescent="0.3">
      <c r="A71" s="13">
        <v>28</v>
      </c>
      <c r="B71" s="180" t="str">
        <f>'Data Entry'!F37</f>
        <v xml:space="preserve">  </v>
      </c>
      <c r="C71" s="183">
        <f>IF('Data Entry'!G37=" ",0,'Data Entry'!G37)</f>
        <v>0</v>
      </c>
      <c r="H71" s="206" t="s">
        <v>16</v>
      </c>
      <c r="I71" s="85" t="str">
        <f t="shared" si="2"/>
        <v>Food Service-Kitchen faucets</v>
      </c>
      <c r="J71" s="85" t="str">
        <f t="shared" si="3"/>
        <v>Hotels-Food Service-Kitchen faucets</v>
      </c>
      <c r="K71" s="181" t="s">
        <v>38</v>
      </c>
      <c r="L71" s="577" t="s">
        <v>114</v>
      </c>
      <c r="M71" s="598" t="s">
        <v>118</v>
      </c>
      <c r="AU71" s="41">
        <f ca="1">OFFSET('Data Entry'!$B$53,340,)</f>
        <v>18</v>
      </c>
      <c r="AV71" s="42" t="e">
        <f ca="1">OFFSET('Data Entry'!V54,340,)</f>
        <v>#N/A</v>
      </c>
      <c r="AW71" s="978">
        <f ca="1">OFFSET('Data Entry'!X54,340,)</f>
        <v>1</v>
      </c>
    </row>
    <row r="72" spans="1:49" x14ac:dyDescent="0.3">
      <c r="A72" s="13">
        <v>29</v>
      </c>
      <c r="B72" s="180" t="str">
        <f>'Data Entry'!F38</f>
        <v xml:space="preserve">  </v>
      </c>
      <c r="C72" s="183">
        <f>IF('Data Entry'!G38=" ",0,'Data Entry'!G38)</f>
        <v>0</v>
      </c>
      <c r="H72" s="180" t="s">
        <v>16</v>
      </c>
      <c r="I72" s="85" t="str">
        <f t="shared" si="2"/>
        <v>Food Service-Pre-rinse spray valves</v>
      </c>
      <c r="J72" s="85" t="str">
        <f t="shared" si="3"/>
        <v>Hotels-Food Service-Pre-rinse spray valves</v>
      </c>
      <c r="K72" s="85" t="s">
        <v>38</v>
      </c>
      <c r="L72" s="577" t="s">
        <v>127</v>
      </c>
      <c r="M72" s="598" t="s">
        <v>118</v>
      </c>
      <c r="AU72" s="44"/>
      <c r="AV72" s="42" t="e">
        <f ca="1">OFFSET('Data Entry'!V55,340,)</f>
        <v>#N/A</v>
      </c>
      <c r="AW72" s="978">
        <f ca="1">OFFSET('Data Entry'!X55,340,)</f>
        <v>0.5</v>
      </c>
    </row>
    <row r="73" spans="1:49" x14ac:dyDescent="0.3">
      <c r="A73" s="13">
        <v>30</v>
      </c>
      <c r="B73" s="180" t="str">
        <f>'Data Entry'!F39</f>
        <v xml:space="preserve">  </v>
      </c>
      <c r="C73" s="183">
        <f>IF('Data Entry'!G39=" ",0,'Data Entry'!G39)</f>
        <v>0</v>
      </c>
      <c r="H73" s="206" t="s">
        <v>16</v>
      </c>
      <c r="I73" s="85" t="str">
        <f t="shared" si="2"/>
        <v>Food Service-Dishwashers</v>
      </c>
      <c r="J73" s="85" t="str">
        <f t="shared" si="3"/>
        <v>Hotels-Food Service-Dishwashers</v>
      </c>
      <c r="K73" s="181" t="s">
        <v>38</v>
      </c>
      <c r="L73" s="577" t="s">
        <v>41</v>
      </c>
      <c r="M73" s="598" t="s">
        <v>118</v>
      </c>
      <c r="AU73" s="44"/>
      <c r="AV73" s="42" t="e">
        <f ca="1">OFFSET('Data Entry'!V56,340,)</f>
        <v>#N/A</v>
      </c>
      <c r="AW73" s="978">
        <f ca="1">OFFSET('Data Entry'!X56,340,)</f>
        <v>0.5</v>
      </c>
    </row>
    <row r="74" spans="1:49" s="85" customFormat="1" x14ac:dyDescent="0.3">
      <c r="A74" s="13">
        <v>31</v>
      </c>
      <c r="B74" s="180" t="str">
        <f>'Data Entry'!F40</f>
        <v xml:space="preserve">  </v>
      </c>
      <c r="C74" s="183">
        <f>IF('Data Entry'!G40=" ",0,'Data Entry'!G40)</f>
        <v>0</v>
      </c>
      <c r="H74" s="206" t="s">
        <v>16</v>
      </c>
      <c r="I74" s="85" t="str">
        <f t="shared" si="2"/>
        <v>Food Service-Ice machines</v>
      </c>
      <c r="J74" s="85" t="str">
        <f t="shared" si="3"/>
        <v>Hotels-Food Service-Ice machines</v>
      </c>
      <c r="K74" s="996" t="s">
        <v>38</v>
      </c>
      <c r="L74" s="640" t="s">
        <v>20</v>
      </c>
      <c r="M74" s="642" t="s">
        <v>122</v>
      </c>
      <c r="AU74" s="46"/>
      <c r="AV74" s="42" t="e">
        <f ca="1">OFFSET('Data Entry'!V57,340,)</f>
        <v>#N/A</v>
      </c>
      <c r="AW74" s="978">
        <f ca="1">OFFSET('Data Entry'!X57,340,)</f>
        <v>0.5</v>
      </c>
    </row>
    <row r="75" spans="1:49" ht="15" thickBot="1" x14ac:dyDescent="0.35">
      <c r="A75" s="13">
        <v>32</v>
      </c>
      <c r="B75" s="990" t="str">
        <f>'Data Entry'!F41</f>
        <v xml:space="preserve">  </v>
      </c>
      <c r="C75" s="1011">
        <f>IF('Data Entry'!G41=" ",0,'Data Entry'!G41)</f>
        <v>0</v>
      </c>
      <c r="H75" s="206" t="s">
        <v>16</v>
      </c>
      <c r="I75" s="85" t="str">
        <f t="shared" si="2"/>
        <v>Maintenance-Boiler</v>
      </c>
      <c r="J75" s="85" t="str">
        <f t="shared" si="3"/>
        <v>Hotels-Maintenance-Boiler</v>
      </c>
      <c r="K75" s="181" t="s">
        <v>43</v>
      </c>
      <c r="L75" s="17" t="s">
        <v>111</v>
      </c>
      <c r="M75" s="576" t="s">
        <v>424</v>
      </c>
      <c r="AU75" s="41">
        <f ca="1">OFFSET('Data Entry'!$B$53,360,)</f>
        <v>19</v>
      </c>
      <c r="AV75" s="42" t="e">
        <f ca="1">OFFSET('Data Entry'!V54,360,)</f>
        <v>#N/A</v>
      </c>
      <c r="AW75" s="978">
        <f ca="1">OFFSET('Data Entry'!X54,360,)</f>
        <v>1</v>
      </c>
    </row>
    <row r="76" spans="1:49" x14ac:dyDescent="0.3">
      <c r="H76" s="206" t="s">
        <v>16</v>
      </c>
      <c r="I76" s="85" t="str">
        <f t="shared" si="2"/>
        <v>Maintenance-Cooling</v>
      </c>
      <c r="J76" s="85" t="str">
        <f t="shared" si="3"/>
        <v>Hotels-Maintenance-Cooling</v>
      </c>
      <c r="K76" s="181" t="s">
        <v>43</v>
      </c>
      <c r="L76" s="18" t="s">
        <v>7</v>
      </c>
      <c r="M76" s="576" t="s">
        <v>365</v>
      </c>
      <c r="AU76" s="44"/>
      <c r="AV76" s="42" t="e">
        <f ca="1">OFFSET('Data Entry'!V55,360,)</f>
        <v>#N/A</v>
      </c>
      <c r="AW76" s="978">
        <f ca="1">OFFSET('Data Entry'!X55,360,)</f>
        <v>0.5</v>
      </c>
    </row>
    <row r="77" spans="1:49" x14ac:dyDescent="0.3">
      <c r="B77" s="85"/>
      <c r="C77" s="85"/>
      <c r="H77" s="206" t="s">
        <v>16</v>
      </c>
      <c r="I77" s="85" t="str">
        <f t="shared" si="2"/>
        <v>Maintenance-Swimming pool</v>
      </c>
      <c r="J77" s="85" t="str">
        <f t="shared" si="3"/>
        <v>Hotels-Maintenance-Swimming pool</v>
      </c>
      <c r="K77" s="181" t="s">
        <v>43</v>
      </c>
      <c r="L77" s="577" t="s">
        <v>112</v>
      </c>
      <c r="M77" s="598" t="s">
        <v>135</v>
      </c>
      <c r="AU77" s="44"/>
      <c r="AV77" s="42" t="e">
        <f ca="1">OFFSET('Data Entry'!V56,360,)</f>
        <v>#N/A</v>
      </c>
      <c r="AW77" s="978">
        <f ca="1">OFFSET('Data Entry'!X56,360,)</f>
        <v>0.5</v>
      </c>
    </row>
    <row r="78" spans="1:49" x14ac:dyDescent="0.3">
      <c r="H78" s="206" t="s">
        <v>16</v>
      </c>
      <c r="I78" s="85" t="str">
        <f t="shared" si="2"/>
        <v>Maintenance-Laundry</v>
      </c>
      <c r="J78" s="85" t="str">
        <f t="shared" si="3"/>
        <v>Hotels-Maintenance-Laundry</v>
      </c>
      <c r="K78" s="996" t="s">
        <v>43</v>
      </c>
      <c r="L78" s="640" t="s">
        <v>21</v>
      </c>
      <c r="M78" s="642" t="s">
        <v>122</v>
      </c>
      <c r="AU78" s="46"/>
      <c r="AV78" s="42" t="e">
        <f ca="1">OFFSET('Data Entry'!V57,360,)</f>
        <v>#N/A</v>
      </c>
      <c r="AW78" s="978">
        <f ca="1">OFFSET('Data Entry'!X57,360,)</f>
        <v>0.5</v>
      </c>
    </row>
    <row r="79" spans="1:49" ht="15" thickBot="1" x14ac:dyDescent="0.35">
      <c r="H79" s="206" t="s">
        <v>16</v>
      </c>
      <c r="I79" s="85" t="str">
        <f t="shared" si="2"/>
        <v>Landscaping-Outdoor irrigation</v>
      </c>
      <c r="J79" s="85" t="str">
        <f t="shared" si="3"/>
        <v>Hotels-Landscaping-Outdoor irrigation</v>
      </c>
      <c r="K79" s="994" t="s">
        <v>39</v>
      </c>
      <c r="L79" s="624" t="s">
        <v>42</v>
      </c>
      <c r="M79" s="20" t="s">
        <v>120</v>
      </c>
      <c r="AU79" s="41">
        <f ca="1">OFFSET('Data Entry'!$B$53,380,)</f>
        <v>20</v>
      </c>
      <c r="AV79" s="42" t="e">
        <f ca="1">OFFSET('Data Entry'!V54,380,)</f>
        <v>#N/A</v>
      </c>
      <c r="AW79" s="978">
        <f ca="1">OFFSET('Data Entry'!X54,380,)</f>
        <v>1</v>
      </c>
    </row>
    <row r="80" spans="1:49" ht="15" thickBot="1" x14ac:dyDescent="0.35">
      <c r="B80" s="1477" t="s">
        <v>360</v>
      </c>
      <c r="C80" s="1478"/>
      <c r="H80" s="206" t="s">
        <v>16</v>
      </c>
      <c r="I80" s="85" t="str">
        <f t="shared" si="2"/>
        <v>Other-Other 1</v>
      </c>
      <c r="J80" s="85" t="str">
        <f t="shared" si="3"/>
        <v>Hotels-Other-Other 1</v>
      </c>
      <c r="K80" s="181" t="s">
        <v>8</v>
      </c>
      <c r="L80" s="577" t="s">
        <v>52</v>
      </c>
      <c r="M80" s="636" t="s">
        <v>362</v>
      </c>
      <c r="AU80" s="44"/>
      <c r="AV80" s="42" t="e">
        <f ca="1">OFFSET('Data Entry'!V55,380,)</f>
        <v>#N/A</v>
      </c>
      <c r="AW80" s="978">
        <f ca="1">OFFSET('Data Entry'!X55,380,)</f>
        <v>0.5</v>
      </c>
    </row>
    <row r="81" spans="2:49" x14ac:dyDescent="0.3">
      <c r="B81" s="179" t="str">
        <f>'Level of Efficiency Assumptions'!H12</f>
        <v>Restrooms-Toilets</v>
      </c>
      <c r="C81" s="185" t="str">
        <f>'Level of Efficiency Assumptions'!K12</f>
        <v>gallons per flush</v>
      </c>
      <c r="H81" s="206" t="s">
        <v>16</v>
      </c>
      <c r="I81" s="85" t="str">
        <f t="shared" si="2"/>
        <v>Other-Other 2</v>
      </c>
      <c r="J81" s="85" t="str">
        <f t="shared" si="3"/>
        <v>Hotels-Other-Other 2</v>
      </c>
      <c r="K81" s="181" t="s">
        <v>8</v>
      </c>
      <c r="L81" s="577" t="s">
        <v>53</v>
      </c>
      <c r="M81" s="636" t="s">
        <v>363</v>
      </c>
      <c r="AU81" s="44"/>
      <c r="AV81" s="42" t="e">
        <f ca="1">OFFSET('Data Entry'!V56,380,)</f>
        <v>#N/A</v>
      </c>
      <c r="AW81" s="978">
        <f ca="1">OFFSET('Data Entry'!X56,380,)</f>
        <v>0.5</v>
      </c>
    </row>
    <row r="82" spans="2:49" ht="15" thickBot="1" x14ac:dyDescent="0.35">
      <c r="B82" s="180" t="str">
        <f>'Level of Efficiency Assumptions'!H15</f>
        <v>Restrooms-Urinals</v>
      </c>
      <c r="C82" s="183" t="str">
        <f>'Level of Efficiency Assumptions'!K15</f>
        <v>gallons per flush</v>
      </c>
      <c r="H82" s="206" t="s">
        <v>16</v>
      </c>
      <c r="I82" s="85" t="str">
        <f t="shared" si="2"/>
        <v>Other-Other 3</v>
      </c>
      <c r="J82" s="85" t="str">
        <f t="shared" si="3"/>
        <v>Hotels-Other-Other 3</v>
      </c>
      <c r="K82" s="181" t="s">
        <v>8</v>
      </c>
      <c r="L82" s="116" t="s">
        <v>54</v>
      </c>
      <c r="M82" s="992" t="s">
        <v>364</v>
      </c>
      <c r="AU82" s="46"/>
      <c r="AV82" s="42" t="e">
        <f ca="1">OFFSET('Data Entry'!V57,380,)</f>
        <v>#N/A</v>
      </c>
      <c r="AW82" s="978">
        <f ca="1">OFFSET('Data Entry'!X57,380,)</f>
        <v>0.5</v>
      </c>
    </row>
    <row r="83" spans="2:49" x14ac:dyDescent="0.3">
      <c r="B83" s="180" t="str">
        <f>'Level of Efficiency Assumptions'!H18</f>
        <v>Restrooms-Faucets</v>
      </c>
      <c r="C83" s="183" t="str">
        <f>'Level of Efficiency Assumptions'!K18</f>
        <v>gallon per minute</v>
      </c>
      <c r="H83" s="206" t="s">
        <v>417</v>
      </c>
      <c r="I83" s="980" t="str">
        <f t="shared" si="2"/>
        <v>Maintenance-Boiler</v>
      </c>
      <c r="J83" s="980" t="str">
        <f t="shared" si="3"/>
        <v>Central Heating/Cooling Plant-Maintenance-Boiler</v>
      </c>
      <c r="K83" s="981" t="s">
        <v>43</v>
      </c>
      <c r="L83" s="18" t="s">
        <v>111</v>
      </c>
      <c r="M83" s="576" t="s">
        <v>424</v>
      </c>
      <c r="AU83" s="41">
        <f ca="1">OFFSET('Data Entry'!$B$53,400,)</f>
        <v>21</v>
      </c>
      <c r="AV83" s="42" t="e">
        <f ca="1">OFFSET('Data Entry'!V54,400,)</f>
        <v>#N/A</v>
      </c>
      <c r="AW83" s="978">
        <f ca="1">OFFSET('Data Entry'!X54,400,)</f>
        <v>1</v>
      </c>
    </row>
    <row r="84" spans="2:49" x14ac:dyDescent="0.3">
      <c r="B84" s="180" t="str">
        <f>'Level of Efficiency Assumptions'!H21</f>
        <v>Break rooms-Faucets</v>
      </c>
      <c r="C84" s="183" t="str">
        <f>'Level of Efficiency Assumptions'!K21</f>
        <v>gallon per minute</v>
      </c>
      <c r="H84" s="206" t="s">
        <v>417</v>
      </c>
      <c r="I84" s="85" t="str">
        <f t="shared" si="2"/>
        <v>Maintenance-Cooling</v>
      </c>
      <c r="J84" s="85" t="str">
        <f t="shared" si="3"/>
        <v>Central Heating/Cooling Plant-Maintenance-Cooling</v>
      </c>
      <c r="K84" s="986" t="s">
        <v>43</v>
      </c>
      <c r="L84" s="18" t="s">
        <v>7</v>
      </c>
      <c r="M84" s="576" t="s">
        <v>365</v>
      </c>
      <c r="AU84" s="44"/>
      <c r="AV84" s="42" t="e">
        <f ca="1">OFFSET('Data Entry'!V55,400,)</f>
        <v>#N/A</v>
      </c>
      <c r="AW84" s="978">
        <f ca="1">OFFSET('Data Entry'!X55,400,)</f>
        <v>0.5</v>
      </c>
    </row>
    <row r="85" spans="2:49" x14ac:dyDescent="0.3">
      <c r="B85" s="180" t="str">
        <f>'Level of Efficiency Assumptions'!H24</f>
        <v>Guestrooms-Toilets</v>
      </c>
      <c r="C85" s="183" t="str">
        <f>'Level of Efficiency Assumptions'!K24</f>
        <v>gallons per flush</v>
      </c>
      <c r="H85" s="206" t="s">
        <v>417</v>
      </c>
      <c r="I85" s="85" t="str">
        <f t="shared" si="2"/>
        <v>Other-Other 1</v>
      </c>
      <c r="J85" s="85" t="str">
        <f t="shared" si="3"/>
        <v>Central Heating/Cooling Plant-Other-Other 1</v>
      </c>
      <c r="K85" s="439" t="s">
        <v>8</v>
      </c>
      <c r="L85" s="577" t="s">
        <v>52</v>
      </c>
      <c r="M85" s="636" t="s">
        <v>362</v>
      </c>
      <c r="AU85" s="44"/>
      <c r="AV85" s="42" t="e">
        <f ca="1">OFFSET('Data Entry'!V56,400,)</f>
        <v>#N/A</v>
      </c>
      <c r="AW85" s="978">
        <f ca="1">OFFSET('Data Entry'!X56,400,)</f>
        <v>0.5</v>
      </c>
    </row>
    <row r="86" spans="2:49" x14ac:dyDescent="0.3">
      <c r="B86" s="180" t="str">
        <f>'Level of Efficiency Assumptions'!H27</f>
        <v>Guestrooms-Showers</v>
      </c>
      <c r="C86" s="183" t="str">
        <f>'Level of Efficiency Assumptions'!K27</f>
        <v>gallon per minute</v>
      </c>
      <c r="H86" s="206" t="s">
        <v>417</v>
      </c>
      <c r="I86" s="85" t="str">
        <f t="shared" si="2"/>
        <v>Other-Other 2</v>
      </c>
      <c r="J86" s="85" t="str">
        <f t="shared" si="3"/>
        <v>Central Heating/Cooling Plant-Other-Other 2</v>
      </c>
      <c r="K86" s="439" t="s">
        <v>8</v>
      </c>
      <c r="L86" s="577" t="s">
        <v>53</v>
      </c>
      <c r="M86" s="636" t="s">
        <v>363</v>
      </c>
      <c r="AU86" s="46"/>
      <c r="AV86" s="42" t="e">
        <f ca="1">OFFSET('Data Entry'!V57,400,)</f>
        <v>#N/A</v>
      </c>
      <c r="AW86" s="978">
        <f ca="1">OFFSET('Data Entry'!X57,400,)</f>
        <v>0.5</v>
      </c>
    </row>
    <row r="87" spans="2:49" ht="15" thickBot="1" x14ac:dyDescent="0.35">
      <c r="B87" s="180" t="str">
        <f>'Level of Efficiency Assumptions'!H30</f>
        <v>Guestrooms-Faucets</v>
      </c>
      <c r="C87" s="183" t="str">
        <f>'Level of Efficiency Assumptions'!K30</f>
        <v>gallon per minute</v>
      </c>
      <c r="H87" s="206" t="s">
        <v>417</v>
      </c>
      <c r="I87" s="85" t="str">
        <f t="shared" si="2"/>
        <v>Other-Other 3</v>
      </c>
      <c r="J87" s="85" t="str">
        <f t="shared" si="3"/>
        <v>Central Heating/Cooling Plant-Other-Other 3</v>
      </c>
      <c r="K87" s="439" t="s">
        <v>8</v>
      </c>
      <c r="L87" s="577" t="s">
        <v>54</v>
      </c>
      <c r="M87" s="992" t="s">
        <v>364</v>
      </c>
      <c r="AU87" s="41">
        <f ca="1">OFFSET('Data Entry'!$B$53,420,)</f>
        <v>22</v>
      </c>
      <c r="AV87" s="42" t="e">
        <f ca="1">OFFSET('Data Entry'!V54,420,)</f>
        <v>#N/A</v>
      </c>
      <c r="AW87" s="978">
        <f ca="1">OFFSET('Data Entry'!X54,420,)</f>
        <v>1</v>
      </c>
    </row>
    <row r="88" spans="2:49" x14ac:dyDescent="0.3">
      <c r="B88" s="180" t="str">
        <f>'Level of Efficiency Assumptions'!H33</f>
        <v>Food Service-Kitchen faucets</v>
      </c>
      <c r="C88" s="183" t="str">
        <f>'Level of Efficiency Assumptions'!K33</f>
        <v>gallon per minute</v>
      </c>
      <c r="H88" s="1012" t="s">
        <v>419</v>
      </c>
      <c r="I88" s="980" t="str">
        <f t="shared" si="2"/>
        <v>Restrooms-Toilets</v>
      </c>
      <c r="J88" s="980" t="str">
        <f t="shared" si="3"/>
        <v>Maintenance &amp; Services-Restrooms-Toilets</v>
      </c>
      <c r="K88" s="981" t="s">
        <v>37</v>
      </c>
      <c r="L88" s="567" t="s">
        <v>2</v>
      </c>
      <c r="M88" s="620" t="s">
        <v>6</v>
      </c>
      <c r="AU88" s="44"/>
      <c r="AV88" s="42" t="e">
        <f ca="1">OFFSET('Data Entry'!V55,420,)</f>
        <v>#N/A</v>
      </c>
      <c r="AW88" s="978">
        <f ca="1">OFFSET('Data Entry'!X55,420,)</f>
        <v>0.5</v>
      </c>
    </row>
    <row r="89" spans="2:49" x14ac:dyDescent="0.3">
      <c r="B89" s="180" t="str">
        <f>'Level of Efficiency Assumptions'!H36</f>
        <v>Food Service-Pre-rinse spray valves</v>
      </c>
      <c r="C89" s="183" t="str">
        <f>'Level of Efficiency Assumptions'!K36</f>
        <v>gallon per minute</v>
      </c>
      <c r="H89" s="206" t="s">
        <v>419</v>
      </c>
      <c r="I89" s="85" t="str">
        <f t="shared" si="2"/>
        <v>Restrooms-Urinals</v>
      </c>
      <c r="J89" s="85" t="str">
        <f t="shared" si="3"/>
        <v>Maintenance &amp; Services-Restrooms-Urinals</v>
      </c>
      <c r="K89" s="439" t="s">
        <v>37</v>
      </c>
      <c r="L89" s="577" t="s">
        <v>4</v>
      </c>
      <c r="M89" s="598" t="s">
        <v>6</v>
      </c>
      <c r="AU89" s="44"/>
      <c r="AV89" s="42" t="e">
        <f ca="1">OFFSET('Data Entry'!V56,420,)</f>
        <v>#N/A</v>
      </c>
      <c r="AW89" s="978">
        <f ca="1">OFFSET('Data Entry'!X56,420,)</f>
        <v>0.5</v>
      </c>
    </row>
    <row r="90" spans="2:49" x14ac:dyDescent="0.3">
      <c r="B90" s="180" t="str">
        <f>'Level of Efficiency Assumptions'!H39</f>
        <v>Food Service-Dishwashers</v>
      </c>
      <c r="C90" s="183" t="str">
        <f>'Level of Efficiency Assumptions'!K39</f>
        <v>gallons per rack</v>
      </c>
      <c r="H90" s="206" t="s">
        <v>419</v>
      </c>
      <c r="I90" s="85" t="str">
        <f t="shared" si="2"/>
        <v>Restrooms-Faucets</v>
      </c>
      <c r="J90" s="85" t="str">
        <f t="shared" si="3"/>
        <v>Maintenance &amp; Services-Restrooms-Faucets</v>
      </c>
      <c r="K90" s="986" t="s">
        <v>37</v>
      </c>
      <c r="L90" s="640" t="s">
        <v>33</v>
      </c>
      <c r="M90" s="988" t="s">
        <v>6</v>
      </c>
      <c r="AU90" s="46"/>
      <c r="AV90" s="42" t="e">
        <f ca="1">OFFSET('Data Entry'!V57,420,)</f>
        <v>#N/A</v>
      </c>
      <c r="AW90" s="978">
        <f ca="1">OFFSET('Data Entry'!X57,420,)</f>
        <v>0.5</v>
      </c>
    </row>
    <row r="91" spans="2:49" x14ac:dyDescent="0.3">
      <c r="B91" s="180" t="str">
        <f>'Level of Efficiency Assumptions'!H42</f>
        <v>Food Service-Ice machines</v>
      </c>
      <c r="C91" s="183" t="str">
        <f>'Level of Efficiency Assumptions'!K42</f>
        <v>gallons per lb ice</v>
      </c>
      <c r="H91" s="206" t="s">
        <v>419</v>
      </c>
      <c r="I91" s="85" t="str">
        <f t="shared" si="2"/>
        <v>Break rooms-Faucets</v>
      </c>
      <c r="J91" s="85" t="str">
        <f t="shared" si="3"/>
        <v>Maintenance &amp; Services-Break rooms-Faucets</v>
      </c>
      <c r="K91" s="467" t="s">
        <v>5</v>
      </c>
      <c r="L91" s="624" t="s">
        <v>33</v>
      </c>
      <c r="M91" s="625" t="s">
        <v>6</v>
      </c>
      <c r="AU91" s="41">
        <f ca="1">OFFSET('Data Entry'!$B$53,440,)</f>
        <v>23</v>
      </c>
      <c r="AV91" s="42" t="e">
        <f ca="1">OFFSET('Data Entry'!V54,440,)</f>
        <v>#N/A</v>
      </c>
      <c r="AW91" s="978">
        <f ca="1">OFFSET('Data Entry'!X54,440,)</f>
        <v>1</v>
      </c>
    </row>
    <row r="92" spans="2:49" x14ac:dyDescent="0.3">
      <c r="B92" s="180" t="str">
        <f>'Level of Efficiency Assumptions'!H45</f>
        <v>Flight kitchens-Kitchen faucets</v>
      </c>
      <c r="C92" s="183" t="str">
        <f>'Level of Efficiency Assumptions'!K45</f>
        <v>gallon per minute</v>
      </c>
      <c r="H92" s="206" t="s">
        <v>419</v>
      </c>
      <c r="I92" s="85" t="str">
        <f t="shared" si="2"/>
        <v>Maintenance-Pavement cleaning</v>
      </c>
      <c r="J92" s="85" t="str">
        <f t="shared" si="3"/>
        <v>Maintenance &amp; Services-Maintenance-Pavement cleaning</v>
      </c>
      <c r="K92" s="602" t="s">
        <v>43</v>
      </c>
      <c r="L92" s="589" t="s">
        <v>426</v>
      </c>
      <c r="M92" s="19" t="s">
        <v>121</v>
      </c>
      <c r="AU92" s="44"/>
      <c r="AV92" s="42" t="e">
        <f ca="1">OFFSET('Data Entry'!V55,440,)</f>
        <v>#N/A</v>
      </c>
      <c r="AW92" s="978">
        <f ca="1">OFFSET('Data Entry'!X55,440,)</f>
        <v>0.5</v>
      </c>
    </row>
    <row r="93" spans="2:49" x14ac:dyDescent="0.3">
      <c r="B93" s="180" t="str">
        <f>'Level of Efficiency Assumptions'!H48</f>
        <v>Flight kitchens-Dishwashers</v>
      </c>
      <c r="C93" s="183" t="str">
        <f>'Level of Efficiency Assumptions'!K48</f>
        <v>gallons per rack</v>
      </c>
      <c r="H93" s="206" t="s">
        <v>419</v>
      </c>
      <c r="I93" s="85" t="str">
        <f t="shared" ref="I93:I117" si="4">K93&amp;"-"&amp;L93</f>
        <v>Maintenance-Snow removal</v>
      </c>
      <c r="J93" s="85" t="str">
        <f t="shared" ref="J93:J117" si="5">H93&amp;"-"&amp;I93</f>
        <v>Maintenance &amp; Services-Maintenance-Snow removal</v>
      </c>
      <c r="K93" s="439" t="s">
        <v>43</v>
      </c>
      <c r="L93" s="577" t="s">
        <v>24</v>
      </c>
      <c r="M93" s="635" t="s">
        <v>121</v>
      </c>
      <c r="AU93" s="44"/>
      <c r="AV93" s="42" t="e">
        <f ca="1">OFFSET('Data Entry'!V56,440,)</f>
        <v>#N/A</v>
      </c>
      <c r="AW93" s="978">
        <f ca="1">OFFSET('Data Entry'!X56,440,)</f>
        <v>0.5</v>
      </c>
    </row>
    <row r="94" spans="2:49" x14ac:dyDescent="0.3">
      <c r="B94" s="180" t="str">
        <f>'Level of Efficiency Assumptions'!H51</f>
        <v>Flight kitchens-Ice machines</v>
      </c>
      <c r="C94" s="183" t="str">
        <f>'Level of Efficiency Assumptions'!K51</f>
        <v>gallons per lb ice</v>
      </c>
      <c r="H94" s="206" t="s">
        <v>419</v>
      </c>
      <c r="I94" s="85" t="str">
        <f t="shared" ref="I94" si="6">K94&amp;"-"&amp;L94</f>
        <v>Aircraft-Deicing</v>
      </c>
      <c r="J94" s="85" t="str">
        <f t="shared" ref="J94" si="7">H94&amp;"-"&amp;I94</f>
        <v>Maintenance &amp; Services-Aircraft-Deicing</v>
      </c>
      <c r="K94" s="181" t="s">
        <v>44</v>
      </c>
      <c r="L94" s="640" t="s">
        <v>29</v>
      </c>
      <c r="M94" s="635" t="s">
        <v>121</v>
      </c>
      <c r="AU94" s="46"/>
      <c r="AV94" s="42" t="e">
        <f ca="1">OFFSET('Data Entry'!V57,440,)</f>
        <v>#N/A</v>
      </c>
      <c r="AW94" s="978">
        <f ca="1">OFFSET('Data Entry'!X57,440,)</f>
        <v>0.5</v>
      </c>
    </row>
    <row r="95" spans="2:49" x14ac:dyDescent="0.3">
      <c r="B95" s="180" t="str">
        <f>'Level of Efficiency Assumptions'!H54</f>
        <v>Maintenance-Boiler</v>
      </c>
      <c r="C95" s="183" t="str">
        <f>'Level of Efficiency Assumptions'!K54</f>
        <v>gallons per day</v>
      </c>
      <c r="H95" s="206" t="s">
        <v>419</v>
      </c>
      <c r="I95" s="85" t="str">
        <f t="shared" si="4"/>
        <v>Maintenance-Fleet vehicle washing</v>
      </c>
      <c r="J95" s="85" t="str">
        <f t="shared" si="5"/>
        <v>Maintenance &amp; Services-Maintenance-Fleet vehicle washing</v>
      </c>
      <c r="K95" s="439" t="s">
        <v>43</v>
      </c>
      <c r="L95" s="577" t="s">
        <v>25</v>
      </c>
      <c r="M95" s="635" t="s">
        <v>121</v>
      </c>
      <c r="AU95" s="41">
        <f ca="1">OFFSET('Data Entry'!$B$53,460,)</f>
        <v>24</v>
      </c>
      <c r="AV95" s="42" t="e">
        <f ca="1">OFFSET('Data Entry'!V54,460,)</f>
        <v>#N/A</v>
      </c>
      <c r="AW95" s="978">
        <f ca="1">OFFSET('Data Entry'!X54,460,)</f>
        <v>1</v>
      </c>
    </row>
    <row r="96" spans="2:49" x14ac:dyDescent="0.3">
      <c r="B96" s="993" t="s">
        <v>332</v>
      </c>
      <c r="C96" s="183" t="s">
        <v>361</v>
      </c>
      <c r="H96" s="206" t="s">
        <v>419</v>
      </c>
      <c r="I96" s="85" t="str">
        <f t="shared" si="4"/>
        <v xml:space="preserve">Maintenance-Runway rubber removal </v>
      </c>
      <c r="J96" s="85" t="str">
        <f t="shared" si="5"/>
        <v xml:space="preserve">Maintenance &amp; Services-Maintenance-Runway rubber removal </v>
      </c>
      <c r="K96" s="986" t="s">
        <v>43</v>
      </c>
      <c r="L96" s="640" t="s">
        <v>26</v>
      </c>
      <c r="M96" s="642" t="s">
        <v>121</v>
      </c>
      <c r="AU96" s="44"/>
      <c r="AV96" s="42" t="e">
        <f ca="1">OFFSET('Data Entry'!V55,460,)</f>
        <v>#N/A</v>
      </c>
      <c r="AW96" s="978">
        <f ca="1">OFFSET('Data Entry'!X55,460,)</f>
        <v>0.5</v>
      </c>
    </row>
    <row r="97" spans="2:49" s="85" customFormat="1" x14ac:dyDescent="0.3">
      <c r="B97" s="180" t="str">
        <f>'Level of Efficiency Assumptions'!H60</f>
        <v>Maintenance-Swimming Pool</v>
      </c>
      <c r="C97" s="183" t="str">
        <f>'Level of Efficiency Assumptions'!K60</f>
        <v>gallons per day per sq. ft.</v>
      </c>
      <c r="H97" s="206" t="s">
        <v>419</v>
      </c>
      <c r="I97" s="85" t="str">
        <f t="shared" si="4"/>
        <v>Other-Other 1</v>
      </c>
      <c r="J97" s="85" t="str">
        <f t="shared" si="5"/>
        <v>Maintenance &amp; Services-Other-Other 1</v>
      </c>
      <c r="K97" s="439" t="s">
        <v>8</v>
      </c>
      <c r="L97" s="577" t="s">
        <v>52</v>
      </c>
      <c r="M97" s="636" t="s">
        <v>362</v>
      </c>
      <c r="AU97" s="44"/>
      <c r="AV97" s="42" t="e">
        <f ca="1">OFFSET('Data Entry'!V56,460,)</f>
        <v>#N/A</v>
      </c>
      <c r="AW97" s="978">
        <f ca="1">OFFSET('Data Entry'!X56,460,)</f>
        <v>0.5</v>
      </c>
    </row>
    <row r="98" spans="2:49" x14ac:dyDescent="0.3">
      <c r="B98" s="180" t="str">
        <f>'Level of Efficiency Assumptions'!H63</f>
        <v>Maintenance-Laundry</v>
      </c>
      <c r="C98" s="183" t="str">
        <f>'Level of Efficiency Assumptions'!K63</f>
        <v>gallons per lb laundry</v>
      </c>
      <c r="H98" s="206" t="s">
        <v>419</v>
      </c>
      <c r="I98" s="85" t="str">
        <f t="shared" si="4"/>
        <v>Other-Other 2</v>
      </c>
      <c r="J98" s="85" t="str">
        <f t="shared" si="5"/>
        <v>Maintenance &amp; Services-Other-Other 2</v>
      </c>
      <c r="K98" s="439" t="s">
        <v>8</v>
      </c>
      <c r="L98" s="577" t="s">
        <v>53</v>
      </c>
      <c r="M98" s="636" t="s">
        <v>363</v>
      </c>
      <c r="AU98" s="46"/>
      <c r="AV98" s="42" t="e">
        <f ca="1">OFFSET('Data Entry'!V57,460,)</f>
        <v>#N/A</v>
      </c>
      <c r="AW98" s="978">
        <f ca="1">OFFSET('Data Entry'!X57,460,)</f>
        <v>0.5</v>
      </c>
    </row>
    <row r="99" spans="2:49" ht="15" thickBot="1" x14ac:dyDescent="0.35">
      <c r="B99" s="180" t="str">
        <f>'Level of Efficiency Assumptions'!H66</f>
        <v>Maintenance-Training</v>
      </c>
      <c r="C99" s="183" t="str">
        <f>'Level of Efficiency Assumptions'!K66</f>
        <v>gallons per day per unit</v>
      </c>
      <c r="H99" s="207" t="s">
        <v>419</v>
      </c>
      <c r="I99" s="991" t="str">
        <f t="shared" si="4"/>
        <v>Other-Other 3</v>
      </c>
      <c r="J99" s="991" t="str">
        <f t="shared" si="5"/>
        <v>Maintenance &amp; Services-Other-Other 3</v>
      </c>
      <c r="K99" s="606" t="s">
        <v>8</v>
      </c>
      <c r="L99" s="577" t="s">
        <v>54</v>
      </c>
      <c r="M99" s="636" t="s">
        <v>364</v>
      </c>
      <c r="AU99" s="41">
        <f ca="1">OFFSET('Data Entry'!$B$53,480,)</f>
        <v>25</v>
      </c>
      <c r="AV99" s="42" t="e">
        <f ca="1">OFFSET('Data Entry'!V54,480,)</f>
        <v>#N/A</v>
      </c>
      <c r="AW99" s="978">
        <f ca="1">OFFSET('Data Entry'!X54,480,)</f>
        <v>1</v>
      </c>
    </row>
    <row r="100" spans="2:49" x14ac:dyDescent="0.3">
      <c r="B100" s="180" t="str">
        <f>'Level of Efficiency Assumptions'!H69</f>
        <v>Maintenance-Pavement cleaning</v>
      </c>
      <c r="C100" s="183" t="str">
        <f>'Level of Efficiency Assumptions'!K69</f>
        <v>gallons per day per unit</v>
      </c>
      <c r="H100" s="885" t="s">
        <v>471</v>
      </c>
      <c r="I100" s="85" t="str">
        <f t="shared" si="4"/>
        <v>Restrooms-Toilets</v>
      </c>
      <c r="J100" s="85" t="str">
        <f t="shared" si="5"/>
        <v>Airlines/Cargo Hangars-Restrooms-Toilets</v>
      </c>
      <c r="K100" s="181" t="s">
        <v>37</v>
      </c>
      <c r="L100" s="567" t="s">
        <v>2</v>
      </c>
      <c r="M100" s="620" t="s">
        <v>6</v>
      </c>
      <c r="AU100" s="44"/>
      <c r="AV100" s="42" t="e">
        <f ca="1">OFFSET('Data Entry'!V55,480,)</f>
        <v>#N/A</v>
      </c>
      <c r="AW100" s="978">
        <f ca="1">OFFSET('Data Entry'!X55,480,)</f>
        <v>0.5</v>
      </c>
    </row>
    <row r="101" spans="2:49" x14ac:dyDescent="0.3">
      <c r="B101" s="180" t="str">
        <f>'Level of Efficiency Assumptions'!H72</f>
        <v>Maintenance-Vehicle washing</v>
      </c>
      <c r="C101" s="183" t="str">
        <f>'Level of Efficiency Assumptions'!K72</f>
        <v>gallons per day per unit</v>
      </c>
      <c r="H101" s="885" t="s">
        <v>471</v>
      </c>
      <c r="I101" s="85" t="str">
        <f t="shared" si="4"/>
        <v>Restrooms-Urinals</v>
      </c>
      <c r="J101" s="85" t="str">
        <f t="shared" si="5"/>
        <v>Airlines/Cargo Hangars-Restrooms-Urinals</v>
      </c>
      <c r="K101" s="181" t="s">
        <v>37</v>
      </c>
      <c r="L101" s="577" t="s">
        <v>4</v>
      </c>
      <c r="M101" s="598" t="s">
        <v>6</v>
      </c>
      <c r="AU101" s="44"/>
      <c r="AV101" s="42" t="e">
        <f ca="1">OFFSET('Data Entry'!V56,480,)</f>
        <v>#N/A</v>
      </c>
      <c r="AW101" s="978">
        <f ca="1">OFFSET('Data Entry'!X56,480,)</f>
        <v>0.5</v>
      </c>
    </row>
    <row r="102" spans="2:49" x14ac:dyDescent="0.3">
      <c r="B102" s="180" t="str">
        <f>'Level of Efficiency Assumptions'!H75</f>
        <v>Maintenance-Snow removal</v>
      </c>
      <c r="C102" s="183" t="str">
        <f>'Level of Efficiency Assumptions'!K75</f>
        <v>gallons per flight</v>
      </c>
      <c r="H102" s="885" t="s">
        <v>471</v>
      </c>
      <c r="I102" s="85" t="str">
        <f t="shared" si="4"/>
        <v>Restrooms-Faucets</v>
      </c>
      <c r="J102" s="85" t="str">
        <f t="shared" si="5"/>
        <v>Airlines/Cargo Hangars-Restrooms-Faucets</v>
      </c>
      <c r="K102" s="181" t="s">
        <v>37</v>
      </c>
      <c r="L102" s="577" t="s">
        <v>33</v>
      </c>
      <c r="M102" s="598" t="s">
        <v>6</v>
      </c>
      <c r="AU102" s="46"/>
      <c r="AV102" s="42" t="e">
        <f ca="1">OFFSET('Data Entry'!V57,480,)</f>
        <v>#N/A</v>
      </c>
      <c r="AW102" s="978">
        <f ca="1">OFFSET('Data Entry'!X57,480,)</f>
        <v>0.5</v>
      </c>
    </row>
    <row r="103" spans="2:49" x14ac:dyDescent="0.3">
      <c r="B103" s="180" t="str">
        <f>'Level of Efficiency Assumptions'!H78</f>
        <v>Maintenance-Fleet vehicle washing</v>
      </c>
      <c r="C103" s="183" t="str">
        <f>'Level of Efficiency Assumptions'!K78</f>
        <v>gallons per flight</v>
      </c>
      <c r="H103" s="885" t="s">
        <v>471</v>
      </c>
      <c r="I103" s="85" t="str">
        <f t="shared" si="4"/>
        <v>Break rooms-Faucets</v>
      </c>
      <c r="J103" s="85" t="str">
        <f t="shared" si="5"/>
        <v>Airlines/Cargo Hangars-Break rooms-Faucets</v>
      </c>
      <c r="K103" s="994" t="s">
        <v>5</v>
      </c>
      <c r="L103" s="624" t="s">
        <v>33</v>
      </c>
      <c r="M103" s="625" t="s">
        <v>6</v>
      </c>
      <c r="AU103" s="41">
        <f ca="1">OFFSET('Data Entry'!$B$53,500,)</f>
        <v>26</v>
      </c>
      <c r="AV103" s="42" t="e">
        <f ca="1">OFFSET('Data Entry'!V54,500,)</f>
        <v>#N/A</v>
      </c>
      <c r="AW103" s="978">
        <f ca="1">OFFSET('Data Entry'!X54,500,)</f>
        <v>1</v>
      </c>
    </row>
    <row r="104" spans="2:49" x14ac:dyDescent="0.3">
      <c r="B104" s="180" t="str">
        <f>'Level of Efficiency Assumptions'!H81</f>
        <v xml:space="preserve">Maintenance-Runway rubber removal </v>
      </c>
      <c r="C104" s="183" t="str">
        <f>'Level of Efficiency Assumptions'!K81</f>
        <v>gallons per flight</v>
      </c>
      <c r="H104" s="885" t="s">
        <v>471</v>
      </c>
      <c r="I104" s="85" t="str">
        <f t="shared" si="4"/>
        <v>Flight kitchens-Kitchen faucets</v>
      </c>
      <c r="J104" s="85" t="str">
        <f t="shared" si="5"/>
        <v>Airlines/Cargo Hangars-Flight kitchens-Kitchen faucets</v>
      </c>
      <c r="K104" s="995" t="s">
        <v>391</v>
      </c>
      <c r="L104" s="589" t="s">
        <v>114</v>
      </c>
      <c r="M104" s="634" t="s">
        <v>118</v>
      </c>
      <c r="AU104" s="44"/>
      <c r="AV104" s="42" t="e">
        <f ca="1">OFFSET('Data Entry'!V55,500,)</f>
        <v>#N/A</v>
      </c>
      <c r="AW104" s="978">
        <f ca="1">OFFSET('Data Entry'!X55,500,)</f>
        <v>0.5</v>
      </c>
    </row>
    <row r="105" spans="2:49" x14ac:dyDescent="0.3">
      <c r="B105" s="180" t="str">
        <f>'Level of Efficiency Assumptions'!H84</f>
        <v xml:space="preserve">Aircraft-Aircraft cleaning </v>
      </c>
      <c r="C105" s="183" t="str">
        <f>'Level of Efficiency Assumptions'!K84</f>
        <v>gallons per flight</v>
      </c>
      <c r="H105" s="885" t="s">
        <v>471</v>
      </c>
      <c r="I105" s="85" t="str">
        <f t="shared" si="4"/>
        <v>Flight kitchens-Dishwashers</v>
      </c>
      <c r="J105" s="85" t="str">
        <f t="shared" si="5"/>
        <v>Airlines/Cargo Hangars-Flight kitchens-Dishwashers</v>
      </c>
      <c r="K105" s="181" t="s">
        <v>391</v>
      </c>
      <c r="L105" s="577" t="s">
        <v>41</v>
      </c>
      <c r="M105" s="634" t="s">
        <v>118</v>
      </c>
      <c r="AU105" s="44"/>
      <c r="AV105" s="42" t="e">
        <f ca="1">OFFSET('Data Entry'!V56,500,)</f>
        <v>#N/A</v>
      </c>
      <c r="AW105" s="978">
        <f ca="1">OFFSET('Data Entry'!X56,500,)</f>
        <v>0.5</v>
      </c>
    </row>
    <row r="106" spans="2:49" x14ac:dyDescent="0.3">
      <c r="B106" s="180" t="str">
        <f>'Level of Efficiency Assumptions'!H87</f>
        <v>Aircraft-Onboard aircraft water</v>
      </c>
      <c r="C106" s="183" t="str">
        <f>'Level of Efficiency Assumptions'!K87</f>
        <v>gallons per flight</v>
      </c>
      <c r="H106" s="885" t="s">
        <v>471</v>
      </c>
      <c r="I106" s="85" t="str">
        <f t="shared" si="4"/>
        <v>Flight kitchens-Ice machines</v>
      </c>
      <c r="J106" s="85" t="str">
        <f t="shared" si="5"/>
        <v>Airlines/Cargo Hangars-Flight kitchens-Ice machines</v>
      </c>
      <c r="K106" s="996" t="s">
        <v>391</v>
      </c>
      <c r="L106" s="640" t="s">
        <v>20</v>
      </c>
      <c r="M106" s="634" t="s">
        <v>118</v>
      </c>
      <c r="AU106" s="46"/>
      <c r="AV106" s="42" t="e">
        <f ca="1">OFFSET('Data Entry'!V57,500,)</f>
        <v>#N/A</v>
      </c>
      <c r="AW106" s="978">
        <f ca="1">OFFSET('Data Entry'!X57,500,)</f>
        <v>0.5</v>
      </c>
    </row>
    <row r="107" spans="2:49" x14ac:dyDescent="0.3">
      <c r="B107" s="180" t="str">
        <f>'Level of Efficiency Assumptions'!H90</f>
        <v>Aircraft-Deicing</v>
      </c>
      <c r="C107" s="183" t="str">
        <f>'Level of Efficiency Assumptions'!K90</f>
        <v>gallons per flight</v>
      </c>
      <c r="H107" s="885" t="s">
        <v>471</v>
      </c>
      <c r="I107" s="85" t="str">
        <f t="shared" si="4"/>
        <v xml:space="preserve">Aircraft-Aircraft cleaning </v>
      </c>
      <c r="J107" s="85" t="str">
        <f t="shared" si="5"/>
        <v xml:space="preserve">Airlines/Cargo Hangars-Aircraft-Aircraft cleaning </v>
      </c>
      <c r="K107" s="995" t="s">
        <v>44</v>
      </c>
      <c r="L107" s="589" t="s">
        <v>27</v>
      </c>
      <c r="M107" s="19" t="s">
        <v>121</v>
      </c>
      <c r="AU107" s="41">
        <f ca="1">OFFSET('Data Entry'!$B$53,520,)</f>
        <v>27</v>
      </c>
      <c r="AV107" s="42" t="e">
        <f ca="1">OFFSET('Data Entry'!V54,520,)</f>
        <v>#N/A</v>
      </c>
      <c r="AW107" s="978">
        <f ca="1">OFFSET('Data Entry'!X54,520,)</f>
        <v>1</v>
      </c>
    </row>
    <row r="108" spans="2:49" x14ac:dyDescent="0.3">
      <c r="B108" s="180" t="str">
        <f>'Level of Efficiency Assumptions'!H93</f>
        <v>Landscaping-Outdoor irrigation</v>
      </c>
      <c r="C108" s="183" t="str">
        <f>'Level of Efficiency Assumptions'!K93</f>
        <v>gallons per sq. ft.</v>
      </c>
      <c r="H108" s="885" t="s">
        <v>471</v>
      </c>
      <c r="I108" s="85" t="str">
        <f t="shared" si="4"/>
        <v>Aircraft-Onboard aircraft water</v>
      </c>
      <c r="J108" s="85" t="str">
        <f t="shared" si="5"/>
        <v>Airlines/Cargo Hangars-Aircraft-Onboard aircraft water</v>
      </c>
      <c r="K108" s="181" t="s">
        <v>44</v>
      </c>
      <c r="L108" s="577" t="s">
        <v>28</v>
      </c>
      <c r="M108" s="635" t="s">
        <v>121</v>
      </c>
      <c r="AU108" s="44"/>
      <c r="AV108" s="42" t="e">
        <f ca="1">OFFSET('Data Entry'!V55,520,)</f>
        <v>#N/A</v>
      </c>
      <c r="AW108" s="978">
        <f ca="1">OFFSET('Data Entry'!X55,520,)</f>
        <v>0.5</v>
      </c>
    </row>
    <row r="109" spans="2:49" x14ac:dyDescent="0.3">
      <c r="B109" s="180" t="str">
        <f>'Level of Efficiency Assumptions'!H96</f>
        <v>Other-Other 1</v>
      </c>
      <c r="C109" s="183" t="str">
        <f>'Level of Efficiency Assumptions'!K96</f>
        <v>gallons per day per unit</v>
      </c>
      <c r="H109" s="885" t="s">
        <v>471</v>
      </c>
      <c r="I109" s="85" t="str">
        <f t="shared" si="4"/>
        <v>Aircraft-Deicing</v>
      </c>
      <c r="J109" s="85" t="str">
        <f t="shared" si="5"/>
        <v>Airlines/Cargo Hangars-Aircraft-Deicing</v>
      </c>
      <c r="K109" s="996" t="s">
        <v>44</v>
      </c>
      <c r="L109" s="640" t="s">
        <v>29</v>
      </c>
      <c r="M109" s="642" t="s">
        <v>121</v>
      </c>
      <c r="AU109" s="44"/>
      <c r="AV109" s="42" t="e">
        <f ca="1">OFFSET('Data Entry'!V56,520,)</f>
        <v>#N/A</v>
      </c>
      <c r="AW109" s="978">
        <f ca="1">OFFSET('Data Entry'!X56,520,)</f>
        <v>0.5</v>
      </c>
    </row>
    <row r="110" spans="2:49" s="85" customFormat="1" x14ac:dyDescent="0.3">
      <c r="B110" s="180" t="str">
        <f>'Level of Efficiency Assumptions'!H99</f>
        <v>Other-Other 2</v>
      </c>
      <c r="C110" s="183" t="str">
        <f>'Level of Efficiency Assumptions'!K99</f>
        <v>gallons per day per unit</v>
      </c>
      <c r="H110" s="885" t="s">
        <v>471</v>
      </c>
      <c r="I110" s="85" t="str">
        <f t="shared" si="4"/>
        <v>Landscaping-Outdoor irrigation</v>
      </c>
      <c r="J110" s="85" t="str">
        <f t="shared" si="5"/>
        <v>Airlines/Cargo Hangars-Landscaping-Outdoor irrigation</v>
      </c>
      <c r="K110" s="181" t="s">
        <v>39</v>
      </c>
      <c r="L110" s="577" t="s">
        <v>42</v>
      </c>
      <c r="M110" s="15" t="s">
        <v>120</v>
      </c>
      <c r="AU110" s="46"/>
      <c r="AV110" s="42" t="e">
        <f ca="1">OFFSET('Data Entry'!V57,520,)</f>
        <v>#N/A</v>
      </c>
      <c r="AW110" s="978">
        <f ca="1">OFFSET('Data Entry'!X57,520,)</f>
        <v>0.5</v>
      </c>
    </row>
    <row r="111" spans="2:49" ht="15" thickBot="1" x14ac:dyDescent="0.35">
      <c r="B111" s="990" t="str">
        <f>'Level of Efficiency Assumptions'!H102</f>
        <v>Other-Other 3</v>
      </c>
      <c r="C111" s="1011" t="str">
        <f>'Level of Efficiency Assumptions'!K102</f>
        <v>gallons per day per unit</v>
      </c>
      <c r="H111" s="885" t="s">
        <v>471</v>
      </c>
      <c r="I111" s="85" t="str">
        <f t="shared" si="4"/>
        <v>Maintenance-Boiler</v>
      </c>
      <c r="J111" s="85" t="str">
        <f t="shared" si="5"/>
        <v>Airlines/Cargo Hangars-Maintenance-Boiler</v>
      </c>
      <c r="K111" s="995" t="s">
        <v>43</v>
      </c>
      <c r="L111" s="17" t="s">
        <v>111</v>
      </c>
      <c r="M111" s="576" t="s">
        <v>424</v>
      </c>
      <c r="AU111" s="41">
        <f ca="1">OFFSET('Data Entry'!$B$53,540,)</f>
        <v>28</v>
      </c>
      <c r="AV111" s="42" t="e">
        <f ca="1">OFFSET('Data Entry'!V54,540,)</f>
        <v>#N/A</v>
      </c>
      <c r="AW111" s="978">
        <f ca="1">OFFSET('Data Entry'!X54,540,)</f>
        <v>1</v>
      </c>
    </row>
    <row r="112" spans="2:49" x14ac:dyDescent="0.3">
      <c r="H112" s="885" t="s">
        <v>471</v>
      </c>
      <c r="I112" s="85" t="str">
        <f t="shared" si="4"/>
        <v>Maintenance-Cooling</v>
      </c>
      <c r="J112" s="85" t="str">
        <f t="shared" si="5"/>
        <v>Airlines/Cargo Hangars-Maintenance-Cooling</v>
      </c>
      <c r="K112" s="181" t="s">
        <v>43</v>
      </c>
      <c r="L112" s="18" t="s">
        <v>7</v>
      </c>
      <c r="M112" s="576" t="s">
        <v>365</v>
      </c>
      <c r="AU112" s="44"/>
      <c r="AV112" s="42" t="e">
        <f ca="1">OFFSET('Data Entry'!V55,540,)</f>
        <v>#N/A</v>
      </c>
      <c r="AW112" s="978">
        <f ca="1">OFFSET('Data Entry'!X55,540,)</f>
        <v>0.5</v>
      </c>
    </row>
    <row r="113" spans="2:49" x14ac:dyDescent="0.3">
      <c r="H113" s="885" t="s">
        <v>471</v>
      </c>
      <c r="I113" s="85" t="str">
        <f t="shared" si="4"/>
        <v>Maintenance-Vehicle washing</v>
      </c>
      <c r="J113" s="85" t="str">
        <f t="shared" si="5"/>
        <v>Airlines/Cargo Hangars-Maintenance-Vehicle washing</v>
      </c>
      <c r="K113" s="181" t="s">
        <v>43</v>
      </c>
      <c r="L113" s="577" t="s">
        <v>9</v>
      </c>
      <c r="M113" s="635" t="s">
        <v>121</v>
      </c>
      <c r="AU113" s="44"/>
      <c r="AV113" s="42" t="e">
        <f ca="1">OFFSET('Data Entry'!V56,540,)</f>
        <v>#N/A</v>
      </c>
      <c r="AW113" s="978">
        <f ca="1">OFFSET('Data Entry'!X56,540,)</f>
        <v>0.5</v>
      </c>
    </row>
    <row r="114" spans="2:49" x14ac:dyDescent="0.3">
      <c r="H114" s="885" t="s">
        <v>471</v>
      </c>
      <c r="I114" s="85" t="str">
        <f t="shared" si="4"/>
        <v>Maintenance-Pavement cleaning</v>
      </c>
      <c r="J114" s="85" t="str">
        <f t="shared" si="5"/>
        <v>Airlines/Cargo Hangars-Maintenance-Pavement cleaning</v>
      </c>
      <c r="K114" s="996" t="s">
        <v>43</v>
      </c>
      <c r="L114" s="640" t="s">
        <v>426</v>
      </c>
      <c r="M114" s="642" t="s">
        <v>121</v>
      </c>
      <c r="AU114" s="46"/>
      <c r="AV114" s="42" t="e">
        <f ca="1">OFFSET('Data Entry'!V57,540,)</f>
        <v>#N/A</v>
      </c>
      <c r="AW114" s="978">
        <f ca="1">OFFSET('Data Entry'!X57,540,)</f>
        <v>0.5</v>
      </c>
    </row>
    <row r="115" spans="2:49" x14ac:dyDescent="0.3">
      <c r="H115" s="885" t="s">
        <v>471</v>
      </c>
      <c r="I115" s="85" t="str">
        <f t="shared" si="4"/>
        <v>Other-Other 1</v>
      </c>
      <c r="J115" s="85" t="str">
        <f t="shared" si="5"/>
        <v>Airlines/Cargo Hangars-Other-Other 1</v>
      </c>
      <c r="K115" s="181" t="s">
        <v>8</v>
      </c>
      <c r="L115" s="577" t="s">
        <v>52</v>
      </c>
      <c r="M115" s="636" t="s">
        <v>362</v>
      </c>
      <c r="AU115" s="41">
        <f ca="1">OFFSET('Data Entry'!$B$53,560,)</f>
        <v>29</v>
      </c>
      <c r="AV115" s="42" t="e">
        <f ca="1">OFFSET('Data Entry'!V54,560,)</f>
        <v>#N/A</v>
      </c>
      <c r="AW115" s="978">
        <f ca="1">OFFSET('Data Entry'!X54,560,)</f>
        <v>1</v>
      </c>
    </row>
    <row r="116" spans="2:49" x14ac:dyDescent="0.3">
      <c r="H116" s="885" t="s">
        <v>471</v>
      </c>
      <c r="I116" s="85" t="str">
        <f t="shared" si="4"/>
        <v>Other-Other 2</v>
      </c>
      <c r="J116" s="85" t="str">
        <f t="shared" si="5"/>
        <v>Airlines/Cargo Hangars-Other-Other 2</v>
      </c>
      <c r="K116" s="181" t="s">
        <v>8</v>
      </c>
      <c r="L116" s="577" t="s">
        <v>53</v>
      </c>
      <c r="M116" s="636" t="s">
        <v>363</v>
      </c>
      <c r="AU116" s="44"/>
      <c r="AV116" s="42" t="e">
        <f ca="1">OFFSET('Data Entry'!V55,560,)</f>
        <v>#N/A</v>
      </c>
      <c r="AW116" s="978">
        <f ca="1">OFFSET('Data Entry'!X55,560,)</f>
        <v>0.5</v>
      </c>
    </row>
    <row r="117" spans="2:49" ht="15" thickBot="1" x14ac:dyDescent="0.35">
      <c r="H117" s="888" t="s">
        <v>471</v>
      </c>
      <c r="I117" s="991" t="str">
        <f t="shared" si="4"/>
        <v>Other-Other 3</v>
      </c>
      <c r="J117" s="991" t="str">
        <f t="shared" si="5"/>
        <v>Airlines/Cargo Hangars-Other-Other 3</v>
      </c>
      <c r="K117" s="924" t="s">
        <v>8</v>
      </c>
      <c r="L117" s="116" t="s">
        <v>54</v>
      </c>
      <c r="M117" s="992" t="s">
        <v>364</v>
      </c>
      <c r="AU117" s="44"/>
      <c r="AV117" s="42" t="e">
        <f ca="1">OFFSET('Data Entry'!V56,560,)</f>
        <v>#N/A</v>
      </c>
      <c r="AW117" s="978">
        <f ca="1">OFFSET('Data Entry'!X56,560,)</f>
        <v>0.5</v>
      </c>
    </row>
    <row r="118" spans="2:49" x14ac:dyDescent="0.3">
      <c r="B118" s="72" t="s">
        <v>111</v>
      </c>
      <c r="AU118" s="46"/>
      <c r="AV118" s="42" t="e">
        <f ca="1">OFFSET('Data Entry'!V57,560,)</f>
        <v>#N/A</v>
      </c>
      <c r="AW118" s="978">
        <f ca="1">OFFSET('Data Entry'!X57,560,)</f>
        <v>0.5</v>
      </c>
    </row>
    <row r="119" spans="2:49" x14ac:dyDescent="0.3">
      <c r="B119" s="73" t="s">
        <v>7</v>
      </c>
      <c r="J119" s="85" t="s">
        <v>350</v>
      </c>
      <c r="K119" s="85"/>
      <c r="L119" s="45"/>
      <c r="M119" s="200" t="s">
        <v>350</v>
      </c>
      <c r="AU119" s="41">
        <f ca="1">OFFSET('Data Entry'!$B$53,580,)</f>
        <v>30</v>
      </c>
      <c r="AV119" s="42" t="e">
        <f ca="1">OFFSET('Data Entry'!V54,580,)</f>
        <v>#N/A</v>
      </c>
      <c r="AW119" s="978">
        <f ca="1">OFFSET('Data Entry'!X54,580,)</f>
        <v>1</v>
      </c>
    </row>
    <row r="120" spans="2:49" x14ac:dyDescent="0.3">
      <c r="B120" s="914" t="s">
        <v>42</v>
      </c>
      <c r="C120" s="914" t="s">
        <v>42</v>
      </c>
      <c r="J120" s="85"/>
      <c r="K120" s="85"/>
      <c r="L120" s="45"/>
      <c r="M120" s="45"/>
      <c r="AU120" s="44"/>
      <c r="AV120" s="42" t="e">
        <f ca="1">OFFSET('Data Entry'!V55,580,)</f>
        <v>#N/A</v>
      </c>
      <c r="AW120" s="978">
        <f ca="1">OFFSET('Data Entry'!X55,580,)</f>
        <v>0.5</v>
      </c>
    </row>
    <row r="121" spans="2:49" x14ac:dyDescent="0.3">
      <c r="B121" s="914" t="s">
        <v>14</v>
      </c>
      <c r="C121" s="72" t="s">
        <v>111</v>
      </c>
      <c r="J121" s="85"/>
      <c r="K121" s="85"/>
      <c r="L121" s="45"/>
      <c r="M121" s="45"/>
      <c r="AU121" s="44"/>
      <c r="AV121" s="42" t="e">
        <f ca="1">OFFSET('Data Entry'!V56,580,)</f>
        <v>#N/A</v>
      </c>
      <c r="AW121" s="978">
        <f ca="1">OFFSET('Data Entry'!X56,580,)</f>
        <v>0.5</v>
      </c>
    </row>
    <row r="122" spans="2:49" x14ac:dyDescent="0.3">
      <c r="B122" s="914" t="s">
        <v>24</v>
      </c>
      <c r="C122" s="73" t="s">
        <v>7</v>
      </c>
      <c r="J122" s="85"/>
      <c r="K122" s="85"/>
      <c r="L122" s="45"/>
      <c r="M122" s="45"/>
      <c r="AU122" s="46"/>
      <c r="AV122" s="42" t="e">
        <f ca="1">OFFSET('Data Entry'!V57,580,)</f>
        <v>#N/A</v>
      </c>
      <c r="AW122" s="978">
        <f ca="1">OFFSET('Data Entry'!X57,580,)</f>
        <v>0.5</v>
      </c>
    </row>
    <row r="123" spans="2:49" x14ac:dyDescent="0.3">
      <c r="B123" s="1013" t="s">
        <v>29</v>
      </c>
      <c r="AU123" s="41">
        <f ca="1">OFFSET('Data Entry'!$B$53,600,)</f>
        <v>31</v>
      </c>
      <c r="AV123" s="42" t="e">
        <f ca="1">OFFSET('Data Entry'!V54,600,)</f>
        <v>#N/A</v>
      </c>
      <c r="AW123" s="978">
        <f ca="1">OFFSET('Data Entry'!X54,600,)</f>
        <v>1</v>
      </c>
    </row>
    <row r="124" spans="2:49" x14ac:dyDescent="0.3">
      <c r="AU124" s="44"/>
      <c r="AV124" s="42" t="e">
        <f ca="1">OFFSET('Data Entry'!V55,600,)</f>
        <v>#N/A</v>
      </c>
      <c r="AW124" s="978">
        <f ca="1">OFFSET('Data Entry'!X55,600,)</f>
        <v>0.5</v>
      </c>
    </row>
    <row r="125" spans="2:49" x14ac:dyDescent="0.3">
      <c r="AU125" s="44"/>
      <c r="AV125" s="42" t="e">
        <f ca="1">OFFSET('Data Entry'!V56,600,)</f>
        <v>#N/A</v>
      </c>
      <c r="AW125" s="978">
        <f ca="1">OFFSET('Data Entry'!X56,600,)</f>
        <v>0.5</v>
      </c>
    </row>
    <row r="126" spans="2:49" x14ac:dyDescent="0.3">
      <c r="AU126" s="46"/>
      <c r="AV126" s="42" t="e">
        <f ca="1">OFFSET('Data Entry'!V57,600,)</f>
        <v>#N/A</v>
      </c>
      <c r="AW126" s="978">
        <f ca="1">OFFSET('Data Entry'!X57,600,)</f>
        <v>0.5</v>
      </c>
    </row>
    <row r="127" spans="2:49" x14ac:dyDescent="0.3">
      <c r="AU127" s="41">
        <f ca="1">OFFSET('Data Entry'!$B$53,620,)</f>
        <v>32</v>
      </c>
      <c r="AV127" s="42" t="e">
        <f ca="1">OFFSET('Data Entry'!V54,620,)</f>
        <v>#N/A</v>
      </c>
      <c r="AW127" s="978">
        <f ca="1">OFFSET('Data Entry'!X54,620,)</f>
        <v>1</v>
      </c>
    </row>
    <row r="128" spans="2:49" x14ac:dyDescent="0.3">
      <c r="AU128" s="44"/>
      <c r="AV128" s="42" t="e">
        <f ca="1">OFFSET('Data Entry'!V55,620,)</f>
        <v>#N/A</v>
      </c>
      <c r="AW128" s="978">
        <f ca="1">OFFSET('Data Entry'!X55,620,)</f>
        <v>0.5</v>
      </c>
    </row>
    <row r="129" spans="47:49" x14ac:dyDescent="0.3">
      <c r="AU129" s="44"/>
      <c r="AV129" s="42" t="e">
        <f ca="1">OFFSET('Data Entry'!V56,620,)</f>
        <v>#N/A</v>
      </c>
      <c r="AW129" s="978">
        <f ca="1">OFFSET('Data Entry'!X56,620,)</f>
        <v>0.5</v>
      </c>
    </row>
    <row r="130" spans="47:49" x14ac:dyDescent="0.3">
      <c r="AU130" s="46"/>
      <c r="AV130" s="1014" t="e">
        <f ca="1">OFFSET('Data Entry'!V57,620,)</f>
        <v>#N/A</v>
      </c>
      <c r="AW130" s="1015">
        <f ca="1">OFFSET('Data Entry'!X57,620,)</f>
        <v>0.5</v>
      </c>
    </row>
  </sheetData>
  <sheetProtection algorithmName="SHA-512" hashValue="8myAjiC7IQavSFxsur9VRyewfoxcvHyKs7O8VR3hQgv5PZcm9qlTu8k+saqo7pR1oigoTCfb7emOBZsczI5MIw==" saltValue="0Vdtd15WNMeLSLDFxFIU4A==" spinCount="100000" sheet="1" objects="1" scenarios="1"/>
  <mergeCells count="4">
    <mergeCell ref="I1:I3"/>
    <mergeCell ref="J1:J3"/>
    <mergeCell ref="B43:C43"/>
    <mergeCell ref="B80:C80"/>
  </mergeCells>
  <pageMargins left="0.7" right="0.7" top="0.75" bottom="0.75" header="0.3" footer="0.3"/>
  <pageSetup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808080"/>
  </sheetPr>
  <dimension ref="B3:J39"/>
  <sheetViews>
    <sheetView workbookViewId="0">
      <selection activeCell="P22" sqref="P22"/>
    </sheetView>
  </sheetViews>
  <sheetFormatPr defaultColWidth="8.88671875" defaultRowHeight="14.4" x14ac:dyDescent="0.3"/>
  <cols>
    <col min="1" max="1" width="8.88671875" style="13"/>
    <col min="2" max="2" width="2" style="13" bestFit="1" customWidth="1"/>
    <col min="3" max="3" width="7.88671875" style="13" bestFit="1" customWidth="1"/>
    <col min="4" max="4" width="19.5546875" style="13" bestFit="1" customWidth="1"/>
    <col min="5" max="5" width="22.109375" style="13" customWidth="1"/>
    <col min="6" max="7" width="2" style="13" bestFit="1" customWidth="1"/>
    <col min="8" max="8" width="19.6640625" style="13" bestFit="1" customWidth="1"/>
    <col min="9" max="9" width="3" style="13" bestFit="1" customWidth="1"/>
    <col min="10" max="10" width="7.88671875" style="13" bestFit="1" customWidth="1"/>
    <col min="11" max="11" width="19.6640625" style="13" bestFit="1" customWidth="1"/>
    <col min="12" max="12" width="19.5546875" style="13" bestFit="1" customWidth="1"/>
    <col min="13" max="16384" width="8.88671875" style="13"/>
  </cols>
  <sheetData>
    <row r="3" spans="2:10" ht="15" x14ac:dyDescent="0.25">
      <c r="C3" s="13" t="s">
        <v>414</v>
      </c>
    </row>
    <row r="4" spans="2:10" ht="15" x14ac:dyDescent="0.25">
      <c r="B4" s="217">
        <v>1</v>
      </c>
      <c r="C4" s="124" t="str">
        <f>IF(H4="blank", " ",I4)</f>
        <v xml:space="preserve"> </v>
      </c>
      <c r="D4" s="928" t="s">
        <v>1</v>
      </c>
      <c r="E4" s="929" t="s">
        <v>84</v>
      </c>
      <c r="F4" s="13">
        <f>IF('Start Data Entry'!D$8="yes",1,0)</f>
        <v>0</v>
      </c>
      <c r="G4" s="13">
        <f>IF('Start Data Entry'!E$8&gt;=B4,1,0)</f>
        <v>0</v>
      </c>
      <c r="H4" s="13" t="str">
        <f>IF(F4+G4=2,E4,"blank")</f>
        <v>blank</v>
      </c>
      <c r="I4" s="124">
        <f>IF(H4="blank", 0,1)</f>
        <v>0</v>
      </c>
    </row>
    <row r="5" spans="2:10" ht="15" x14ac:dyDescent="0.25">
      <c r="B5" s="215">
        <v>2</v>
      </c>
      <c r="C5" s="124" t="str">
        <f t="shared" ref="C5:C38" si="0">IF(H5="blank", " ",I5)</f>
        <v xml:space="preserve"> </v>
      </c>
      <c r="D5" s="928" t="s">
        <v>1</v>
      </c>
      <c r="E5" s="929" t="s">
        <v>85</v>
      </c>
      <c r="F5" s="13">
        <f>IF('Start Data Entry'!D$8="yes",1,0)</f>
        <v>0</v>
      </c>
      <c r="G5" s="13">
        <f>IF('Start Data Entry'!E$8&gt;=B5,1,0)</f>
        <v>0</v>
      </c>
      <c r="H5" s="13" t="str">
        <f t="shared" ref="H5:H38" si="1">IF(F5+G5=2,E5,"blank")</f>
        <v>blank</v>
      </c>
      <c r="I5" s="124">
        <f>IF(H5="blank", I4,I4+1)</f>
        <v>0</v>
      </c>
      <c r="J5" s="124"/>
    </row>
    <row r="6" spans="2:10" ht="15" x14ac:dyDescent="0.25">
      <c r="B6" s="215">
        <v>3</v>
      </c>
      <c r="C6" s="124" t="str">
        <f t="shared" si="0"/>
        <v xml:space="preserve"> </v>
      </c>
      <c r="D6" s="928" t="s">
        <v>1</v>
      </c>
      <c r="E6" s="929" t="s">
        <v>86</v>
      </c>
      <c r="F6" s="13">
        <f>IF('Start Data Entry'!D$8="yes",1,0)</f>
        <v>0</v>
      </c>
      <c r="G6" s="13">
        <f>IF('Start Data Entry'!E$8&gt;=B6,1,0)</f>
        <v>0</v>
      </c>
      <c r="H6" s="13" t="str">
        <f t="shared" si="1"/>
        <v>blank</v>
      </c>
      <c r="I6" s="124">
        <f t="shared" ref="I6:I15" si="2">IF(H6="blank", I5,I5+1)</f>
        <v>0</v>
      </c>
      <c r="J6" s="124"/>
    </row>
    <row r="7" spans="2:10" ht="15" x14ac:dyDescent="0.25">
      <c r="B7" s="215">
        <v>4</v>
      </c>
      <c r="C7" s="124" t="str">
        <f t="shared" si="0"/>
        <v xml:space="preserve"> </v>
      </c>
      <c r="D7" s="928" t="s">
        <v>1</v>
      </c>
      <c r="E7" s="929" t="s">
        <v>87</v>
      </c>
      <c r="F7" s="13">
        <f>IF('Start Data Entry'!D$8="yes",1,0)</f>
        <v>0</v>
      </c>
      <c r="G7" s="13">
        <f>IF('Start Data Entry'!E$8&gt;=B7,1,0)</f>
        <v>0</v>
      </c>
      <c r="H7" s="13" t="str">
        <f t="shared" si="1"/>
        <v>blank</v>
      </c>
      <c r="I7" s="124">
        <f t="shared" si="2"/>
        <v>0</v>
      </c>
      <c r="J7" s="124"/>
    </row>
    <row r="8" spans="2:10" ht="15" x14ac:dyDescent="0.25">
      <c r="B8" s="216">
        <v>5</v>
      </c>
      <c r="C8" s="124" t="str">
        <f t="shared" si="0"/>
        <v xml:space="preserve"> </v>
      </c>
      <c r="D8" s="928" t="s">
        <v>1</v>
      </c>
      <c r="E8" s="929" t="s">
        <v>88</v>
      </c>
      <c r="F8" s="13">
        <f>IF('Start Data Entry'!D$8="yes",1,0)</f>
        <v>0</v>
      </c>
      <c r="G8" s="13">
        <f>IF('Start Data Entry'!E$8&gt;=B8,1,0)</f>
        <v>0</v>
      </c>
      <c r="H8" s="13" t="str">
        <f t="shared" si="1"/>
        <v>blank</v>
      </c>
      <c r="I8" s="124">
        <f t="shared" si="2"/>
        <v>0</v>
      </c>
      <c r="J8" s="124"/>
    </row>
    <row r="9" spans="2:10" ht="15" x14ac:dyDescent="0.25">
      <c r="B9" s="217">
        <v>1</v>
      </c>
      <c r="C9" s="124" t="str">
        <f t="shared" si="0"/>
        <v xml:space="preserve"> </v>
      </c>
      <c r="D9" s="928" t="s">
        <v>412</v>
      </c>
      <c r="E9" s="383" t="s">
        <v>383</v>
      </c>
      <c r="F9" s="13">
        <f>IF('Start Data Entry'!D$10="yes",1,0)</f>
        <v>0</v>
      </c>
      <c r="G9" s="13">
        <f>IF('Start Data Entry'!E$10&gt;=B9,1,0)</f>
        <v>0</v>
      </c>
      <c r="H9" s="13" t="str">
        <f t="shared" si="1"/>
        <v>blank</v>
      </c>
      <c r="I9" s="124">
        <f t="shared" si="2"/>
        <v>0</v>
      </c>
      <c r="J9" s="124"/>
    </row>
    <row r="10" spans="2:10" ht="15" x14ac:dyDescent="0.25">
      <c r="B10" s="215">
        <v>2</v>
      </c>
      <c r="C10" s="124" t="str">
        <f t="shared" si="0"/>
        <v xml:space="preserve"> </v>
      </c>
      <c r="D10" s="928" t="s">
        <v>412</v>
      </c>
      <c r="E10" s="383" t="s">
        <v>384</v>
      </c>
      <c r="F10" s="13">
        <f>IF('Start Data Entry'!D$10="yes",1,0)</f>
        <v>0</v>
      </c>
      <c r="G10" s="13">
        <f>IF('Start Data Entry'!E$10&gt;=B10,1,0)</f>
        <v>0</v>
      </c>
      <c r="H10" s="13" t="str">
        <f t="shared" si="1"/>
        <v>blank</v>
      </c>
      <c r="I10" s="124">
        <f t="shared" si="2"/>
        <v>0</v>
      </c>
      <c r="J10" s="124"/>
    </row>
    <row r="11" spans="2:10" ht="15" x14ac:dyDescent="0.25">
      <c r="B11" s="215">
        <v>3</v>
      </c>
      <c r="C11" s="124" t="str">
        <f t="shared" si="0"/>
        <v xml:space="preserve"> </v>
      </c>
      <c r="D11" s="928" t="s">
        <v>412</v>
      </c>
      <c r="E11" s="383" t="s">
        <v>385</v>
      </c>
      <c r="F11" s="13">
        <f>IF('Start Data Entry'!D$10="yes",1,0)</f>
        <v>0</v>
      </c>
      <c r="G11" s="13">
        <f>IF('Start Data Entry'!E$10&gt;=B11,1,0)</f>
        <v>0</v>
      </c>
      <c r="H11" s="13" t="str">
        <f t="shared" si="1"/>
        <v>blank</v>
      </c>
      <c r="I11" s="124">
        <f t="shared" si="2"/>
        <v>0</v>
      </c>
      <c r="J11" s="124"/>
    </row>
    <row r="12" spans="2:10" ht="15" x14ac:dyDescent="0.25">
      <c r="B12" s="215">
        <v>4</v>
      </c>
      <c r="C12" s="124" t="str">
        <f t="shared" si="0"/>
        <v xml:space="preserve"> </v>
      </c>
      <c r="D12" s="928" t="s">
        <v>412</v>
      </c>
      <c r="E12" s="383" t="s">
        <v>386</v>
      </c>
      <c r="F12" s="13">
        <f>IF('Start Data Entry'!D$10="yes",1,0)</f>
        <v>0</v>
      </c>
      <c r="G12" s="13">
        <f>IF('Start Data Entry'!E$10&gt;=B12,1,0)</f>
        <v>0</v>
      </c>
      <c r="H12" s="13" t="str">
        <f t="shared" si="1"/>
        <v>blank</v>
      </c>
      <c r="I12" s="124">
        <f t="shared" si="2"/>
        <v>0</v>
      </c>
      <c r="J12" s="124"/>
    </row>
    <row r="13" spans="2:10" ht="15" x14ac:dyDescent="0.25">
      <c r="B13" s="216">
        <v>5</v>
      </c>
      <c r="C13" s="124" t="str">
        <f t="shared" si="0"/>
        <v xml:space="preserve"> </v>
      </c>
      <c r="D13" s="928" t="s">
        <v>412</v>
      </c>
      <c r="E13" s="383" t="s">
        <v>387</v>
      </c>
      <c r="F13" s="13">
        <f>IF('Start Data Entry'!D$10="yes",1,0)</f>
        <v>0</v>
      </c>
      <c r="G13" s="13">
        <f>IF('Start Data Entry'!E$10&gt;=B13,1,0)</f>
        <v>0</v>
      </c>
      <c r="H13" s="13" t="str">
        <f t="shared" si="1"/>
        <v>blank</v>
      </c>
      <c r="I13" s="124">
        <f t="shared" si="2"/>
        <v>0</v>
      </c>
      <c r="J13" s="124"/>
    </row>
    <row r="14" spans="2:10" ht="15" x14ac:dyDescent="0.25">
      <c r="B14" s="217">
        <v>1</v>
      </c>
      <c r="C14" s="124" t="str">
        <f t="shared" si="0"/>
        <v xml:space="preserve"> </v>
      </c>
      <c r="D14" s="405" t="s">
        <v>11</v>
      </c>
      <c r="E14" s="383" t="s">
        <v>89</v>
      </c>
      <c r="F14" s="13">
        <f>IF('Start Data Entry'!D$12="yes",1,0)</f>
        <v>1</v>
      </c>
      <c r="G14" s="13">
        <f>IF('Start Data Entry'!E$12&gt;=B14,1,0)</f>
        <v>0</v>
      </c>
      <c r="H14" s="13" t="str">
        <f t="shared" si="1"/>
        <v>blank</v>
      </c>
      <c r="I14" s="124">
        <f t="shared" si="2"/>
        <v>0</v>
      </c>
      <c r="J14" s="124"/>
    </row>
    <row r="15" spans="2:10" ht="15" x14ac:dyDescent="0.25">
      <c r="B15" s="215">
        <v>2</v>
      </c>
      <c r="C15" s="124" t="str">
        <f t="shared" si="0"/>
        <v xml:space="preserve"> </v>
      </c>
      <c r="D15" s="405" t="s">
        <v>11</v>
      </c>
      <c r="E15" s="383" t="s">
        <v>90</v>
      </c>
      <c r="F15" s="13">
        <f>IF('Start Data Entry'!D$12="yes",1,0)</f>
        <v>1</v>
      </c>
      <c r="G15" s="13">
        <f>IF('Start Data Entry'!E$12&gt;=B15,1,0)</f>
        <v>0</v>
      </c>
      <c r="H15" s="13" t="str">
        <f t="shared" si="1"/>
        <v>blank</v>
      </c>
      <c r="I15" s="124">
        <f t="shared" si="2"/>
        <v>0</v>
      </c>
      <c r="J15" s="124"/>
    </row>
    <row r="16" spans="2:10" ht="15" x14ac:dyDescent="0.25">
      <c r="B16" s="215">
        <v>3</v>
      </c>
      <c r="C16" s="124" t="str">
        <f t="shared" si="0"/>
        <v xml:space="preserve"> </v>
      </c>
      <c r="D16" s="405" t="s">
        <v>11</v>
      </c>
      <c r="E16" s="182" t="s">
        <v>766</v>
      </c>
      <c r="F16" s="13">
        <f>IF('Start Data Entry'!D$12="yes",1,0)</f>
        <v>1</v>
      </c>
      <c r="G16" s="13">
        <f>IF('Start Data Entry'!E$12&gt;=B16,1,0)</f>
        <v>0</v>
      </c>
      <c r="H16" s="13" t="str">
        <f t="shared" ref="H16:H18" si="3">IF(F16+G16=2,E16,"blank")</f>
        <v>blank</v>
      </c>
      <c r="I16" s="124">
        <f t="shared" ref="I16:I38" si="4">IF(H16="blank", I15,I15+1)</f>
        <v>0</v>
      </c>
      <c r="J16" s="124"/>
    </row>
    <row r="17" spans="2:10" ht="15" x14ac:dyDescent="0.25">
      <c r="B17" s="215">
        <v>4</v>
      </c>
      <c r="C17" s="124" t="str">
        <f t="shared" si="0"/>
        <v xml:space="preserve"> </v>
      </c>
      <c r="D17" s="405" t="s">
        <v>11</v>
      </c>
      <c r="E17" s="182" t="s">
        <v>767</v>
      </c>
      <c r="F17" s="13">
        <f>IF('Start Data Entry'!D$12="yes",1,0)</f>
        <v>1</v>
      </c>
      <c r="G17" s="13">
        <f>IF('Start Data Entry'!E$12&gt;=B17,1,0)</f>
        <v>0</v>
      </c>
      <c r="H17" s="13" t="str">
        <f t="shared" si="3"/>
        <v>blank</v>
      </c>
      <c r="I17" s="124">
        <f t="shared" si="4"/>
        <v>0</v>
      </c>
      <c r="J17" s="124"/>
    </row>
    <row r="18" spans="2:10" ht="15" x14ac:dyDescent="0.25">
      <c r="B18" s="216">
        <v>5</v>
      </c>
      <c r="C18" s="124" t="str">
        <f t="shared" si="0"/>
        <v xml:space="preserve"> </v>
      </c>
      <c r="D18" s="405" t="s">
        <v>11</v>
      </c>
      <c r="E18" s="182" t="s">
        <v>765</v>
      </c>
      <c r="F18" s="13">
        <f>IF('Start Data Entry'!D$12="yes",1,0)</f>
        <v>1</v>
      </c>
      <c r="G18" s="13">
        <f>IF('Start Data Entry'!E$12&gt;=B18,1,0)</f>
        <v>0</v>
      </c>
      <c r="H18" s="13" t="str">
        <f t="shared" si="3"/>
        <v>blank</v>
      </c>
      <c r="I18" s="124">
        <f t="shared" si="4"/>
        <v>0</v>
      </c>
      <c r="J18" s="124"/>
    </row>
    <row r="19" spans="2:10" ht="15" x14ac:dyDescent="0.25">
      <c r="B19" s="217">
        <v>1</v>
      </c>
      <c r="C19" s="124" t="str">
        <f t="shared" si="0"/>
        <v xml:space="preserve"> </v>
      </c>
      <c r="D19" s="405" t="s">
        <v>420</v>
      </c>
      <c r="E19" s="383" t="s">
        <v>421</v>
      </c>
      <c r="F19" s="13">
        <f>IF('Start Data Entry'!D$14="yes",1,0)</f>
        <v>0</v>
      </c>
      <c r="G19" s="13">
        <f>IF('Start Data Entry'!E$14&gt;=B19,1,0)</f>
        <v>0</v>
      </c>
      <c r="H19" s="13" t="str">
        <f t="shared" si="1"/>
        <v>blank</v>
      </c>
      <c r="I19" s="124">
        <f t="shared" si="4"/>
        <v>0</v>
      </c>
      <c r="J19" s="124"/>
    </row>
    <row r="20" spans="2:10" ht="15" x14ac:dyDescent="0.25">
      <c r="B20" s="216">
        <v>2</v>
      </c>
      <c r="C20" s="124" t="str">
        <f t="shared" si="0"/>
        <v xml:space="preserve"> </v>
      </c>
      <c r="D20" s="405" t="s">
        <v>420</v>
      </c>
      <c r="E20" s="383" t="s">
        <v>422</v>
      </c>
      <c r="F20" s="13">
        <f>IF('Start Data Entry'!D$14="yes",1,0)</f>
        <v>0</v>
      </c>
      <c r="G20" s="13">
        <f>IF('Start Data Entry'!E$14&gt;=B20,1,0)</f>
        <v>0</v>
      </c>
      <c r="H20" s="13" t="str">
        <f t="shared" si="1"/>
        <v>blank</v>
      </c>
      <c r="I20" s="124">
        <f t="shared" si="4"/>
        <v>0</v>
      </c>
      <c r="J20" s="124"/>
    </row>
    <row r="21" spans="2:10" x14ac:dyDescent="0.3">
      <c r="B21" s="217">
        <v>1</v>
      </c>
      <c r="C21" s="124" t="str">
        <f t="shared" si="0"/>
        <v xml:space="preserve"> </v>
      </c>
      <c r="D21" s="405" t="s">
        <v>13</v>
      </c>
      <c r="E21" s="383" t="s">
        <v>91</v>
      </c>
      <c r="F21" s="13">
        <f>IF('Start Data Entry'!D$16="yes",1,0)</f>
        <v>0</v>
      </c>
      <c r="G21" s="13">
        <f>IF('Start Data Entry'!E$16&gt;=B21,1,0)</f>
        <v>0</v>
      </c>
      <c r="H21" s="13" t="str">
        <f t="shared" si="1"/>
        <v>blank</v>
      </c>
      <c r="I21" s="124">
        <f t="shared" si="4"/>
        <v>0</v>
      </c>
      <c r="J21" s="124"/>
    </row>
    <row r="22" spans="2:10" x14ac:dyDescent="0.3">
      <c r="B22" s="215">
        <v>2</v>
      </c>
      <c r="C22" s="124" t="str">
        <f t="shared" si="0"/>
        <v xml:space="preserve"> </v>
      </c>
      <c r="D22" s="405" t="s">
        <v>13</v>
      </c>
      <c r="E22" s="383" t="s">
        <v>92</v>
      </c>
      <c r="F22" s="13">
        <f>IF('Start Data Entry'!D$16="yes",1,0)</f>
        <v>0</v>
      </c>
      <c r="G22" s="13">
        <f>IF('Start Data Entry'!E$16&gt;=B22,1,0)</f>
        <v>0</v>
      </c>
      <c r="H22" s="13" t="str">
        <f t="shared" si="1"/>
        <v>blank</v>
      </c>
      <c r="I22" s="124">
        <f t="shared" si="4"/>
        <v>0</v>
      </c>
      <c r="J22" s="124"/>
    </row>
    <row r="23" spans="2:10" x14ac:dyDescent="0.3">
      <c r="B23" s="215">
        <v>3</v>
      </c>
      <c r="C23" s="124" t="str">
        <f t="shared" si="0"/>
        <v xml:space="preserve"> </v>
      </c>
      <c r="D23" s="405" t="s">
        <v>13</v>
      </c>
      <c r="E23" s="383" t="s">
        <v>93</v>
      </c>
      <c r="F23" s="13">
        <f>IF('Start Data Entry'!D$16="yes",1,0)</f>
        <v>0</v>
      </c>
      <c r="G23" s="13">
        <f>IF('Start Data Entry'!E$16&gt;=B23,1,0)</f>
        <v>0</v>
      </c>
      <c r="H23" s="13" t="str">
        <f t="shared" si="1"/>
        <v>blank</v>
      </c>
      <c r="I23" s="124">
        <f t="shared" si="4"/>
        <v>0</v>
      </c>
      <c r="J23" s="124"/>
    </row>
    <row r="24" spans="2:10" x14ac:dyDescent="0.3">
      <c r="B24" s="215">
        <v>4</v>
      </c>
      <c r="C24" s="124" t="str">
        <f t="shared" si="0"/>
        <v xml:space="preserve"> </v>
      </c>
      <c r="D24" s="405" t="s">
        <v>13</v>
      </c>
      <c r="E24" s="383" t="s">
        <v>94</v>
      </c>
      <c r="F24" s="13">
        <f>IF('Start Data Entry'!D$16="yes",1,0)</f>
        <v>0</v>
      </c>
      <c r="G24" s="13">
        <f>IF('Start Data Entry'!E$16&gt;=B24,1,0)</f>
        <v>0</v>
      </c>
      <c r="H24" s="13" t="str">
        <f t="shared" si="1"/>
        <v>blank</v>
      </c>
      <c r="I24" s="124">
        <f t="shared" si="4"/>
        <v>0</v>
      </c>
      <c r="J24" s="124"/>
    </row>
    <row r="25" spans="2:10" x14ac:dyDescent="0.3">
      <c r="B25" s="216">
        <v>5</v>
      </c>
      <c r="C25" s="124" t="str">
        <f t="shared" si="0"/>
        <v xml:space="preserve"> </v>
      </c>
      <c r="D25" s="405" t="s">
        <v>13</v>
      </c>
      <c r="E25" s="383" t="s">
        <v>95</v>
      </c>
      <c r="F25" s="13">
        <f>IF('Start Data Entry'!D$16="yes",1,0)</f>
        <v>0</v>
      </c>
      <c r="G25" s="13">
        <f>IF('Start Data Entry'!E$16&gt;=B25,1,0)</f>
        <v>0</v>
      </c>
      <c r="H25" s="13" t="str">
        <f t="shared" si="1"/>
        <v>blank</v>
      </c>
      <c r="I25" s="124">
        <f t="shared" si="4"/>
        <v>0</v>
      </c>
      <c r="J25" s="124"/>
    </row>
    <row r="26" spans="2:10" x14ac:dyDescent="0.3">
      <c r="C26" s="124" t="str">
        <f t="shared" si="0"/>
        <v xml:space="preserve"> </v>
      </c>
      <c r="D26" s="405" t="s">
        <v>418</v>
      </c>
      <c r="E26" s="383" t="s">
        <v>418</v>
      </c>
      <c r="F26" s="13">
        <f>IF('Start Data Entry'!D$18="yes",1,0)</f>
        <v>0</v>
      </c>
      <c r="G26" s="13">
        <f>IF('Start Data Entry'!E$18&gt;=B26,1,0)</f>
        <v>1</v>
      </c>
      <c r="H26" s="13" t="str">
        <f t="shared" si="1"/>
        <v>blank</v>
      </c>
      <c r="I26" s="124">
        <f t="shared" si="4"/>
        <v>0</v>
      </c>
      <c r="J26" s="124"/>
    </row>
    <row r="27" spans="2:10" x14ac:dyDescent="0.3">
      <c r="B27" s="217">
        <v>1</v>
      </c>
      <c r="C27" s="124" t="str">
        <f t="shared" si="0"/>
        <v xml:space="preserve"> </v>
      </c>
      <c r="D27" s="405" t="s">
        <v>16</v>
      </c>
      <c r="E27" s="383" t="s">
        <v>96</v>
      </c>
      <c r="F27" s="13">
        <f>IF('Start Data Entry'!D$20="yes",1,0)</f>
        <v>0</v>
      </c>
      <c r="G27" s="13">
        <f>IF('Start Data Entry'!E$20&gt;=B27,1,0)</f>
        <v>0</v>
      </c>
      <c r="H27" s="13" t="str">
        <f t="shared" si="1"/>
        <v>blank</v>
      </c>
      <c r="I27" s="124">
        <f t="shared" si="4"/>
        <v>0</v>
      </c>
      <c r="J27" s="124"/>
    </row>
    <row r="28" spans="2:10" x14ac:dyDescent="0.3">
      <c r="B28" s="215">
        <v>2</v>
      </c>
      <c r="C28" s="124" t="str">
        <f t="shared" si="0"/>
        <v xml:space="preserve"> </v>
      </c>
      <c r="D28" s="405" t="s">
        <v>16</v>
      </c>
      <c r="E28" s="383" t="s">
        <v>97</v>
      </c>
      <c r="F28" s="13">
        <f>IF('Start Data Entry'!D$20="yes",1,0)</f>
        <v>0</v>
      </c>
      <c r="G28" s="13">
        <f>IF('Start Data Entry'!E$20&gt;=B28,1,0)</f>
        <v>0</v>
      </c>
      <c r="H28" s="13" t="str">
        <f t="shared" si="1"/>
        <v>blank</v>
      </c>
      <c r="I28" s="124">
        <f t="shared" si="4"/>
        <v>0</v>
      </c>
      <c r="J28" s="124"/>
    </row>
    <row r="29" spans="2:10" x14ac:dyDescent="0.3">
      <c r="B29" s="215">
        <v>3</v>
      </c>
      <c r="C29" s="124" t="str">
        <f t="shared" si="0"/>
        <v xml:space="preserve"> </v>
      </c>
      <c r="D29" s="405" t="s">
        <v>16</v>
      </c>
      <c r="E29" s="383" t="s">
        <v>98</v>
      </c>
      <c r="F29" s="13">
        <f>IF('Start Data Entry'!D$20="yes",1,0)</f>
        <v>0</v>
      </c>
      <c r="G29" s="13">
        <f>IF('Start Data Entry'!E$20&gt;=B29,1,0)</f>
        <v>0</v>
      </c>
      <c r="H29" s="13" t="str">
        <f t="shared" si="1"/>
        <v>blank</v>
      </c>
      <c r="I29" s="124">
        <f t="shared" si="4"/>
        <v>0</v>
      </c>
      <c r="J29" s="124"/>
    </row>
    <row r="30" spans="2:10" x14ac:dyDescent="0.3">
      <c r="B30" s="215">
        <v>4</v>
      </c>
      <c r="C30" s="124" t="str">
        <f t="shared" si="0"/>
        <v xml:space="preserve"> </v>
      </c>
      <c r="D30" s="405" t="s">
        <v>16</v>
      </c>
      <c r="E30" s="383" t="s">
        <v>99</v>
      </c>
      <c r="F30" s="13">
        <f>IF('Start Data Entry'!D$20="yes",1,0)</f>
        <v>0</v>
      </c>
      <c r="G30" s="13">
        <f>IF('Start Data Entry'!E$20&gt;=B30,1,0)</f>
        <v>0</v>
      </c>
      <c r="H30" s="13" t="str">
        <f t="shared" si="1"/>
        <v>blank</v>
      </c>
      <c r="I30" s="124">
        <f t="shared" si="4"/>
        <v>0</v>
      </c>
      <c r="J30" s="124"/>
    </row>
    <row r="31" spans="2:10" x14ac:dyDescent="0.3">
      <c r="B31" s="216">
        <v>5</v>
      </c>
      <c r="C31" s="124" t="str">
        <f t="shared" si="0"/>
        <v xml:space="preserve"> </v>
      </c>
      <c r="D31" s="405" t="s">
        <v>16</v>
      </c>
      <c r="E31" s="383" t="s">
        <v>100</v>
      </c>
      <c r="F31" s="13">
        <f>IF('Start Data Entry'!D$20="yes",1,0)</f>
        <v>0</v>
      </c>
      <c r="G31" s="13">
        <f>IF('Start Data Entry'!E$20&gt;=B31,1,0)</f>
        <v>0</v>
      </c>
      <c r="H31" s="13" t="str">
        <f t="shared" si="1"/>
        <v>blank</v>
      </c>
      <c r="I31" s="124">
        <f t="shared" si="4"/>
        <v>0</v>
      </c>
      <c r="J31" s="124"/>
    </row>
    <row r="32" spans="2:10" x14ac:dyDescent="0.3">
      <c r="C32" s="124" t="str">
        <f t="shared" si="0"/>
        <v xml:space="preserve"> </v>
      </c>
      <c r="D32" s="206" t="s">
        <v>417</v>
      </c>
      <c r="E32" s="206" t="s">
        <v>417</v>
      </c>
      <c r="F32" s="13">
        <f>IF('Start Data Entry'!D$22="yes",1,0)</f>
        <v>0</v>
      </c>
      <c r="G32" s="13">
        <f>IF('Start Data Entry'!E$22&gt;=B32,1,0)</f>
        <v>1</v>
      </c>
      <c r="H32" s="13" t="str">
        <f t="shared" si="1"/>
        <v>blank</v>
      </c>
      <c r="I32" s="124">
        <f t="shared" si="4"/>
        <v>0</v>
      </c>
      <c r="J32" s="124"/>
    </row>
    <row r="33" spans="2:10" x14ac:dyDescent="0.3">
      <c r="C33" s="124" t="str">
        <f t="shared" si="0"/>
        <v xml:space="preserve"> </v>
      </c>
      <c r="D33" s="405" t="s">
        <v>419</v>
      </c>
      <c r="E33" s="441" t="s">
        <v>419</v>
      </c>
      <c r="F33" s="13">
        <f>IF('Start Data Entry'!D$24="yes",1,0)</f>
        <v>0</v>
      </c>
      <c r="G33" s="13">
        <f>IF('Start Data Entry'!E$24&gt;=B33,1,0)</f>
        <v>1</v>
      </c>
      <c r="H33" s="13" t="str">
        <f t="shared" si="1"/>
        <v>blank</v>
      </c>
      <c r="I33" s="124">
        <f t="shared" si="4"/>
        <v>0</v>
      </c>
      <c r="J33" s="124"/>
    </row>
    <row r="34" spans="2:10" x14ac:dyDescent="0.3">
      <c r="B34" s="217">
        <v>1</v>
      </c>
      <c r="C34" s="124" t="str">
        <f t="shared" si="0"/>
        <v xml:space="preserve"> </v>
      </c>
      <c r="D34" s="405" t="s">
        <v>471</v>
      </c>
      <c r="E34" s="929" t="s">
        <v>106</v>
      </c>
      <c r="F34" s="13">
        <f>IF('Start Data Entry'!D$26="yes",1,0)</f>
        <v>1</v>
      </c>
      <c r="G34" s="13">
        <f>IF('Start Data Entry'!E$26&gt;=B34,1,0)</f>
        <v>0</v>
      </c>
      <c r="H34" s="13" t="str">
        <f t="shared" si="1"/>
        <v>blank</v>
      </c>
      <c r="I34" s="124">
        <f t="shared" si="4"/>
        <v>0</v>
      </c>
      <c r="J34" s="124"/>
    </row>
    <row r="35" spans="2:10" x14ac:dyDescent="0.3">
      <c r="B35" s="215">
        <v>2</v>
      </c>
      <c r="C35" s="124" t="str">
        <f t="shared" si="0"/>
        <v xml:space="preserve"> </v>
      </c>
      <c r="D35" s="405" t="s">
        <v>471</v>
      </c>
      <c r="E35" s="929" t="s">
        <v>107</v>
      </c>
      <c r="F35" s="13">
        <f>IF('Start Data Entry'!D$26="yes",1,0)</f>
        <v>1</v>
      </c>
      <c r="G35" s="13">
        <f>IF('Start Data Entry'!E$26&gt;=B35,1,0)</f>
        <v>0</v>
      </c>
      <c r="H35" s="13" t="str">
        <f t="shared" si="1"/>
        <v>blank</v>
      </c>
      <c r="I35" s="124">
        <f t="shared" si="4"/>
        <v>0</v>
      </c>
      <c r="J35" s="124"/>
    </row>
    <row r="36" spans="2:10" x14ac:dyDescent="0.3">
      <c r="B36" s="215">
        <v>3</v>
      </c>
      <c r="C36" s="124" t="str">
        <f t="shared" si="0"/>
        <v xml:space="preserve"> </v>
      </c>
      <c r="D36" s="405" t="s">
        <v>471</v>
      </c>
      <c r="E36" s="929" t="s">
        <v>108</v>
      </c>
      <c r="F36" s="13">
        <f>IF('Start Data Entry'!D$26="yes",1,0)</f>
        <v>1</v>
      </c>
      <c r="G36" s="13">
        <f>IF('Start Data Entry'!E$26&gt;=B36,1,0)</f>
        <v>0</v>
      </c>
      <c r="H36" s="13" t="str">
        <f t="shared" si="1"/>
        <v>blank</v>
      </c>
      <c r="I36" s="124">
        <f t="shared" si="4"/>
        <v>0</v>
      </c>
      <c r="J36" s="124"/>
    </row>
    <row r="37" spans="2:10" x14ac:dyDescent="0.3">
      <c r="B37" s="215">
        <v>4</v>
      </c>
      <c r="C37" s="124" t="str">
        <f t="shared" si="0"/>
        <v xml:space="preserve"> </v>
      </c>
      <c r="D37" s="405" t="s">
        <v>471</v>
      </c>
      <c r="E37" s="929" t="s">
        <v>109</v>
      </c>
      <c r="F37" s="13">
        <f>IF('Start Data Entry'!D$26="yes",1,0)</f>
        <v>1</v>
      </c>
      <c r="G37" s="13">
        <f>IF('Start Data Entry'!E$26&gt;=B37,1,0)</f>
        <v>0</v>
      </c>
      <c r="H37" s="13" t="str">
        <f t="shared" si="1"/>
        <v>blank</v>
      </c>
      <c r="I37" s="124">
        <f t="shared" si="4"/>
        <v>0</v>
      </c>
      <c r="J37" s="124"/>
    </row>
    <row r="38" spans="2:10" x14ac:dyDescent="0.3">
      <c r="B38" s="216">
        <v>5</v>
      </c>
      <c r="C38" s="124" t="str">
        <f t="shared" si="0"/>
        <v xml:space="preserve"> </v>
      </c>
      <c r="D38" s="405" t="s">
        <v>471</v>
      </c>
      <c r="E38" s="929" t="s">
        <v>110</v>
      </c>
      <c r="F38" s="13">
        <f>IF('Start Data Entry'!D$26="yes",1,0)</f>
        <v>1</v>
      </c>
      <c r="G38" s="13">
        <f>IF('Start Data Entry'!E$26&gt;=B38,1,0)</f>
        <v>0</v>
      </c>
      <c r="H38" s="13" t="str">
        <f t="shared" si="1"/>
        <v>blank</v>
      </c>
      <c r="I38" s="124">
        <f t="shared" si="4"/>
        <v>0</v>
      </c>
      <c r="J38" s="124"/>
    </row>
    <row r="39" spans="2:10" x14ac:dyDescent="0.3">
      <c r="C39" s="930">
        <f>I38+1</f>
        <v>1</v>
      </c>
      <c r="D39" s="932" t="s">
        <v>368</v>
      </c>
      <c r="E39" s="931" t="s">
        <v>368</v>
      </c>
    </row>
  </sheetData>
  <sheetProtection algorithmName="SHA-512" hashValue="WEiznO/M8j410f+YTw7Oj4f7xHQVNXBv5VxDjk/TI7h7AlsKneRdffRqFX9ZW3ENbTYWQQb5psNM3oI+O6LhNQ==" saltValue="FOjkcQWXE7if3KhPkZSRdw=="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B1:L27"/>
  <sheetViews>
    <sheetView showGridLines="0" zoomScaleNormal="100" workbookViewId="0">
      <selection activeCell="E32" sqref="E32"/>
    </sheetView>
  </sheetViews>
  <sheetFormatPr defaultColWidth="9.109375" defaultRowHeight="14.4" x14ac:dyDescent="0.3"/>
  <cols>
    <col min="1" max="1" width="1.6640625" style="13" customWidth="1"/>
    <col min="2" max="2" width="2.44140625" style="13" customWidth="1"/>
    <col min="3" max="3" width="29.5546875" style="13" customWidth="1"/>
    <col min="4" max="4" width="11.44140625" style="13" customWidth="1"/>
    <col min="5" max="5" width="15.5546875" style="13" customWidth="1"/>
    <col min="6" max="16384" width="9.109375" style="13"/>
  </cols>
  <sheetData>
    <row r="1" spans="2:12" s="125" customFormat="1" ht="15" x14ac:dyDescent="0.25">
      <c r="C1" s="5" t="s">
        <v>644</v>
      </c>
    </row>
    <row r="2" spans="2:12" x14ac:dyDescent="0.3">
      <c r="B2" s="177" t="s">
        <v>555</v>
      </c>
      <c r="C2" s="176" t="s">
        <v>495</v>
      </c>
      <c r="D2" s="176"/>
      <c r="E2" s="176"/>
      <c r="F2" s="176"/>
      <c r="G2" s="176"/>
      <c r="H2" s="176"/>
      <c r="I2" s="125"/>
      <c r="J2" s="125"/>
      <c r="K2" s="125"/>
      <c r="L2" s="125"/>
    </row>
    <row r="3" spans="2:12" x14ac:dyDescent="0.3">
      <c r="B3" s="177" t="s">
        <v>555</v>
      </c>
      <c r="C3" s="176" t="s">
        <v>496</v>
      </c>
      <c r="D3" s="176"/>
      <c r="E3" s="176"/>
      <c r="F3" s="176"/>
      <c r="G3" s="176"/>
      <c r="H3" s="176"/>
      <c r="I3" s="125"/>
      <c r="J3" s="125"/>
      <c r="K3" s="125"/>
      <c r="L3" s="125"/>
    </row>
    <row r="4" spans="2:12" ht="44.25" customHeight="1" x14ac:dyDescent="0.25">
      <c r="B4" s="176"/>
      <c r="C4" s="1357" t="s">
        <v>690</v>
      </c>
      <c r="D4" s="1357"/>
      <c r="E4" s="1357"/>
      <c r="F4" s="1357"/>
      <c r="G4" s="1357"/>
      <c r="H4" s="1357"/>
      <c r="I4" s="125"/>
      <c r="J4" s="125"/>
      <c r="K4" s="125"/>
      <c r="L4" s="125"/>
    </row>
    <row r="5" spans="2:12" x14ac:dyDescent="0.3">
      <c r="B5" s="177" t="s">
        <v>555</v>
      </c>
      <c r="C5" s="176" t="s">
        <v>497</v>
      </c>
      <c r="D5" s="176"/>
      <c r="E5" s="176"/>
      <c r="F5" s="176"/>
      <c r="G5" s="176"/>
      <c r="H5" s="176"/>
      <c r="I5" s="125"/>
      <c r="J5" s="125"/>
      <c r="K5" s="125"/>
      <c r="L5" s="125"/>
    </row>
    <row r="6" spans="2:12" ht="15.75" thickBot="1" x14ac:dyDescent="0.3"/>
    <row r="7" spans="2:12" ht="60.75" thickBot="1" x14ac:dyDescent="0.3">
      <c r="C7" s="1349" t="s">
        <v>415</v>
      </c>
      <c r="D7" s="1350"/>
      <c r="E7" s="817" t="s">
        <v>416</v>
      </c>
    </row>
    <row r="8" spans="2:12" ht="14.4" customHeight="1" x14ac:dyDescent="0.3">
      <c r="C8" s="179" t="s">
        <v>1</v>
      </c>
      <c r="D8" s="198" t="s">
        <v>410</v>
      </c>
      <c r="E8" s="199"/>
      <c r="G8" s="1351" t="s">
        <v>780</v>
      </c>
      <c r="H8" s="1352"/>
    </row>
    <row r="9" spans="2:12" x14ac:dyDescent="0.3">
      <c r="C9" s="180"/>
      <c r="D9" s="45"/>
      <c r="E9" s="183"/>
      <c r="G9" s="1353"/>
      <c r="H9" s="1354"/>
    </row>
    <row r="10" spans="2:12" x14ac:dyDescent="0.3">
      <c r="C10" s="180" t="s">
        <v>412</v>
      </c>
      <c r="D10" s="201" t="s">
        <v>410</v>
      </c>
      <c r="E10" s="202"/>
      <c r="G10" s="1353"/>
      <c r="H10" s="1354"/>
    </row>
    <row r="11" spans="2:12" x14ac:dyDescent="0.3">
      <c r="C11" s="180"/>
      <c r="D11" s="45"/>
      <c r="E11" s="183"/>
      <c r="G11" s="1353"/>
      <c r="H11" s="1354"/>
    </row>
    <row r="12" spans="2:12" ht="15" thickBot="1" x14ac:dyDescent="0.35">
      <c r="C12" s="180" t="s">
        <v>11</v>
      </c>
      <c r="D12" s="201" t="s">
        <v>411</v>
      </c>
      <c r="E12" s="202"/>
      <c r="G12" s="1355"/>
      <c r="H12" s="1356"/>
    </row>
    <row r="13" spans="2:12" ht="15.75" thickBot="1" x14ac:dyDescent="0.3">
      <c r="C13" s="180"/>
      <c r="D13" s="45"/>
      <c r="E13" s="183"/>
    </row>
    <row r="14" spans="2:12" ht="15" customHeight="1" x14ac:dyDescent="0.3">
      <c r="C14" s="206" t="s">
        <v>420</v>
      </c>
      <c r="D14" s="201" t="s">
        <v>410</v>
      </c>
      <c r="E14" s="202"/>
      <c r="G14" s="1351" t="s">
        <v>1052</v>
      </c>
      <c r="H14" s="1352"/>
    </row>
    <row r="15" spans="2:12" x14ac:dyDescent="0.3">
      <c r="C15" s="206"/>
      <c r="D15" s="45"/>
      <c r="E15" s="183"/>
      <c r="G15" s="1353"/>
      <c r="H15" s="1354"/>
    </row>
    <row r="16" spans="2:12" ht="15" thickBot="1" x14ac:dyDescent="0.35">
      <c r="C16" s="206" t="s">
        <v>413</v>
      </c>
      <c r="D16" s="201" t="s">
        <v>410</v>
      </c>
      <c r="E16" s="202"/>
      <c r="G16" s="1355"/>
      <c r="H16" s="1356"/>
    </row>
    <row r="17" spans="3:5" x14ac:dyDescent="0.3">
      <c r="C17" s="206"/>
      <c r="D17" s="45"/>
      <c r="E17" s="183"/>
    </row>
    <row r="18" spans="3:5" x14ac:dyDescent="0.3">
      <c r="C18" s="206" t="s">
        <v>418</v>
      </c>
      <c r="D18" s="201" t="s">
        <v>410</v>
      </c>
      <c r="E18" s="203">
        <f>IF(D18="yes",1,0)</f>
        <v>0</v>
      </c>
    </row>
    <row r="19" spans="3:5" x14ac:dyDescent="0.3">
      <c r="C19" s="206"/>
      <c r="D19" s="45"/>
      <c r="E19" s="183"/>
    </row>
    <row r="20" spans="3:5" x14ac:dyDescent="0.3">
      <c r="C20" s="206" t="s">
        <v>16</v>
      </c>
      <c r="D20" s="201" t="s">
        <v>410</v>
      </c>
      <c r="E20" s="202"/>
    </row>
    <row r="21" spans="3:5" x14ac:dyDescent="0.3">
      <c r="C21" s="206"/>
      <c r="D21" s="45"/>
      <c r="E21" s="183"/>
    </row>
    <row r="22" spans="3:5" x14ac:dyDescent="0.3">
      <c r="C22" s="206" t="s">
        <v>417</v>
      </c>
      <c r="D22" s="201" t="s">
        <v>410</v>
      </c>
      <c r="E22" s="203">
        <f>IF(D22="yes",1,0)</f>
        <v>0</v>
      </c>
    </row>
    <row r="23" spans="3:5" x14ac:dyDescent="0.3">
      <c r="C23" s="206"/>
      <c r="D23" s="45"/>
      <c r="E23" s="183"/>
    </row>
    <row r="24" spans="3:5" x14ac:dyDescent="0.3">
      <c r="C24" s="206" t="s">
        <v>419</v>
      </c>
      <c r="D24" s="201" t="s">
        <v>410</v>
      </c>
      <c r="E24" s="203">
        <f>IF(D24="yes",1,0)</f>
        <v>0</v>
      </c>
    </row>
    <row r="25" spans="3:5" x14ac:dyDescent="0.3">
      <c r="C25" s="206"/>
      <c r="D25" s="45"/>
      <c r="E25" s="183"/>
    </row>
    <row r="26" spans="3:5" ht="15" thickBot="1" x14ac:dyDescent="0.35">
      <c r="C26" s="207" t="s">
        <v>471</v>
      </c>
      <c r="D26" s="204" t="s">
        <v>411</v>
      </c>
      <c r="E26" s="205"/>
    </row>
    <row r="27" spans="3:5" ht="15" thickBot="1" x14ac:dyDescent="0.35">
      <c r="C27" s="1358" t="s">
        <v>1051</v>
      </c>
      <c r="D27" s="1359"/>
      <c r="E27" s="816">
        <f>SUM(E8:E26)</f>
        <v>0</v>
      </c>
    </row>
  </sheetData>
  <mergeCells count="5">
    <mergeCell ref="C7:D7"/>
    <mergeCell ref="G8:H12"/>
    <mergeCell ref="G14:H16"/>
    <mergeCell ref="C4:H4"/>
    <mergeCell ref="C27:D27"/>
  </mergeCells>
  <dataValidations count="3">
    <dataValidation type="list" allowBlank="1" showInputMessage="1" showErrorMessage="1" sqref="E14">
      <formula1>onetotwo</formula1>
    </dataValidation>
    <dataValidation type="list" allowBlank="1" showInputMessage="1" showErrorMessage="1" sqref="E26 E16 E12 E8 E10 E20">
      <formula1>onethrusix</formula1>
    </dataValidation>
    <dataValidation type="list" allowBlank="1" showInputMessage="1" showErrorMessage="1" sqref="D8 D10 D12 D14 D16 D18 D20 D22 D24 D26">
      <formula1>buildingsYN</formula1>
    </dataValidation>
  </dataValidations>
  <pageMargins left="0.7" right="0.7" top="0.75" bottom="0.75" header="0.3" footer="0.3"/>
  <pageSetup orientation="portrait" r:id="rId1"/>
  <headerFooter>
    <oddHeader>&amp;C&amp;"-,Bold"&amp;12&amp;F, &amp;A</oddHeader>
    <oddFooter>&amp;R&amp;10Page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39997558519241921"/>
  </sheetPr>
  <dimension ref="B1:Z691"/>
  <sheetViews>
    <sheetView showGridLines="0" zoomScaleNormal="100" workbookViewId="0">
      <selection activeCell="L16" sqref="L16"/>
    </sheetView>
  </sheetViews>
  <sheetFormatPr defaultColWidth="9.109375" defaultRowHeight="14.4" x14ac:dyDescent="0.3"/>
  <cols>
    <col min="1" max="1" width="3.44140625" style="13" customWidth="1"/>
    <col min="2" max="2" width="4.5546875" style="35" customWidth="1"/>
    <col min="3" max="3" width="28.88671875" style="13" customWidth="1"/>
    <col min="4" max="4" width="18.6640625" style="125" hidden="1" customWidth="1"/>
    <col min="5" max="5" width="27" style="13" customWidth="1"/>
    <col min="6" max="6" width="21.6640625" style="125" hidden="1" customWidth="1"/>
    <col min="7" max="7" width="18.109375" style="13" customWidth="1"/>
    <col min="8" max="8" width="15" style="13" customWidth="1"/>
    <col min="9" max="9" width="29.88671875" style="13" customWidth="1"/>
    <col min="10" max="11" width="29.88671875" style="125" hidden="1" customWidth="1"/>
    <col min="12" max="12" width="25.6640625" style="13" customWidth="1"/>
    <col min="13" max="13" width="14.6640625" style="13" customWidth="1"/>
    <col min="14" max="14" width="11.5546875" style="13" customWidth="1"/>
    <col min="15" max="15" width="11.33203125" style="13" customWidth="1"/>
    <col min="16" max="16" width="12.6640625" style="13" customWidth="1"/>
    <col min="17" max="17" width="23.33203125" style="124" customWidth="1"/>
    <col min="18" max="18" width="12.109375" style="13" customWidth="1"/>
    <col min="19" max="19" width="11.5546875" style="13" customWidth="1"/>
    <col min="20" max="20" width="12.44140625" style="13" customWidth="1"/>
    <col min="21" max="21" width="10.6640625" style="13" customWidth="1"/>
    <col min="22" max="22" width="23.109375" style="82" hidden="1" customWidth="1"/>
    <col min="23" max="23" width="17.33203125" style="13" customWidth="1"/>
    <col min="24" max="24" width="9.6640625" style="13" customWidth="1"/>
    <col min="25" max="16384" width="9.109375" style="13"/>
  </cols>
  <sheetData>
    <row r="1" spans="2:13" ht="15" x14ac:dyDescent="0.25">
      <c r="B1" s="2" t="s">
        <v>781</v>
      </c>
    </row>
    <row r="2" spans="2:13" ht="15" x14ac:dyDescent="0.25">
      <c r="B2" s="220" t="s">
        <v>782</v>
      </c>
      <c r="C2" s="176"/>
      <c r="D2" s="176"/>
      <c r="E2" s="176"/>
      <c r="F2" s="176"/>
      <c r="G2" s="176"/>
    </row>
    <row r="3" spans="2:13" x14ac:dyDescent="0.3">
      <c r="B3" s="177" t="s">
        <v>555</v>
      </c>
      <c r="C3" s="176" t="s">
        <v>499</v>
      </c>
      <c r="D3" s="176"/>
      <c r="E3" s="176"/>
      <c r="F3" s="176"/>
      <c r="G3" s="176"/>
    </row>
    <row r="4" spans="2:13" x14ac:dyDescent="0.3">
      <c r="B4" s="177" t="s">
        <v>555</v>
      </c>
      <c r="C4" s="176" t="s">
        <v>500</v>
      </c>
      <c r="D4" s="176"/>
      <c r="E4" s="176"/>
      <c r="F4" s="176"/>
      <c r="G4" s="176"/>
    </row>
    <row r="5" spans="2:13" x14ac:dyDescent="0.3">
      <c r="B5" s="177" t="s">
        <v>555</v>
      </c>
      <c r="C5" s="176" t="s">
        <v>505</v>
      </c>
      <c r="D5" s="176"/>
      <c r="E5" s="176"/>
      <c r="F5" s="176"/>
      <c r="G5" s="176"/>
    </row>
    <row r="6" spans="2:13" ht="15.75" thickBot="1" x14ac:dyDescent="0.3"/>
    <row r="7" spans="2:13" ht="15.75" thickBot="1" x14ac:dyDescent="0.3">
      <c r="C7" s="1367" t="s">
        <v>289</v>
      </c>
      <c r="D7" s="1368"/>
      <c r="E7" s="1368"/>
      <c r="F7" s="222"/>
      <c r="G7" s="71"/>
      <c r="H7" s="209" t="s">
        <v>113</v>
      </c>
    </row>
    <row r="8" spans="2:13" ht="15.75" thickBot="1" x14ac:dyDescent="0.3">
      <c r="C8" s="210"/>
      <c r="D8" s="221"/>
      <c r="E8" s="210"/>
      <c r="F8" s="221"/>
      <c r="G8" s="85"/>
      <c r="H8" s="211"/>
    </row>
    <row r="9" spans="2:13" ht="63" customHeight="1" thickBot="1" x14ac:dyDescent="0.35">
      <c r="B9" s="696" t="s">
        <v>290</v>
      </c>
      <c r="C9" s="212" t="s">
        <v>783</v>
      </c>
      <c r="D9" s="223" t="s">
        <v>291</v>
      </c>
      <c r="E9" s="212" t="s">
        <v>784</v>
      </c>
      <c r="F9" s="223" t="s">
        <v>291</v>
      </c>
      <c r="G9" s="212" t="s">
        <v>785</v>
      </c>
      <c r="H9" s="212" t="s">
        <v>355</v>
      </c>
      <c r="J9" s="223" t="s">
        <v>291</v>
      </c>
      <c r="K9" s="223" t="s">
        <v>291</v>
      </c>
      <c r="L9" s="212" t="s">
        <v>395</v>
      </c>
    </row>
    <row r="10" spans="2:13" ht="15.75" thickBot="1" x14ac:dyDescent="0.3">
      <c r="B10" s="99">
        <v>1</v>
      </c>
      <c r="C10" s="955" t="str">
        <f>VLOOKUP(B10,listA!$C$4:$E$39,2)</f>
        <v xml:space="preserve">  </v>
      </c>
      <c r="D10" s="224" t="str">
        <f t="shared" ref="D10" si="0">C10</f>
        <v xml:space="preserve">  </v>
      </c>
      <c r="E10" s="955" t="str">
        <f>VLOOKUP(B10,listA!$C$4:$E$39,3)</f>
        <v xml:space="preserve">  </v>
      </c>
      <c r="F10" s="956" t="str">
        <f t="shared" ref="F10:F41" si="1">E10</f>
        <v xml:space="preserve">  </v>
      </c>
      <c r="G10" s="957"/>
      <c r="H10" s="219"/>
      <c r="J10" s="225"/>
      <c r="K10" s="225"/>
    </row>
    <row r="11" spans="2:13" ht="15" customHeight="1" thickBot="1" x14ac:dyDescent="0.35">
      <c r="B11" s="100">
        <v>2</v>
      </c>
      <c r="C11" s="955" t="str">
        <f>VLOOKUP(B11,listA!$C$4:$E$39,2)</f>
        <v xml:space="preserve">  </v>
      </c>
      <c r="D11" s="224" t="str">
        <f t="shared" ref="D11:D41" si="2">C11</f>
        <v xml:space="preserve">  </v>
      </c>
      <c r="E11" s="955" t="str">
        <f>VLOOKUP(B11,listA!$C$4:$E$39,3)</f>
        <v xml:space="preserve">  </v>
      </c>
      <c r="F11" s="956" t="str">
        <f t="shared" si="1"/>
        <v xml:space="preserve">  </v>
      </c>
      <c r="G11" s="957"/>
      <c r="H11" s="219"/>
      <c r="J11" s="225"/>
      <c r="K11" s="225"/>
      <c r="L11" s="1369" t="s">
        <v>1053</v>
      </c>
      <c r="M11" s="213"/>
    </row>
    <row r="12" spans="2:13" ht="15" thickBot="1" x14ac:dyDescent="0.35">
      <c r="B12" s="100">
        <v>3</v>
      </c>
      <c r="C12" s="955" t="str">
        <f>VLOOKUP(B12,listA!$C$4:$E$39,2)</f>
        <v xml:space="preserve">  </v>
      </c>
      <c r="D12" s="224" t="str">
        <f t="shared" si="2"/>
        <v xml:space="preserve">  </v>
      </c>
      <c r="E12" s="955" t="str">
        <f>VLOOKUP(B12,listA!$C$4:$E$39,3)</f>
        <v xml:space="preserve">  </v>
      </c>
      <c r="F12" s="956" t="str">
        <f t="shared" si="1"/>
        <v xml:space="preserve">  </v>
      </c>
      <c r="G12" s="957"/>
      <c r="H12" s="219"/>
      <c r="J12" s="225"/>
      <c r="K12" s="225"/>
      <c r="L12" s="1370"/>
      <c r="M12" s="213"/>
    </row>
    <row r="13" spans="2:13" ht="15" thickBot="1" x14ac:dyDescent="0.35">
      <c r="B13" s="100">
        <v>4</v>
      </c>
      <c r="C13" s="955" t="str">
        <f>VLOOKUP(B13,listA!$C$4:$E$39,2)</f>
        <v xml:space="preserve">  </v>
      </c>
      <c r="D13" s="224" t="str">
        <f t="shared" si="2"/>
        <v xml:space="preserve">  </v>
      </c>
      <c r="E13" s="955" t="str">
        <f>VLOOKUP(B13,listA!$C$4:$E$39,3)</f>
        <v xml:space="preserve">  </v>
      </c>
      <c r="F13" s="956" t="str">
        <f t="shared" si="1"/>
        <v xml:space="preserve">  </v>
      </c>
      <c r="G13" s="957"/>
      <c r="H13" s="219"/>
      <c r="J13" s="225"/>
      <c r="K13" s="225"/>
      <c r="L13" s="1371"/>
      <c r="M13" s="213"/>
    </row>
    <row r="14" spans="2:13" ht="15.75" thickBot="1" x14ac:dyDescent="0.3">
      <c r="B14" s="100">
        <v>5</v>
      </c>
      <c r="C14" s="955" t="str">
        <f>VLOOKUP(B14,listA!$C$4:$E$39,2)</f>
        <v xml:space="preserve">  </v>
      </c>
      <c r="D14" s="224" t="str">
        <f t="shared" si="2"/>
        <v xml:space="preserve">  </v>
      </c>
      <c r="E14" s="955" t="str">
        <f>VLOOKUP(B14,listA!$C$4:$E$39,3)</f>
        <v xml:space="preserve">  </v>
      </c>
      <c r="F14" s="956" t="str">
        <f t="shared" si="1"/>
        <v xml:space="preserve">  </v>
      </c>
      <c r="G14" s="957"/>
      <c r="H14" s="219"/>
      <c r="J14" s="225"/>
      <c r="K14" s="225"/>
      <c r="L14" s="213"/>
      <c r="M14" s="45"/>
    </row>
    <row r="15" spans="2:13" ht="15.75" thickBot="1" x14ac:dyDescent="0.3">
      <c r="B15" s="100">
        <v>6</v>
      </c>
      <c r="C15" s="955" t="str">
        <f>VLOOKUP(B15,listA!$C$4:$E$39,2)</f>
        <v xml:space="preserve">  </v>
      </c>
      <c r="D15" s="224" t="str">
        <f t="shared" si="2"/>
        <v xml:space="preserve">  </v>
      </c>
      <c r="E15" s="955" t="str">
        <f>VLOOKUP(B15,listA!$C$4:$E$39,3)</f>
        <v xml:space="preserve">  </v>
      </c>
      <c r="F15" s="956" t="str">
        <f t="shared" si="1"/>
        <v xml:space="preserve">  </v>
      </c>
      <c r="G15" s="957"/>
      <c r="H15" s="219"/>
      <c r="J15" s="225"/>
      <c r="K15" s="225"/>
      <c r="L15" s="213"/>
      <c r="M15" s="45"/>
    </row>
    <row r="16" spans="2:13" ht="15.75" thickBot="1" x14ac:dyDescent="0.3">
      <c r="B16" s="100">
        <v>7</v>
      </c>
      <c r="C16" s="955" t="str">
        <f>VLOOKUP(B16,listA!$C$4:$E$39,2)</f>
        <v xml:space="preserve">  </v>
      </c>
      <c r="D16" s="224" t="str">
        <f t="shared" si="2"/>
        <v xml:space="preserve">  </v>
      </c>
      <c r="E16" s="955" t="str">
        <f>VLOOKUP(B16,listA!$C$4:$E$39,3)</f>
        <v xml:space="preserve">  </v>
      </c>
      <c r="F16" s="956" t="str">
        <f t="shared" si="1"/>
        <v xml:space="preserve">  </v>
      </c>
      <c r="G16" s="957"/>
      <c r="H16" s="219"/>
      <c r="J16" s="225"/>
      <c r="K16" s="225"/>
      <c r="M16" s="45"/>
    </row>
    <row r="17" spans="2:22" ht="15" thickBot="1" x14ac:dyDescent="0.35">
      <c r="B17" s="100">
        <v>8</v>
      </c>
      <c r="C17" s="955" t="str">
        <f>VLOOKUP(B17,listA!$C$4:$E$39,2)</f>
        <v xml:space="preserve">  </v>
      </c>
      <c r="D17" s="224" t="str">
        <f t="shared" si="2"/>
        <v xml:space="preserve">  </v>
      </c>
      <c r="E17" s="955" t="str">
        <f>VLOOKUP(B17,listA!$C$4:$E$39,3)</f>
        <v xml:space="preserve">  </v>
      </c>
      <c r="F17" s="956" t="str">
        <f t="shared" si="1"/>
        <v xml:space="preserve">  </v>
      </c>
      <c r="G17" s="957"/>
      <c r="H17" s="219"/>
      <c r="J17" s="225"/>
      <c r="K17" s="225"/>
    </row>
    <row r="18" spans="2:22" ht="15" thickBot="1" x14ac:dyDescent="0.35">
      <c r="B18" s="100">
        <v>9</v>
      </c>
      <c r="C18" s="955" t="str">
        <f>VLOOKUP(B18,listA!$C$4:$E$39,2)</f>
        <v xml:space="preserve">  </v>
      </c>
      <c r="D18" s="224" t="str">
        <f t="shared" si="2"/>
        <v xml:space="preserve">  </v>
      </c>
      <c r="E18" s="955" t="str">
        <f>VLOOKUP(B18,listA!$C$4:$E$39,3)</f>
        <v xml:space="preserve">  </v>
      </c>
      <c r="F18" s="956" t="str">
        <f t="shared" si="1"/>
        <v xml:space="preserve">  </v>
      </c>
      <c r="G18" s="957"/>
      <c r="H18" s="219"/>
      <c r="J18" s="225"/>
      <c r="K18" s="225"/>
    </row>
    <row r="19" spans="2:22" ht="15" thickBot="1" x14ac:dyDescent="0.35">
      <c r="B19" s="100">
        <v>10</v>
      </c>
      <c r="C19" s="955" t="str">
        <f>VLOOKUP(B19,listA!$C$4:$E$39,2)</f>
        <v xml:space="preserve">  </v>
      </c>
      <c r="D19" s="224" t="str">
        <f t="shared" si="2"/>
        <v xml:space="preserve">  </v>
      </c>
      <c r="E19" s="955" t="str">
        <f>VLOOKUP(B19,listA!$C$4:$E$39,3)</f>
        <v xml:space="preserve">  </v>
      </c>
      <c r="F19" s="956" t="str">
        <f t="shared" si="1"/>
        <v xml:space="preserve">  </v>
      </c>
      <c r="G19" s="957"/>
      <c r="H19" s="219"/>
      <c r="J19" s="225"/>
      <c r="K19" s="225"/>
    </row>
    <row r="20" spans="2:22" ht="15" thickBot="1" x14ac:dyDescent="0.35">
      <c r="B20" s="100">
        <v>11</v>
      </c>
      <c r="C20" s="955" t="str">
        <f>VLOOKUP(B20,listA!$C$4:$E$39,2)</f>
        <v xml:space="preserve">  </v>
      </c>
      <c r="D20" s="224" t="str">
        <f t="shared" si="2"/>
        <v xml:space="preserve">  </v>
      </c>
      <c r="E20" s="955" t="str">
        <f>VLOOKUP(B20,listA!$C$4:$E$39,3)</f>
        <v xml:space="preserve">  </v>
      </c>
      <c r="F20" s="956" t="str">
        <f t="shared" si="1"/>
        <v xml:space="preserve">  </v>
      </c>
      <c r="G20" s="957"/>
      <c r="H20" s="219"/>
      <c r="J20" s="225"/>
      <c r="K20" s="225"/>
    </row>
    <row r="21" spans="2:22" ht="15" thickBot="1" x14ac:dyDescent="0.35">
      <c r="B21" s="100">
        <v>12</v>
      </c>
      <c r="C21" s="955" t="str">
        <f>VLOOKUP(B21,listA!$C$4:$E$39,2)</f>
        <v xml:space="preserve">  </v>
      </c>
      <c r="D21" s="224" t="str">
        <f t="shared" si="2"/>
        <v xml:space="preserve">  </v>
      </c>
      <c r="E21" s="955" t="str">
        <f>VLOOKUP(B21,listA!$C$4:$E$39,3)</f>
        <v xml:space="preserve">  </v>
      </c>
      <c r="F21" s="956" t="str">
        <f t="shared" si="1"/>
        <v xml:space="preserve">  </v>
      </c>
      <c r="G21" s="957"/>
      <c r="H21" s="219"/>
      <c r="J21" s="225"/>
      <c r="K21" s="225"/>
    </row>
    <row r="22" spans="2:22" ht="15" thickBot="1" x14ac:dyDescent="0.35">
      <c r="B22" s="100">
        <v>13</v>
      </c>
      <c r="C22" s="955" t="str">
        <f>VLOOKUP(B22,listA!$C$4:$E$39,2)</f>
        <v xml:space="preserve">  </v>
      </c>
      <c r="D22" s="224" t="str">
        <f t="shared" si="2"/>
        <v xml:space="preserve">  </v>
      </c>
      <c r="E22" s="955" t="str">
        <f>VLOOKUP(B22,listA!$C$4:$E$39,3)</f>
        <v xml:space="preserve">  </v>
      </c>
      <c r="F22" s="956" t="str">
        <f t="shared" si="1"/>
        <v xml:space="preserve">  </v>
      </c>
      <c r="G22" s="957"/>
      <c r="H22" s="219"/>
      <c r="J22" s="225"/>
      <c r="K22" s="225"/>
    </row>
    <row r="23" spans="2:22" ht="15" thickBot="1" x14ac:dyDescent="0.35">
      <c r="B23" s="100">
        <v>14</v>
      </c>
      <c r="C23" s="955" t="str">
        <f>VLOOKUP(B23,listA!$C$4:$E$39,2)</f>
        <v xml:space="preserve">  </v>
      </c>
      <c r="D23" s="224" t="str">
        <f t="shared" si="2"/>
        <v xml:space="preserve">  </v>
      </c>
      <c r="E23" s="955" t="str">
        <f>VLOOKUP(B23,listA!$C$4:$E$39,3)</f>
        <v xml:space="preserve">  </v>
      </c>
      <c r="F23" s="956" t="str">
        <f t="shared" si="1"/>
        <v xml:space="preserve">  </v>
      </c>
      <c r="G23" s="957"/>
      <c r="H23" s="219"/>
      <c r="J23" s="225"/>
      <c r="K23" s="225"/>
    </row>
    <row r="24" spans="2:22" ht="15" thickBot="1" x14ac:dyDescent="0.35">
      <c r="B24" s="100">
        <v>15</v>
      </c>
      <c r="C24" s="955" t="str">
        <f>VLOOKUP(B24,listA!$C$4:$E$39,2)</f>
        <v xml:space="preserve">  </v>
      </c>
      <c r="D24" s="224" t="str">
        <f t="shared" si="2"/>
        <v xml:space="preserve">  </v>
      </c>
      <c r="E24" s="955" t="str">
        <f>VLOOKUP(B24,listA!$C$4:$E$39,3)</f>
        <v xml:space="preserve">  </v>
      </c>
      <c r="F24" s="956" t="str">
        <f t="shared" si="1"/>
        <v xml:space="preserve">  </v>
      </c>
      <c r="G24" s="957"/>
      <c r="H24" s="219"/>
      <c r="J24" s="225"/>
      <c r="K24" s="225"/>
    </row>
    <row r="25" spans="2:22" ht="15" thickBot="1" x14ac:dyDescent="0.35">
      <c r="B25" s="100">
        <v>16</v>
      </c>
      <c r="C25" s="955" t="str">
        <f>VLOOKUP(B25,listA!$C$4:$E$39,2)</f>
        <v xml:space="preserve">  </v>
      </c>
      <c r="D25" s="224" t="str">
        <f t="shared" si="2"/>
        <v xml:space="preserve">  </v>
      </c>
      <c r="E25" s="955" t="str">
        <f>VLOOKUP(B25,listA!$C$4:$E$39,3)</f>
        <v xml:space="preserve">  </v>
      </c>
      <c r="F25" s="956" t="str">
        <f t="shared" si="1"/>
        <v xml:space="preserve">  </v>
      </c>
      <c r="G25" s="958"/>
      <c r="H25" s="71"/>
      <c r="J25" s="225"/>
      <c r="K25" s="225"/>
    </row>
    <row r="26" spans="2:22" ht="15" thickBot="1" x14ac:dyDescent="0.35">
      <c r="B26" s="100">
        <v>17</v>
      </c>
      <c r="C26" s="955" t="str">
        <f>VLOOKUP(B26,listA!$C$4:$E$39,2)</f>
        <v xml:space="preserve">  </v>
      </c>
      <c r="D26" s="224" t="str">
        <f t="shared" si="2"/>
        <v xml:space="preserve">  </v>
      </c>
      <c r="E26" s="955" t="str">
        <f>VLOOKUP(B26,listA!$C$4:$E$39,3)</f>
        <v xml:space="preserve">  </v>
      </c>
      <c r="F26" s="956" t="str">
        <f t="shared" si="1"/>
        <v xml:space="preserve">  </v>
      </c>
      <c r="G26" s="958"/>
      <c r="H26" s="71"/>
      <c r="J26" s="225"/>
      <c r="K26" s="225"/>
      <c r="Q26" s="13"/>
      <c r="T26" s="85"/>
      <c r="U26" s="87"/>
      <c r="V26" s="125"/>
    </row>
    <row r="27" spans="2:22" ht="15" thickBot="1" x14ac:dyDescent="0.35">
      <c r="B27" s="100">
        <v>18</v>
      </c>
      <c r="C27" s="955" t="str">
        <f>VLOOKUP(B27,listA!$C$4:$E$39,2)</f>
        <v xml:space="preserve">  </v>
      </c>
      <c r="D27" s="224" t="str">
        <f t="shared" si="2"/>
        <v xml:space="preserve">  </v>
      </c>
      <c r="E27" s="955" t="str">
        <f>VLOOKUP(B27,listA!$C$4:$E$39,3)</f>
        <v xml:space="preserve">  </v>
      </c>
      <c r="F27" s="956" t="str">
        <f t="shared" si="1"/>
        <v xml:space="preserve">  </v>
      </c>
      <c r="G27" s="958"/>
      <c r="H27" s="71"/>
      <c r="J27" s="225"/>
      <c r="K27" s="225"/>
      <c r="Q27" s="13"/>
      <c r="T27" s="85"/>
      <c r="U27" s="87"/>
      <c r="V27" s="125"/>
    </row>
    <row r="28" spans="2:22" ht="15" thickBot="1" x14ac:dyDescent="0.35">
      <c r="B28" s="100">
        <v>19</v>
      </c>
      <c r="C28" s="955" t="str">
        <f>VLOOKUP(B28,listA!$C$4:$E$39,2)</f>
        <v xml:space="preserve">  </v>
      </c>
      <c r="D28" s="224" t="str">
        <f t="shared" si="2"/>
        <v xml:space="preserve">  </v>
      </c>
      <c r="E28" s="955" t="str">
        <f>VLOOKUP(B28,listA!$C$4:$E$39,3)</f>
        <v xml:space="preserve">  </v>
      </c>
      <c r="F28" s="956" t="str">
        <f t="shared" si="1"/>
        <v xml:space="preserve">  </v>
      </c>
      <c r="G28" s="958"/>
      <c r="H28" s="71"/>
      <c r="J28" s="225"/>
      <c r="K28" s="225"/>
      <c r="Q28" s="13"/>
      <c r="V28" s="13"/>
    </row>
    <row r="29" spans="2:22" ht="15" thickBot="1" x14ac:dyDescent="0.35">
      <c r="B29" s="100">
        <v>20</v>
      </c>
      <c r="C29" s="955" t="str">
        <f>VLOOKUP(B29,listA!$C$4:$E$39,2)</f>
        <v xml:space="preserve">  </v>
      </c>
      <c r="D29" s="224" t="str">
        <f t="shared" si="2"/>
        <v xml:space="preserve">  </v>
      </c>
      <c r="E29" s="955" t="str">
        <f>VLOOKUP(B29,listA!$C$4:$E$39,3)</f>
        <v xml:space="preserve">  </v>
      </c>
      <c r="F29" s="956" t="str">
        <f t="shared" si="1"/>
        <v xml:space="preserve">  </v>
      </c>
      <c r="G29" s="958"/>
      <c r="H29" s="71"/>
      <c r="J29" s="225"/>
      <c r="K29" s="225"/>
      <c r="Q29" s="13"/>
      <c r="V29" s="13"/>
    </row>
    <row r="30" spans="2:22" ht="15" thickBot="1" x14ac:dyDescent="0.35">
      <c r="B30" s="100">
        <v>21</v>
      </c>
      <c r="C30" s="955" t="str">
        <f>VLOOKUP(B30,listA!$C$4:$E$39,2)</f>
        <v xml:space="preserve">  </v>
      </c>
      <c r="D30" s="224" t="str">
        <f t="shared" si="2"/>
        <v xml:space="preserve">  </v>
      </c>
      <c r="E30" s="955" t="str">
        <f>VLOOKUP(B30,listA!$C$4:$E$39,3)</f>
        <v xml:space="preserve">  </v>
      </c>
      <c r="F30" s="956" t="str">
        <f t="shared" si="1"/>
        <v xml:space="preserve">  </v>
      </c>
      <c r="G30" s="958"/>
      <c r="H30" s="71"/>
      <c r="J30" s="225"/>
      <c r="K30" s="225"/>
      <c r="Q30" s="13"/>
      <c r="V30" s="13"/>
    </row>
    <row r="31" spans="2:22" ht="15" thickBot="1" x14ac:dyDescent="0.35">
      <c r="B31" s="100">
        <v>22</v>
      </c>
      <c r="C31" s="955" t="str">
        <f>VLOOKUP(B31,listA!$C$4:$E$39,2)</f>
        <v xml:space="preserve">  </v>
      </c>
      <c r="D31" s="224" t="str">
        <f t="shared" si="2"/>
        <v xml:space="preserve">  </v>
      </c>
      <c r="E31" s="955" t="str">
        <f>VLOOKUP(B31,listA!$C$4:$E$39,3)</f>
        <v xml:space="preserve">  </v>
      </c>
      <c r="F31" s="956" t="str">
        <f t="shared" si="1"/>
        <v xml:space="preserve">  </v>
      </c>
      <c r="G31" s="958"/>
      <c r="H31" s="71"/>
      <c r="J31" s="225"/>
      <c r="K31" s="225"/>
      <c r="Q31" s="13"/>
    </row>
    <row r="32" spans="2:22" ht="15" thickBot="1" x14ac:dyDescent="0.35">
      <c r="B32" s="100">
        <v>23</v>
      </c>
      <c r="C32" s="955" t="str">
        <f>VLOOKUP(B32,listA!$C$4:$E$39,2)</f>
        <v xml:space="preserve">  </v>
      </c>
      <c r="D32" s="224" t="str">
        <f t="shared" si="2"/>
        <v xml:space="preserve">  </v>
      </c>
      <c r="E32" s="955" t="str">
        <f>VLOOKUP(B32,listA!$C$4:$E$39,3)</f>
        <v xml:space="preserve">  </v>
      </c>
      <c r="F32" s="956" t="str">
        <f t="shared" si="1"/>
        <v xml:space="preserve">  </v>
      </c>
      <c r="G32" s="958"/>
      <c r="H32" s="71"/>
      <c r="J32" s="225"/>
      <c r="K32" s="225"/>
      <c r="Q32" s="13"/>
    </row>
    <row r="33" spans="2:25" ht="15" thickBot="1" x14ac:dyDescent="0.35">
      <c r="B33" s="100">
        <v>24</v>
      </c>
      <c r="C33" s="955" t="str">
        <f>VLOOKUP(B33,listA!$C$4:$E$39,2)</f>
        <v xml:space="preserve">  </v>
      </c>
      <c r="D33" s="224" t="str">
        <f t="shared" si="2"/>
        <v xml:space="preserve">  </v>
      </c>
      <c r="E33" s="955" t="str">
        <f>VLOOKUP(B33,listA!$C$4:$E$39,3)</f>
        <v xml:space="preserve">  </v>
      </c>
      <c r="F33" s="956" t="str">
        <f t="shared" si="1"/>
        <v xml:space="preserve">  </v>
      </c>
      <c r="G33" s="958"/>
      <c r="H33" s="71"/>
      <c r="J33" s="225"/>
      <c r="K33" s="225"/>
    </row>
    <row r="34" spans="2:25" ht="15" thickBot="1" x14ac:dyDescent="0.35">
      <c r="B34" s="100">
        <v>25</v>
      </c>
      <c r="C34" s="955" t="str">
        <f>VLOOKUP(B34,listA!$C$4:$E$39,2)</f>
        <v xml:space="preserve">  </v>
      </c>
      <c r="D34" s="224" t="str">
        <f t="shared" si="2"/>
        <v xml:space="preserve">  </v>
      </c>
      <c r="E34" s="955" t="str">
        <f>VLOOKUP(B34,listA!$C$4:$E$39,3)</f>
        <v xml:space="preserve">  </v>
      </c>
      <c r="F34" s="956" t="str">
        <f t="shared" si="1"/>
        <v xml:space="preserve">  </v>
      </c>
      <c r="G34" s="958"/>
      <c r="H34" s="71"/>
      <c r="J34" s="225"/>
      <c r="K34" s="225"/>
    </row>
    <row r="35" spans="2:25" ht="15" thickBot="1" x14ac:dyDescent="0.35">
      <c r="B35" s="100">
        <v>26</v>
      </c>
      <c r="C35" s="955" t="str">
        <f>VLOOKUP(B35,listA!$C$4:$E$39,2)</f>
        <v xml:space="preserve">  </v>
      </c>
      <c r="D35" s="224" t="str">
        <f t="shared" si="2"/>
        <v xml:space="preserve">  </v>
      </c>
      <c r="E35" s="955" t="str">
        <f>VLOOKUP(B35,listA!$C$4:$E$39,3)</f>
        <v xml:space="preserve">  </v>
      </c>
      <c r="F35" s="956" t="str">
        <f t="shared" si="1"/>
        <v xml:space="preserve">  </v>
      </c>
      <c r="G35" s="958"/>
      <c r="H35" s="71"/>
      <c r="J35" s="225"/>
      <c r="K35" s="225"/>
    </row>
    <row r="36" spans="2:25" ht="15" thickBot="1" x14ac:dyDescent="0.35">
      <c r="B36" s="100">
        <v>27</v>
      </c>
      <c r="C36" s="955" t="str">
        <f>VLOOKUP(B36,listA!$C$4:$E$39,2)</f>
        <v xml:space="preserve">  </v>
      </c>
      <c r="D36" s="224" t="str">
        <f t="shared" si="2"/>
        <v xml:space="preserve">  </v>
      </c>
      <c r="E36" s="955" t="str">
        <f>VLOOKUP(B36,listA!$C$4:$E$39,3)</f>
        <v xml:space="preserve">  </v>
      </c>
      <c r="F36" s="956" t="str">
        <f t="shared" si="1"/>
        <v xml:space="preserve">  </v>
      </c>
      <c r="G36" s="958"/>
      <c r="H36" s="71"/>
      <c r="J36" s="225"/>
      <c r="K36" s="225"/>
    </row>
    <row r="37" spans="2:25" ht="15" thickBot="1" x14ac:dyDescent="0.35">
      <c r="B37" s="100">
        <v>28</v>
      </c>
      <c r="C37" s="955" t="str">
        <f>VLOOKUP(B37,listA!$C$4:$E$39,2)</f>
        <v xml:space="preserve">  </v>
      </c>
      <c r="D37" s="224" t="str">
        <f t="shared" si="2"/>
        <v xml:space="preserve">  </v>
      </c>
      <c r="E37" s="955" t="str">
        <f>VLOOKUP(B37,listA!$C$4:$E$39,3)</f>
        <v xml:space="preserve">  </v>
      </c>
      <c r="F37" s="956" t="str">
        <f t="shared" si="1"/>
        <v xml:space="preserve">  </v>
      </c>
      <c r="G37" s="958"/>
      <c r="H37" s="71"/>
      <c r="J37" s="225"/>
      <c r="K37" s="225"/>
    </row>
    <row r="38" spans="2:25" ht="15" thickBot="1" x14ac:dyDescent="0.35">
      <c r="B38" s="100">
        <v>29</v>
      </c>
      <c r="C38" s="955" t="str">
        <f>VLOOKUP(B38,listA!$C$4:$E$39,2)</f>
        <v xml:space="preserve">  </v>
      </c>
      <c r="D38" s="224" t="str">
        <f t="shared" si="2"/>
        <v xml:space="preserve">  </v>
      </c>
      <c r="E38" s="955" t="str">
        <f>VLOOKUP(B38,listA!$C$4:$E$39,3)</f>
        <v xml:space="preserve">  </v>
      </c>
      <c r="F38" s="956" t="str">
        <f t="shared" si="1"/>
        <v xml:space="preserve">  </v>
      </c>
      <c r="G38" s="958"/>
      <c r="H38" s="71"/>
      <c r="J38" s="225"/>
      <c r="K38" s="225"/>
    </row>
    <row r="39" spans="2:25" ht="15" thickBot="1" x14ac:dyDescent="0.35">
      <c r="B39" s="100">
        <v>30</v>
      </c>
      <c r="C39" s="955" t="str">
        <f>VLOOKUP(B39,listA!$C$4:$E$39,2)</f>
        <v xml:space="preserve">  </v>
      </c>
      <c r="D39" s="224" t="str">
        <f t="shared" si="2"/>
        <v xml:space="preserve">  </v>
      </c>
      <c r="E39" s="955" t="str">
        <f>VLOOKUP(B39,listA!$C$4:$E$39,3)</f>
        <v xml:space="preserve">  </v>
      </c>
      <c r="F39" s="956" t="str">
        <f t="shared" si="1"/>
        <v xml:space="preserve">  </v>
      </c>
      <c r="G39" s="958"/>
      <c r="H39" s="71"/>
      <c r="J39" s="225"/>
      <c r="K39" s="225"/>
    </row>
    <row r="40" spans="2:25" ht="15" thickBot="1" x14ac:dyDescent="0.35">
      <c r="B40" s="100">
        <v>31</v>
      </c>
      <c r="C40" s="955" t="str">
        <f>VLOOKUP(B40,listA!$C$4:$E$39,2)</f>
        <v xml:space="preserve">  </v>
      </c>
      <c r="D40" s="224" t="str">
        <f t="shared" si="2"/>
        <v xml:space="preserve">  </v>
      </c>
      <c r="E40" s="955" t="str">
        <f>VLOOKUP(B40,listA!$C$4:$E$39,3)</f>
        <v xml:space="preserve">  </v>
      </c>
      <c r="F40" s="956" t="str">
        <f t="shared" si="1"/>
        <v xml:space="preserve">  </v>
      </c>
      <c r="G40" s="958"/>
      <c r="H40" s="71"/>
      <c r="J40" s="225"/>
      <c r="K40" s="225"/>
    </row>
    <row r="41" spans="2:25" ht="15" thickBot="1" x14ac:dyDescent="0.35">
      <c r="B41" s="101">
        <v>32</v>
      </c>
      <c r="C41" s="955" t="str">
        <f>VLOOKUP(B41,listA!$C$4:$E$39,2)</f>
        <v xml:space="preserve">  </v>
      </c>
      <c r="D41" s="224" t="str">
        <f t="shared" si="2"/>
        <v xml:space="preserve">  </v>
      </c>
      <c r="E41" s="955" t="str">
        <f>VLOOKUP(B41,listA!$C$4:$E$39,3)</f>
        <v xml:space="preserve">  </v>
      </c>
      <c r="F41" s="956" t="str">
        <f t="shared" si="1"/>
        <v xml:space="preserve">  </v>
      </c>
      <c r="G41" s="958"/>
      <c r="H41" s="71"/>
      <c r="J41" s="225"/>
      <c r="K41" s="225"/>
    </row>
    <row r="42" spans="2:25" s="125" customFormat="1" ht="15" thickBot="1" x14ac:dyDescent="0.35">
      <c r="B42" s="86"/>
      <c r="C42" s="85"/>
      <c r="D42" s="224"/>
      <c r="E42" s="85"/>
      <c r="F42" s="224"/>
      <c r="G42" s="85"/>
      <c r="H42" s="88">
        <f>SUM(H10:H41)</f>
        <v>0</v>
      </c>
      <c r="J42" s="225"/>
      <c r="K42" s="225"/>
      <c r="Q42" s="214"/>
    </row>
    <row r="43" spans="2:25" s="125" customFormat="1" x14ac:dyDescent="0.3">
      <c r="J43" s="225"/>
      <c r="K43" s="225"/>
      <c r="M43" s="85"/>
      <c r="Q43" s="214"/>
    </row>
    <row r="44" spans="2:25" s="125" customFormat="1" x14ac:dyDescent="0.3">
      <c r="B44" s="238" t="s">
        <v>506</v>
      </c>
      <c r="C44" s="176"/>
      <c r="D44" s="208"/>
      <c r="E44" s="208"/>
      <c r="F44" s="208"/>
      <c r="G44" s="176"/>
      <c r="H44" s="176"/>
      <c r="I44" s="176"/>
      <c r="J44" s="225"/>
      <c r="K44" s="225"/>
      <c r="M44" s="85"/>
      <c r="Q44" s="214"/>
    </row>
    <row r="45" spans="2:25" s="125" customFormat="1" x14ac:dyDescent="0.3">
      <c r="B45" s="177" t="s">
        <v>555</v>
      </c>
      <c r="C45" s="220" t="s">
        <v>501</v>
      </c>
      <c r="D45" s="208"/>
      <c r="E45" s="208"/>
      <c r="F45" s="208"/>
      <c r="G45" s="176"/>
      <c r="H45" s="176"/>
      <c r="I45" s="176"/>
      <c r="J45" s="225"/>
      <c r="K45" s="225"/>
      <c r="M45" s="85"/>
      <c r="Q45" s="214"/>
    </row>
    <row r="46" spans="2:25" s="125" customFormat="1" x14ac:dyDescent="0.3">
      <c r="B46" s="176"/>
      <c r="C46" s="220" t="s">
        <v>692</v>
      </c>
      <c r="D46" s="176"/>
      <c r="E46" s="176"/>
      <c r="F46" s="176"/>
      <c r="G46" s="176"/>
      <c r="H46" s="176"/>
      <c r="I46" s="176"/>
      <c r="J46" s="225"/>
      <c r="K46" s="225"/>
      <c r="M46" s="85"/>
      <c r="Q46" s="214"/>
    </row>
    <row r="47" spans="2:25" s="125" customFormat="1" x14ac:dyDescent="0.3">
      <c r="B47" s="239" t="s">
        <v>555</v>
      </c>
      <c r="C47" s="240" t="s">
        <v>504</v>
      </c>
      <c r="D47" s="176"/>
      <c r="E47" s="176"/>
      <c r="F47" s="176"/>
      <c r="G47" s="176"/>
      <c r="H47" s="176"/>
      <c r="I47" s="176"/>
      <c r="J47" s="225"/>
      <c r="K47" s="225"/>
      <c r="M47" s="85"/>
      <c r="N47" s="85"/>
      <c r="O47" s="85"/>
      <c r="P47" s="85"/>
      <c r="Q47" s="231"/>
      <c r="R47" s="85"/>
      <c r="S47" s="85"/>
      <c r="T47" s="85"/>
      <c r="U47" s="85"/>
      <c r="V47" s="85"/>
      <c r="W47" s="85"/>
      <c r="X47" s="85"/>
      <c r="Y47" s="85"/>
    </row>
    <row r="48" spans="2:25" ht="29.25" customHeight="1" x14ac:dyDescent="0.3">
      <c r="B48" s="239"/>
      <c r="C48" s="1366" t="s">
        <v>691</v>
      </c>
      <c r="D48" s="1366"/>
      <c r="E48" s="1366"/>
      <c r="F48" s="1366"/>
      <c r="G48" s="1366"/>
      <c r="H48" s="1366"/>
      <c r="I48" s="176"/>
      <c r="J48" s="846"/>
      <c r="K48" s="846"/>
      <c r="M48" s="85"/>
      <c r="N48" s="85"/>
      <c r="O48" s="221"/>
      <c r="P48" s="221"/>
      <c r="Q48" s="221"/>
      <c r="R48" s="85"/>
      <c r="S48" s="228"/>
      <c r="T48" s="228"/>
      <c r="U48" s="85"/>
      <c r="V48" s="112"/>
      <c r="W48" s="85"/>
      <c r="X48" s="112"/>
      <c r="Y48" s="112"/>
    </row>
    <row r="49" spans="2:26" ht="15" thickBot="1" x14ac:dyDescent="0.35">
      <c r="B49" s="239" t="s">
        <v>555</v>
      </c>
      <c r="C49" s="240" t="s">
        <v>502</v>
      </c>
      <c r="D49" s="176"/>
      <c r="E49" s="176"/>
      <c r="F49" s="176"/>
      <c r="G49" s="176"/>
      <c r="H49" s="176"/>
      <c r="I49" s="176"/>
      <c r="J49" s="846"/>
      <c r="K49" s="846"/>
      <c r="M49" s="85"/>
      <c r="N49" s="85"/>
      <c r="O49" s="221"/>
      <c r="P49" s="221"/>
      <c r="Q49" s="221"/>
      <c r="R49" s="112"/>
      <c r="S49" s="228"/>
      <c r="T49" s="228"/>
      <c r="U49" s="228"/>
      <c r="V49" s="112"/>
      <c r="W49" s="85"/>
      <c r="X49" s="112"/>
      <c r="Y49" s="112"/>
    </row>
    <row r="50" spans="2:26" ht="14.4" customHeight="1" x14ac:dyDescent="0.3">
      <c r="B50" s="177" t="s">
        <v>555</v>
      </c>
      <c r="C50" s="240" t="s">
        <v>594</v>
      </c>
      <c r="D50" s="176"/>
      <c r="E50" s="176"/>
      <c r="F50" s="176"/>
      <c r="G50" s="176"/>
      <c r="H50" s="176"/>
      <c r="I50" s="176"/>
      <c r="J50" s="846"/>
      <c r="K50" s="846"/>
      <c r="M50" s="1372" t="s">
        <v>786</v>
      </c>
      <c r="N50" s="232" t="s">
        <v>503</v>
      </c>
      <c r="O50" s="233"/>
      <c r="P50" s="234"/>
      <c r="Q50" s="959"/>
      <c r="R50" s="1375" t="s">
        <v>787</v>
      </c>
      <c r="S50" s="1376"/>
      <c r="T50" s="1377"/>
      <c r="U50" s="1381" t="s">
        <v>369</v>
      </c>
      <c r="V50" s="810"/>
      <c r="W50" s="1360" t="s">
        <v>788</v>
      </c>
      <c r="X50" s="1361"/>
      <c r="Y50" s="960"/>
    </row>
    <row r="51" spans="2:26" ht="31.2" customHeight="1" thickBot="1" x14ac:dyDescent="0.35">
      <c r="D51" s="846"/>
      <c r="E51" s="85"/>
      <c r="F51" s="961"/>
      <c r="G51" s="45"/>
      <c r="J51" s="846"/>
      <c r="K51" s="846"/>
      <c r="M51" s="1373"/>
      <c r="N51" s="237" t="s">
        <v>64</v>
      </c>
      <c r="O51" s="962" t="s">
        <v>65</v>
      </c>
      <c r="P51" s="963" t="s">
        <v>66</v>
      </c>
      <c r="Q51" s="113"/>
      <c r="R51" s="1378"/>
      <c r="S51" s="1379"/>
      <c r="T51" s="1380"/>
      <c r="U51" s="1382"/>
      <c r="V51" s="811"/>
      <c r="W51" s="1362"/>
      <c r="X51" s="1363"/>
      <c r="Y51" s="960"/>
    </row>
    <row r="52" spans="2:26" ht="57.6" customHeight="1" thickBot="1" x14ac:dyDescent="0.35">
      <c r="B52" s="102" t="s">
        <v>290</v>
      </c>
      <c r="C52" s="103" t="s">
        <v>378</v>
      </c>
      <c r="D52" s="964" t="s">
        <v>291</v>
      </c>
      <c r="E52" s="103" t="s">
        <v>379</v>
      </c>
      <c r="F52" s="965" t="s">
        <v>291</v>
      </c>
      <c r="G52" s="810" t="s">
        <v>789</v>
      </c>
      <c r="H52" s="103" t="s">
        <v>790</v>
      </c>
      <c r="I52" s="98" t="s">
        <v>761</v>
      </c>
      <c r="J52" s="964" t="s">
        <v>291</v>
      </c>
      <c r="K52" s="964" t="s">
        <v>291</v>
      </c>
      <c r="L52" s="97" t="s">
        <v>394</v>
      </c>
      <c r="M52" s="1374"/>
      <c r="N52" s="236" t="s">
        <v>352</v>
      </c>
      <c r="O52" s="229" t="s">
        <v>353</v>
      </c>
      <c r="P52" s="230" t="s">
        <v>354</v>
      </c>
      <c r="Q52" s="235" t="s">
        <v>359</v>
      </c>
      <c r="R52" s="236" t="s">
        <v>292</v>
      </c>
      <c r="S52" s="229" t="s">
        <v>293</v>
      </c>
      <c r="T52" s="230" t="s">
        <v>294</v>
      </c>
      <c r="U52" s="1383"/>
      <c r="V52" s="812" t="s">
        <v>291</v>
      </c>
      <c r="W52" s="1364"/>
      <c r="X52" s="1365"/>
      <c r="Y52" s="960"/>
      <c r="Z52" s="966"/>
    </row>
    <row r="53" spans="2:26" ht="15" thickBot="1" x14ac:dyDescent="0.35">
      <c r="B53" s="814">
        <v>1</v>
      </c>
      <c r="C53" s="967" t="str">
        <f t="shared" ref="C53:H53" si="3">C10</f>
        <v xml:space="preserve">  </v>
      </c>
      <c r="D53" s="967" t="str">
        <f t="shared" si="3"/>
        <v xml:space="preserve">  </v>
      </c>
      <c r="E53" s="967" t="str">
        <f t="shared" si="3"/>
        <v xml:space="preserve">  </v>
      </c>
      <c r="F53" s="967" t="str">
        <f t="shared" si="3"/>
        <v xml:space="preserve">  </v>
      </c>
      <c r="G53" s="967">
        <f t="shared" si="3"/>
        <v>0</v>
      </c>
      <c r="H53" s="968">
        <f t="shared" si="3"/>
        <v>0</v>
      </c>
      <c r="I53" s="516" t="e">
        <f>IF(VLOOKUP(C10,list!$AA$5:$AS$14,2,FALSE)=0," ",(VLOOKUP(C10,list!$AA$5:$AS$14,2,FALSE)))</f>
        <v>#N/A</v>
      </c>
      <c r="J53" s="955" t="e">
        <f>IF(I53=" "," ",(D10&amp;"-"&amp;I53))</f>
        <v>#N/A</v>
      </c>
      <c r="K53" s="955" t="e">
        <f>IF(I53=" "," ",(F10&amp;"-"&amp;I53))</f>
        <v>#N/A</v>
      </c>
      <c r="L53" s="969" t="e">
        <f>IF(I53=" "," ",VLOOKUP(J53,list!$J$4:$M$117,4,FALSE))</f>
        <v>#N/A</v>
      </c>
      <c r="M53" s="70"/>
      <c r="N53" s="1300" t="str">
        <f>IF(SUMIFS('Level of Efficiency Assumptions'!$J:$J,'Level of Efficiency Assumptions'!$H:$H,$I53,'Level of Efficiency Assumptions'!$I:$I,N$51)=0," ",SUMIFS('Level of Efficiency Assumptions'!$J:$J,'Level of Efficiency Assumptions'!$H:$H,$I53,'Level of Efficiency Assumptions'!$I:$I,N$51))</f>
        <v xml:space="preserve"> </v>
      </c>
      <c r="O53" s="1301" t="str">
        <f>IF(SUMIFS('Level of Efficiency Assumptions'!$J:$J,'Level of Efficiency Assumptions'!$H:$H,$I53,'Level of Efficiency Assumptions'!$I:$I,O$51)=0," ",SUMIFS('Level of Efficiency Assumptions'!$J:$J,'Level of Efficiency Assumptions'!$H:$H,$I53,'Level of Efficiency Assumptions'!$I:$I,O$51))</f>
        <v xml:space="preserve"> </v>
      </c>
      <c r="P53" s="1302" t="str">
        <f>IF(SUMIFS('Level of Efficiency Assumptions'!$J:$J,'Level of Efficiency Assumptions'!$H:$H,$I53,'Level of Efficiency Assumptions'!$I:$I,P$51)=0," ",SUMIFS('Level of Efficiency Assumptions'!$J:$J,'Level of Efficiency Assumptions'!$H:$H,$I53,'Level of Efficiency Assumptions'!$I:$I,P$51))</f>
        <v xml:space="preserve"> </v>
      </c>
      <c r="Q53" s="970" t="e">
        <f>IF(I53=" "," ",(VLOOKUP(I53,list!$B$81:$C$111,2,FALSE)))</f>
        <v>#N/A</v>
      </c>
      <c r="R53" s="241">
        <f t="shared" ref="R53:R56" si="4">1-S53-T53</f>
        <v>0</v>
      </c>
      <c r="S53" s="83">
        <v>1</v>
      </c>
      <c r="T53" s="84">
        <v>0</v>
      </c>
      <c r="U53" s="242">
        <f>SUM(R53:T53)</f>
        <v>1</v>
      </c>
      <c r="W53" s="250" t="s">
        <v>367</v>
      </c>
      <c r="X53" s="251" t="s">
        <v>366</v>
      </c>
    </row>
    <row r="54" spans="2:26" ht="15" thickBot="1" x14ac:dyDescent="0.35">
      <c r="C54" s="520"/>
      <c r="D54" s="224" t="str">
        <f>D10</f>
        <v xml:space="preserve">  </v>
      </c>
      <c r="E54" s="224"/>
      <c r="F54" s="224" t="str">
        <f>F10</f>
        <v xml:space="preserve">  </v>
      </c>
      <c r="G54" s="224"/>
      <c r="H54" s="380"/>
      <c r="I54" s="516" t="e">
        <f>IF(VLOOKUP(C10,list!$AA$5:$AS$14,3,FALSE)=0," ",(VLOOKUP(C10,list!$AA$5:$AS$14,3,FALSE)))</f>
        <v>#N/A</v>
      </c>
      <c r="J54" s="955" t="e">
        <f t="shared" ref="J54:J69" si="5">IF(I54=" "," ",(D54&amp;"-"&amp;I54))</f>
        <v>#N/A</v>
      </c>
      <c r="K54" s="955" t="e">
        <f t="shared" ref="K54:K70" si="6">IF(I54=" "," ",(F54&amp;"-"&amp;I54))</f>
        <v>#N/A</v>
      </c>
      <c r="L54" s="969" t="e">
        <f>IF(I54=" "," ",VLOOKUP(J54,list!$J$4:$M$117,4,FALSE))</f>
        <v>#N/A</v>
      </c>
      <c r="M54" s="66"/>
      <c r="N54" s="1297" t="str">
        <f>IF(SUMIFS('Level of Efficiency Assumptions'!$J:$J,'Level of Efficiency Assumptions'!$H:$H,$I54,'Level of Efficiency Assumptions'!$I:$I,N$51)=0," ",SUMIFS('Level of Efficiency Assumptions'!$J:$J,'Level of Efficiency Assumptions'!$H:$H,$I54,'Level of Efficiency Assumptions'!$I:$I,N$51))</f>
        <v xml:space="preserve"> </v>
      </c>
      <c r="O54" s="1298" t="str">
        <f>IF(SUMIFS('Level of Efficiency Assumptions'!$J:$J,'Level of Efficiency Assumptions'!$H:$H,$I54,'Level of Efficiency Assumptions'!$I:$I,O$51)=0," ",SUMIFS('Level of Efficiency Assumptions'!$J:$J,'Level of Efficiency Assumptions'!$H:$H,$I54,'Level of Efficiency Assumptions'!$I:$I,O$51))</f>
        <v xml:space="preserve"> </v>
      </c>
      <c r="P54" s="1299" t="str">
        <f>IF(SUMIFS('Level of Efficiency Assumptions'!$J:$J,'Level of Efficiency Assumptions'!$H:$H,$I54,'Level of Efficiency Assumptions'!$I:$I,P$51)=0," ",SUMIFS('Level of Efficiency Assumptions'!$J:$J,'Level of Efficiency Assumptions'!$H:$H,$I54,'Level of Efficiency Assumptions'!$I:$I,P$51))</f>
        <v xml:space="preserve"> </v>
      </c>
      <c r="Q54" s="971" t="e">
        <f>IF(I54=" "," ",(VLOOKUP(I54,list!$B$81:$C$111,2,FALSE)))</f>
        <v>#N/A</v>
      </c>
      <c r="R54" s="243">
        <f t="shared" si="4"/>
        <v>0</v>
      </c>
      <c r="S54" s="64">
        <v>1</v>
      </c>
      <c r="T54" s="68">
        <v>0</v>
      </c>
      <c r="U54" s="244">
        <f t="shared" ref="U54:U70" si="7">SUM(R54:T54)</f>
        <v>1</v>
      </c>
      <c r="V54" s="82" t="e">
        <f>F54&amp;"-"&amp;W54</f>
        <v>#N/A</v>
      </c>
      <c r="W54" s="247" t="e">
        <f>HLOOKUP(D54,list!$O$34:$X$38,2,FALSE)</f>
        <v>#N/A</v>
      </c>
      <c r="X54" s="972">
        <v>1</v>
      </c>
    </row>
    <row r="55" spans="2:26" ht="15" thickBot="1" x14ac:dyDescent="0.35">
      <c r="C55" s="520"/>
      <c r="D55" s="224" t="str">
        <f>D54</f>
        <v xml:space="preserve">  </v>
      </c>
      <c r="E55" s="224"/>
      <c r="F55" s="224" t="str">
        <f>F54</f>
        <v xml:space="preserve">  </v>
      </c>
      <c r="G55" s="224"/>
      <c r="H55" s="380"/>
      <c r="I55" s="516" t="e">
        <f>IF(VLOOKUP(C10,list!$AA$5:$AS$14,4,FALSE)=0," ",(VLOOKUP(C10,list!$AA$5:$AS$14,4,FALSE)))</f>
        <v>#N/A</v>
      </c>
      <c r="J55" s="955" t="e">
        <f t="shared" si="5"/>
        <v>#N/A</v>
      </c>
      <c r="K55" s="955" t="e">
        <f t="shared" si="6"/>
        <v>#N/A</v>
      </c>
      <c r="L55" s="969" t="e">
        <f>IF(I55=" "," ",VLOOKUP(J55,list!$J$4:$M$117,4,FALSE))</f>
        <v>#N/A</v>
      </c>
      <c r="M55" s="66"/>
      <c r="N55" s="1297" t="str">
        <f>IF(SUMIFS('Level of Efficiency Assumptions'!$J:$J,'Level of Efficiency Assumptions'!$H:$H,$I55,'Level of Efficiency Assumptions'!$I:$I,N$51)=0," ",SUMIFS('Level of Efficiency Assumptions'!$J:$J,'Level of Efficiency Assumptions'!$H:$H,$I55,'Level of Efficiency Assumptions'!$I:$I,N$51))</f>
        <v xml:space="preserve"> </v>
      </c>
      <c r="O55" s="1298" t="str">
        <f>IF(SUMIFS('Level of Efficiency Assumptions'!$J:$J,'Level of Efficiency Assumptions'!$H:$H,$I55,'Level of Efficiency Assumptions'!$I:$I,O$51)=0," ",SUMIFS('Level of Efficiency Assumptions'!$J:$J,'Level of Efficiency Assumptions'!$H:$H,$I55,'Level of Efficiency Assumptions'!$I:$I,O$51))</f>
        <v xml:space="preserve"> </v>
      </c>
      <c r="P55" s="1299" t="str">
        <f>IF(SUMIFS('Level of Efficiency Assumptions'!$J:$J,'Level of Efficiency Assumptions'!$H:$H,$I55,'Level of Efficiency Assumptions'!$I:$I,P$51)=0," ",SUMIFS('Level of Efficiency Assumptions'!$J:$J,'Level of Efficiency Assumptions'!$H:$H,$I55,'Level of Efficiency Assumptions'!$I:$I,P$51))</f>
        <v xml:space="preserve"> </v>
      </c>
      <c r="Q55" s="971" t="e">
        <f>IF(I55=" "," ",(VLOOKUP(I55,list!$B$81:$C$111,2,FALSE)))</f>
        <v>#N/A</v>
      </c>
      <c r="R55" s="243">
        <f t="shared" si="4"/>
        <v>0</v>
      </c>
      <c r="S55" s="64">
        <v>1</v>
      </c>
      <c r="T55" s="68">
        <v>0</v>
      </c>
      <c r="U55" s="244">
        <f t="shared" si="7"/>
        <v>1</v>
      </c>
      <c r="V55" s="82" t="e">
        <f>F55&amp;"-"&amp;W55</f>
        <v>#N/A</v>
      </c>
      <c r="W55" s="248" t="e">
        <f>HLOOKUP(D55,list!$O$34:$X$38,3,FALSE)</f>
        <v>#N/A</v>
      </c>
      <c r="X55" s="973">
        <v>0.5</v>
      </c>
    </row>
    <row r="56" spans="2:26" ht="15" thickBot="1" x14ac:dyDescent="0.35">
      <c r="C56" s="520"/>
      <c r="D56" s="224" t="str">
        <f t="shared" ref="D56:F70" si="8">D55</f>
        <v xml:space="preserve">  </v>
      </c>
      <c r="E56" s="224"/>
      <c r="F56" s="224" t="str">
        <f t="shared" si="8"/>
        <v xml:space="preserve">  </v>
      </c>
      <c r="G56" s="224"/>
      <c r="H56" s="380"/>
      <c r="I56" s="516" t="e">
        <f>IF(VLOOKUP(C10,list!$AA$5:$AS$14,5,FALSE)=0," ",(VLOOKUP(C10,list!$AA$5:$AS$14,5,FALSE)))</f>
        <v>#N/A</v>
      </c>
      <c r="J56" s="955" t="e">
        <f t="shared" si="5"/>
        <v>#N/A</v>
      </c>
      <c r="K56" s="955" t="e">
        <f t="shared" si="6"/>
        <v>#N/A</v>
      </c>
      <c r="L56" s="969" t="e">
        <f>IF(I56=" "," ",VLOOKUP(J56,list!$J$4:$M$117,4,FALSE))</f>
        <v>#N/A</v>
      </c>
      <c r="M56" s="66"/>
      <c r="N56" s="1297" t="str">
        <f>IF(SUMIFS('Level of Efficiency Assumptions'!$J:$J,'Level of Efficiency Assumptions'!$H:$H,$I56,'Level of Efficiency Assumptions'!$I:$I,N$51)=0," ",SUMIFS('Level of Efficiency Assumptions'!$J:$J,'Level of Efficiency Assumptions'!$H:$H,$I56,'Level of Efficiency Assumptions'!$I:$I,N$51))</f>
        <v xml:space="preserve"> </v>
      </c>
      <c r="O56" s="1298" t="str">
        <f>IF(SUMIFS('Level of Efficiency Assumptions'!$J:$J,'Level of Efficiency Assumptions'!$H:$H,$I56,'Level of Efficiency Assumptions'!$I:$I,O$51)=0," ",SUMIFS('Level of Efficiency Assumptions'!$J:$J,'Level of Efficiency Assumptions'!$H:$H,$I56,'Level of Efficiency Assumptions'!$I:$I,O$51))</f>
        <v xml:space="preserve"> </v>
      </c>
      <c r="P56" s="1299" t="str">
        <f>IF(SUMIFS('Level of Efficiency Assumptions'!$J:$J,'Level of Efficiency Assumptions'!$H:$H,$I56,'Level of Efficiency Assumptions'!$I:$I,P$51)=0," ",SUMIFS('Level of Efficiency Assumptions'!$J:$J,'Level of Efficiency Assumptions'!$H:$H,$I56,'Level of Efficiency Assumptions'!$I:$I,P$51))</f>
        <v xml:space="preserve"> </v>
      </c>
      <c r="Q56" s="971" t="e">
        <f>IF(I56=" "," ",(VLOOKUP(I56,list!$B$81:$C$111,2,FALSE)))</f>
        <v>#N/A</v>
      </c>
      <c r="R56" s="243">
        <f t="shared" si="4"/>
        <v>0</v>
      </c>
      <c r="S56" s="64">
        <v>1</v>
      </c>
      <c r="T56" s="68">
        <v>0</v>
      </c>
      <c r="U56" s="244">
        <f t="shared" si="7"/>
        <v>1</v>
      </c>
      <c r="V56" s="82" t="e">
        <f>F56&amp;"-"&amp;W56</f>
        <v>#N/A</v>
      </c>
      <c r="W56" s="248" t="e">
        <f>HLOOKUP(D56,list!$O$34:$X$38,4,FALSE)</f>
        <v>#N/A</v>
      </c>
      <c r="X56" s="973">
        <v>0.5</v>
      </c>
    </row>
    <row r="57" spans="2:26" ht="15" thickBot="1" x14ac:dyDescent="0.35">
      <c r="C57" s="520"/>
      <c r="D57" s="224" t="str">
        <f t="shared" si="8"/>
        <v xml:space="preserve">  </v>
      </c>
      <c r="E57" s="224"/>
      <c r="F57" s="224" t="str">
        <f t="shared" si="8"/>
        <v xml:space="preserve">  </v>
      </c>
      <c r="G57" s="224"/>
      <c r="H57" s="380"/>
      <c r="I57" s="516" t="e">
        <f>IF(VLOOKUP(C10,list!$AA$5:$AS$14,6,FALSE)=0," ",(VLOOKUP(C10,list!$AA$5:$AS$14,6,FALSE)))</f>
        <v>#N/A</v>
      </c>
      <c r="J57" s="955" t="e">
        <f t="shared" si="5"/>
        <v>#N/A</v>
      </c>
      <c r="K57" s="955" t="e">
        <f t="shared" si="6"/>
        <v>#N/A</v>
      </c>
      <c r="L57" s="969" t="e">
        <f>IF(I57=" "," ",VLOOKUP(J57,list!$J$4:$M$117,4,FALSE))</f>
        <v>#N/A</v>
      </c>
      <c r="M57" s="66"/>
      <c r="N57" s="1297" t="str">
        <f>IF(SUMIFS('Level of Efficiency Assumptions'!$J:$J,'Level of Efficiency Assumptions'!$H:$H,$I57,'Level of Efficiency Assumptions'!$I:$I,N$51)=0," ",SUMIFS('Level of Efficiency Assumptions'!$J:$J,'Level of Efficiency Assumptions'!$H:$H,$I57,'Level of Efficiency Assumptions'!$I:$I,N$51))</f>
        <v xml:space="preserve"> </v>
      </c>
      <c r="O57" s="1298" t="str">
        <f>IF(SUMIFS('Level of Efficiency Assumptions'!$J:$J,'Level of Efficiency Assumptions'!$H:$H,$I57,'Level of Efficiency Assumptions'!$I:$I,O$51)=0," ",SUMIFS('Level of Efficiency Assumptions'!$J:$J,'Level of Efficiency Assumptions'!$H:$H,$I57,'Level of Efficiency Assumptions'!$I:$I,O$51))</f>
        <v xml:space="preserve"> </v>
      </c>
      <c r="P57" s="1299" t="str">
        <f>IF(SUMIFS('Level of Efficiency Assumptions'!$J:$J,'Level of Efficiency Assumptions'!$H:$H,$I57,'Level of Efficiency Assumptions'!$I:$I,P$51)=0," ",SUMIFS('Level of Efficiency Assumptions'!$J:$J,'Level of Efficiency Assumptions'!$H:$H,$I57,'Level of Efficiency Assumptions'!$I:$I,P$51))</f>
        <v xml:space="preserve"> </v>
      </c>
      <c r="Q57" s="971" t="e">
        <f>IF(I57=" "," ",(VLOOKUP(I57,list!$B$81:$C$111,2,FALSE)))</f>
        <v>#N/A</v>
      </c>
      <c r="R57" s="243">
        <f t="shared" ref="R57:R70" si="9">1-S57-T57</f>
        <v>0</v>
      </c>
      <c r="S57" s="64">
        <v>1</v>
      </c>
      <c r="T57" s="68">
        <v>0</v>
      </c>
      <c r="U57" s="244">
        <f t="shared" si="7"/>
        <v>1</v>
      </c>
      <c r="V57" s="82" t="e">
        <f>F57&amp;"-"&amp;W57</f>
        <v>#N/A</v>
      </c>
      <c r="W57" s="249" t="e">
        <f>HLOOKUP(D57,list!$O$34:$X$38,5,FALSE)</f>
        <v>#N/A</v>
      </c>
      <c r="X57" s="974">
        <v>0.5</v>
      </c>
    </row>
    <row r="58" spans="2:26" ht="15" thickBot="1" x14ac:dyDescent="0.35">
      <c r="C58" s="520"/>
      <c r="D58" s="224" t="str">
        <f t="shared" si="8"/>
        <v xml:space="preserve">  </v>
      </c>
      <c r="E58" s="224"/>
      <c r="F58" s="224" t="str">
        <f t="shared" si="8"/>
        <v xml:space="preserve">  </v>
      </c>
      <c r="G58" s="224"/>
      <c r="H58" s="380"/>
      <c r="I58" s="516" t="e">
        <f>IF(VLOOKUP(C10,list!$AA$5:$AS$14,7,FALSE)=0," ",(VLOOKUP(C10,list!$AA$5:$AS$14,7,FALSE)))</f>
        <v>#N/A</v>
      </c>
      <c r="J58" s="955" t="e">
        <f t="shared" si="5"/>
        <v>#N/A</v>
      </c>
      <c r="K58" s="955" t="e">
        <f t="shared" si="6"/>
        <v>#N/A</v>
      </c>
      <c r="L58" s="969" t="e">
        <f>IF(I58=" "," ",VLOOKUP(J58,list!$J$4:$M$117,4,FALSE))</f>
        <v>#N/A</v>
      </c>
      <c r="M58" s="66"/>
      <c r="N58" s="1297" t="str">
        <f>IF(SUMIFS('Level of Efficiency Assumptions'!$J:$J,'Level of Efficiency Assumptions'!$H:$H,$I58,'Level of Efficiency Assumptions'!$I:$I,N$51)=0," ",SUMIFS('Level of Efficiency Assumptions'!$J:$J,'Level of Efficiency Assumptions'!$H:$H,$I58,'Level of Efficiency Assumptions'!$I:$I,N$51))</f>
        <v xml:space="preserve"> </v>
      </c>
      <c r="O58" s="1298" t="str">
        <f>IF(SUMIFS('Level of Efficiency Assumptions'!$J:$J,'Level of Efficiency Assumptions'!$H:$H,$I58,'Level of Efficiency Assumptions'!$I:$I,O$51)=0," ",SUMIFS('Level of Efficiency Assumptions'!$J:$J,'Level of Efficiency Assumptions'!$H:$H,$I58,'Level of Efficiency Assumptions'!$I:$I,O$51))</f>
        <v xml:space="preserve"> </v>
      </c>
      <c r="P58" s="1299" t="str">
        <f>IF(SUMIFS('Level of Efficiency Assumptions'!$J:$J,'Level of Efficiency Assumptions'!$H:$H,$I58,'Level of Efficiency Assumptions'!$I:$I,P$51)=0," ",SUMIFS('Level of Efficiency Assumptions'!$J:$J,'Level of Efficiency Assumptions'!$H:$H,$I58,'Level of Efficiency Assumptions'!$I:$I,P$51))</f>
        <v xml:space="preserve"> </v>
      </c>
      <c r="Q58" s="971" t="e">
        <f>IF(I58=" "," ",(VLOOKUP(I58,list!$B$81:$C$111,2,FALSE)))</f>
        <v>#N/A</v>
      </c>
      <c r="R58" s="243">
        <f t="shared" si="9"/>
        <v>0</v>
      </c>
      <c r="S58" s="64">
        <v>1</v>
      </c>
      <c r="T58" s="68">
        <v>0</v>
      </c>
      <c r="U58" s="244">
        <f t="shared" si="7"/>
        <v>1</v>
      </c>
      <c r="W58" s="182"/>
      <c r="X58" s="975"/>
    </row>
    <row r="59" spans="2:26" ht="15" thickBot="1" x14ac:dyDescent="0.35">
      <c r="C59" s="520"/>
      <c r="D59" s="224" t="str">
        <f t="shared" si="8"/>
        <v xml:space="preserve">  </v>
      </c>
      <c r="E59" s="224"/>
      <c r="F59" s="224" t="str">
        <f t="shared" si="8"/>
        <v xml:space="preserve">  </v>
      </c>
      <c r="G59" s="224"/>
      <c r="H59" s="380"/>
      <c r="I59" s="516" t="e">
        <f>IF(VLOOKUP(C10,list!$AA$5:$AS$14,8,FALSE)=0," ",(VLOOKUP(C10,list!$AA$5:$AS$14,8,FALSE)))</f>
        <v>#N/A</v>
      </c>
      <c r="J59" s="955" t="e">
        <f t="shared" si="5"/>
        <v>#N/A</v>
      </c>
      <c r="K59" s="955" t="e">
        <f t="shared" si="6"/>
        <v>#N/A</v>
      </c>
      <c r="L59" s="969" t="e">
        <f>IF(I59=" "," ",VLOOKUP(J59,list!$J$4:$M$117,4,FALSE))</f>
        <v>#N/A</v>
      </c>
      <c r="M59" s="66"/>
      <c r="N59" s="1297" t="str">
        <f>IF(SUMIFS('Level of Efficiency Assumptions'!$J:$J,'Level of Efficiency Assumptions'!$H:$H,$I59,'Level of Efficiency Assumptions'!$I:$I,N$51)=0," ",SUMIFS('Level of Efficiency Assumptions'!$J:$J,'Level of Efficiency Assumptions'!$H:$H,$I59,'Level of Efficiency Assumptions'!$I:$I,N$51))</f>
        <v xml:space="preserve"> </v>
      </c>
      <c r="O59" s="1298" t="str">
        <f>IF(SUMIFS('Level of Efficiency Assumptions'!$J:$J,'Level of Efficiency Assumptions'!$H:$H,$I59,'Level of Efficiency Assumptions'!$I:$I,O$51)=0," ",SUMIFS('Level of Efficiency Assumptions'!$J:$J,'Level of Efficiency Assumptions'!$H:$H,$I59,'Level of Efficiency Assumptions'!$I:$I,O$51))</f>
        <v xml:space="preserve"> </v>
      </c>
      <c r="P59" s="1299" t="str">
        <f>IF(SUMIFS('Level of Efficiency Assumptions'!$J:$J,'Level of Efficiency Assumptions'!$H:$H,$I59,'Level of Efficiency Assumptions'!$I:$I,P$51)=0," ",SUMIFS('Level of Efficiency Assumptions'!$J:$J,'Level of Efficiency Assumptions'!$H:$H,$I59,'Level of Efficiency Assumptions'!$I:$I,P$51))</f>
        <v xml:space="preserve"> </v>
      </c>
      <c r="Q59" s="971" t="e">
        <f>IF(I59=" "," ",(VLOOKUP(I59,list!$B$81:$C$111,2,FALSE)))</f>
        <v>#N/A</v>
      </c>
      <c r="R59" s="243">
        <f t="shared" si="9"/>
        <v>0</v>
      </c>
      <c r="S59" s="64">
        <v>1</v>
      </c>
      <c r="T59" s="68">
        <v>0</v>
      </c>
      <c r="U59" s="244">
        <f t="shared" si="7"/>
        <v>1</v>
      </c>
      <c r="W59" s="182"/>
      <c r="X59" s="975"/>
    </row>
    <row r="60" spans="2:26" ht="15" thickBot="1" x14ac:dyDescent="0.35">
      <c r="C60" s="520"/>
      <c r="D60" s="224" t="str">
        <f t="shared" si="8"/>
        <v xml:space="preserve">  </v>
      </c>
      <c r="E60" s="224"/>
      <c r="F60" s="224" t="str">
        <f t="shared" si="8"/>
        <v xml:space="preserve">  </v>
      </c>
      <c r="G60" s="224"/>
      <c r="H60" s="380"/>
      <c r="I60" s="516" t="e">
        <f>IF(VLOOKUP(C10,list!$AA$5:$AS$14,9,FALSE)=0," ",(VLOOKUP(C10,list!$AA$5:$AS$14,9,FALSE)))</f>
        <v>#N/A</v>
      </c>
      <c r="J60" s="955" t="e">
        <f t="shared" si="5"/>
        <v>#N/A</v>
      </c>
      <c r="K60" s="955" t="e">
        <f t="shared" si="6"/>
        <v>#N/A</v>
      </c>
      <c r="L60" s="969" t="e">
        <f>IF(I60=" "," ",VLOOKUP(J60,list!$J$4:$M$117,4,FALSE))</f>
        <v>#N/A</v>
      </c>
      <c r="M60" s="66"/>
      <c r="N60" s="1297" t="str">
        <f>IF(SUMIFS('Level of Efficiency Assumptions'!$J:$J,'Level of Efficiency Assumptions'!$H:$H,$I60,'Level of Efficiency Assumptions'!$I:$I,N$51)=0," ",SUMIFS('Level of Efficiency Assumptions'!$J:$J,'Level of Efficiency Assumptions'!$H:$H,$I60,'Level of Efficiency Assumptions'!$I:$I,N$51))</f>
        <v xml:space="preserve"> </v>
      </c>
      <c r="O60" s="1298" t="str">
        <f>IF(SUMIFS('Level of Efficiency Assumptions'!$J:$J,'Level of Efficiency Assumptions'!$H:$H,$I60,'Level of Efficiency Assumptions'!$I:$I,O$51)=0," ",SUMIFS('Level of Efficiency Assumptions'!$J:$J,'Level of Efficiency Assumptions'!$H:$H,$I60,'Level of Efficiency Assumptions'!$I:$I,O$51))</f>
        <v xml:space="preserve"> </v>
      </c>
      <c r="P60" s="1299" t="str">
        <f>IF(SUMIFS('Level of Efficiency Assumptions'!$J:$J,'Level of Efficiency Assumptions'!$H:$H,$I60,'Level of Efficiency Assumptions'!$I:$I,P$51)=0," ",SUMIFS('Level of Efficiency Assumptions'!$J:$J,'Level of Efficiency Assumptions'!$H:$H,$I60,'Level of Efficiency Assumptions'!$I:$I,P$51))</f>
        <v xml:space="preserve"> </v>
      </c>
      <c r="Q60" s="971" t="e">
        <f>IF(I60=" "," ",(VLOOKUP(I60,list!$B$81:$C$111,2,FALSE)))</f>
        <v>#N/A</v>
      </c>
      <c r="R60" s="243">
        <f t="shared" si="9"/>
        <v>0</v>
      </c>
      <c r="S60" s="64">
        <v>1</v>
      </c>
      <c r="T60" s="68">
        <v>0</v>
      </c>
      <c r="U60" s="244">
        <f t="shared" si="7"/>
        <v>1</v>
      </c>
    </row>
    <row r="61" spans="2:26" ht="15" thickBot="1" x14ac:dyDescent="0.35">
      <c r="C61" s="520"/>
      <c r="D61" s="224" t="str">
        <f t="shared" si="8"/>
        <v xml:space="preserve">  </v>
      </c>
      <c r="E61" s="224"/>
      <c r="F61" s="224" t="str">
        <f t="shared" si="8"/>
        <v xml:space="preserve">  </v>
      </c>
      <c r="G61" s="224"/>
      <c r="H61" s="380"/>
      <c r="I61" s="516" t="e">
        <f>IF(VLOOKUP(C10,list!$AA$5:$AS$14,10,FALSE)=0," ",(VLOOKUP(C10,list!$AA$5:$AS$14,10,FALSE)))</f>
        <v>#N/A</v>
      </c>
      <c r="J61" s="955" t="e">
        <f t="shared" si="5"/>
        <v>#N/A</v>
      </c>
      <c r="K61" s="955" t="e">
        <f t="shared" si="6"/>
        <v>#N/A</v>
      </c>
      <c r="L61" s="969" t="e">
        <f>IF(I61=" "," ",VLOOKUP(J61,list!$J$4:$M$117,4,FALSE))</f>
        <v>#N/A</v>
      </c>
      <c r="M61" s="66"/>
      <c r="N61" s="1297" t="str">
        <f>IF(SUMIFS('Level of Efficiency Assumptions'!$J:$J,'Level of Efficiency Assumptions'!$H:$H,$I61,'Level of Efficiency Assumptions'!$I:$I,N$51)=0," ",SUMIFS('Level of Efficiency Assumptions'!$J:$J,'Level of Efficiency Assumptions'!$H:$H,$I61,'Level of Efficiency Assumptions'!$I:$I,N$51))</f>
        <v xml:space="preserve"> </v>
      </c>
      <c r="O61" s="1298" t="str">
        <f>IF(SUMIFS('Level of Efficiency Assumptions'!$J:$J,'Level of Efficiency Assumptions'!$H:$H,$I61,'Level of Efficiency Assumptions'!$I:$I,O$51)=0," ",SUMIFS('Level of Efficiency Assumptions'!$J:$J,'Level of Efficiency Assumptions'!$H:$H,$I61,'Level of Efficiency Assumptions'!$I:$I,O$51))</f>
        <v xml:space="preserve"> </v>
      </c>
      <c r="P61" s="1299" t="str">
        <f>IF(SUMIFS('Level of Efficiency Assumptions'!$J:$J,'Level of Efficiency Assumptions'!$H:$H,$I61,'Level of Efficiency Assumptions'!$I:$I,P$51)=0," ",SUMIFS('Level of Efficiency Assumptions'!$J:$J,'Level of Efficiency Assumptions'!$H:$H,$I61,'Level of Efficiency Assumptions'!$I:$I,P$51))</f>
        <v xml:space="preserve"> </v>
      </c>
      <c r="Q61" s="971" t="e">
        <f>IF(I61=" "," ",(VLOOKUP(I61,list!$B$81:$C$111,2,FALSE)))</f>
        <v>#N/A</v>
      </c>
      <c r="R61" s="243">
        <f t="shared" si="9"/>
        <v>0</v>
      </c>
      <c r="S61" s="64">
        <v>1</v>
      </c>
      <c r="T61" s="68">
        <v>0</v>
      </c>
      <c r="U61" s="244">
        <f t="shared" si="7"/>
        <v>1</v>
      </c>
    </row>
    <row r="62" spans="2:26" ht="15" thickBot="1" x14ac:dyDescent="0.35">
      <c r="C62" s="520"/>
      <c r="D62" s="224" t="str">
        <f t="shared" si="8"/>
        <v xml:space="preserve">  </v>
      </c>
      <c r="E62" s="224"/>
      <c r="F62" s="224" t="str">
        <f t="shared" si="8"/>
        <v xml:space="preserve">  </v>
      </c>
      <c r="G62" s="224"/>
      <c r="H62" s="380"/>
      <c r="I62" s="516" t="e">
        <f>IF(VLOOKUP(C10,list!$AA$5:$AS$14,11,FALSE)=0," ",(VLOOKUP(C10,list!$AA$5:$AS$14,11,FALSE)))</f>
        <v>#N/A</v>
      </c>
      <c r="J62" s="955" t="e">
        <f t="shared" si="5"/>
        <v>#N/A</v>
      </c>
      <c r="K62" s="955" t="e">
        <f t="shared" si="6"/>
        <v>#N/A</v>
      </c>
      <c r="L62" s="969" t="e">
        <f>IF(I62=" "," ",VLOOKUP(J62,list!$J$4:$M$117,4,FALSE))</f>
        <v>#N/A</v>
      </c>
      <c r="M62" s="66"/>
      <c r="N62" s="1297" t="str">
        <f>IF(SUMIFS('Level of Efficiency Assumptions'!$J:$J,'Level of Efficiency Assumptions'!$H:$H,$I62,'Level of Efficiency Assumptions'!$I:$I,N$51)=0," ",SUMIFS('Level of Efficiency Assumptions'!$J:$J,'Level of Efficiency Assumptions'!$H:$H,$I62,'Level of Efficiency Assumptions'!$I:$I,N$51))</f>
        <v xml:space="preserve"> </v>
      </c>
      <c r="O62" s="1298" t="str">
        <f>IF(SUMIFS('Level of Efficiency Assumptions'!$J:$J,'Level of Efficiency Assumptions'!$H:$H,$I62,'Level of Efficiency Assumptions'!$I:$I,O$51)=0," ",SUMIFS('Level of Efficiency Assumptions'!$J:$J,'Level of Efficiency Assumptions'!$H:$H,$I62,'Level of Efficiency Assumptions'!$I:$I,O$51))</f>
        <v xml:space="preserve"> </v>
      </c>
      <c r="P62" s="1299" t="str">
        <f>IF(SUMIFS('Level of Efficiency Assumptions'!$J:$J,'Level of Efficiency Assumptions'!$H:$H,$I62,'Level of Efficiency Assumptions'!$I:$I,P$51)=0," ",SUMIFS('Level of Efficiency Assumptions'!$J:$J,'Level of Efficiency Assumptions'!$H:$H,$I62,'Level of Efficiency Assumptions'!$I:$I,P$51))</f>
        <v xml:space="preserve"> </v>
      </c>
      <c r="Q62" s="971" t="e">
        <f>IF(I62=" "," ",(VLOOKUP(I62,list!$B$81:$C$111,2,FALSE)))</f>
        <v>#N/A</v>
      </c>
      <c r="R62" s="243">
        <f t="shared" si="9"/>
        <v>0</v>
      </c>
      <c r="S62" s="64">
        <v>1</v>
      </c>
      <c r="T62" s="68">
        <v>0</v>
      </c>
      <c r="U62" s="244">
        <f t="shared" si="7"/>
        <v>1</v>
      </c>
    </row>
    <row r="63" spans="2:26" ht="15" thickBot="1" x14ac:dyDescent="0.35">
      <c r="C63" s="520"/>
      <c r="D63" s="224" t="str">
        <f t="shared" si="8"/>
        <v xml:space="preserve">  </v>
      </c>
      <c r="E63" s="224"/>
      <c r="F63" s="224" t="str">
        <f t="shared" si="8"/>
        <v xml:space="preserve">  </v>
      </c>
      <c r="G63" s="224"/>
      <c r="H63" s="380"/>
      <c r="I63" s="516" t="e">
        <f>IF(VLOOKUP(C10,list!$AA$5:$AS$14,12,FALSE)=0," ",(VLOOKUP(C10,list!$AA$5:$AS$14,12,FALSE)))</f>
        <v>#N/A</v>
      </c>
      <c r="J63" s="955" t="e">
        <f t="shared" si="5"/>
        <v>#N/A</v>
      </c>
      <c r="K63" s="955" t="e">
        <f t="shared" si="6"/>
        <v>#N/A</v>
      </c>
      <c r="L63" s="969" t="e">
        <f>IF(I63=" "," ",VLOOKUP(J63,list!$J$4:$M$117,4,FALSE))</f>
        <v>#N/A</v>
      </c>
      <c r="M63" s="66"/>
      <c r="N63" s="1297" t="str">
        <f>IF(SUMIFS('Level of Efficiency Assumptions'!$J:$J,'Level of Efficiency Assumptions'!$H:$H,$I63,'Level of Efficiency Assumptions'!$I:$I,N$51)=0," ",SUMIFS('Level of Efficiency Assumptions'!$J:$J,'Level of Efficiency Assumptions'!$H:$H,$I63,'Level of Efficiency Assumptions'!$I:$I,N$51))</f>
        <v xml:space="preserve"> </v>
      </c>
      <c r="O63" s="1298" t="str">
        <f>IF(SUMIFS('Level of Efficiency Assumptions'!$J:$J,'Level of Efficiency Assumptions'!$H:$H,$I63,'Level of Efficiency Assumptions'!$I:$I,O$51)=0," ",SUMIFS('Level of Efficiency Assumptions'!$J:$J,'Level of Efficiency Assumptions'!$H:$H,$I63,'Level of Efficiency Assumptions'!$I:$I,O$51))</f>
        <v xml:space="preserve"> </v>
      </c>
      <c r="P63" s="1299" t="str">
        <f>IF(SUMIFS('Level of Efficiency Assumptions'!$J:$J,'Level of Efficiency Assumptions'!$H:$H,$I63,'Level of Efficiency Assumptions'!$I:$I,P$51)=0," ",SUMIFS('Level of Efficiency Assumptions'!$J:$J,'Level of Efficiency Assumptions'!$H:$H,$I63,'Level of Efficiency Assumptions'!$I:$I,P$51))</f>
        <v xml:space="preserve"> </v>
      </c>
      <c r="Q63" s="971" t="e">
        <f>IF(I63=" "," ",(VLOOKUP(I63,list!$B$81:$C$111,2,FALSE)))</f>
        <v>#N/A</v>
      </c>
      <c r="R63" s="243">
        <f t="shared" si="9"/>
        <v>0</v>
      </c>
      <c r="S63" s="64">
        <v>1</v>
      </c>
      <c r="T63" s="68">
        <v>0</v>
      </c>
      <c r="U63" s="244">
        <f t="shared" si="7"/>
        <v>1</v>
      </c>
    </row>
    <row r="64" spans="2:26" ht="15" thickBot="1" x14ac:dyDescent="0.35">
      <c r="C64" s="520"/>
      <c r="D64" s="224" t="str">
        <f t="shared" si="8"/>
        <v xml:space="preserve">  </v>
      </c>
      <c r="E64" s="224"/>
      <c r="F64" s="224" t="str">
        <f t="shared" si="8"/>
        <v xml:space="preserve">  </v>
      </c>
      <c r="G64" s="224"/>
      <c r="H64" s="380"/>
      <c r="I64" s="516" t="e">
        <f>IF(VLOOKUP(C10,list!$AA$5:$AS$14,13,FALSE)=0," ",(VLOOKUP(C10,list!$AA$5:$AS$14,13,FALSE)))</f>
        <v>#N/A</v>
      </c>
      <c r="J64" s="955" t="e">
        <f t="shared" si="5"/>
        <v>#N/A</v>
      </c>
      <c r="K64" s="955" t="e">
        <f t="shared" si="6"/>
        <v>#N/A</v>
      </c>
      <c r="L64" s="969" t="e">
        <f>IF(I64=" "," ",VLOOKUP(J64,list!$J$4:$M$117,4,FALSE))</f>
        <v>#N/A</v>
      </c>
      <c r="M64" s="66"/>
      <c r="N64" s="1297" t="str">
        <f>IF(SUMIFS('Level of Efficiency Assumptions'!$J:$J,'Level of Efficiency Assumptions'!$H:$H,$I64,'Level of Efficiency Assumptions'!$I:$I,N$51)=0," ",SUMIFS('Level of Efficiency Assumptions'!$J:$J,'Level of Efficiency Assumptions'!$H:$H,$I64,'Level of Efficiency Assumptions'!$I:$I,N$51))</f>
        <v xml:space="preserve"> </v>
      </c>
      <c r="O64" s="1298" t="str">
        <f>IF(SUMIFS('Level of Efficiency Assumptions'!$J:$J,'Level of Efficiency Assumptions'!$H:$H,$I64,'Level of Efficiency Assumptions'!$I:$I,O$51)=0," ",SUMIFS('Level of Efficiency Assumptions'!$J:$J,'Level of Efficiency Assumptions'!$H:$H,$I64,'Level of Efficiency Assumptions'!$I:$I,O$51))</f>
        <v xml:space="preserve"> </v>
      </c>
      <c r="P64" s="1299" t="str">
        <f>IF(SUMIFS('Level of Efficiency Assumptions'!$J:$J,'Level of Efficiency Assumptions'!$H:$H,$I64,'Level of Efficiency Assumptions'!$I:$I,P$51)=0," ",SUMIFS('Level of Efficiency Assumptions'!$J:$J,'Level of Efficiency Assumptions'!$H:$H,$I64,'Level of Efficiency Assumptions'!$I:$I,P$51))</f>
        <v xml:space="preserve"> </v>
      </c>
      <c r="Q64" s="971" t="e">
        <f>IF(I64=" "," ",(VLOOKUP(I64,list!$B$81:$C$111,2,FALSE)))</f>
        <v>#N/A</v>
      </c>
      <c r="R64" s="243">
        <f t="shared" si="9"/>
        <v>0</v>
      </c>
      <c r="S64" s="64">
        <v>1</v>
      </c>
      <c r="T64" s="68">
        <v>0</v>
      </c>
      <c r="U64" s="244">
        <f t="shared" si="7"/>
        <v>1</v>
      </c>
    </row>
    <row r="65" spans="2:24" ht="15" thickBot="1" x14ac:dyDescent="0.35">
      <c r="C65" s="520"/>
      <c r="D65" s="224" t="str">
        <f t="shared" si="8"/>
        <v xml:space="preserve">  </v>
      </c>
      <c r="E65" s="224"/>
      <c r="F65" s="224" t="str">
        <f t="shared" si="8"/>
        <v xml:space="preserve">  </v>
      </c>
      <c r="G65" s="224"/>
      <c r="H65" s="380"/>
      <c r="I65" s="516" t="e">
        <f>IF(VLOOKUP(C10,list!$AA$5:$AS$14,14,FALSE)=0," ",(VLOOKUP(C10,list!$AA$5:$AS$14,14,FALSE)))</f>
        <v>#N/A</v>
      </c>
      <c r="J65" s="955" t="e">
        <f t="shared" si="5"/>
        <v>#N/A</v>
      </c>
      <c r="K65" s="955" t="e">
        <f t="shared" si="6"/>
        <v>#N/A</v>
      </c>
      <c r="L65" s="969" t="e">
        <f>IF(I65=" "," ",VLOOKUP(J65,list!$J$4:$M$117,4,FALSE))</f>
        <v>#N/A</v>
      </c>
      <c r="M65" s="66"/>
      <c r="N65" s="1297" t="str">
        <f>IF(SUMIFS('Level of Efficiency Assumptions'!$J:$J,'Level of Efficiency Assumptions'!$H:$H,$I65,'Level of Efficiency Assumptions'!$I:$I,N$51)=0," ",SUMIFS('Level of Efficiency Assumptions'!$J:$J,'Level of Efficiency Assumptions'!$H:$H,$I65,'Level of Efficiency Assumptions'!$I:$I,N$51))</f>
        <v xml:space="preserve"> </v>
      </c>
      <c r="O65" s="1298" t="str">
        <f>IF(SUMIFS('Level of Efficiency Assumptions'!$J:$J,'Level of Efficiency Assumptions'!$H:$H,$I65,'Level of Efficiency Assumptions'!$I:$I,O$51)=0," ",SUMIFS('Level of Efficiency Assumptions'!$J:$J,'Level of Efficiency Assumptions'!$H:$H,$I65,'Level of Efficiency Assumptions'!$I:$I,O$51))</f>
        <v xml:space="preserve"> </v>
      </c>
      <c r="P65" s="1299" t="str">
        <f>IF(SUMIFS('Level of Efficiency Assumptions'!$J:$J,'Level of Efficiency Assumptions'!$H:$H,$I65,'Level of Efficiency Assumptions'!$I:$I,P$51)=0," ",SUMIFS('Level of Efficiency Assumptions'!$J:$J,'Level of Efficiency Assumptions'!$H:$H,$I65,'Level of Efficiency Assumptions'!$I:$I,P$51))</f>
        <v xml:space="preserve"> </v>
      </c>
      <c r="Q65" s="971" t="e">
        <f>IF(I65=" "," ",(VLOOKUP(I65,list!$B$81:$C$111,2,FALSE)))</f>
        <v>#N/A</v>
      </c>
      <c r="R65" s="243">
        <f t="shared" si="9"/>
        <v>0</v>
      </c>
      <c r="S65" s="64">
        <v>1</v>
      </c>
      <c r="T65" s="68">
        <v>0</v>
      </c>
      <c r="U65" s="244">
        <f t="shared" si="7"/>
        <v>1</v>
      </c>
    </row>
    <row r="66" spans="2:24" ht="15" thickBot="1" x14ac:dyDescent="0.35">
      <c r="C66" s="520"/>
      <c r="D66" s="224" t="str">
        <f t="shared" si="8"/>
        <v xml:space="preserve">  </v>
      </c>
      <c r="E66" s="224"/>
      <c r="F66" s="224" t="str">
        <f t="shared" si="8"/>
        <v xml:space="preserve">  </v>
      </c>
      <c r="G66" s="224"/>
      <c r="H66" s="380"/>
      <c r="I66" s="516" t="e">
        <f>IF(VLOOKUP(C10,list!$AA$5:$AS$14,15,FALSE)=0," ",(VLOOKUP(C10,list!$AA$5:$AS$14,15,FALSE)))</f>
        <v>#N/A</v>
      </c>
      <c r="J66" s="955" t="e">
        <f t="shared" si="5"/>
        <v>#N/A</v>
      </c>
      <c r="K66" s="955" t="e">
        <f t="shared" si="6"/>
        <v>#N/A</v>
      </c>
      <c r="L66" s="969" t="e">
        <f>IF(I66=" "," ",VLOOKUP(J66,list!$J$4:$M$117,4,FALSE))</f>
        <v>#N/A</v>
      </c>
      <c r="M66" s="66"/>
      <c r="N66" s="1297" t="str">
        <f>IF(SUMIFS('Level of Efficiency Assumptions'!$J:$J,'Level of Efficiency Assumptions'!$H:$H,$I66,'Level of Efficiency Assumptions'!$I:$I,N$51)=0," ",SUMIFS('Level of Efficiency Assumptions'!$J:$J,'Level of Efficiency Assumptions'!$H:$H,$I66,'Level of Efficiency Assumptions'!$I:$I,N$51))</f>
        <v xml:space="preserve"> </v>
      </c>
      <c r="O66" s="1298" t="str">
        <f>IF(SUMIFS('Level of Efficiency Assumptions'!$J:$J,'Level of Efficiency Assumptions'!$H:$H,$I66,'Level of Efficiency Assumptions'!$I:$I,O$51)=0," ",SUMIFS('Level of Efficiency Assumptions'!$J:$J,'Level of Efficiency Assumptions'!$H:$H,$I66,'Level of Efficiency Assumptions'!$I:$I,O$51))</f>
        <v xml:space="preserve"> </v>
      </c>
      <c r="P66" s="1299" t="str">
        <f>IF(SUMIFS('Level of Efficiency Assumptions'!$J:$J,'Level of Efficiency Assumptions'!$H:$H,$I66,'Level of Efficiency Assumptions'!$I:$I,P$51)=0," ",SUMIFS('Level of Efficiency Assumptions'!$J:$J,'Level of Efficiency Assumptions'!$H:$H,$I66,'Level of Efficiency Assumptions'!$I:$I,P$51))</f>
        <v xml:space="preserve"> </v>
      </c>
      <c r="Q66" s="971" t="e">
        <f>IF(I66=" "," ",(VLOOKUP(I66,list!$B$81:$C$111,2,FALSE)))</f>
        <v>#N/A</v>
      </c>
      <c r="R66" s="243">
        <f t="shared" si="9"/>
        <v>0</v>
      </c>
      <c r="S66" s="64">
        <v>1</v>
      </c>
      <c r="T66" s="68">
        <v>0</v>
      </c>
      <c r="U66" s="244">
        <f t="shared" si="7"/>
        <v>1</v>
      </c>
    </row>
    <row r="67" spans="2:24" ht="15" thickBot="1" x14ac:dyDescent="0.35">
      <c r="C67" s="520"/>
      <c r="D67" s="224" t="str">
        <f t="shared" si="8"/>
        <v xml:space="preserve">  </v>
      </c>
      <c r="E67" s="224"/>
      <c r="F67" s="224" t="str">
        <f t="shared" si="8"/>
        <v xml:space="preserve">  </v>
      </c>
      <c r="G67" s="224"/>
      <c r="H67" s="380"/>
      <c r="I67" s="516" t="e">
        <f>IF(VLOOKUP(C10,list!$AA$5:$AS$14,16,FALSE)=0," ",(VLOOKUP(C10,list!$AA$5:$AS$14,16,FALSE)))</f>
        <v>#N/A</v>
      </c>
      <c r="J67" s="955" t="e">
        <f t="shared" si="5"/>
        <v>#N/A</v>
      </c>
      <c r="K67" s="955" t="e">
        <f t="shared" si="6"/>
        <v>#N/A</v>
      </c>
      <c r="L67" s="969" t="e">
        <f>IF(I67=" "," ",VLOOKUP(J67,list!$J$4:$M$117,4,FALSE))</f>
        <v>#N/A</v>
      </c>
      <c r="M67" s="66"/>
      <c r="N67" s="1297" t="str">
        <f>IF(SUMIFS('Level of Efficiency Assumptions'!$J:$J,'Level of Efficiency Assumptions'!$H:$H,$I67,'Level of Efficiency Assumptions'!$I:$I,N$51)=0," ",SUMIFS('Level of Efficiency Assumptions'!$J:$J,'Level of Efficiency Assumptions'!$H:$H,$I67,'Level of Efficiency Assumptions'!$I:$I,N$51))</f>
        <v xml:space="preserve"> </v>
      </c>
      <c r="O67" s="1298" t="str">
        <f>IF(SUMIFS('Level of Efficiency Assumptions'!$J:$J,'Level of Efficiency Assumptions'!$H:$H,$I67,'Level of Efficiency Assumptions'!$I:$I,O$51)=0," ",SUMIFS('Level of Efficiency Assumptions'!$J:$J,'Level of Efficiency Assumptions'!$H:$H,$I67,'Level of Efficiency Assumptions'!$I:$I,O$51))</f>
        <v xml:space="preserve"> </v>
      </c>
      <c r="P67" s="1299" t="str">
        <f>IF(SUMIFS('Level of Efficiency Assumptions'!$J:$J,'Level of Efficiency Assumptions'!$H:$H,$I67,'Level of Efficiency Assumptions'!$I:$I,P$51)=0," ",SUMIFS('Level of Efficiency Assumptions'!$J:$J,'Level of Efficiency Assumptions'!$H:$H,$I67,'Level of Efficiency Assumptions'!$I:$I,P$51))</f>
        <v xml:space="preserve"> </v>
      </c>
      <c r="Q67" s="971" t="e">
        <f>IF(I67=" "," ",(VLOOKUP(I67,list!$B$81:$C$111,2,FALSE)))</f>
        <v>#N/A</v>
      </c>
      <c r="R67" s="243">
        <f t="shared" si="9"/>
        <v>0</v>
      </c>
      <c r="S67" s="64">
        <v>1</v>
      </c>
      <c r="T67" s="68">
        <v>0</v>
      </c>
      <c r="U67" s="244">
        <f t="shared" si="7"/>
        <v>1</v>
      </c>
    </row>
    <row r="68" spans="2:24" ht="15" thickBot="1" x14ac:dyDescent="0.35">
      <c r="C68" s="520"/>
      <c r="D68" s="224" t="str">
        <f t="shared" si="8"/>
        <v xml:space="preserve">  </v>
      </c>
      <c r="E68" s="224"/>
      <c r="F68" s="224" t="str">
        <f t="shared" si="8"/>
        <v xml:space="preserve">  </v>
      </c>
      <c r="G68" s="224"/>
      <c r="H68" s="380"/>
      <c r="I68" s="516" t="e">
        <f>IF(VLOOKUP(C10,list!$AA$5:$AS$14,17,FALSE)=0," ",(VLOOKUP(C10,list!$AA$5:$AS$14,17,FALSE)))</f>
        <v>#N/A</v>
      </c>
      <c r="J68" s="955" t="e">
        <f t="shared" si="5"/>
        <v>#N/A</v>
      </c>
      <c r="K68" s="955" t="e">
        <f t="shared" si="6"/>
        <v>#N/A</v>
      </c>
      <c r="L68" s="969" t="e">
        <f>IF(I68=" "," ",VLOOKUP(J68,list!$J$4:$M$117,4,FALSE))</f>
        <v>#N/A</v>
      </c>
      <c r="M68" s="66"/>
      <c r="N68" s="1297" t="str">
        <f>IF(SUMIFS('Level of Efficiency Assumptions'!$J:$J,'Level of Efficiency Assumptions'!$H:$H,$I68,'Level of Efficiency Assumptions'!$I:$I,N$51)=0," ",SUMIFS('Level of Efficiency Assumptions'!$J:$J,'Level of Efficiency Assumptions'!$H:$H,$I68,'Level of Efficiency Assumptions'!$I:$I,N$51))</f>
        <v xml:space="preserve"> </v>
      </c>
      <c r="O68" s="1298" t="str">
        <f>IF(SUMIFS('Level of Efficiency Assumptions'!$J:$J,'Level of Efficiency Assumptions'!$H:$H,$I68,'Level of Efficiency Assumptions'!$I:$I,O$51)=0," ",SUMIFS('Level of Efficiency Assumptions'!$J:$J,'Level of Efficiency Assumptions'!$H:$H,$I68,'Level of Efficiency Assumptions'!$I:$I,O$51))</f>
        <v xml:space="preserve"> </v>
      </c>
      <c r="P68" s="1299" t="str">
        <f>IF(SUMIFS('Level of Efficiency Assumptions'!$J:$J,'Level of Efficiency Assumptions'!$H:$H,$I68,'Level of Efficiency Assumptions'!$I:$I,P$51)=0," ",SUMIFS('Level of Efficiency Assumptions'!$J:$J,'Level of Efficiency Assumptions'!$H:$H,$I68,'Level of Efficiency Assumptions'!$I:$I,P$51))</f>
        <v xml:space="preserve"> </v>
      </c>
      <c r="Q68" s="971" t="e">
        <f>IF(I68=" "," ",(VLOOKUP(I68,list!$B$81:$C$111,2,FALSE)))</f>
        <v>#N/A</v>
      </c>
      <c r="R68" s="243">
        <f t="shared" si="9"/>
        <v>0</v>
      </c>
      <c r="S68" s="64">
        <v>1</v>
      </c>
      <c r="T68" s="68">
        <v>0</v>
      </c>
      <c r="U68" s="244">
        <f t="shared" si="7"/>
        <v>1</v>
      </c>
    </row>
    <row r="69" spans="2:24" ht="15" thickBot="1" x14ac:dyDescent="0.35">
      <c r="C69" s="520"/>
      <c r="D69" s="224" t="str">
        <f t="shared" si="8"/>
        <v xml:space="preserve">  </v>
      </c>
      <c r="E69" s="224"/>
      <c r="F69" s="224" t="str">
        <f t="shared" si="8"/>
        <v xml:space="preserve">  </v>
      </c>
      <c r="G69" s="224"/>
      <c r="H69" s="380"/>
      <c r="I69" s="516" t="e">
        <f>IF(VLOOKUP(C10,list!$AA$5:$AS$14,18,FALSE)=0," ",(VLOOKUP(C10,list!$AA$5:$AS$14,18,FALSE)))</f>
        <v>#N/A</v>
      </c>
      <c r="J69" s="955" t="e">
        <f t="shared" si="5"/>
        <v>#N/A</v>
      </c>
      <c r="K69" s="955" t="e">
        <f t="shared" si="6"/>
        <v>#N/A</v>
      </c>
      <c r="L69" s="969" t="e">
        <f>IF(I69=" "," ",VLOOKUP(J69,list!$J$4:$M$117,4,FALSE))</f>
        <v>#N/A</v>
      </c>
      <c r="M69" s="66"/>
      <c r="N69" s="1297" t="str">
        <f>IF(SUMIFS('Level of Efficiency Assumptions'!$J:$J,'Level of Efficiency Assumptions'!$H:$H,$I69,'Level of Efficiency Assumptions'!$I:$I,N$51)=0," ",SUMIFS('Level of Efficiency Assumptions'!$J:$J,'Level of Efficiency Assumptions'!$H:$H,$I69,'Level of Efficiency Assumptions'!$I:$I,N$51))</f>
        <v xml:space="preserve"> </v>
      </c>
      <c r="O69" s="1298" t="str">
        <f>IF(SUMIFS('Level of Efficiency Assumptions'!$J:$J,'Level of Efficiency Assumptions'!$H:$H,$I69,'Level of Efficiency Assumptions'!$I:$I,O$51)=0," ",SUMIFS('Level of Efficiency Assumptions'!$J:$J,'Level of Efficiency Assumptions'!$H:$H,$I69,'Level of Efficiency Assumptions'!$I:$I,O$51))</f>
        <v xml:space="preserve"> </v>
      </c>
      <c r="P69" s="1299" t="str">
        <f>IF(SUMIFS('Level of Efficiency Assumptions'!$J:$J,'Level of Efficiency Assumptions'!$H:$H,$I69,'Level of Efficiency Assumptions'!$I:$I,P$51)=0," ",SUMIFS('Level of Efficiency Assumptions'!$J:$J,'Level of Efficiency Assumptions'!$H:$H,$I69,'Level of Efficiency Assumptions'!$I:$I,P$51))</f>
        <v xml:space="preserve"> </v>
      </c>
      <c r="Q69" s="971" t="e">
        <f>IF(I69=" "," ",(VLOOKUP(I69,list!$B$81:$C$111,2,FALSE)))</f>
        <v>#N/A</v>
      </c>
      <c r="R69" s="243">
        <f t="shared" si="9"/>
        <v>0</v>
      </c>
      <c r="S69" s="64">
        <v>1</v>
      </c>
      <c r="T69" s="68">
        <v>0</v>
      </c>
      <c r="U69" s="244">
        <f t="shared" si="7"/>
        <v>1</v>
      </c>
    </row>
    <row r="70" spans="2:24" ht="15" thickBot="1" x14ac:dyDescent="0.35">
      <c r="C70" s="632"/>
      <c r="D70" s="226" t="str">
        <f t="shared" si="8"/>
        <v xml:space="preserve">  </v>
      </c>
      <c r="E70" s="226"/>
      <c r="F70" s="226" t="str">
        <f t="shared" si="8"/>
        <v xml:space="preserve">  </v>
      </c>
      <c r="G70" s="226"/>
      <c r="H70" s="976"/>
      <c r="I70" s="516" t="e">
        <f>IF(VLOOKUP(C10,list!$AA$5:$AS$14,19,FALSE)=0," ",(VLOOKUP(C10,list!$AA$5:$AS$14,19,FALSE)))</f>
        <v>#N/A</v>
      </c>
      <c r="J70" s="955" t="e">
        <f>IF(I70=" "," ",(D70&amp;"-"&amp;I70))</f>
        <v>#N/A</v>
      </c>
      <c r="K70" s="955" t="e">
        <f t="shared" si="6"/>
        <v>#N/A</v>
      </c>
      <c r="L70" s="969" t="e">
        <f>IF(I70=" "," ",VLOOKUP(J70,list!$J$4:$M$117,4,FALSE))</f>
        <v>#N/A</v>
      </c>
      <c r="M70" s="67"/>
      <c r="N70" s="1303" t="str">
        <f>IF(SUMIFS('Level of Efficiency Assumptions'!$J:$J,'Level of Efficiency Assumptions'!$H:$H,$I70,'Level of Efficiency Assumptions'!$I:$I,N$51)=0," ",SUMIFS('Level of Efficiency Assumptions'!$J:$J,'Level of Efficiency Assumptions'!$H:$H,$I70,'Level of Efficiency Assumptions'!$I:$I,N$51))</f>
        <v xml:space="preserve"> </v>
      </c>
      <c r="O70" s="1304" t="str">
        <f>IF(SUMIFS('Level of Efficiency Assumptions'!$J:$J,'Level of Efficiency Assumptions'!$H:$H,$I70,'Level of Efficiency Assumptions'!$I:$I,O$51)=0," ",SUMIFS('Level of Efficiency Assumptions'!$J:$J,'Level of Efficiency Assumptions'!$H:$H,$I70,'Level of Efficiency Assumptions'!$I:$I,O$51))</f>
        <v xml:space="preserve"> </v>
      </c>
      <c r="P70" s="1305" t="str">
        <f>IF(SUMIFS('Level of Efficiency Assumptions'!$J:$J,'Level of Efficiency Assumptions'!$H:$H,$I70,'Level of Efficiency Assumptions'!$I:$I,P$51)=0," ",SUMIFS('Level of Efficiency Assumptions'!$J:$J,'Level of Efficiency Assumptions'!$H:$H,$I70,'Level of Efficiency Assumptions'!$I:$I,P$51))</f>
        <v xml:space="preserve"> </v>
      </c>
      <c r="Q70" s="977" t="e">
        <f>IF(I70=" "," ",(VLOOKUP(I70,list!$B$81:$C$111,2,FALSE)))</f>
        <v>#N/A</v>
      </c>
      <c r="R70" s="245">
        <f t="shared" si="9"/>
        <v>0</v>
      </c>
      <c r="S70" s="65">
        <v>1</v>
      </c>
      <c r="T70" s="69">
        <v>0</v>
      </c>
      <c r="U70" s="246">
        <f t="shared" si="7"/>
        <v>1</v>
      </c>
    </row>
    <row r="71" spans="2:24" x14ac:dyDescent="0.3">
      <c r="D71" s="846"/>
      <c r="F71" s="82"/>
      <c r="J71" s="846"/>
      <c r="K71" s="846"/>
      <c r="N71" s="1179"/>
      <c r="O71" s="1179"/>
      <c r="P71" s="1179"/>
      <c r="R71" s="176" t="s">
        <v>295</v>
      </c>
      <c r="S71" s="176"/>
      <c r="T71" s="176"/>
      <c r="U71" s="176"/>
    </row>
    <row r="72" spans="2:24" ht="15" thickBot="1" x14ac:dyDescent="0.35">
      <c r="D72" s="846"/>
      <c r="F72" s="82"/>
      <c r="J72" s="846"/>
      <c r="K72" s="846"/>
      <c r="N72" s="1179"/>
      <c r="O72" s="1179"/>
      <c r="P72" s="1179"/>
    </row>
    <row r="73" spans="2:24" ht="15" thickBot="1" x14ac:dyDescent="0.35">
      <c r="B73" s="814">
        <v>2</v>
      </c>
      <c r="C73" s="967" t="str">
        <f t="shared" ref="C73:H73" si="10">C11</f>
        <v xml:space="preserve">  </v>
      </c>
      <c r="D73" s="967" t="str">
        <f t="shared" si="10"/>
        <v xml:space="preserve">  </v>
      </c>
      <c r="E73" s="967" t="str">
        <f t="shared" si="10"/>
        <v xml:space="preserve">  </v>
      </c>
      <c r="F73" s="967" t="str">
        <f t="shared" si="10"/>
        <v xml:space="preserve">  </v>
      </c>
      <c r="G73" s="967">
        <f t="shared" si="10"/>
        <v>0</v>
      </c>
      <c r="H73" s="968">
        <f t="shared" si="10"/>
        <v>0</v>
      </c>
      <c r="I73" s="516" t="e">
        <f>IF(VLOOKUP(C11,list!$AA$5:$AS$14,2,FALSE)=0," ",(VLOOKUP(C11,list!$AA$5:$AS$14,2,FALSE)))</f>
        <v>#N/A</v>
      </c>
      <c r="J73" s="955" t="e">
        <f>IF(I73=" "," ",(D11&amp;"-"&amp;I73))</f>
        <v>#N/A</v>
      </c>
      <c r="K73" s="955" t="e">
        <f>IF(I73=" "," ",(F11&amp;"-"&amp;I73))</f>
        <v>#N/A</v>
      </c>
      <c r="L73" s="969" t="e">
        <f>IF(I73=" "," ",VLOOKUP(J73,list!$J$4:$M$117,4,FALSE))</f>
        <v>#N/A</v>
      </c>
      <c r="M73" s="70"/>
      <c r="N73" s="1300" t="str">
        <f>IF(SUMIFS('Level of Efficiency Assumptions'!$J:$J,'Level of Efficiency Assumptions'!$H:$H,$I73,'Level of Efficiency Assumptions'!$I:$I,N$51)=0," ",SUMIFS('Level of Efficiency Assumptions'!$J:$J,'Level of Efficiency Assumptions'!$H:$H,$I73,'Level of Efficiency Assumptions'!$I:$I,N$51))</f>
        <v xml:space="preserve"> </v>
      </c>
      <c r="O73" s="1301" t="str">
        <f>IF(SUMIFS('Level of Efficiency Assumptions'!$J:$J,'Level of Efficiency Assumptions'!$H:$H,$I73,'Level of Efficiency Assumptions'!$I:$I,O$51)=0," ",SUMIFS('Level of Efficiency Assumptions'!$J:$J,'Level of Efficiency Assumptions'!$H:$H,$I73,'Level of Efficiency Assumptions'!$I:$I,O$51))</f>
        <v xml:space="preserve"> </v>
      </c>
      <c r="P73" s="1302" t="str">
        <f>IF(SUMIFS('Level of Efficiency Assumptions'!$J:$J,'Level of Efficiency Assumptions'!$H:$H,$I73,'Level of Efficiency Assumptions'!$I:$I,P$51)=0," ",SUMIFS('Level of Efficiency Assumptions'!$J:$J,'Level of Efficiency Assumptions'!$H:$H,$I73,'Level of Efficiency Assumptions'!$I:$I,P$51))</f>
        <v xml:space="preserve"> </v>
      </c>
      <c r="Q73" s="970" t="e">
        <f>IF(I73=" "," ",(VLOOKUP(I73,list!$B$81:$C$111,2,FALSE)))</f>
        <v>#N/A</v>
      </c>
      <c r="R73" s="241">
        <f t="shared" ref="R73:R90" si="11">1-S73-T73</f>
        <v>0</v>
      </c>
      <c r="S73" s="83">
        <v>1</v>
      </c>
      <c r="T73" s="84">
        <v>0</v>
      </c>
      <c r="U73" s="242">
        <f>SUM(R73:T73)</f>
        <v>1</v>
      </c>
      <c r="W73" s="250" t="s">
        <v>367</v>
      </c>
      <c r="X73" s="251" t="s">
        <v>366</v>
      </c>
    </row>
    <row r="74" spans="2:24" ht="15" thickBot="1" x14ac:dyDescent="0.35">
      <c r="C74" s="520"/>
      <c r="D74" s="224" t="str">
        <f>D11</f>
        <v xml:space="preserve">  </v>
      </c>
      <c r="E74" s="224"/>
      <c r="F74" s="224" t="str">
        <f>F11</f>
        <v xml:space="preserve">  </v>
      </c>
      <c r="G74" s="224"/>
      <c r="H74" s="380"/>
      <c r="I74" s="516" t="e">
        <f>IF(VLOOKUP(C11,list!$AA$5:$AS$14,3,FALSE)=0," ",(VLOOKUP(C11,list!$AA$5:$AS$14,3,FALSE)))</f>
        <v>#N/A</v>
      </c>
      <c r="J74" s="955" t="e">
        <f t="shared" ref="J74:J89" si="12">IF(I74=" "," ",(D74&amp;"-"&amp;I74))</f>
        <v>#N/A</v>
      </c>
      <c r="K74" s="955" t="e">
        <f t="shared" ref="K74:K90" si="13">IF(I74=" "," ",(F74&amp;"-"&amp;I74))</f>
        <v>#N/A</v>
      </c>
      <c r="L74" s="969" t="e">
        <f>IF(I74=" "," ",VLOOKUP(J74,list!$J$4:$M$117,4,FALSE))</f>
        <v>#N/A</v>
      </c>
      <c r="M74" s="66"/>
      <c r="N74" s="1297" t="str">
        <f>IF(SUMIFS('Level of Efficiency Assumptions'!$J:$J,'Level of Efficiency Assumptions'!$H:$H,$I74,'Level of Efficiency Assumptions'!$I:$I,N$51)=0," ",SUMIFS('Level of Efficiency Assumptions'!$J:$J,'Level of Efficiency Assumptions'!$H:$H,$I74,'Level of Efficiency Assumptions'!$I:$I,N$51))</f>
        <v xml:space="preserve"> </v>
      </c>
      <c r="O74" s="1298" t="str">
        <f>IF(SUMIFS('Level of Efficiency Assumptions'!$J:$J,'Level of Efficiency Assumptions'!$H:$H,$I74,'Level of Efficiency Assumptions'!$I:$I,O$51)=0," ",SUMIFS('Level of Efficiency Assumptions'!$J:$J,'Level of Efficiency Assumptions'!$H:$H,$I74,'Level of Efficiency Assumptions'!$I:$I,O$51))</f>
        <v xml:space="preserve"> </v>
      </c>
      <c r="P74" s="1299" t="str">
        <f>IF(SUMIFS('Level of Efficiency Assumptions'!$J:$J,'Level of Efficiency Assumptions'!$H:$H,$I74,'Level of Efficiency Assumptions'!$I:$I,P$51)=0," ",SUMIFS('Level of Efficiency Assumptions'!$J:$J,'Level of Efficiency Assumptions'!$H:$H,$I74,'Level of Efficiency Assumptions'!$I:$I,P$51))</f>
        <v xml:space="preserve"> </v>
      </c>
      <c r="Q74" s="971" t="e">
        <f>IF(I74=" "," ",(VLOOKUP(I74,list!$B$81:$C$111,2,FALSE)))</f>
        <v>#N/A</v>
      </c>
      <c r="R74" s="243">
        <f t="shared" si="11"/>
        <v>0</v>
      </c>
      <c r="S74" s="64">
        <v>1</v>
      </c>
      <c r="T74" s="68">
        <v>0</v>
      </c>
      <c r="U74" s="244">
        <f t="shared" ref="U74:U90" si="14">SUM(R74:T74)</f>
        <v>1</v>
      </c>
      <c r="V74" s="82" t="e">
        <f>F74&amp;"-"&amp;W74</f>
        <v>#N/A</v>
      </c>
      <c r="W74" s="247" t="e">
        <f>HLOOKUP(D74,list!$O$34:$X$38,2,FALSE)</f>
        <v>#N/A</v>
      </c>
      <c r="X74" s="972">
        <v>1</v>
      </c>
    </row>
    <row r="75" spans="2:24" ht="15" thickBot="1" x14ac:dyDescent="0.35">
      <c r="C75" s="520"/>
      <c r="D75" s="224" t="str">
        <f>D74</f>
        <v xml:space="preserve">  </v>
      </c>
      <c r="E75" s="224"/>
      <c r="F75" s="224" t="str">
        <f>F74</f>
        <v xml:space="preserve">  </v>
      </c>
      <c r="G75" s="224"/>
      <c r="H75" s="380"/>
      <c r="I75" s="516" t="e">
        <f>IF(VLOOKUP(C11,list!$AA$5:$AS$14,4,FALSE)=0," ",(VLOOKUP(C11,list!$AA$5:$AS$14,4,FALSE)))</f>
        <v>#N/A</v>
      </c>
      <c r="J75" s="955" t="e">
        <f t="shared" si="12"/>
        <v>#N/A</v>
      </c>
      <c r="K75" s="955" t="e">
        <f t="shared" si="13"/>
        <v>#N/A</v>
      </c>
      <c r="L75" s="969" t="e">
        <f>IF(I75=" "," ",VLOOKUP(J75,list!$J$4:$M$117,4,FALSE))</f>
        <v>#N/A</v>
      </c>
      <c r="M75" s="66"/>
      <c r="N75" s="1297" t="str">
        <f>IF(SUMIFS('Level of Efficiency Assumptions'!$J:$J,'Level of Efficiency Assumptions'!$H:$H,$I75,'Level of Efficiency Assumptions'!$I:$I,N$51)=0," ",SUMIFS('Level of Efficiency Assumptions'!$J:$J,'Level of Efficiency Assumptions'!$H:$H,$I75,'Level of Efficiency Assumptions'!$I:$I,N$51))</f>
        <v xml:space="preserve"> </v>
      </c>
      <c r="O75" s="1298" t="str">
        <f>IF(SUMIFS('Level of Efficiency Assumptions'!$J:$J,'Level of Efficiency Assumptions'!$H:$H,$I75,'Level of Efficiency Assumptions'!$I:$I,O$51)=0," ",SUMIFS('Level of Efficiency Assumptions'!$J:$J,'Level of Efficiency Assumptions'!$H:$H,$I75,'Level of Efficiency Assumptions'!$I:$I,O$51))</f>
        <v xml:space="preserve"> </v>
      </c>
      <c r="P75" s="1299" t="str">
        <f>IF(SUMIFS('Level of Efficiency Assumptions'!$J:$J,'Level of Efficiency Assumptions'!$H:$H,$I75,'Level of Efficiency Assumptions'!$I:$I,P$51)=0," ",SUMIFS('Level of Efficiency Assumptions'!$J:$J,'Level of Efficiency Assumptions'!$H:$H,$I75,'Level of Efficiency Assumptions'!$I:$I,P$51))</f>
        <v xml:space="preserve"> </v>
      </c>
      <c r="Q75" s="971" t="e">
        <f>IF(I75=" "," ",(VLOOKUP(I75,list!$B$81:$C$111,2,FALSE)))</f>
        <v>#N/A</v>
      </c>
      <c r="R75" s="243">
        <f t="shared" si="11"/>
        <v>0</v>
      </c>
      <c r="S75" s="64">
        <v>1</v>
      </c>
      <c r="T75" s="68">
        <v>0</v>
      </c>
      <c r="U75" s="244">
        <f t="shared" si="14"/>
        <v>1</v>
      </c>
      <c r="V75" s="82" t="e">
        <f>F75&amp;"-"&amp;W75</f>
        <v>#N/A</v>
      </c>
      <c r="W75" s="248" t="e">
        <f>HLOOKUP(D75,list!$O$34:$X$38,3,FALSE)</f>
        <v>#N/A</v>
      </c>
      <c r="X75" s="973">
        <v>0.5</v>
      </c>
    </row>
    <row r="76" spans="2:24" ht="15" thickBot="1" x14ac:dyDescent="0.35">
      <c r="C76" s="520"/>
      <c r="D76" s="224" t="str">
        <f t="shared" ref="D76:D90" si="15">D75</f>
        <v xml:space="preserve">  </v>
      </c>
      <c r="E76" s="224"/>
      <c r="F76" s="224" t="str">
        <f t="shared" ref="F76" si="16">F75</f>
        <v xml:space="preserve">  </v>
      </c>
      <c r="G76" s="224"/>
      <c r="H76" s="380"/>
      <c r="I76" s="516" t="e">
        <f>IF(VLOOKUP(C11,list!$AA$5:$AS$14,5,FALSE)=0," ",(VLOOKUP(C11,list!$AA$5:$AS$14,5,FALSE)))</f>
        <v>#N/A</v>
      </c>
      <c r="J76" s="955" t="e">
        <f t="shared" si="12"/>
        <v>#N/A</v>
      </c>
      <c r="K76" s="955" t="e">
        <f t="shared" si="13"/>
        <v>#N/A</v>
      </c>
      <c r="L76" s="969" t="e">
        <f>IF(I76=" "," ",VLOOKUP(J76,list!$J$4:$M$117,4,FALSE))</f>
        <v>#N/A</v>
      </c>
      <c r="M76" s="66"/>
      <c r="N76" s="1297" t="str">
        <f>IF(SUMIFS('Level of Efficiency Assumptions'!$J:$J,'Level of Efficiency Assumptions'!$H:$H,$I76,'Level of Efficiency Assumptions'!$I:$I,N$51)=0," ",SUMIFS('Level of Efficiency Assumptions'!$J:$J,'Level of Efficiency Assumptions'!$H:$H,$I76,'Level of Efficiency Assumptions'!$I:$I,N$51))</f>
        <v xml:space="preserve"> </v>
      </c>
      <c r="O76" s="1298" t="str">
        <f>IF(SUMIFS('Level of Efficiency Assumptions'!$J:$J,'Level of Efficiency Assumptions'!$H:$H,$I76,'Level of Efficiency Assumptions'!$I:$I,O$51)=0," ",SUMIFS('Level of Efficiency Assumptions'!$J:$J,'Level of Efficiency Assumptions'!$H:$H,$I76,'Level of Efficiency Assumptions'!$I:$I,O$51))</f>
        <v xml:space="preserve"> </v>
      </c>
      <c r="P76" s="1299" t="str">
        <f>IF(SUMIFS('Level of Efficiency Assumptions'!$J:$J,'Level of Efficiency Assumptions'!$H:$H,$I76,'Level of Efficiency Assumptions'!$I:$I,P$51)=0," ",SUMIFS('Level of Efficiency Assumptions'!$J:$J,'Level of Efficiency Assumptions'!$H:$H,$I76,'Level of Efficiency Assumptions'!$I:$I,P$51))</f>
        <v xml:space="preserve"> </v>
      </c>
      <c r="Q76" s="971" t="e">
        <f>IF(I76=" "," ",(VLOOKUP(I76,list!$B$81:$C$111,2,FALSE)))</f>
        <v>#N/A</v>
      </c>
      <c r="R76" s="243">
        <f t="shared" si="11"/>
        <v>0</v>
      </c>
      <c r="S76" s="64">
        <v>1</v>
      </c>
      <c r="T76" s="68">
        <v>0</v>
      </c>
      <c r="U76" s="244">
        <f t="shared" si="14"/>
        <v>1</v>
      </c>
      <c r="V76" s="82" t="e">
        <f>F76&amp;"-"&amp;W76</f>
        <v>#N/A</v>
      </c>
      <c r="W76" s="248" t="e">
        <f>HLOOKUP(D76,list!$O$34:$X$38,4,FALSE)</f>
        <v>#N/A</v>
      </c>
      <c r="X76" s="973">
        <v>0.5</v>
      </c>
    </row>
    <row r="77" spans="2:24" ht="15" thickBot="1" x14ac:dyDescent="0.35">
      <c r="C77" s="520"/>
      <c r="D77" s="224" t="str">
        <f t="shared" si="15"/>
        <v xml:space="preserve">  </v>
      </c>
      <c r="E77" s="224"/>
      <c r="F77" s="224" t="str">
        <f t="shared" ref="F77" si="17">F76</f>
        <v xml:space="preserve">  </v>
      </c>
      <c r="G77" s="224"/>
      <c r="H77" s="380"/>
      <c r="I77" s="516" t="e">
        <f>IF(VLOOKUP(C11,list!$AA$5:$AS$14,6,FALSE)=0," ",(VLOOKUP(C11,list!$AA$5:$AS$14,6,FALSE)))</f>
        <v>#N/A</v>
      </c>
      <c r="J77" s="955" t="e">
        <f t="shared" si="12"/>
        <v>#N/A</v>
      </c>
      <c r="K77" s="955" t="e">
        <f t="shared" si="13"/>
        <v>#N/A</v>
      </c>
      <c r="L77" s="969" t="e">
        <f>IF(I77=" "," ",VLOOKUP(J77,list!$J$4:$M$117,4,FALSE))</f>
        <v>#N/A</v>
      </c>
      <c r="M77" s="66"/>
      <c r="N77" s="1297" t="str">
        <f>IF(SUMIFS('Level of Efficiency Assumptions'!$J:$J,'Level of Efficiency Assumptions'!$H:$H,$I77,'Level of Efficiency Assumptions'!$I:$I,N$51)=0," ",SUMIFS('Level of Efficiency Assumptions'!$J:$J,'Level of Efficiency Assumptions'!$H:$H,$I77,'Level of Efficiency Assumptions'!$I:$I,N$51))</f>
        <v xml:space="preserve"> </v>
      </c>
      <c r="O77" s="1298" t="str">
        <f>IF(SUMIFS('Level of Efficiency Assumptions'!$J:$J,'Level of Efficiency Assumptions'!$H:$H,$I77,'Level of Efficiency Assumptions'!$I:$I,O$51)=0," ",SUMIFS('Level of Efficiency Assumptions'!$J:$J,'Level of Efficiency Assumptions'!$H:$H,$I77,'Level of Efficiency Assumptions'!$I:$I,O$51))</f>
        <v xml:space="preserve"> </v>
      </c>
      <c r="P77" s="1299" t="str">
        <f>IF(SUMIFS('Level of Efficiency Assumptions'!$J:$J,'Level of Efficiency Assumptions'!$H:$H,$I77,'Level of Efficiency Assumptions'!$I:$I,P$51)=0," ",SUMIFS('Level of Efficiency Assumptions'!$J:$J,'Level of Efficiency Assumptions'!$H:$H,$I77,'Level of Efficiency Assumptions'!$I:$I,P$51))</f>
        <v xml:space="preserve"> </v>
      </c>
      <c r="Q77" s="971" t="e">
        <f>IF(I77=" "," ",(VLOOKUP(I77,list!$B$81:$C$111,2,FALSE)))</f>
        <v>#N/A</v>
      </c>
      <c r="R77" s="243">
        <f t="shared" si="11"/>
        <v>0</v>
      </c>
      <c r="S77" s="64">
        <v>1</v>
      </c>
      <c r="T77" s="68">
        <v>0</v>
      </c>
      <c r="U77" s="244">
        <f t="shared" si="14"/>
        <v>1</v>
      </c>
      <c r="V77" s="82" t="e">
        <f>F77&amp;"-"&amp;W77</f>
        <v>#N/A</v>
      </c>
      <c r="W77" s="249" t="e">
        <f>HLOOKUP(D77,list!$O$34:$X$38,5,FALSE)</f>
        <v>#N/A</v>
      </c>
      <c r="X77" s="974">
        <v>0.5</v>
      </c>
    </row>
    <row r="78" spans="2:24" ht="15" thickBot="1" x14ac:dyDescent="0.35">
      <c r="C78" s="520"/>
      <c r="D78" s="224" t="str">
        <f t="shared" si="15"/>
        <v xml:space="preserve">  </v>
      </c>
      <c r="E78" s="224"/>
      <c r="F78" s="224" t="str">
        <f t="shared" ref="F78" si="18">F77</f>
        <v xml:space="preserve">  </v>
      </c>
      <c r="G78" s="224"/>
      <c r="H78" s="380"/>
      <c r="I78" s="516" t="e">
        <f>IF(VLOOKUP(C11,list!$AA$5:$AS$14,7,FALSE)=0," ",(VLOOKUP(C11,list!$AA$5:$AS$14,7,FALSE)))</f>
        <v>#N/A</v>
      </c>
      <c r="J78" s="955" t="e">
        <f t="shared" si="12"/>
        <v>#N/A</v>
      </c>
      <c r="K78" s="955" t="e">
        <f t="shared" si="13"/>
        <v>#N/A</v>
      </c>
      <c r="L78" s="969" t="e">
        <f>IF(I78=" "," ",VLOOKUP(J78,list!$J$4:$M$117,4,FALSE))</f>
        <v>#N/A</v>
      </c>
      <c r="M78" s="66"/>
      <c r="N78" s="1297" t="str">
        <f>IF(SUMIFS('Level of Efficiency Assumptions'!$J:$J,'Level of Efficiency Assumptions'!$H:$H,$I78,'Level of Efficiency Assumptions'!$I:$I,N$51)=0," ",SUMIFS('Level of Efficiency Assumptions'!$J:$J,'Level of Efficiency Assumptions'!$H:$H,$I78,'Level of Efficiency Assumptions'!$I:$I,N$51))</f>
        <v xml:space="preserve"> </v>
      </c>
      <c r="O78" s="1298" t="str">
        <f>IF(SUMIFS('Level of Efficiency Assumptions'!$J:$J,'Level of Efficiency Assumptions'!$H:$H,$I78,'Level of Efficiency Assumptions'!$I:$I,O$51)=0," ",SUMIFS('Level of Efficiency Assumptions'!$J:$J,'Level of Efficiency Assumptions'!$H:$H,$I78,'Level of Efficiency Assumptions'!$I:$I,O$51))</f>
        <v xml:space="preserve"> </v>
      </c>
      <c r="P78" s="1299" t="str">
        <f>IF(SUMIFS('Level of Efficiency Assumptions'!$J:$J,'Level of Efficiency Assumptions'!$H:$H,$I78,'Level of Efficiency Assumptions'!$I:$I,P$51)=0," ",SUMIFS('Level of Efficiency Assumptions'!$J:$J,'Level of Efficiency Assumptions'!$H:$H,$I78,'Level of Efficiency Assumptions'!$I:$I,P$51))</f>
        <v xml:space="preserve"> </v>
      </c>
      <c r="Q78" s="971" t="e">
        <f>IF(I78=" "," ",(VLOOKUP(I78,list!$B$81:$C$111,2,FALSE)))</f>
        <v>#N/A</v>
      </c>
      <c r="R78" s="243">
        <f t="shared" si="11"/>
        <v>0</v>
      </c>
      <c r="S78" s="64">
        <v>1</v>
      </c>
      <c r="T78" s="68">
        <v>0</v>
      </c>
      <c r="U78" s="244">
        <f t="shared" si="14"/>
        <v>1</v>
      </c>
      <c r="W78" s="182"/>
      <c r="X78" s="975"/>
    </row>
    <row r="79" spans="2:24" ht="15" thickBot="1" x14ac:dyDescent="0.35">
      <c r="C79" s="520"/>
      <c r="D79" s="224" t="str">
        <f t="shared" si="15"/>
        <v xml:space="preserve">  </v>
      </c>
      <c r="E79" s="224"/>
      <c r="F79" s="224" t="str">
        <f t="shared" ref="F79" si="19">F78</f>
        <v xml:space="preserve">  </v>
      </c>
      <c r="G79" s="224"/>
      <c r="H79" s="380"/>
      <c r="I79" s="516" t="e">
        <f>IF(VLOOKUP(C11,list!$AA$5:$AS$14,8,FALSE)=0," ",(VLOOKUP(C11,list!$AA$5:$AS$14,8,FALSE)))</f>
        <v>#N/A</v>
      </c>
      <c r="J79" s="955" t="e">
        <f t="shared" si="12"/>
        <v>#N/A</v>
      </c>
      <c r="K79" s="955" t="e">
        <f t="shared" si="13"/>
        <v>#N/A</v>
      </c>
      <c r="L79" s="969" t="e">
        <f>IF(I79=" "," ",VLOOKUP(J79,list!$J$4:$M$117,4,FALSE))</f>
        <v>#N/A</v>
      </c>
      <c r="M79" s="66"/>
      <c r="N79" s="1297" t="str">
        <f>IF(SUMIFS('Level of Efficiency Assumptions'!$J:$J,'Level of Efficiency Assumptions'!$H:$H,$I79,'Level of Efficiency Assumptions'!$I:$I,N$51)=0," ",SUMIFS('Level of Efficiency Assumptions'!$J:$J,'Level of Efficiency Assumptions'!$H:$H,$I79,'Level of Efficiency Assumptions'!$I:$I,N$51))</f>
        <v xml:space="preserve"> </v>
      </c>
      <c r="O79" s="1298" t="str">
        <f>IF(SUMIFS('Level of Efficiency Assumptions'!$J:$J,'Level of Efficiency Assumptions'!$H:$H,$I79,'Level of Efficiency Assumptions'!$I:$I,O$51)=0," ",SUMIFS('Level of Efficiency Assumptions'!$J:$J,'Level of Efficiency Assumptions'!$H:$H,$I79,'Level of Efficiency Assumptions'!$I:$I,O$51))</f>
        <v xml:space="preserve"> </v>
      </c>
      <c r="P79" s="1299" t="str">
        <f>IF(SUMIFS('Level of Efficiency Assumptions'!$J:$J,'Level of Efficiency Assumptions'!$H:$H,$I79,'Level of Efficiency Assumptions'!$I:$I,P$51)=0," ",SUMIFS('Level of Efficiency Assumptions'!$J:$J,'Level of Efficiency Assumptions'!$H:$H,$I79,'Level of Efficiency Assumptions'!$I:$I,P$51))</f>
        <v xml:space="preserve"> </v>
      </c>
      <c r="Q79" s="971" t="e">
        <f>IF(I79=" "," ",(VLOOKUP(I79,list!$B$81:$C$111,2,FALSE)))</f>
        <v>#N/A</v>
      </c>
      <c r="R79" s="243">
        <f t="shared" si="11"/>
        <v>0</v>
      </c>
      <c r="S79" s="64">
        <v>1</v>
      </c>
      <c r="T79" s="68">
        <v>0</v>
      </c>
      <c r="U79" s="244">
        <f t="shared" si="14"/>
        <v>1</v>
      </c>
      <c r="W79" s="182"/>
      <c r="X79" s="975"/>
    </row>
    <row r="80" spans="2:24" ht="15" thickBot="1" x14ac:dyDescent="0.35">
      <c r="C80" s="520"/>
      <c r="D80" s="224" t="str">
        <f t="shared" si="15"/>
        <v xml:space="preserve">  </v>
      </c>
      <c r="E80" s="224"/>
      <c r="F80" s="224" t="str">
        <f t="shared" ref="F80" si="20">F79</f>
        <v xml:space="preserve">  </v>
      </c>
      <c r="G80" s="224"/>
      <c r="H80" s="380"/>
      <c r="I80" s="516" t="e">
        <f>IF(VLOOKUP(C11,list!$AA$5:$AS$14,9,FALSE)=0," ",(VLOOKUP(C11,list!$AA$5:$AS$14,9,FALSE)))</f>
        <v>#N/A</v>
      </c>
      <c r="J80" s="955" t="e">
        <f t="shared" si="12"/>
        <v>#N/A</v>
      </c>
      <c r="K80" s="955" t="e">
        <f t="shared" si="13"/>
        <v>#N/A</v>
      </c>
      <c r="L80" s="969" t="e">
        <f>IF(I80=" "," ",VLOOKUP(J80,list!$J$4:$M$117,4,FALSE))</f>
        <v>#N/A</v>
      </c>
      <c r="M80" s="66"/>
      <c r="N80" s="1297" t="str">
        <f>IF(SUMIFS('Level of Efficiency Assumptions'!$J:$J,'Level of Efficiency Assumptions'!$H:$H,$I80,'Level of Efficiency Assumptions'!$I:$I,N$51)=0," ",SUMIFS('Level of Efficiency Assumptions'!$J:$J,'Level of Efficiency Assumptions'!$H:$H,$I80,'Level of Efficiency Assumptions'!$I:$I,N$51))</f>
        <v xml:space="preserve"> </v>
      </c>
      <c r="O80" s="1298" t="str">
        <f>IF(SUMIFS('Level of Efficiency Assumptions'!$J:$J,'Level of Efficiency Assumptions'!$H:$H,$I80,'Level of Efficiency Assumptions'!$I:$I,O$51)=0," ",SUMIFS('Level of Efficiency Assumptions'!$J:$J,'Level of Efficiency Assumptions'!$H:$H,$I80,'Level of Efficiency Assumptions'!$I:$I,O$51))</f>
        <v xml:space="preserve"> </v>
      </c>
      <c r="P80" s="1299" t="str">
        <f>IF(SUMIFS('Level of Efficiency Assumptions'!$J:$J,'Level of Efficiency Assumptions'!$H:$H,$I80,'Level of Efficiency Assumptions'!$I:$I,P$51)=0," ",SUMIFS('Level of Efficiency Assumptions'!$J:$J,'Level of Efficiency Assumptions'!$H:$H,$I80,'Level of Efficiency Assumptions'!$I:$I,P$51))</f>
        <v xml:space="preserve"> </v>
      </c>
      <c r="Q80" s="971" t="e">
        <f>IF(I80=" "," ",(VLOOKUP(I80,list!$B$81:$C$111,2,FALSE)))</f>
        <v>#N/A</v>
      </c>
      <c r="R80" s="243">
        <f t="shared" si="11"/>
        <v>0</v>
      </c>
      <c r="S80" s="64">
        <v>1</v>
      </c>
      <c r="T80" s="68">
        <v>0</v>
      </c>
      <c r="U80" s="244">
        <f t="shared" si="14"/>
        <v>1</v>
      </c>
    </row>
    <row r="81" spans="2:24" ht="15" thickBot="1" x14ac:dyDescent="0.35">
      <c r="C81" s="520"/>
      <c r="D81" s="224" t="str">
        <f t="shared" si="15"/>
        <v xml:space="preserve">  </v>
      </c>
      <c r="E81" s="224"/>
      <c r="F81" s="224" t="str">
        <f t="shared" ref="F81" si="21">F80</f>
        <v xml:space="preserve">  </v>
      </c>
      <c r="G81" s="224"/>
      <c r="H81" s="380"/>
      <c r="I81" s="516" t="e">
        <f>IF(VLOOKUP(C11,list!$AA$5:$AS$14,10,FALSE)=0," ",(VLOOKUP(C11,list!$AA$5:$AS$14,10,FALSE)))</f>
        <v>#N/A</v>
      </c>
      <c r="J81" s="955" t="e">
        <f t="shared" si="12"/>
        <v>#N/A</v>
      </c>
      <c r="K81" s="955" t="e">
        <f t="shared" si="13"/>
        <v>#N/A</v>
      </c>
      <c r="L81" s="969" t="e">
        <f>IF(I81=" "," ",VLOOKUP(J81,list!$J$4:$M$117,4,FALSE))</f>
        <v>#N/A</v>
      </c>
      <c r="M81" s="66"/>
      <c r="N81" s="1297" t="str">
        <f>IF(SUMIFS('Level of Efficiency Assumptions'!$J:$J,'Level of Efficiency Assumptions'!$H:$H,$I81,'Level of Efficiency Assumptions'!$I:$I,N$51)=0," ",SUMIFS('Level of Efficiency Assumptions'!$J:$J,'Level of Efficiency Assumptions'!$H:$H,$I81,'Level of Efficiency Assumptions'!$I:$I,N$51))</f>
        <v xml:space="preserve"> </v>
      </c>
      <c r="O81" s="1298" t="str">
        <f>IF(SUMIFS('Level of Efficiency Assumptions'!$J:$J,'Level of Efficiency Assumptions'!$H:$H,$I81,'Level of Efficiency Assumptions'!$I:$I,O$51)=0," ",SUMIFS('Level of Efficiency Assumptions'!$J:$J,'Level of Efficiency Assumptions'!$H:$H,$I81,'Level of Efficiency Assumptions'!$I:$I,O$51))</f>
        <v xml:space="preserve"> </v>
      </c>
      <c r="P81" s="1299" t="str">
        <f>IF(SUMIFS('Level of Efficiency Assumptions'!$J:$J,'Level of Efficiency Assumptions'!$H:$H,$I81,'Level of Efficiency Assumptions'!$I:$I,P$51)=0," ",SUMIFS('Level of Efficiency Assumptions'!$J:$J,'Level of Efficiency Assumptions'!$H:$H,$I81,'Level of Efficiency Assumptions'!$I:$I,P$51))</f>
        <v xml:space="preserve"> </v>
      </c>
      <c r="Q81" s="971" t="e">
        <f>IF(I81=" "," ",(VLOOKUP(I81,list!$B$81:$C$111,2,FALSE)))</f>
        <v>#N/A</v>
      </c>
      <c r="R81" s="243">
        <f t="shared" si="11"/>
        <v>0</v>
      </c>
      <c r="S81" s="64">
        <v>1</v>
      </c>
      <c r="T81" s="68">
        <v>0</v>
      </c>
      <c r="U81" s="244">
        <f t="shared" si="14"/>
        <v>1</v>
      </c>
    </row>
    <row r="82" spans="2:24" ht="15" thickBot="1" x14ac:dyDescent="0.35">
      <c r="C82" s="520"/>
      <c r="D82" s="224" t="str">
        <f t="shared" si="15"/>
        <v xml:space="preserve">  </v>
      </c>
      <c r="E82" s="224"/>
      <c r="F82" s="224" t="str">
        <f t="shared" ref="F82" si="22">F81</f>
        <v xml:space="preserve">  </v>
      </c>
      <c r="G82" s="224"/>
      <c r="H82" s="380"/>
      <c r="I82" s="516" t="e">
        <f>IF(VLOOKUP(C11,list!$AA$5:$AS$14,11,FALSE)=0," ",(VLOOKUP(C11,list!$AA$5:$AS$14,11,FALSE)))</f>
        <v>#N/A</v>
      </c>
      <c r="J82" s="955" t="e">
        <f t="shared" si="12"/>
        <v>#N/A</v>
      </c>
      <c r="K82" s="955" t="e">
        <f t="shared" si="13"/>
        <v>#N/A</v>
      </c>
      <c r="L82" s="969" t="e">
        <f>IF(I82=" "," ",VLOOKUP(J82,list!$J$4:$M$117,4,FALSE))</f>
        <v>#N/A</v>
      </c>
      <c r="M82" s="66"/>
      <c r="N82" s="1297" t="str">
        <f>IF(SUMIFS('Level of Efficiency Assumptions'!$J:$J,'Level of Efficiency Assumptions'!$H:$H,$I82,'Level of Efficiency Assumptions'!$I:$I,N$51)=0," ",SUMIFS('Level of Efficiency Assumptions'!$J:$J,'Level of Efficiency Assumptions'!$H:$H,$I82,'Level of Efficiency Assumptions'!$I:$I,N$51))</f>
        <v xml:space="preserve"> </v>
      </c>
      <c r="O82" s="1298" t="str">
        <f>IF(SUMIFS('Level of Efficiency Assumptions'!$J:$J,'Level of Efficiency Assumptions'!$H:$H,$I82,'Level of Efficiency Assumptions'!$I:$I,O$51)=0," ",SUMIFS('Level of Efficiency Assumptions'!$J:$J,'Level of Efficiency Assumptions'!$H:$H,$I82,'Level of Efficiency Assumptions'!$I:$I,O$51))</f>
        <v xml:space="preserve"> </v>
      </c>
      <c r="P82" s="1299" t="str">
        <f>IF(SUMIFS('Level of Efficiency Assumptions'!$J:$J,'Level of Efficiency Assumptions'!$H:$H,$I82,'Level of Efficiency Assumptions'!$I:$I,P$51)=0," ",SUMIFS('Level of Efficiency Assumptions'!$J:$J,'Level of Efficiency Assumptions'!$H:$H,$I82,'Level of Efficiency Assumptions'!$I:$I,P$51))</f>
        <v xml:space="preserve"> </v>
      </c>
      <c r="Q82" s="971" t="e">
        <f>IF(I82=" "," ",(VLOOKUP(I82,list!$B$81:$C$111,2,FALSE)))</f>
        <v>#N/A</v>
      </c>
      <c r="R82" s="243">
        <f t="shared" si="11"/>
        <v>0</v>
      </c>
      <c r="S82" s="64">
        <v>1</v>
      </c>
      <c r="T82" s="68">
        <v>0</v>
      </c>
      <c r="U82" s="244">
        <f t="shared" si="14"/>
        <v>1</v>
      </c>
    </row>
    <row r="83" spans="2:24" ht="15" thickBot="1" x14ac:dyDescent="0.35">
      <c r="C83" s="520"/>
      <c r="D83" s="224" t="str">
        <f t="shared" si="15"/>
        <v xml:space="preserve">  </v>
      </c>
      <c r="E83" s="224"/>
      <c r="F83" s="224" t="str">
        <f t="shared" ref="F83" si="23">F82</f>
        <v xml:space="preserve">  </v>
      </c>
      <c r="G83" s="224"/>
      <c r="H83" s="380"/>
      <c r="I83" s="516" t="e">
        <f>IF(VLOOKUP(C11,list!$AA$5:$AS$14,12,FALSE)=0," ",(VLOOKUP(C11,list!$AA$5:$AS$14,12,FALSE)))</f>
        <v>#N/A</v>
      </c>
      <c r="J83" s="955" t="e">
        <f t="shared" si="12"/>
        <v>#N/A</v>
      </c>
      <c r="K83" s="955" t="e">
        <f t="shared" si="13"/>
        <v>#N/A</v>
      </c>
      <c r="L83" s="969" t="e">
        <f>IF(I83=" "," ",VLOOKUP(J83,list!$J$4:$M$117,4,FALSE))</f>
        <v>#N/A</v>
      </c>
      <c r="M83" s="66"/>
      <c r="N83" s="1297" t="str">
        <f>IF(SUMIFS('Level of Efficiency Assumptions'!$J:$J,'Level of Efficiency Assumptions'!$H:$H,$I83,'Level of Efficiency Assumptions'!$I:$I,N$51)=0," ",SUMIFS('Level of Efficiency Assumptions'!$J:$J,'Level of Efficiency Assumptions'!$H:$H,$I83,'Level of Efficiency Assumptions'!$I:$I,N$51))</f>
        <v xml:space="preserve"> </v>
      </c>
      <c r="O83" s="1298" t="str">
        <f>IF(SUMIFS('Level of Efficiency Assumptions'!$J:$J,'Level of Efficiency Assumptions'!$H:$H,$I83,'Level of Efficiency Assumptions'!$I:$I,O$51)=0," ",SUMIFS('Level of Efficiency Assumptions'!$J:$J,'Level of Efficiency Assumptions'!$H:$H,$I83,'Level of Efficiency Assumptions'!$I:$I,O$51))</f>
        <v xml:space="preserve"> </v>
      </c>
      <c r="P83" s="1299" t="str">
        <f>IF(SUMIFS('Level of Efficiency Assumptions'!$J:$J,'Level of Efficiency Assumptions'!$H:$H,$I83,'Level of Efficiency Assumptions'!$I:$I,P$51)=0," ",SUMIFS('Level of Efficiency Assumptions'!$J:$J,'Level of Efficiency Assumptions'!$H:$H,$I83,'Level of Efficiency Assumptions'!$I:$I,P$51))</f>
        <v xml:space="preserve"> </v>
      </c>
      <c r="Q83" s="971" t="e">
        <f>IF(I83=" "," ",(VLOOKUP(I83,list!$B$81:$C$111,2,FALSE)))</f>
        <v>#N/A</v>
      </c>
      <c r="R83" s="243">
        <f t="shared" si="11"/>
        <v>0</v>
      </c>
      <c r="S83" s="64">
        <v>1</v>
      </c>
      <c r="T83" s="68">
        <v>0</v>
      </c>
      <c r="U83" s="244">
        <f t="shared" si="14"/>
        <v>1</v>
      </c>
    </row>
    <row r="84" spans="2:24" ht="15" thickBot="1" x14ac:dyDescent="0.35">
      <c r="C84" s="520"/>
      <c r="D84" s="224" t="str">
        <f t="shared" si="15"/>
        <v xml:space="preserve">  </v>
      </c>
      <c r="E84" s="224"/>
      <c r="F84" s="224" t="str">
        <f t="shared" ref="F84" si="24">F83</f>
        <v xml:space="preserve">  </v>
      </c>
      <c r="G84" s="224"/>
      <c r="H84" s="380"/>
      <c r="I84" s="516" t="e">
        <f>IF(VLOOKUP(C11,list!$AA$5:$AS$14,13,FALSE)=0," ",(VLOOKUP(C11,list!$AA$5:$AS$14,13,FALSE)))</f>
        <v>#N/A</v>
      </c>
      <c r="J84" s="955" t="e">
        <f t="shared" si="12"/>
        <v>#N/A</v>
      </c>
      <c r="K84" s="955" t="e">
        <f t="shared" si="13"/>
        <v>#N/A</v>
      </c>
      <c r="L84" s="969" t="e">
        <f>IF(I84=" "," ",VLOOKUP(J84,list!$J$4:$M$117,4,FALSE))</f>
        <v>#N/A</v>
      </c>
      <c r="M84" s="66"/>
      <c r="N84" s="1297" t="str">
        <f>IF(SUMIFS('Level of Efficiency Assumptions'!$J:$J,'Level of Efficiency Assumptions'!$H:$H,$I84,'Level of Efficiency Assumptions'!$I:$I,N$51)=0," ",SUMIFS('Level of Efficiency Assumptions'!$J:$J,'Level of Efficiency Assumptions'!$H:$H,$I84,'Level of Efficiency Assumptions'!$I:$I,N$51))</f>
        <v xml:space="preserve"> </v>
      </c>
      <c r="O84" s="1298" t="str">
        <f>IF(SUMIFS('Level of Efficiency Assumptions'!$J:$J,'Level of Efficiency Assumptions'!$H:$H,$I84,'Level of Efficiency Assumptions'!$I:$I,O$51)=0," ",SUMIFS('Level of Efficiency Assumptions'!$J:$J,'Level of Efficiency Assumptions'!$H:$H,$I84,'Level of Efficiency Assumptions'!$I:$I,O$51))</f>
        <v xml:space="preserve"> </v>
      </c>
      <c r="P84" s="1299" t="str">
        <f>IF(SUMIFS('Level of Efficiency Assumptions'!$J:$J,'Level of Efficiency Assumptions'!$H:$H,$I84,'Level of Efficiency Assumptions'!$I:$I,P$51)=0," ",SUMIFS('Level of Efficiency Assumptions'!$J:$J,'Level of Efficiency Assumptions'!$H:$H,$I84,'Level of Efficiency Assumptions'!$I:$I,P$51))</f>
        <v xml:space="preserve"> </v>
      </c>
      <c r="Q84" s="971" t="e">
        <f>IF(I84=" "," ",(VLOOKUP(I84,list!$B$81:$C$111,2,FALSE)))</f>
        <v>#N/A</v>
      </c>
      <c r="R84" s="243">
        <f t="shared" si="11"/>
        <v>0</v>
      </c>
      <c r="S84" s="64">
        <v>1</v>
      </c>
      <c r="T84" s="68">
        <v>0</v>
      </c>
      <c r="U84" s="244">
        <f t="shared" si="14"/>
        <v>1</v>
      </c>
    </row>
    <row r="85" spans="2:24" ht="15" thickBot="1" x14ac:dyDescent="0.35">
      <c r="C85" s="520"/>
      <c r="D85" s="224" t="str">
        <f t="shared" si="15"/>
        <v xml:space="preserve">  </v>
      </c>
      <c r="E85" s="224"/>
      <c r="F85" s="224" t="str">
        <f t="shared" ref="F85" si="25">F84</f>
        <v xml:space="preserve">  </v>
      </c>
      <c r="G85" s="224"/>
      <c r="H85" s="380"/>
      <c r="I85" s="516" t="e">
        <f>IF(VLOOKUP(C11,list!$AA$5:$AS$14,14,FALSE)=0," ",(VLOOKUP(C11,list!$AA$5:$AS$14,14,FALSE)))</f>
        <v>#N/A</v>
      </c>
      <c r="J85" s="955" t="e">
        <f t="shared" si="12"/>
        <v>#N/A</v>
      </c>
      <c r="K85" s="955" t="e">
        <f t="shared" si="13"/>
        <v>#N/A</v>
      </c>
      <c r="L85" s="969" t="e">
        <f>IF(I85=" "," ",VLOOKUP(J85,list!$J$4:$M$117,4,FALSE))</f>
        <v>#N/A</v>
      </c>
      <c r="M85" s="66"/>
      <c r="N85" s="1297" t="str">
        <f>IF(SUMIFS('Level of Efficiency Assumptions'!$J:$J,'Level of Efficiency Assumptions'!$H:$H,$I85,'Level of Efficiency Assumptions'!$I:$I,N$51)=0," ",SUMIFS('Level of Efficiency Assumptions'!$J:$J,'Level of Efficiency Assumptions'!$H:$H,$I85,'Level of Efficiency Assumptions'!$I:$I,N$51))</f>
        <v xml:space="preserve"> </v>
      </c>
      <c r="O85" s="1298" t="str">
        <f>IF(SUMIFS('Level of Efficiency Assumptions'!$J:$J,'Level of Efficiency Assumptions'!$H:$H,$I85,'Level of Efficiency Assumptions'!$I:$I,O$51)=0," ",SUMIFS('Level of Efficiency Assumptions'!$J:$J,'Level of Efficiency Assumptions'!$H:$H,$I85,'Level of Efficiency Assumptions'!$I:$I,O$51))</f>
        <v xml:space="preserve"> </v>
      </c>
      <c r="P85" s="1299" t="str">
        <f>IF(SUMIFS('Level of Efficiency Assumptions'!$J:$J,'Level of Efficiency Assumptions'!$H:$H,$I85,'Level of Efficiency Assumptions'!$I:$I,P$51)=0," ",SUMIFS('Level of Efficiency Assumptions'!$J:$J,'Level of Efficiency Assumptions'!$H:$H,$I85,'Level of Efficiency Assumptions'!$I:$I,P$51))</f>
        <v xml:space="preserve"> </v>
      </c>
      <c r="Q85" s="971" t="e">
        <f>IF(I85=" "," ",(VLOOKUP(I85,list!$B$81:$C$111,2,FALSE)))</f>
        <v>#N/A</v>
      </c>
      <c r="R85" s="243">
        <f t="shared" si="11"/>
        <v>0</v>
      </c>
      <c r="S85" s="64">
        <v>1</v>
      </c>
      <c r="T85" s="68">
        <v>0</v>
      </c>
      <c r="U85" s="244">
        <f t="shared" si="14"/>
        <v>1</v>
      </c>
    </row>
    <row r="86" spans="2:24" ht="15" thickBot="1" x14ac:dyDescent="0.35">
      <c r="C86" s="520"/>
      <c r="D86" s="224" t="str">
        <f t="shared" si="15"/>
        <v xml:space="preserve">  </v>
      </c>
      <c r="E86" s="224"/>
      <c r="F86" s="224" t="str">
        <f t="shared" ref="F86" si="26">F85</f>
        <v xml:space="preserve">  </v>
      </c>
      <c r="G86" s="224"/>
      <c r="H86" s="380"/>
      <c r="I86" s="516" t="e">
        <f>IF(VLOOKUP(C11,list!$AA$5:$AS$14,15,FALSE)=0," ",(VLOOKUP(C11,list!$AA$5:$AS$14,15,FALSE)))</f>
        <v>#N/A</v>
      </c>
      <c r="J86" s="955" t="e">
        <f t="shared" si="12"/>
        <v>#N/A</v>
      </c>
      <c r="K86" s="955" t="e">
        <f t="shared" si="13"/>
        <v>#N/A</v>
      </c>
      <c r="L86" s="969" t="e">
        <f>IF(I86=" "," ",VLOOKUP(J86,list!$J$4:$M$117,4,FALSE))</f>
        <v>#N/A</v>
      </c>
      <c r="M86" s="66"/>
      <c r="N86" s="1297" t="str">
        <f>IF(SUMIFS('Level of Efficiency Assumptions'!$J:$J,'Level of Efficiency Assumptions'!$H:$H,$I86,'Level of Efficiency Assumptions'!$I:$I,N$51)=0," ",SUMIFS('Level of Efficiency Assumptions'!$J:$J,'Level of Efficiency Assumptions'!$H:$H,$I86,'Level of Efficiency Assumptions'!$I:$I,N$51))</f>
        <v xml:space="preserve"> </v>
      </c>
      <c r="O86" s="1298" t="str">
        <f>IF(SUMIFS('Level of Efficiency Assumptions'!$J:$J,'Level of Efficiency Assumptions'!$H:$H,$I86,'Level of Efficiency Assumptions'!$I:$I,O$51)=0," ",SUMIFS('Level of Efficiency Assumptions'!$J:$J,'Level of Efficiency Assumptions'!$H:$H,$I86,'Level of Efficiency Assumptions'!$I:$I,O$51))</f>
        <v xml:space="preserve"> </v>
      </c>
      <c r="P86" s="1299" t="str">
        <f>IF(SUMIFS('Level of Efficiency Assumptions'!$J:$J,'Level of Efficiency Assumptions'!$H:$H,$I86,'Level of Efficiency Assumptions'!$I:$I,P$51)=0," ",SUMIFS('Level of Efficiency Assumptions'!$J:$J,'Level of Efficiency Assumptions'!$H:$H,$I86,'Level of Efficiency Assumptions'!$I:$I,P$51))</f>
        <v xml:space="preserve"> </v>
      </c>
      <c r="Q86" s="971" t="e">
        <f>IF(I86=" "," ",(VLOOKUP(I86,list!$B$81:$C$111,2,FALSE)))</f>
        <v>#N/A</v>
      </c>
      <c r="R86" s="243">
        <f t="shared" si="11"/>
        <v>0</v>
      </c>
      <c r="S86" s="64">
        <v>1</v>
      </c>
      <c r="T86" s="68">
        <v>0</v>
      </c>
      <c r="U86" s="244">
        <f t="shared" si="14"/>
        <v>1</v>
      </c>
    </row>
    <row r="87" spans="2:24" ht="15" thickBot="1" x14ac:dyDescent="0.35">
      <c r="C87" s="520"/>
      <c r="D87" s="224" t="str">
        <f t="shared" si="15"/>
        <v xml:space="preserve">  </v>
      </c>
      <c r="E87" s="224"/>
      <c r="F87" s="224" t="str">
        <f t="shared" ref="F87" si="27">F86</f>
        <v xml:space="preserve">  </v>
      </c>
      <c r="G87" s="224"/>
      <c r="H87" s="380"/>
      <c r="I87" s="516" t="e">
        <f>IF(VLOOKUP(C11,list!$AA$5:$AS$14,16,FALSE)=0," ",(VLOOKUP(C11,list!$AA$5:$AS$14,16,FALSE)))</f>
        <v>#N/A</v>
      </c>
      <c r="J87" s="955" t="e">
        <f t="shared" si="12"/>
        <v>#N/A</v>
      </c>
      <c r="K87" s="955" t="e">
        <f t="shared" si="13"/>
        <v>#N/A</v>
      </c>
      <c r="L87" s="969" t="e">
        <f>IF(I87=" "," ",VLOOKUP(J87,list!$J$4:$M$117,4,FALSE))</f>
        <v>#N/A</v>
      </c>
      <c r="M87" s="66"/>
      <c r="N87" s="1297" t="str">
        <f>IF(SUMIFS('Level of Efficiency Assumptions'!$J:$J,'Level of Efficiency Assumptions'!$H:$H,$I87,'Level of Efficiency Assumptions'!$I:$I,N$51)=0," ",SUMIFS('Level of Efficiency Assumptions'!$J:$J,'Level of Efficiency Assumptions'!$H:$H,$I87,'Level of Efficiency Assumptions'!$I:$I,N$51))</f>
        <v xml:space="preserve"> </v>
      </c>
      <c r="O87" s="1298" t="str">
        <f>IF(SUMIFS('Level of Efficiency Assumptions'!$J:$J,'Level of Efficiency Assumptions'!$H:$H,$I87,'Level of Efficiency Assumptions'!$I:$I,O$51)=0," ",SUMIFS('Level of Efficiency Assumptions'!$J:$J,'Level of Efficiency Assumptions'!$H:$H,$I87,'Level of Efficiency Assumptions'!$I:$I,O$51))</f>
        <v xml:space="preserve"> </v>
      </c>
      <c r="P87" s="1299" t="str">
        <f>IF(SUMIFS('Level of Efficiency Assumptions'!$J:$J,'Level of Efficiency Assumptions'!$H:$H,$I87,'Level of Efficiency Assumptions'!$I:$I,P$51)=0," ",SUMIFS('Level of Efficiency Assumptions'!$J:$J,'Level of Efficiency Assumptions'!$H:$H,$I87,'Level of Efficiency Assumptions'!$I:$I,P$51))</f>
        <v xml:space="preserve"> </v>
      </c>
      <c r="Q87" s="971" t="e">
        <f>IF(I87=" "," ",(VLOOKUP(I87,list!$B$81:$C$111,2,FALSE)))</f>
        <v>#N/A</v>
      </c>
      <c r="R87" s="243">
        <f t="shared" si="11"/>
        <v>0</v>
      </c>
      <c r="S87" s="64">
        <v>1</v>
      </c>
      <c r="T87" s="68">
        <v>0</v>
      </c>
      <c r="U87" s="244">
        <f t="shared" si="14"/>
        <v>1</v>
      </c>
    </row>
    <row r="88" spans="2:24" ht="15" thickBot="1" x14ac:dyDescent="0.35">
      <c r="C88" s="520"/>
      <c r="D88" s="224" t="str">
        <f t="shared" si="15"/>
        <v xml:space="preserve">  </v>
      </c>
      <c r="E88" s="224"/>
      <c r="F88" s="224" t="str">
        <f t="shared" ref="F88" si="28">F87</f>
        <v xml:space="preserve">  </v>
      </c>
      <c r="G88" s="224"/>
      <c r="H88" s="380"/>
      <c r="I88" s="516" t="e">
        <f>IF(VLOOKUP(C11,list!$AA$5:$AS$14,17,FALSE)=0," ",(VLOOKUP(C11,list!$AA$5:$AS$14,17,FALSE)))</f>
        <v>#N/A</v>
      </c>
      <c r="J88" s="955" t="e">
        <f t="shared" si="12"/>
        <v>#N/A</v>
      </c>
      <c r="K88" s="955" t="e">
        <f t="shared" si="13"/>
        <v>#N/A</v>
      </c>
      <c r="L88" s="969" t="e">
        <f>IF(I88=" "," ",VLOOKUP(J88,list!$J$4:$M$117,4,FALSE))</f>
        <v>#N/A</v>
      </c>
      <c r="M88" s="66"/>
      <c r="N88" s="1297" t="str">
        <f>IF(SUMIFS('Level of Efficiency Assumptions'!$J:$J,'Level of Efficiency Assumptions'!$H:$H,$I88,'Level of Efficiency Assumptions'!$I:$I,N$51)=0," ",SUMIFS('Level of Efficiency Assumptions'!$J:$J,'Level of Efficiency Assumptions'!$H:$H,$I88,'Level of Efficiency Assumptions'!$I:$I,N$51))</f>
        <v xml:space="preserve"> </v>
      </c>
      <c r="O88" s="1298" t="str">
        <f>IF(SUMIFS('Level of Efficiency Assumptions'!$J:$J,'Level of Efficiency Assumptions'!$H:$H,$I88,'Level of Efficiency Assumptions'!$I:$I,O$51)=0," ",SUMIFS('Level of Efficiency Assumptions'!$J:$J,'Level of Efficiency Assumptions'!$H:$H,$I88,'Level of Efficiency Assumptions'!$I:$I,O$51))</f>
        <v xml:space="preserve"> </v>
      </c>
      <c r="P88" s="1299" t="str">
        <f>IF(SUMIFS('Level of Efficiency Assumptions'!$J:$J,'Level of Efficiency Assumptions'!$H:$H,$I88,'Level of Efficiency Assumptions'!$I:$I,P$51)=0," ",SUMIFS('Level of Efficiency Assumptions'!$J:$J,'Level of Efficiency Assumptions'!$H:$H,$I88,'Level of Efficiency Assumptions'!$I:$I,P$51))</f>
        <v xml:space="preserve"> </v>
      </c>
      <c r="Q88" s="971" t="e">
        <f>IF(I88=" "," ",(VLOOKUP(I88,list!$B$81:$C$111,2,FALSE)))</f>
        <v>#N/A</v>
      </c>
      <c r="R88" s="243">
        <f t="shared" si="11"/>
        <v>0</v>
      </c>
      <c r="S88" s="64">
        <v>1</v>
      </c>
      <c r="T88" s="68">
        <v>0</v>
      </c>
      <c r="U88" s="244">
        <f t="shared" si="14"/>
        <v>1</v>
      </c>
    </row>
    <row r="89" spans="2:24" ht="15" thickBot="1" x14ac:dyDescent="0.35">
      <c r="C89" s="520"/>
      <c r="D89" s="224" t="str">
        <f t="shared" si="15"/>
        <v xml:space="preserve">  </v>
      </c>
      <c r="E89" s="224"/>
      <c r="F89" s="224" t="str">
        <f t="shared" ref="F89" si="29">F88</f>
        <v xml:space="preserve">  </v>
      </c>
      <c r="G89" s="224"/>
      <c r="H89" s="380"/>
      <c r="I89" s="516" t="e">
        <f>IF(VLOOKUP(C11,list!$AA$5:$AS$14,18,FALSE)=0," ",(VLOOKUP(C11,list!$AA$5:$AS$14,18,FALSE)))</f>
        <v>#N/A</v>
      </c>
      <c r="J89" s="955" t="e">
        <f t="shared" si="12"/>
        <v>#N/A</v>
      </c>
      <c r="K89" s="955" t="e">
        <f t="shared" si="13"/>
        <v>#N/A</v>
      </c>
      <c r="L89" s="969" t="e">
        <f>IF(I89=" "," ",VLOOKUP(J89,list!$J$4:$M$117,4,FALSE))</f>
        <v>#N/A</v>
      </c>
      <c r="M89" s="66"/>
      <c r="N89" s="1297" t="str">
        <f>IF(SUMIFS('Level of Efficiency Assumptions'!$J:$J,'Level of Efficiency Assumptions'!$H:$H,$I89,'Level of Efficiency Assumptions'!$I:$I,N$51)=0," ",SUMIFS('Level of Efficiency Assumptions'!$J:$J,'Level of Efficiency Assumptions'!$H:$H,$I89,'Level of Efficiency Assumptions'!$I:$I,N$51))</f>
        <v xml:space="preserve"> </v>
      </c>
      <c r="O89" s="1298" t="str">
        <f>IF(SUMIFS('Level of Efficiency Assumptions'!$J:$J,'Level of Efficiency Assumptions'!$H:$H,$I89,'Level of Efficiency Assumptions'!$I:$I,O$51)=0," ",SUMIFS('Level of Efficiency Assumptions'!$J:$J,'Level of Efficiency Assumptions'!$H:$H,$I89,'Level of Efficiency Assumptions'!$I:$I,O$51))</f>
        <v xml:space="preserve"> </v>
      </c>
      <c r="P89" s="1299" t="str">
        <f>IF(SUMIFS('Level of Efficiency Assumptions'!$J:$J,'Level of Efficiency Assumptions'!$H:$H,$I89,'Level of Efficiency Assumptions'!$I:$I,P$51)=0," ",SUMIFS('Level of Efficiency Assumptions'!$J:$J,'Level of Efficiency Assumptions'!$H:$H,$I89,'Level of Efficiency Assumptions'!$I:$I,P$51))</f>
        <v xml:space="preserve"> </v>
      </c>
      <c r="Q89" s="971" t="e">
        <f>IF(I89=" "," ",(VLOOKUP(I89,list!$B$81:$C$111,2,FALSE)))</f>
        <v>#N/A</v>
      </c>
      <c r="R89" s="243">
        <f t="shared" si="11"/>
        <v>0</v>
      </c>
      <c r="S89" s="64">
        <v>1</v>
      </c>
      <c r="T89" s="68">
        <v>0</v>
      </c>
      <c r="U89" s="244">
        <f t="shared" si="14"/>
        <v>1</v>
      </c>
    </row>
    <row r="90" spans="2:24" ht="15" thickBot="1" x14ac:dyDescent="0.35">
      <c r="C90" s="632"/>
      <c r="D90" s="226" t="str">
        <f t="shared" si="15"/>
        <v xml:space="preserve">  </v>
      </c>
      <c r="E90" s="226"/>
      <c r="F90" s="226" t="str">
        <f t="shared" ref="F90" si="30">F89</f>
        <v xml:space="preserve">  </v>
      </c>
      <c r="G90" s="226"/>
      <c r="H90" s="976"/>
      <c r="I90" s="516" t="e">
        <f>IF(VLOOKUP(C11,list!$AA$5:$AS$14,19,FALSE)=0," ",(VLOOKUP(C11,list!$AA$5:$AS$14,19,FALSE)))</f>
        <v>#N/A</v>
      </c>
      <c r="J90" s="955" t="e">
        <f>IF(I90=" "," ",(D90&amp;"-"&amp;I90))</f>
        <v>#N/A</v>
      </c>
      <c r="K90" s="955" t="e">
        <f t="shared" si="13"/>
        <v>#N/A</v>
      </c>
      <c r="L90" s="969" t="e">
        <f>IF(I90=" "," ",VLOOKUP(J90,list!$J$4:$M$117,4,FALSE))</f>
        <v>#N/A</v>
      </c>
      <c r="M90" s="67"/>
      <c r="N90" s="1303" t="str">
        <f>IF(SUMIFS('Level of Efficiency Assumptions'!$J:$J,'Level of Efficiency Assumptions'!$H:$H,$I90,'Level of Efficiency Assumptions'!$I:$I,N$51)=0," ",SUMIFS('Level of Efficiency Assumptions'!$J:$J,'Level of Efficiency Assumptions'!$H:$H,$I90,'Level of Efficiency Assumptions'!$I:$I,N$51))</f>
        <v xml:space="preserve"> </v>
      </c>
      <c r="O90" s="1304" t="str">
        <f>IF(SUMIFS('Level of Efficiency Assumptions'!$J:$J,'Level of Efficiency Assumptions'!$H:$H,$I90,'Level of Efficiency Assumptions'!$I:$I,O$51)=0," ",SUMIFS('Level of Efficiency Assumptions'!$J:$J,'Level of Efficiency Assumptions'!$H:$H,$I90,'Level of Efficiency Assumptions'!$I:$I,O$51))</f>
        <v xml:space="preserve"> </v>
      </c>
      <c r="P90" s="1305" t="str">
        <f>IF(SUMIFS('Level of Efficiency Assumptions'!$J:$J,'Level of Efficiency Assumptions'!$H:$H,$I90,'Level of Efficiency Assumptions'!$I:$I,P$51)=0," ",SUMIFS('Level of Efficiency Assumptions'!$J:$J,'Level of Efficiency Assumptions'!$H:$H,$I90,'Level of Efficiency Assumptions'!$I:$I,P$51))</f>
        <v xml:space="preserve"> </v>
      </c>
      <c r="Q90" s="977" t="e">
        <f>IF(I90=" "," ",(VLOOKUP(I90,list!$B$81:$C$111,2,FALSE)))</f>
        <v>#N/A</v>
      </c>
      <c r="R90" s="245">
        <f t="shared" si="11"/>
        <v>0</v>
      </c>
      <c r="S90" s="65">
        <v>1</v>
      </c>
      <c r="T90" s="69">
        <v>0</v>
      </c>
      <c r="U90" s="246">
        <f t="shared" si="14"/>
        <v>1</v>
      </c>
    </row>
    <row r="91" spans="2:24" x14ac:dyDescent="0.3">
      <c r="D91" s="846"/>
      <c r="F91" s="82"/>
      <c r="J91" s="846"/>
      <c r="K91" s="846"/>
      <c r="N91" s="1179"/>
      <c r="O91" s="1179"/>
      <c r="P91" s="1179"/>
      <c r="R91" s="176" t="s">
        <v>295</v>
      </c>
      <c r="S91" s="176"/>
      <c r="T91" s="176"/>
      <c r="U91" s="176"/>
    </row>
    <row r="92" spans="2:24" ht="15" thickBot="1" x14ac:dyDescent="0.35">
      <c r="D92" s="846"/>
      <c r="F92" s="82"/>
      <c r="J92" s="846"/>
      <c r="K92" s="846"/>
      <c r="N92" s="1179"/>
      <c r="O92" s="1179"/>
      <c r="P92" s="1179"/>
    </row>
    <row r="93" spans="2:24" ht="15" thickBot="1" x14ac:dyDescent="0.35">
      <c r="B93" s="814">
        <v>3</v>
      </c>
      <c r="C93" s="967" t="str">
        <f t="shared" ref="C93:H93" si="31">C12</f>
        <v xml:space="preserve">  </v>
      </c>
      <c r="D93" s="967" t="str">
        <f t="shared" si="31"/>
        <v xml:space="preserve">  </v>
      </c>
      <c r="E93" s="967" t="str">
        <f t="shared" si="31"/>
        <v xml:space="preserve">  </v>
      </c>
      <c r="F93" s="967" t="str">
        <f t="shared" si="31"/>
        <v xml:space="preserve">  </v>
      </c>
      <c r="G93" s="967">
        <f t="shared" si="31"/>
        <v>0</v>
      </c>
      <c r="H93" s="968">
        <f t="shared" si="31"/>
        <v>0</v>
      </c>
      <c r="I93" s="516" t="e">
        <f>IF(VLOOKUP(C12,list!$AA$5:$AS$14,2,FALSE)=0," ",(VLOOKUP(C12,list!$AA$5:$AS$14,2,FALSE)))</f>
        <v>#N/A</v>
      </c>
      <c r="J93" s="955" t="e">
        <f>IF(I93=" "," ",(D12&amp;"-"&amp;I93))</f>
        <v>#N/A</v>
      </c>
      <c r="K93" s="955" t="e">
        <f>IF(I93=" "," ",(F12&amp;"-"&amp;I93))</f>
        <v>#N/A</v>
      </c>
      <c r="L93" s="969" t="e">
        <f>IF(I93=" "," ",VLOOKUP(J93,list!$J$4:$M$117,4,FALSE))</f>
        <v>#N/A</v>
      </c>
      <c r="M93" s="70"/>
      <c r="N93" s="1300" t="str">
        <f>IF(SUMIFS('Level of Efficiency Assumptions'!$J:$J,'Level of Efficiency Assumptions'!$H:$H,$I93,'Level of Efficiency Assumptions'!$I:$I,N$51)=0," ",SUMIFS('Level of Efficiency Assumptions'!$J:$J,'Level of Efficiency Assumptions'!$H:$H,$I93,'Level of Efficiency Assumptions'!$I:$I,N$51))</f>
        <v xml:space="preserve"> </v>
      </c>
      <c r="O93" s="1301" t="str">
        <f>IF(SUMIFS('Level of Efficiency Assumptions'!$J:$J,'Level of Efficiency Assumptions'!$H:$H,$I93,'Level of Efficiency Assumptions'!$I:$I,O$51)=0," ",SUMIFS('Level of Efficiency Assumptions'!$J:$J,'Level of Efficiency Assumptions'!$H:$H,$I93,'Level of Efficiency Assumptions'!$I:$I,O$51))</f>
        <v xml:space="preserve"> </v>
      </c>
      <c r="P93" s="1302" t="str">
        <f>IF(SUMIFS('Level of Efficiency Assumptions'!$J:$J,'Level of Efficiency Assumptions'!$H:$H,$I93,'Level of Efficiency Assumptions'!$I:$I,P$51)=0," ",SUMIFS('Level of Efficiency Assumptions'!$J:$J,'Level of Efficiency Assumptions'!$H:$H,$I93,'Level of Efficiency Assumptions'!$I:$I,P$51))</f>
        <v xml:space="preserve"> </v>
      </c>
      <c r="Q93" s="970" t="e">
        <f>IF(I93=" "," ",(VLOOKUP(I93,list!$B$81:$C$111,2,FALSE)))</f>
        <v>#N/A</v>
      </c>
      <c r="R93" s="241">
        <f t="shared" ref="R93:R110" si="32">1-S93-T93</f>
        <v>0</v>
      </c>
      <c r="S93" s="83">
        <v>1</v>
      </c>
      <c r="T93" s="84">
        <v>0</v>
      </c>
      <c r="U93" s="242">
        <f>SUM(R93:T93)</f>
        <v>1</v>
      </c>
      <c r="W93" s="250" t="s">
        <v>367</v>
      </c>
      <c r="X93" s="251" t="s">
        <v>366</v>
      </c>
    </row>
    <row r="94" spans="2:24" ht="15" thickBot="1" x14ac:dyDescent="0.35">
      <c r="C94" s="520"/>
      <c r="D94" s="224" t="str">
        <f>D12</f>
        <v xml:space="preserve">  </v>
      </c>
      <c r="E94" s="224"/>
      <c r="F94" s="224" t="str">
        <f>F12</f>
        <v xml:space="preserve">  </v>
      </c>
      <c r="G94" s="224"/>
      <c r="H94" s="380"/>
      <c r="I94" s="516" t="e">
        <f>IF(VLOOKUP(C12,list!$AA$5:$AS$14,3,FALSE)=0," ",(VLOOKUP(C12,list!$AA$5:$AS$14,3,FALSE)))</f>
        <v>#N/A</v>
      </c>
      <c r="J94" s="955" t="e">
        <f t="shared" ref="J94:J109" si="33">IF(I94=" "," ",(D94&amp;"-"&amp;I94))</f>
        <v>#N/A</v>
      </c>
      <c r="K94" s="955" t="e">
        <f t="shared" ref="K94:K110" si="34">IF(I94=" "," ",(F94&amp;"-"&amp;I94))</f>
        <v>#N/A</v>
      </c>
      <c r="L94" s="969" t="e">
        <f>IF(I94=" "," ",VLOOKUP(J94,list!$J$4:$M$117,4,FALSE))</f>
        <v>#N/A</v>
      </c>
      <c r="M94" s="66"/>
      <c r="N94" s="1297" t="str">
        <f>IF(SUMIFS('Level of Efficiency Assumptions'!$J:$J,'Level of Efficiency Assumptions'!$H:$H,$I94,'Level of Efficiency Assumptions'!$I:$I,N$51)=0," ",SUMIFS('Level of Efficiency Assumptions'!$J:$J,'Level of Efficiency Assumptions'!$H:$H,$I94,'Level of Efficiency Assumptions'!$I:$I,N$51))</f>
        <v xml:space="preserve"> </v>
      </c>
      <c r="O94" s="1298" t="str">
        <f>IF(SUMIFS('Level of Efficiency Assumptions'!$J:$J,'Level of Efficiency Assumptions'!$H:$H,$I94,'Level of Efficiency Assumptions'!$I:$I,O$51)=0," ",SUMIFS('Level of Efficiency Assumptions'!$J:$J,'Level of Efficiency Assumptions'!$H:$H,$I94,'Level of Efficiency Assumptions'!$I:$I,O$51))</f>
        <v xml:space="preserve"> </v>
      </c>
      <c r="P94" s="1299" t="str">
        <f>IF(SUMIFS('Level of Efficiency Assumptions'!$J:$J,'Level of Efficiency Assumptions'!$H:$H,$I94,'Level of Efficiency Assumptions'!$I:$I,P$51)=0," ",SUMIFS('Level of Efficiency Assumptions'!$J:$J,'Level of Efficiency Assumptions'!$H:$H,$I94,'Level of Efficiency Assumptions'!$I:$I,P$51))</f>
        <v xml:space="preserve"> </v>
      </c>
      <c r="Q94" s="971" t="e">
        <f>IF(I94=" "," ",(VLOOKUP(I94,list!$B$81:$C$111,2,FALSE)))</f>
        <v>#N/A</v>
      </c>
      <c r="R94" s="243">
        <f t="shared" si="32"/>
        <v>0</v>
      </c>
      <c r="S94" s="64">
        <v>1</v>
      </c>
      <c r="T94" s="68">
        <v>0</v>
      </c>
      <c r="U94" s="244">
        <f t="shared" ref="U94:U110" si="35">SUM(R94:T94)</f>
        <v>1</v>
      </c>
      <c r="V94" s="82" t="e">
        <f>F94&amp;"-"&amp;W94</f>
        <v>#N/A</v>
      </c>
      <c r="W94" s="247" t="e">
        <f>HLOOKUP(D94,list!$O$34:$X$38,2,FALSE)</f>
        <v>#N/A</v>
      </c>
      <c r="X94" s="972">
        <v>1</v>
      </c>
    </row>
    <row r="95" spans="2:24" ht="15" thickBot="1" x14ac:dyDescent="0.35">
      <c r="C95" s="520"/>
      <c r="D95" s="224" t="str">
        <f>D94</f>
        <v xml:space="preserve">  </v>
      </c>
      <c r="E95" s="224"/>
      <c r="F95" s="224" t="str">
        <f>F94</f>
        <v xml:space="preserve">  </v>
      </c>
      <c r="G95" s="224"/>
      <c r="H95" s="380"/>
      <c r="I95" s="516" t="e">
        <f>IF(VLOOKUP(C12,list!$AA$5:$AS$14,4,FALSE)=0," ",(VLOOKUP(C12,list!$AA$5:$AS$14,4,FALSE)))</f>
        <v>#N/A</v>
      </c>
      <c r="J95" s="955" t="e">
        <f t="shared" si="33"/>
        <v>#N/A</v>
      </c>
      <c r="K95" s="955" t="e">
        <f t="shared" si="34"/>
        <v>#N/A</v>
      </c>
      <c r="L95" s="969" t="e">
        <f>IF(I95=" "," ",VLOOKUP(J95,list!$J$4:$M$117,4,FALSE))</f>
        <v>#N/A</v>
      </c>
      <c r="M95" s="66"/>
      <c r="N95" s="1297" t="str">
        <f>IF(SUMIFS('Level of Efficiency Assumptions'!$J:$J,'Level of Efficiency Assumptions'!$H:$H,$I95,'Level of Efficiency Assumptions'!$I:$I,N$51)=0," ",SUMIFS('Level of Efficiency Assumptions'!$J:$J,'Level of Efficiency Assumptions'!$H:$H,$I95,'Level of Efficiency Assumptions'!$I:$I,N$51))</f>
        <v xml:space="preserve"> </v>
      </c>
      <c r="O95" s="1298" t="str">
        <f>IF(SUMIFS('Level of Efficiency Assumptions'!$J:$J,'Level of Efficiency Assumptions'!$H:$H,$I95,'Level of Efficiency Assumptions'!$I:$I,O$51)=0," ",SUMIFS('Level of Efficiency Assumptions'!$J:$J,'Level of Efficiency Assumptions'!$H:$H,$I95,'Level of Efficiency Assumptions'!$I:$I,O$51))</f>
        <v xml:space="preserve"> </v>
      </c>
      <c r="P95" s="1299" t="str">
        <f>IF(SUMIFS('Level of Efficiency Assumptions'!$J:$J,'Level of Efficiency Assumptions'!$H:$H,$I95,'Level of Efficiency Assumptions'!$I:$I,P$51)=0," ",SUMIFS('Level of Efficiency Assumptions'!$J:$J,'Level of Efficiency Assumptions'!$H:$H,$I95,'Level of Efficiency Assumptions'!$I:$I,P$51))</f>
        <v xml:space="preserve"> </v>
      </c>
      <c r="Q95" s="971" t="e">
        <f>IF(I95=" "," ",(VLOOKUP(I95,list!$B$81:$C$111,2,FALSE)))</f>
        <v>#N/A</v>
      </c>
      <c r="R95" s="243">
        <f t="shared" si="32"/>
        <v>0</v>
      </c>
      <c r="S95" s="64">
        <v>1</v>
      </c>
      <c r="T95" s="68">
        <v>0</v>
      </c>
      <c r="U95" s="244">
        <f t="shared" si="35"/>
        <v>1</v>
      </c>
      <c r="V95" s="82" t="e">
        <f>F95&amp;"-"&amp;W95</f>
        <v>#N/A</v>
      </c>
      <c r="W95" s="248" t="e">
        <f>HLOOKUP(D95,list!$O$34:$X$38,3,FALSE)</f>
        <v>#N/A</v>
      </c>
      <c r="X95" s="973">
        <v>0.5</v>
      </c>
    </row>
    <row r="96" spans="2:24" ht="15" thickBot="1" x14ac:dyDescent="0.35">
      <c r="C96" s="520"/>
      <c r="D96" s="224" t="str">
        <f t="shared" ref="D96:D110" si="36">D95</f>
        <v xml:space="preserve">  </v>
      </c>
      <c r="E96" s="224"/>
      <c r="F96" s="224" t="str">
        <f t="shared" ref="F96:F110" si="37">F95</f>
        <v xml:space="preserve">  </v>
      </c>
      <c r="G96" s="224"/>
      <c r="H96" s="380"/>
      <c r="I96" s="516" t="e">
        <f>IF(VLOOKUP(C12,list!$AA$5:$AS$14,5,FALSE)=0," ",(VLOOKUP(C12,list!$AA$5:$AS$14,5,FALSE)))</f>
        <v>#N/A</v>
      </c>
      <c r="J96" s="955" t="e">
        <f t="shared" si="33"/>
        <v>#N/A</v>
      </c>
      <c r="K96" s="955" t="e">
        <f t="shared" si="34"/>
        <v>#N/A</v>
      </c>
      <c r="L96" s="969" t="e">
        <f>IF(I96=" "," ",VLOOKUP(J96,list!$J$4:$M$117,4,FALSE))</f>
        <v>#N/A</v>
      </c>
      <c r="M96" s="66"/>
      <c r="N96" s="1297" t="str">
        <f>IF(SUMIFS('Level of Efficiency Assumptions'!$J:$J,'Level of Efficiency Assumptions'!$H:$H,$I96,'Level of Efficiency Assumptions'!$I:$I,N$51)=0," ",SUMIFS('Level of Efficiency Assumptions'!$J:$J,'Level of Efficiency Assumptions'!$H:$H,$I96,'Level of Efficiency Assumptions'!$I:$I,N$51))</f>
        <v xml:space="preserve"> </v>
      </c>
      <c r="O96" s="1298" t="str">
        <f>IF(SUMIFS('Level of Efficiency Assumptions'!$J:$J,'Level of Efficiency Assumptions'!$H:$H,$I96,'Level of Efficiency Assumptions'!$I:$I,O$51)=0," ",SUMIFS('Level of Efficiency Assumptions'!$J:$J,'Level of Efficiency Assumptions'!$H:$H,$I96,'Level of Efficiency Assumptions'!$I:$I,O$51))</f>
        <v xml:space="preserve"> </v>
      </c>
      <c r="P96" s="1299" t="str">
        <f>IF(SUMIFS('Level of Efficiency Assumptions'!$J:$J,'Level of Efficiency Assumptions'!$H:$H,$I96,'Level of Efficiency Assumptions'!$I:$I,P$51)=0," ",SUMIFS('Level of Efficiency Assumptions'!$J:$J,'Level of Efficiency Assumptions'!$H:$H,$I96,'Level of Efficiency Assumptions'!$I:$I,P$51))</f>
        <v xml:space="preserve"> </v>
      </c>
      <c r="Q96" s="971" t="e">
        <f>IF(I96=" "," ",(VLOOKUP(I96,list!$B$81:$C$111,2,FALSE)))</f>
        <v>#N/A</v>
      </c>
      <c r="R96" s="243">
        <f t="shared" si="32"/>
        <v>0</v>
      </c>
      <c r="S96" s="64">
        <v>1</v>
      </c>
      <c r="T96" s="68">
        <v>0</v>
      </c>
      <c r="U96" s="244">
        <f t="shared" si="35"/>
        <v>1</v>
      </c>
      <c r="V96" s="82" t="e">
        <f>F96&amp;"-"&amp;W96</f>
        <v>#N/A</v>
      </c>
      <c r="W96" s="248" t="e">
        <f>HLOOKUP(D96,list!$O$34:$X$38,4,FALSE)</f>
        <v>#N/A</v>
      </c>
      <c r="X96" s="973">
        <v>0.5</v>
      </c>
    </row>
    <row r="97" spans="3:24" ht="15" thickBot="1" x14ac:dyDescent="0.35">
      <c r="C97" s="520"/>
      <c r="D97" s="224" t="str">
        <f t="shared" si="36"/>
        <v xml:space="preserve">  </v>
      </c>
      <c r="E97" s="224"/>
      <c r="F97" s="224" t="str">
        <f t="shared" si="37"/>
        <v xml:space="preserve">  </v>
      </c>
      <c r="G97" s="224"/>
      <c r="H97" s="380"/>
      <c r="I97" s="516" t="e">
        <f>IF(VLOOKUP(C12,list!$AA$5:$AS$14,6,FALSE)=0," ",(VLOOKUP(C12,list!$AA$5:$AS$14,6,FALSE)))</f>
        <v>#N/A</v>
      </c>
      <c r="J97" s="955" t="e">
        <f t="shared" si="33"/>
        <v>#N/A</v>
      </c>
      <c r="K97" s="955" t="e">
        <f t="shared" si="34"/>
        <v>#N/A</v>
      </c>
      <c r="L97" s="969" t="e">
        <f>IF(I97=" "," ",VLOOKUP(J97,list!$J$4:$M$117,4,FALSE))</f>
        <v>#N/A</v>
      </c>
      <c r="M97" s="66"/>
      <c r="N97" s="1297" t="str">
        <f>IF(SUMIFS('Level of Efficiency Assumptions'!$J:$J,'Level of Efficiency Assumptions'!$H:$H,$I97,'Level of Efficiency Assumptions'!$I:$I,N$51)=0," ",SUMIFS('Level of Efficiency Assumptions'!$J:$J,'Level of Efficiency Assumptions'!$H:$H,$I97,'Level of Efficiency Assumptions'!$I:$I,N$51))</f>
        <v xml:space="preserve"> </v>
      </c>
      <c r="O97" s="1298" t="str">
        <f>IF(SUMIFS('Level of Efficiency Assumptions'!$J:$J,'Level of Efficiency Assumptions'!$H:$H,$I97,'Level of Efficiency Assumptions'!$I:$I,O$51)=0," ",SUMIFS('Level of Efficiency Assumptions'!$J:$J,'Level of Efficiency Assumptions'!$H:$H,$I97,'Level of Efficiency Assumptions'!$I:$I,O$51))</f>
        <v xml:space="preserve"> </v>
      </c>
      <c r="P97" s="1299" t="str">
        <f>IF(SUMIFS('Level of Efficiency Assumptions'!$J:$J,'Level of Efficiency Assumptions'!$H:$H,$I97,'Level of Efficiency Assumptions'!$I:$I,P$51)=0," ",SUMIFS('Level of Efficiency Assumptions'!$J:$J,'Level of Efficiency Assumptions'!$H:$H,$I97,'Level of Efficiency Assumptions'!$I:$I,P$51))</f>
        <v xml:space="preserve"> </v>
      </c>
      <c r="Q97" s="971" t="e">
        <f>IF(I97=" "," ",(VLOOKUP(I97,list!$B$81:$C$111,2,FALSE)))</f>
        <v>#N/A</v>
      </c>
      <c r="R97" s="243">
        <f t="shared" si="32"/>
        <v>0</v>
      </c>
      <c r="S97" s="64">
        <v>1</v>
      </c>
      <c r="T97" s="68">
        <v>0</v>
      </c>
      <c r="U97" s="244">
        <f t="shared" si="35"/>
        <v>1</v>
      </c>
      <c r="V97" s="82" t="e">
        <f>F97&amp;"-"&amp;W97</f>
        <v>#N/A</v>
      </c>
      <c r="W97" s="249" t="e">
        <f>HLOOKUP(D97,list!$O$34:$X$38,5,FALSE)</f>
        <v>#N/A</v>
      </c>
      <c r="X97" s="974">
        <v>0.5</v>
      </c>
    </row>
    <row r="98" spans="3:24" ht="15" thickBot="1" x14ac:dyDescent="0.35">
      <c r="C98" s="520"/>
      <c r="D98" s="224" t="str">
        <f t="shared" si="36"/>
        <v xml:space="preserve">  </v>
      </c>
      <c r="E98" s="224"/>
      <c r="F98" s="224" t="str">
        <f t="shared" si="37"/>
        <v xml:space="preserve">  </v>
      </c>
      <c r="G98" s="224"/>
      <c r="H98" s="380"/>
      <c r="I98" s="516" t="e">
        <f>IF(VLOOKUP(C12,list!$AA$5:$AS$14,7,FALSE)=0," ",(VLOOKUP(C12,list!$AA$5:$AS$14,7,FALSE)))</f>
        <v>#N/A</v>
      </c>
      <c r="J98" s="955" t="e">
        <f t="shared" si="33"/>
        <v>#N/A</v>
      </c>
      <c r="K98" s="955" t="e">
        <f t="shared" si="34"/>
        <v>#N/A</v>
      </c>
      <c r="L98" s="969" t="e">
        <f>IF(I98=" "," ",VLOOKUP(J98,list!$J$4:$M$117,4,FALSE))</f>
        <v>#N/A</v>
      </c>
      <c r="M98" s="66"/>
      <c r="N98" s="1297" t="str">
        <f>IF(SUMIFS('Level of Efficiency Assumptions'!$J:$J,'Level of Efficiency Assumptions'!$H:$H,$I98,'Level of Efficiency Assumptions'!$I:$I,N$51)=0," ",SUMIFS('Level of Efficiency Assumptions'!$J:$J,'Level of Efficiency Assumptions'!$H:$H,$I98,'Level of Efficiency Assumptions'!$I:$I,N$51))</f>
        <v xml:space="preserve"> </v>
      </c>
      <c r="O98" s="1298" t="str">
        <f>IF(SUMIFS('Level of Efficiency Assumptions'!$J:$J,'Level of Efficiency Assumptions'!$H:$H,$I98,'Level of Efficiency Assumptions'!$I:$I,O$51)=0," ",SUMIFS('Level of Efficiency Assumptions'!$J:$J,'Level of Efficiency Assumptions'!$H:$H,$I98,'Level of Efficiency Assumptions'!$I:$I,O$51))</f>
        <v xml:space="preserve"> </v>
      </c>
      <c r="P98" s="1299" t="str">
        <f>IF(SUMIFS('Level of Efficiency Assumptions'!$J:$J,'Level of Efficiency Assumptions'!$H:$H,$I98,'Level of Efficiency Assumptions'!$I:$I,P$51)=0," ",SUMIFS('Level of Efficiency Assumptions'!$J:$J,'Level of Efficiency Assumptions'!$H:$H,$I98,'Level of Efficiency Assumptions'!$I:$I,P$51))</f>
        <v xml:space="preserve"> </v>
      </c>
      <c r="Q98" s="971" t="e">
        <f>IF(I98=" "," ",(VLOOKUP(I98,list!$B$81:$C$111,2,FALSE)))</f>
        <v>#N/A</v>
      </c>
      <c r="R98" s="243">
        <f t="shared" si="32"/>
        <v>0</v>
      </c>
      <c r="S98" s="64">
        <v>1</v>
      </c>
      <c r="T98" s="68">
        <v>0</v>
      </c>
      <c r="U98" s="244">
        <f t="shared" si="35"/>
        <v>1</v>
      </c>
      <c r="W98" s="182"/>
      <c r="X98" s="975"/>
    </row>
    <row r="99" spans="3:24" ht="15" thickBot="1" x14ac:dyDescent="0.35">
      <c r="C99" s="520"/>
      <c r="D99" s="224" t="str">
        <f t="shared" si="36"/>
        <v xml:space="preserve">  </v>
      </c>
      <c r="E99" s="224"/>
      <c r="F99" s="224" t="str">
        <f t="shared" si="37"/>
        <v xml:space="preserve">  </v>
      </c>
      <c r="G99" s="224"/>
      <c r="H99" s="380"/>
      <c r="I99" s="516" t="e">
        <f>IF(VLOOKUP(C12,list!$AA$5:$AS$14,8,FALSE)=0," ",(VLOOKUP(C12,list!$AA$5:$AS$14,8,FALSE)))</f>
        <v>#N/A</v>
      </c>
      <c r="J99" s="955" t="e">
        <f t="shared" si="33"/>
        <v>#N/A</v>
      </c>
      <c r="K99" s="955" t="e">
        <f t="shared" si="34"/>
        <v>#N/A</v>
      </c>
      <c r="L99" s="969" t="e">
        <f>IF(I99=" "," ",VLOOKUP(J99,list!$J$4:$M$117,4,FALSE))</f>
        <v>#N/A</v>
      </c>
      <c r="M99" s="66"/>
      <c r="N99" s="1297" t="str">
        <f>IF(SUMIFS('Level of Efficiency Assumptions'!$J:$J,'Level of Efficiency Assumptions'!$H:$H,$I99,'Level of Efficiency Assumptions'!$I:$I,N$51)=0," ",SUMIFS('Level of Efficiency Assumptions'!$J:$J,'Level of Efficiency Assumptions'!$H:$H,$I99,'Level of Efficiency Assumptions'!$I:$I,N$51))</f>
        <v xml:space="preserve"> </v>
      </c>
      <c r="O99" s="1298" t="str">
        <f>IF(SUMIFS('Level of Efficiency Assumptions'!$J:$J,'Level of Efficiency Assumptions'!$H:$H,$I99,'Level of Efficiency Assumptions'!$I:$I,O$51)=0," ",SUMIFS('Level of Efficiency Assumptions'!$J:$J,'Level of Efficiency Assumptions'!$H:$H,$I99,'Level of Efficiency Assumptions'!$I:$I,O$51))</f>
        <v xml:space="preserve"> </v>
      </c>
      <c r="P99" s="1299" t="str">
        <f>IF(SUMIFS('Level of Efficiency Assumptions'!$J:$J,'Level of Efficiency Assumptions'!$H:$H,$I99,'Level of Efficiency Assumptions'!$I:$I,P$51)=0," ",SUMIFS('Level of Efficiency Assumptions'!$J:$J,'Level of Efficiency Assumptions'!$H:$H,$I99,'Level of Efficiency Assumptions'!$I:$I,P$51))</f>
        <v xml:space="preserve"> </v>
      </c>
      <c r="Q99" s="971" t="e">
        <f>IF(I99=" "," ",(VLOOKUP(I99,list!$B$81:$C$111,2,FALSE)))</f>
        <v>#N/A</v>
      </c>
      <c r="R99" s="243">
        <f t="shared" si="32"/>
        <v>0</v>
      </c>
      <c r="S99" s="64">
        <v>1</v>
      </c>
      <c r="T99" s="68">
        <v>0</v>
      </c>
      <c r="U99" s="244">
        <f t="shared" si="35"/>
        <v>1</v>
      </c>
      <c r="W99" s="182"/>
      <c r="X99" s="975"/>
    </row>
    <row r="100" spans="3:24" ht="15" thickBot="1" x14ac:dyDescent="0.35">
      <c r="C100" s="520"/>
      <c r="D100" s="224" t="str">
        <f t="shared" si="36"/>
        <v xml:space="preserve">  </v>
      </c>
      <c r="E100" s="224"/>
      <c r="F100" s="224" t="str">
        <f t="shared" si="37"/>
        <v xml:space="preserve">  </v>
      </c>
      <c r="G100" s="224"/>
      <c r="H100" s="380"/>
      <c r="I100" s="516" t="e">
        <f>IF(VLOOKUP(C12,list!$AA$5:$AS$14,9,FALSE)=0," ",(VLOOKUP(C12,list!$AA$5:$AS$14,9,FALSE)))</f>
        <v>#N/A</v>
      </c>
      <c r="J100" s="955" t="e">
        <f t="shared" si="33"/>
        <v>#N/A</v>
      </c>
      <c r="K100" s="955" t="e">
        <f t="shared" si="34"/>
        <v>#N/A</v>
      </c>
      <c r="L100" s="969" t="e">
        <f>IF(I100=" "," ",VLOOKUP(J100,list!$J$4:$M$117,4,FALSE))</f>
        <v>#N/A</v>
      </c>
      <c r="M100" s="66"/>
      <c r="N100" s="1297" t="str">
        <f>IF(SUMIFS('Level of Efficiency Assumptions'!$J:$J,'Level of Efficiency Assumptions'!$H:$H,$I100,'Level of Efficiency Assumptions'!$I:$I,N$51)=0," ",SUMIFS('Level of Efficiency Assumptions'!$J:$J,'Level of Efficiency Assumptions'!$H:$H,$I100,'Level of Efficiency Assumptions'!$I:$I,N$51))</f>
        <v xml:space="preserve"> </v>
      </c>
      <c r="O100" s="1298" t="str">
        <f>IF(SUMIFS('Level of Efficiency Assumptions'!$J:$J,'Level of Efficiency Assumptions'!$H:$H,$I100,'Level of Efficiency Assumptions'!$I:$I,O$51)=0," ",SUMIFS('Level of Efficiency Assumptions'!$J:$J,'Level of Efficiency Assumptions'!$H:$H,$I100,'Level of Efficiency Assumptions'!$I:$I,O$51))</f>
        <v xml:space="preserve"> </v>
      </c>
      <c r="P100" s="1299" t="str">
        <f>IF(SUMIFS('Level of Efficiency Assumptions'!$J:$J,'Level of Efficiency Assumptions'!$H:$H,$I100,'Level of Efficiency Assumptions'!$I:$I,P$51)=0," ",SUMIFS('Level of Efficiency Assumptions'!$J:$J,'Level of Efficiency Assumptions'!$H:$H,$I100,'Level of Efficiency Assumptions'!$I:$I,P$51))</f>
        <v xml:space="preserve"> </v>
      </c>
      <c r="Q100" s="971" t="e">
        <f>IF(I100=" "," ",(VLOOKUP(I100,list!$B$81:$C$111,2,FALSE)))</f>
        <v>#N/A</v>
      </c>
      <c r="R100" s="243">
        <f t="shared" si="32"/>
        <v>0</v>
      </c>
      <c r="S100" s="64">
        <v>1</v>
      </c>
      <c r="T100" s="68">
        <v>0</v>
      </c>
      <c r="U100" s="244">
        <f t="shared" si="35"/>
        <v>1</v>
      </c>
    </row>
    <row r="101" spans="3:24" ht="15" thickBot="1" x14ac:dyDescent="0.35">
      <c r="C101" s="520"/>
      <c r="D101" s="224" t="str">
        <f t="shared" si="36"/>
        <v xml:space="preserve">  </v>
      </c>
      <c r="E101" s="224"/>
      <c r="F101" s="224" t="str">
        <f t="shared" si="37"/>
        <v xml:space="preserve">  </v>
      </c>
      <c r="G101" s="224"/>
      <c r="H101" s="380"/>
      <c r="I101" s="516" t="e">
        <f>IF(VLOOKUP(C12,list!$AA$5:$AS$14,10,FALSE)=0," ",(VLOOKUP(C12,list!$AA$5:$AS$14,10,FALSE)))</f>
        <v>#N/A</v>
      </c>
      <c r="J101" s="955" t="e">
        <f t="shared" si="33"/>
        <v>#N/A</v>
      </c>
      <c r="K101" s="955" t="e">
        <f t="shared" si="34"/>
        <v>#N/A</v>
      </c>
      <c r="L101" s="969" t="e">
        <f>IF(I101=" "," ",VLOOKUP(J101,list!$J$4:$M$117,4,FALSE))</f>
        <v>#N/A</v>
      </c>
      <c r="M101" s="66"/>
      <c r="N101" s="1297" t="str">
        <f>IF(SUMIFS('Level of Efficiency Assumptions'!$J:$J,'Level of Efficiency Assumptions'!$H:$H,$I101,'Level of Efficiency Assumptions'!$I:$I,N$51)=0," ",SUMIFS('Level of Efficiency Assumptions'!$J:$J,'Level of Efficiency Assumptions'!$H:$H,$I101,'Level of Efficiency Assumptions'!$I:$I,N$51))</f>
        <v xml:space="preserve"> </v>
      </c>
      <c r="O101" s="1298" t="str">
        <f>IF(SUMIFS('Level of Efficiency Assumptions'!$J:$J,'Level of Efficiency Assumptions'!$H:$H,$I101,'Level of Efficiency Assumptions'!$I:$I,O$51)=0," ",SUMIFS('Level of Efficiency Assumptions'!$J:$J,'Level of Efficiency Assumptions'!$H:$H,$I101,'Level of Efficiency Assumptions'!$I:$I,O$51))</f>
        <v xml:space="preserve"> </v>
      </c>
      <c r="P101" s="1299" t="str">
        <f>IF(SUMIFS('Level of Efficiency Assumptions'!$J:$J,'Level of Efficiency Assumptions'!$H:$H,$I101,'Level of Efficiency Assumptions'!$I:$I,P$51)=0," ",SUMIFS('Level of Efficiency Assumptions'!$J:$J,'Level of Efficiency Assumptions'!$H:$H,$I101,'Level of Efficiency Assumptions'!$I:$I,P$51))</f>
        <v xml:space="preserve"> </v>
      </c>
      <c r="Q101" s="971" t="e">
        <f>IF(I101=" "," ",(VLOOKUP(I101,list!$B$81:$C$111,2,FALSE)))</f>
        <v>#N/A</v>
      </c>
      <c r="R101" s="243">
        <f t="shared" si="32"/>
        <v>0</v>
      </c>
      <c r="S101" s="64">
        <v>1</v>
      </c>
      <c r="T101" s="68">
        <v>0</v>
      </c>
      <c r="U101" s="244">
        <f t="shared" si="35"/>
        <v>1</v>
      </c>
    </row>
    <row r="102" spans="3:24" ht="15" thickBot="1" x14ac:dyDescent="0.35">
      <c r="C102" s="520"/>
      <c r="D102" s="224" t="str">
        <f t="shared" si="36"/>
        <v xml:space="preserve">  </v>
      </c>
      <c r="E102" s="224"/>
      <c r="F102" s="224" t="str">
        <f t="shared" si="37"/>
        <v xml:space="preserve">  </v>
      </c>
      <c r="G102" s="224"/>
      <c r="H102" s="380"/>
      <c r="I102" s="516" t="e">
        <f>IF(VLOOKUP(C12,list!$AA$5:$AS$14,11,FALSE)=0," ",(VLOOKUP(C12,list!$AA$5:$AS$14,11,FALSE)))</f>
        <v>#N/A</v>
      </c>
      <c r="J102" s="955" t="e">
        <f t="shared" si="33"/>
        <v>#N/A</v>
      </c>
      <c r="K102" s="955" t="e">
        <f t="shared" si="34"/>
        <v>#N/A</v>
      </c>
      <c r="L102" s="969" t="e">
        <f>IF(I102=" "," ",VLOOKUP(J102,list!$J$4:$M$117,4,FALSE))</f>
        <v>#N/A</v>
      </c>
      <c r="M102" s="66"/>
      <c r="N102" s="1297" t="str">
        <f>IF(SUMIFS('Level of Efficiency Assumptions'!$J:$J,'Level of Efficiency Assumptions'!$H:$H,$I102,'Level of Efficiency Assumptions'!$I:$I,N$51)=0," ",SUMIFS('Level of Efficiency Assumptions'!$J:$J,'Level of Efficiency Assumptions'!$H:$H,$I102,'Level of Efficiency Assumptions'!$I:$I,N$51))</f>
        <v xml:space="preserve"> </v>
      </c>
      <c r="O102" s="1298" t="str">
        <f>IF(SUMIFS('Level of Efficiency Assumptions'!$J:$J,'Level of Efficiency Assumptions'!$H:$H,$I102,'Level of Efficiency Assumptions'!$I:$I,O$51)=0," ",SUMIFS('Level of Efficiency Assumptions'!$J:$J,'Level of Efficiency Assumptions'!$H:$H,$I102,'Level of Efficiency Assumptions'!$I:$I,O$51))</f>
        <v xml:space="preserve"> </v>
      </c>
      <c r="P102" s="1299" t="str">
        <f>IF(SUMIFS('Level of Efficiency Assumptions'!$J:$J,'Level of Efficiency Assumptions'!$H:$H,$I102,'Level of Efficiency Assumptions'!$I:$I,P$51)=0," ",SUMIFS('Level of Efficiency Assumptions'!$J:$J,'Level of Efficiency Assumptions'!$H:$H,$I102,'Level of Efficiency Assumptions'!$I:$I,P$51))</f>
        <v xml:space="preserve"> </v>
      </c>
      <c r="Q102" s="971" t="e">
        <f>IF(I102=" "," ",(VLOOKUP(I102,list!$B$81:$C$111,2,FALSE)))</f>
        <v>#N/A</v>
      </c>
      <c r="R102" s="243">
        <f t="shared" si="32"/>
        <v>0</v>
      </c>
      <c r="S102" s="64">
        <v>1</v>
      </c>
      <c r="T102" s="68">
        <v>0</v>
      </c>
      <c r="U102" s="244">
        <f t="shared" si="35"/>
        <v>1</v>
      </c>
    </row>
    <row r="103" spans="3:24" ht="15" thickBot="1" x14ac:dyDescent="0.35">
      <c r="C103" s="520"/>
      <c r="D103" s="224" t="str">
        <f t="shared" si="36"/>
        <v xml:space="preserve">  </v>
      </c>
      <c r="E103" s="224"/>
      <c r="F103" s="224" t="str">
        <f t="shared" si="37"/>
        <v xml:space="preserve">  </v>
      </c>
      <c r="G103" s="224"/>
      <c r="H103" s="380"/>
      <c r="I103" s="516" t="e">
        <f>IF(VLOOKUP(C12,list!$AA$5:$AS$14,12,FALSE)=0," ",(VLOOKUP(C12,list!$AA$5:$AS$14,12,FALSE)))</f>
        <v>#N/A</v>
      </c>
      <c r="J103" s="955" t="e">
        <f t="shared" si="33"/>
        <v>#N/A</v>
      </c>
      <c r="K103" s="955" t="e">
        <f t="shared" si="34"/>
        <v>#N/A</v>
      </c>
      <c r="L103" s="969" t="e">
        <f>IF(I103=" "," ",VLOOKUP(J103,list!$J$4:$M$117,4,FALSE))</f>
        <v>#N/A</v>
      </c>
      <c r="M103" s="66"/>
      <c r="N103" s="1297" t="str">
        <f>IF(SUMIFS('Level of Efficiency Assumptions'!$J:$J,'Level of Efficiency Assumptions'!$H:$H,$I103,'Level of Efficiency Assumptions'!$I:$I,N$51)=0," ",SUMIFS('Level of Efficiency Assumptions'!$J:$J,'Level of Efficiency Assumptions'!$H:$H,$I103,'Level of Efficiency Assumptions'!$I:$I,N$51))</f>
        <v xml:space="preserve"> </v>
      </c>
      <c r="O103" s="1298" t="str">
        <f>IF(SUMIFS('Level of Efficiency Assumptions'!$J:$J,'Level of Efficiency Assumptions'!$H:$H,$I103,'Level of Efficiency Assumptions'!$I:$I,O$51)=0," ",SUMIFS('Level of Efficiency Assumptions'!$J:$J,'Level of Efficiency Assumptions'!$H:$H,$I103,'Level of Efficiency Assumptions'!$I:$I,O$51))</f>
        <v xml:space="preserve"> </v>
      </c>
      <c r="P103" s="1299" t="str">
        <f>IF(SUMIFS('Level of Efficiency Assumptions'!$J:$J,'Level of Efficiency Assumptions'!$H:$H,$I103,'Level of Efficiency Assumptions'!$I:$I,P$51)=0," ",SUMIFS('Level of Efficiency Assumptions'!$J:$J,'Level of Efficiency Assumptions'!$H:$H,$I103,'Level of Efficiency Assumptions'!$I:$I,P$51))</f>
        <v xml:space="preserve"> </v>
      </c>
      <c r="Q103" s="971" t="e">
        <f>IF(I103=" "," ",(VLOOKUP(I103,list!$B$81:$C$111,2,FALSE)))</f>
        <v>#N/A</v>
      </c>
      <c r="R103" s="243">
        <f t="shared" si="32"/>
        <v>0</v>
      </c>
      <c r="S103" s="64">
        <v>1</v>
      </c>
      <c r="T103" s="68">
        <v>0</v>
      </c>
      <c r="U103" s="244">
        <f t="shared" si="35"/>
        <v>1</v>
      </c>
    </row>
    <row r="104" spans="3:24" ht="15" thickBot="1" x14ac:dyDescent="0.35">
      <c r="C104" s="520"/>
      <c r="D104" s="224" t="str">
        <f t="shared" si="36"/>
        <v xml:space="preserve">  </v>
      </c>
      <c r="E104" s="224"/>
      <c r="F104" s="224" t="str">
        <f t="shared" si="37"/>
        <v xml:space="preserve">  </v>
      </c>
      <c r="G104" s="224"/>
      <c r="H104" s="380"/>
      <c r="I104" s="516" t="e">
        <f>IF(VLOOKUP(C12,list!$AA$5:$AS$14,13,FALSE)=0," ",(VLOOKUP(C12,list!$AA$5:$AS$14,13,FALSE)))</f>
        <v>#N/A</v>
      </c>
      <c r="J104" s="955" t="e">
        <f t="shared" si="33"/>
        <v>#N/A</v>
      </c>
      <c r="K104" s="955" t="e">
        <f t="shared" si="34"/>
        <v>#N/A</v>
      </c>
      <c r="L104" s="969" t="e">
        <f>IF(I104=" "," ",VLOOKUP(J104,list!$J$4:$M$117,4,FALSE))</f>
        <v>#N/A</v>
      </c>
      <c r="M104" s="66"/>
      <c r="N104" s="1297" t="str">
        <f>IF(SUMIFS('Level of Efficiency Assumptions'!$J:$J,'Level of Efficiency Assumptions'!$H:$H,$I104,'Level of Efficiency Assumptions'!$I:$I,N$51)=0," ",SUMIFS('Level of Efficiency Assumptions'!$J:$J,'Level of Efficiency Assumptions'!$H:$H,$I104,'Level of Efficiency Assumptions'!$I:$I,N$51))</f>
        <v xml:space="preserve"> </v>
      </c>
      <c r="O104" s="1298" t="str">
        <f>IF(SUMIFS('Level of Efficiency Assumptions'!$J:$J,'Level of Efficiency Assumptions'!$H:$H,$I104,'Level of Efficiency Assumptions'!$I:$I,O$51)=0," ",SUMIFS('Level of Efficiency Assumptions'!$J:$J,'Level of Efficiency Assumptions'!$H:$H,$I104,'Level of Efficiency Assumptions'!$I:$I,O$51))</f>
        <v xml:space="preserve"> </v>
      </c>
      <c r="P104" s="1299" t="str">
        <f>IF(SUMIFS('Level of Efficiency Assumptions'!$J:$J,'Level of Efficiency Assumptions'!$H:$H,$I104,'Level of Efficiency Assumptions'!$I:$I,P$51)=0," ",SUMIFS('Level of Efficiency Assumptions'!$J:$J,'Level of Efficiency Assumptions'!$H:$H,$I104,'Level of Efficiency Assumptions'!$I:$I,P$51))</f>
        <v xml:space="preserve"> </v>
      </c>
      <c r="Q104" s="971" t="e">
        <f>IF(I104=" "," ",(VLOOKUP(I104,list!$B$81:$C$111,2,FALSE)))</f>
        <v>#N/A</v>
      </c>
      <c r="R104" s="243">
        <f t="shared" si="32"/>
        <v>0</v>
      </c>
      <c r="S104" s="64">
        <v>1</v>
      </c>
      <c r="T104" s="68">
        <v>0</v>
      </c>
      <c r="U104" s="244">
        <f t="shared" si="35"/>
        <v>1</v>
      </c>
    </row>
    <row r="105" spans="3:24" ht="15" thickBot="1" x14ac:dyDescent="0.35">
      <c r="C105" s="520"/>
      <c r="D105" s="224" t="str">
        <f t="shared" si="36"/>
        <v xml:space="preserve">  </v>
      </c>
      <c r="E105" s="224"/>
      <c r="F105" s="224" t="str">
        <f t="shared" si="37"/>
        <v xml:space="preserve">  </v>
      </c>
      <c r="G105" s="224"/>
      <c r="H105" s="380"/>
      <c r="I105" s="516" t="e">
        <f>IF(VLOOKUP(C12,list!$AA$5:$AS$14,14,FALSE)=0," ",(VLOOKUP(C12,list!$AA$5:$AS$14,14,FALSE)))</f>
        <v>#N/A</v>
      </c>
      <c r="J105" s="955" t="e">
        <f t="shared" si="33"/>
        <v>#N/A</v>
      </c>
      <c r="K105" s="955" t="e">
        <f t="shared" si="34"/>
        <v>#N/A</v>
      </c>
      <c r="L105" s="969" t="e">
        <f>IF(I105=" "," ",VLOOKUP(J105,list!$J$4:$M$117,4,FALSE))</f>
        <v>#N/A</v>
      </c>
      <c r="M105" s="66"/>
      <c r="N105" s="1297" t="str">
        <f>IF(SUMIFS('Level of Efficiency Assumptions'!$J:$J,'Level of Efficiency Assumptions'!$H:$H,$I105,'Level of Efficiency Assumptions'!$I:$I,N$51)=0," ",SUMIFS('Level of Efficiency Assumptions'!$J:$J,'Level of Efficiency Assumptions'!$H:$H,$I105,'Level of Efficiency Assumptions'!$I:$I,N$51))</f>
        <v xml:space="preserve"> </v>
      </c>
      <c r="O105" s="1298" t="str">
        <f>IF(SUMIFS('Level of Efficiency Assumptions'!$J:$J,'Level of Efficiency Assumptions'!$H:$H,$I105,'Level of Efficiency Assumptions'!$I:$I,O$51)=0," ",SUMIFS('Level of Efficiency Assumptions'!$J:$J,'Level of Efficiency Assumptions'!$H:$H,$I105,'Level of Efficiency Assumptions'!$I:$I,O$51))</f>
        <v xml:space="preserve"> </v>
      </c>
      <c r="P105" s="1299" t="str">
        <f>IF(SUMIFS('Level of Efficiency Assumptions'!$J:$J,'Level of Efficiency Assumptions'!$H:$H,$I105,'Level of Efficiency Assumptions'!$I:$I,P$51)=0," ",SUMIFS('Level of Efficiency Assumptions'!$J:$J,'Level of Efficiency Assumptions'!$H:$H,$I105,'Level of Efficiency Assumptions'!$I:$I,P$51))</f>
        <v xml:space="preserve"> </v>
      </c>
      <c r="Q105" s="971" t="e">
        <f>IF(I105=" "," ",(VLOOKUP(I105,list!$B$81:$C$111,2,FALSE)))</f>
        <v>#N/A</v>
      </c>
      <c r="R105" s="243">
        <f t="shared" si="32"/>
        <v>0</v>
      </c>
      <c r="S105" s="64">
        <v>1</v>
      </c>
      <c r="T105" s="68">
        <v>0</v>
      </c>
      <c r="U105" s="244">
        <f t="shared" si="35"/>
        <v>1</v>
      </c>
    </row>
    <row r="106" spans="3:24" ht="15" thickBot="1" x14ac:dyDescent="0.35">
      <c r="C106" s="520"/>
      <c r="D106" s="224" t="str">
        <f t="shared" si="36"/>
        <v xml:space="preserve">  </v>
      </c>
      <c r="E106" s="224"/>
      <c r="F106" s="224" t="str">
        <f t="shared" si="37"/>
        <v xml:space="preserve">  </v>
      </c>
      <c r="G106" s="224"/>
      <c r="H106" s="380"/>
      <c r="I106" s="516" t="e">
        <f>IF(VLOOKUP(C12,list!$AA$5:$AS$14,15,FALSE)=0," ",(VLOOKUP(C12,list!$AA$5:$AS$14,15,FALSE)))</f>
        <v>#N/A</v>
      </c>
      <c r="J106" s="955" t="e">
        <f t="shared" si="33"/>
        <v>#N/A</v>
      </c>
      <c r="K106" s="955" t="e">
        <f t="shared" si="34"/>
        <v>#N/A</v>
      </c>
      <c r="L106" s="969" t="e">
        <f>IF(I106=" "," ",VLOOKUP(J106,list!$J$4:$M$117,4,FALSE))</f>
        <v>#N/A</v>
      </c>
      <c r="M106" s="66"/>
      <c r="N106" s="1297" t="str">
        <f>IF(SUMIFS('Level of Efficiency Assumptions'!$J:$J,'Level of Efficiency Assumptions'!$H:$H,$I106,'Level of Efficiency Assumptions'!$I:$I,N$51)=0," ",SUMIFS('Level of Efficiency Assumptions'!$J:$J,'Level of Efficiency Assumptions'!$H:$H,$I106,'Level of Efficiency Assumptions'!$I:$I,N$51))</f>
        <v xml:space="preserve"> </v>
      </c>
      <c r="O106" s="1298" t="str">
        <f>IF(SUMIFS('Level of Efficiency Assumptions'!$J:$J,'Level of Efficiency Assumptions'!$H:$H,$I106,'Level of Efficiency Assumptions'!$I:$I,O$51)=0," ",SUMIFS('Level of Efficiency Assumptions'!$J:$J,'Level of Efficiency Assumptions'!$H:$H,$I106,'Level of Efficiency Assumptions'!$I:$I,O$51))</f>
        <v xml:space="preserve"> </v>
      </c>
      <c r="P106" s="1299" t="str">
        <f>IF(SUMIFS('Level of Efficiency Assumptions'!$J:$J,'Level of Efficiency Assumptions'!$H:$H,$I106,'Level of Efficiency Assumptions'!$I:$I,P$51)=0," ",SUMIFS('Level of Efficiency Assumptions'!$J:$J,'Level of Efficiency Assumptions'!$H:$H,$I106,'Level of Efficiency Assumptions'!$I:$I,P$51))</f>
        <v xml:space="preserve"> </v>
      </c>
      <c r="Q106" s="971" t="e">
        <f>IF(I106=" "," ",(VLOOKUP(I106,list!$B$81:$C$111,2,FALSE)))</f>
        <v>#N/A</v>
      </c>
      <c r="R106" s="243">
        <f t="shared" si="32"/>
        <v>0</v>
      </c>
      <c r="S106" s="64">
        <v>1</v>
      </c>
      <c r="T106" s="68">
        <v>0</v>
      </c>
      <c r="U106" s="244">
        <f t="shared" si="35"/>
        <v>1</v>
      </c>
    </row>
    <row r="107" spans="3:24" ht="15" thickBot="1" x14ac:dyDescent="0.35">
      <c r="C107" s="520"/>
      <c r="D107" s="224" t="str">
        <f t="shared" si="36"/>
        <v xml:space="preserve">  </v>
      </c>
      <c r="E107" s="224"/>
      <c r="F107" s="224" t="str">
        <f t="shared" si="37"/>
        <v xml:space="preserve">  </v>
      </c>
      <c r="G107" s="224"/>
      <c r="H107" s="380"/>
      <c r="I107" s="516" t="e">
        <f>IF(VLOOKUP(C12,list!$AA$5:$AS$14,16,FALSE)=0," ",(VLOOKUP(C12,list!$AA$5:$AS$14,16,FALSE)))</f>
        <v>#N/A</v>
      </c>
      <c r="J107" s="955" t="e">
        <f t="shared" si="33"/>
        <v>#N/A</v>
      </c>
      <c r="K107" s="955" t="e">
        <f t="shared" si="34"/>
        <v>#N/A</v>
      </c>
      <c r="L107" s="969" t="e">
        <f>IF(I107=" "," ",VLOOKUP(J107,list!$J$4:$M$117,4,FALSE))</f>
        <v>#N/A</v>
      </c>
      <c r="M107" s="66"/>
      <c r="N107" s="1297" t="str">
        <f>IF(SUMIFS('Level of Efficiency Assumptions'!$J:$J,'Level of Efficiency Assumptions'!$H:$H,$I107,'Level of Efficiency Assumptions'!$I:$I,N$51)=0," ",SUMIFS('Level of Efficiency Assumptions'!$J:$J,'Level of Efficiency Assumptions'!$H:$H,$I107,'Level of Efficiency Assumptions'!$I:$I,N$51))</f>
        <v xml:space="preserve"> </v>
      </c>
      <c r="O107" s="1298" t="str">
        <f>IF(SUMIFS('Level of Efficiency Assumptions'!$J:$J,'Level of Efficiency Assumptions'!$H:$H,$I107,'Level of Efficiency Assumptions'!$I:$I,O$51)=0," ",SUMIFS('Level of Efficiency Assumptions'!$J:$J,'Level of Efficiency Assumptions'!$H:$H,$I107,'Level of Efficiency Assumptions'!$I:$I,O$51))</f>
        <v xml:space="preserve"> </v>
      </c>
      <c r="P107" s="1299" t="str">
        <f>IF(SUMIFS('Level of Efficiency Assumptions'!$J:$J,'Level of Efficiency Assumptions'!$H:$H,$I107,'Level of Efficiency Assumptions'!$I:$I,P$51)=0," ",SUMIFS('Level of Efficiency Assumptions'!$J:$J,'Level of Efficiency Assumptions'!$H:$H,$I107,'Level of Efficiency Assumptions'!$I:$I,P$51))</f>
        <v xml:space="preserve"> </v>
      </c>
      <c r="Q107" s="971" t="e">
        <f>IF(I107=" "," ",(VLOOKUP(I107,list!$B$81:$C$111,2,FALSE)))</f>
        <v>#N/A</v>
      </c>
      <c r="R107" s="243">
        <f t="shared" si="32"/>
        <v>0</v>
      </c>
      <c r="S107" s="64">
        <v>1</v>
      </c>
      <c r="T107" s="68">
        <v>0</v>
      </c>
      <c r="U107" s="244">
        <f t="shared" si="35"/>
        <v>1</v>
      </c>
    </row>
    <row r="108" spans="3:24" ht="15" thickBot="1" x14ac:dyDescent="0.35">
      <c r="C108" s="520"/>
      <c r="D108" s="224" t="str">
        <f t="shared" si="36"/>
        <v xml:space="preserve">  </v>
      </c>
      <c r="E108" s="224"/>
      <c r="F108" s="224" t="str">
        <f t="shared" si="37"/>
        <v xml:space="preserve">  </v>
      </c>
      <c r="G108" s="224"/>
      <c r="H108" s="380"/>
      <c r="I108" s="516" t="e">
        <f>IF(VLOOKUP(C12,list!$AA$5:$AS$14,17,FALSE)=0," ",(VLOOKUP(C12,list!$AA$5:$AS$14,17,FALSE)))</f>
        <v>#N/A</v>
      </c>
      <c r="J108" s="955" t="e">
        <f t="shared" si="33"/>
        <v>#N/A</v>
      </c>
      <c r="K108" s="955" t="e">
        <f t="shared" si="34"/>
        <v>#N/A</v>
      </c>
      <c r="L108" s="969" t="e">
        <f>IF(I108=" "," ",VLOOKUP(J108,list!$J$4:$M$117,4,FALSE))</f>
        <v>#N/A</v>
      </c>
      <c r="M108" s="66"/>
      <c r="N108" s="1297" t="str">
        <f>IF(SUMIFS('Level of Efficiency Assumptions'!$J:$J,'Level of Efficiency Assumptions'!$H:$H,$I108,'Level of Efficiency Assumptions'!$I:$I,N$51)=0," ",SUMIFS('Level of Efficiency Assumptions'!$J:$J,'Level of Efficiency Assumptions'!$H:$H,$I108,'Level of Efficiency Assumptions'!$I:$I,N$51))</f>
        <v xml:space="preserve"> </v>
      </c>
      <c r="O108" s="1298" t="str">
        <f>IF(SUMIFS('Level of Efficiency Assumptions'!$J:$J,'Level of Efficiency Assumptions'!$H:$H,$I108,'Level of Efficiency Assumptions'!$I:$I,O$51)=0," ",SUMIFS('Level of Efficiency Assumptions'!$J:$J,'Level of Efficiency Assumptions'!$H:$H,$I108,'Level of Efficiency Assumptions'!$I:$I,O$51))</f>
        <v xml:space="preserve"> </v>
      </c>
      <c r="P108" s="1299" t="str">
        <f>IF(SUMIFS('Level of Efficiency Assumptions'!$J:$J,'Level of Efficiency Assumptions'!$H:$H,$I108,'Level of Efficiency Assumptions'!$I:$I,P$51)=0," ",SUMIFS('Level of Efficiency Assumptions'!$J:$J,'Level of Efficiency Assumptions'!$H:$H,$I108,'Level of Efficiency Assumptions'!$I:$I,P$51))</f>
        <v xml:space="preserve"> </v>
      </c>
      <c r="Q108" s="971" t="e">
        <f>IF(I108=" "," ",(VLOOKUP(I108,list!$B$81:$C$111,2,FALSE)))</f>
        <v>#N/A</v>
      </c>
      <c r="R108" s="243">
        <f t="shared" si="32"/>
        <v>0</v>
      </c>
      <c r="S108" s="64">
        <v>1</v>
      </c>
      <c r="T108" s="68">
        <v>0</v>
      </c>
      <c r="U108" s="244">
        <f t="shared" si="35"/>
        <v>1</v>
      </c>
    </row>
    <row r="109" spans="3:24" ht="15" thickBot="1" x14ac:dyDescent="0.35">
      <c r="C109" s="520"/>
      <c r="D109" s="224" t="str">
        <f t="shared" si="36"/>
        <v xml:space="preserve">  </v>
      </c>
      <c r="E109" s="224"/>
      <c r="F109" s="224" t="str">
        <f t="shared" si="37"/>
        <v xml:space="preserve">  </v>
      </c>
      <c r="G109" s="224"/>
      <c r="H109" s="380"/>
      <c r="I109" s="516" t="e">
        <f>IF(VLOOKUP(C12,list!$AA$5:$AS$14,18,FALSE)=0," ",(VLOOKUP(C12,list!$AA$5:$AS$14,18,FALSE)))</f>
        <v>#N/A</v>
      </c>
      <c r="J109" s="955" t="e">
        <f t="shared" si="33"/>
        <v>#N/A</v>
      </c>
      <c r="K109" s="955" t="e">
        <f t="shared" si="34"/>
        <v>#N/A</v>
      </c>
      <c r="L109" s="969" t="e">
        <f>IF(I109=" "," ",VLOOKUP(J109,list!$J$4:$M$117,4,FALSE))</f>
        <v>#N/A</v>
      </c>
      <c r="M109" s="66"/>
      <c r="N109" s="1297" t="str">
        <f>IF(SUMIFS('Level of Efficiency Assumptions'!$J:$J,'Level of Efficiency Assumptions'!$H:$H,$I109,'Level of Efficiency Assumptions'!$I:$I,N$51)=0," ",SUMIFS('Level of Efficiency Assumptions'!$J:$J,'Level of Efficiency Assumptions'!$H:$H,$I109,'Level of Efficiency Assumptions'!$I:$I,N$51))</f>
        <v xml:space="preserve"> </v>
      </c>
      <c r="O109" s="1298" t="str">
        <f>IF(SUMIFS('Level of Efficiency Assumptions'!$J:$J,'Level of Efficiency Assumptions'!$H:$H,$I109,'Level of Efficiency Assumptions'!$I:$I,O$51)=0," ",SUMIFS('Level of Efficiency Assumptions'!$J:$J,'Level of Efficiency Assumptions'!$H:$H,$I109,'Level of Efficiency Assumptions'!$I:$I,O$51))</f>
        <v xml:space="preserve"> </v>
      </c>
      <c r="P109" s="1299" t="str">
        <f>IF(SUMIFS('Level of Efficiency Assumptions'!$J:$J,'Level of Efficiency Assumptions'!$H:$H,$I109,'Level of Efficiency Assumptions'!$I:$I,P$51)=0," ",SUMIFS('Level of Efficiency Assumptions'!$J:$J,'Level of Efficiency Assumptions'!$H:$H,$I109,'Level of Efficiency Assumptions'!$I:$I,P$51))</f>
        <v xml:space="preserve"> </v>
      </c>
      <c r="Q109" s="971" t="e">
        <f>IF(I109=" "," ",(VLOOKUP(I109,list!$B$81:$C$111,2,FALSE)))</f>
        <v>#N/A</v>
      </c>
      <c r="R109" s="243">
        <f t="shared" si="32"/>
        <v>0</v>
      </c>
      <c r="S109" s="64">
        <v>1</v>
      </c>
      <c r="T109" s="68">
        <v>0</v>
      </c>
      <c r="U109" s="244">
        <f t="shared" si="35"/>
        <v>1</v>
      </c>
    </row>
    <row r="110" spans="3:24" ht="15" thickBot="1" x14ac:dyDescent="0.35">
      <c r="C110" s="632"/>
      <c r="D110" s="226" t="str">
        <f t="shared" si="36"/>
        <v xml:space="preserve">  </v>
      </c>
      <c r="E110" s="226"/>
      <c r="F110" s="226" t="str">
        <f t="shared" si="37"/>
        <v xml:space="preserve">  </v>
      </c>
      <c r="G110" s="226"/>
      <c r="H110" s="976"/>
      <c r="I110" s="516" t="e">
        <f>IF(VLOOKUP(C12,list!$AA$5:$AS$14,19,FALSE)=0," ",(VLOOKUP(C12,list!$AA$5:$AS$14,19,FALSE)))</f>
        <v>#N/A</v>
      </c>
      <c r="J110" s="955" t="e">
        <f>IF(I110=" "," ",(D110&amp;"-"&amp;I110))</f>
        <v>#N/A</v>
      </c>
      <c r="K110" s="955" t="e">
        <f t="shared" si="34"/>
        <v>#N/A</v>
      </c>
      <c r="L110" s="969" t="e">
        <f>IF(I110=" "," ",VLOOKUP(J110,list!$J$4:$M$117,4,FALSE))</f>
        <v>#N/A</v>
      </c>
      <c r="M110" s="67"/>
      <c r="N110" s="1303" t="str">
        <f>IF(SUMIFS('Level of Efficiency Assumptions'!$J:$J,'Level of Efficiency Assumptions'!$H:$H,$I110,'Level of Efficiency Assumptions'!$I:$I,N$51)=0," ",SUMIFS('Level of Efficiency Assumptions'!$J:$J,'Level of Efficiency Assumptions'!$H:$H,$I110,'Level of Efficiency Assumptions'!$I:$I,N$51))</f>
        <v xml:space="preserve"> </v>
      </c>
      <c r="O110" s="1304" t="str">
        <f>IF(SUMIFS('Level of Efficiency Assumptions'!$J:$J,'Level of Efficiency Assumptions'!$H:$H,$I110,'Level of Efficiency Assumptions'!$I:$I,O$51)=0," ",SUMIFS('Level of Efficiency Assumptions'!$J:$J,'Level of Efficiency Assumptions'!$H:$H,$I110,'Level of Efficiency Assumptions'!$I:$I,O$51))</f>
        <v xml:space="preserve"> </v>
      </c>
      <c r="P110" s="1305" t="str">
        <f>IF(SUMIFS('Level of Efficiency Assumptions'!$J:$J,'Level of Efficiency Assumptions'!$H:$H,$I110,'Level of Efficiency Assumptions'!$I:$I,P$51)=0," ",SUMIFS('Level of Efficiency Assumptions'!$J:$J,'Level of Efficiency Assumptions'!$H:$H,$I110,'Level of Efficiency Assumptions'!$I:$I,P$51))</f>
        <v xml:space="preserve"> </v>
      </c>
      <c r="Q110" s="977" t="e">
        <f>IF(I110=" "," ",(VLOOKUP(I110,list!$B$81:$C$111,2,FALSE)))</f>
        <v>#N/A</v>
      </c>
      <c r="R110" s="245">
        <f t="shared" si="32"/>
        <v>0</v>
      </c>
      <c r="S110" s="65">
        <v>1</v>
      </c>
      <c r="T110" s="69">
        <v>0</v>
      </c>
      <c r="U110" s="246">
        <f t="shared" si="35"/>
        <v>1</v>
      </c>
    </row>
    <row r="111" spans="3:24" x14ac:dyDescent="0.3">
      <c r="D111" s="846"/>
      <c r="F111" s="82"/>
      <c r="J111" s="846"/>
      <c r="K111" s="846"/>
      <c r="N111" s="1179"/>
      <c r="O111" s="1179"/>
      <c r="P111" s="1179"/>
      <c r="R111" s="176" t="s">
        <v>295</v>
      </c>
      <c r="S111" s="176"/>
      <c r="T111" s="176"/>
      <c r="U111" s="176"/>
    </row>
    <row r="112" spans="3:24" ht="15" thickBot="1" x14ac:dyDescent="0.35">
      <c r="D112" s="846"/>
      <c r="F112" s="82"/>
      <c r="J112" s="846"/>
      <c r="K112" s="846"/>
      <c r="N112" s="1179"/>
      <c r="O112" s="1179"/>
      <c r="P112" s="1179"/>
    </row>
    <row r="113" spans="2:24" ht="15" thickBot="1" x14ac:dyDescent="0.35">
      <c r="B113" s="814">
        <v>4</v>
      </c>
      <c r="C113" s="967" t="str">
        <f t="shared" ref="C113:H113" si="38">C13</f>
        <v xml:space="preserve">  </v>
      </c>
      <c r="D113" s="967" t="str">
        <f t="shared" si="38"/>
        <v xml:space="preserve">  </v>
      </c>
      <c r="E113" s="967" t="str">
        <f t="shared" si="38"/>
        <v xml:space="preserve">  </v>
      </c>
      <c r="F113" s="967" t="str">
        <f t="shared" si="38"/>
        <v xml:space="preserve">  </v>
      </c>
      <c r="G113" s="967">
        <f t="shared" si="38"/>
        <v>0</v>
      </c>
      <c r="H113" s="968">
        <f t="shared" si="38"/>
        <v>0</v>
      </c>
      <c r="I113" s="516" t="e">
        <f>IF(VLOOKUP(C13,list!$AA$5:$AS$14,2,FALSE)=0," ",(VLOOKUP(C13,list!$AA$5:$AS$14,2,FALSE)))</f>
        <v>#N/A</v>
      </c>
      <c r="J113" s="955" t="e">
        <f>IF(I113=" "," ",(D13&amp;"-"&amp;I113))</f>
        <v>#N/A</v>
      </c>
      <c r="K113" s="955" t="e">
        <f>IF(I113=" "," ",(F13&amp;"-"&amp;I113))</f>
        <v>#N/A</v>
      </c>
      <c r="L113" s="969" t="e">
        <f>IF(I113=" "," ",VLOOKUP(J113,list!$J$4:$M$117,4,FALSE))</f>
        <v>#N/A</v>
      </c>
      <c r="M113" s="70"/>
      <c r="N113" s="1300" t="str">
        <f>IF(SUMIFS('Level of Efficiency Assumptions'!$J:$J,'Level of Efficiency Assumptions'!$H:$H,$I113,'Level of Efficiency Assumptions'!$I:$I,N$51)=0," ",SUMIFS('Level of Efficiency Assumptions'!$J:$J,'Level of Efficiency Assumptions'!$H:$H,$I113,'Level of Efficiency Assumptions'!$I:$I,N$51))</f>
        <v xml:space="preserve"> </v>
      </c>
      <c r="O113" s="1301" t="str">
        <f>IF(SUMIFS('Level of Efficiency Assumptions'!$J:$J,'Level of Efficiency Assumptions'!$H:$H,$I113,'Level of Efficiency Assumptions'!$I:$I,O$51)=0," ",SUMIFS('Level of Efficiency Assumptions'!$J:$J,'Level of Efficiency Assumptions'!$H:$H,$I113,'Level of Efficiency Assumptions'!$I:$I,O$51))</f>
        <v xml:space="preserve"> </v>
      </c>
      <c r="P113" s="1302" t="str">
        <f>IF(SUMIFS('Level of Efficiency Assumptions'!$J:$J,'Level of Efficiency Assumptions'!$H:$H,$I113,'Level of Efficiency Assumptions'!$I:$I,P$51)=0," ",SUMIFS('Level of Efficiency Assumptions'!$J:$J,'Level of Efficiency Assumptions'!$H:$H,$I113,'Level of Efficiency Assumptions'!$I:$I,P$51))</f>
        <v xml:space="preserve"> </v>
      </c>
      <c r="Q113" s="970" t="e">
        <f>IF(I113=" "," ",(VLOOKUP(I113,list!$B$81:$C$111,2,FALSE)))</f>
        <v>#N/A</v>
      </c>
      <c r="R113" s="241">
        <f t="shared" ref="R113:R130" si="39">1-S113-T113</f>
        <v>0</v>
      </c>
      <c r="S113" s="83">
        <v>1</v>
      </c>
      <c r="T113" s="84">
        <v>0</v>
      </c>
      <c r="U113" s="242">
        <f>SUM(R113:T113)</f>
        <v>1</v>
      </c>
      <c r="W113" s="250" t="s">
        <v>367</v>
      </c>
      <c r="X113" s="251" t="s">
        <v>366</v>
      </c>
    </row>
    <row r="114" spans="2:24" ht="15" thickBot="1" x14ac:dyDescent="0.35">
      <c r="C114" s="520"/>
      <c r="D114" s="224" t="str">
        <f>D13</f>
        <v xml:space="preserve">  </v>
      </c>
      <c r="E114" s="224"/>
      <c r="F114" s="224" t="str">
        <f>F13</f>
        <v xml:space="preserve">  </v>
      </c>
      <c r="G114" s="224"/>
      <c r="H114" s="380"/>
      <c r="I114" s="516" t="e">
        <f>IF(VLOOKUP(C13,list!$AA$5:$AS$14,3,FALSE)=0," ",(VLOOKUP(C13,list!$AA$5:$AS$14,3,FALSE)))</f>
        <v>#N/A</v>
      </c>
      <c r="J114" s="955" t="e">
        <f t="shared" ref="J114:J129" si="40">IF(I114=" "," ",(D114&amp;"-"&amp;I114))</f>
        <v>#N/A</v>
      </c>
      <c r="K114" s="955" t="e">
        <f t="shared" ref="K114:K130" si="41">IF(I114=" "," ",(F114&amp;"-"&amp;I114))</f>
        <v>#N/A</v>
      </c>
      <c r="L114" s="969" t="e">
        <f>IF(I114=" "," ",VLOOKUP(J114,list!$J$4:$M$117,4,FALSE))</f>
        <v>#N/A</v>
      </c>
      <c r="M114" s="66"/>
      <c r="N114" s="1297" t="str">
        <f>IF(SUMIFS('Level of Efficiency Assumptions'!$J:$J,'Level of Efficiency Assumptions'!$H:$H,$I114,'Level of Efficiency Assumptions'!$I:$I,N$51)=0," ",SUMIFS('Level of Efficiency Assumptions'!$J:$J,'Level of Efficiency Assumptions'!$H:$H,$I114,'Level of Efficiency Assumptions'!$I:$I,N$51))</f>
        <v xml:space="preserve"> </v>
      </c>
      <c r="O114" s="1298" t="str">
        <f>IF(SUMIFS('Level of Efficiency Assumptions'!$J:$J,'Level of Efficiency Assumptions'!$H:$H,$I114,'Level of Efficiency Assumptions'!$I:$I,O$51)=0," ",SUMIFS('Level of Efficiency Assumptions'!$J:$J,'Level of Efficiency Assumptions'!$H:$H,$I114,'Level of Efficiency Assumptions'!$I:$I,O$51))</f>
        <v xml:space="preserve"> </v>
      </c>
      <c r="P114" s="1299" t="str">
        <f>IF(SUMIFS('Level of Efficiency Assumptions'!$J:$J,'Level of Efficiency Assumptions'!$H:$H,$I114,'Level of Efficiency Assumptions'!$I:$I,P$51)=0," ",SUMIFS('Level of Efficiency Assumptions'!$J:$J,'Level of Efficiency Assumptions'!$H:$H,$I114,'Level of Efficiency Assumptions'!$I:$I,P$51))</f>
        <v xml:space="preserve"> </v>
      </c>
      <c r="Q114" s="971" t="e">
        <f>IF(I114=" "," ",(VLOOKUP(I114,list!$B$81:$C$111,2,FALSE)))</f>
        <v>#N/A</v>
      </c>
      <c r="R114" s="243">
        <f t="shared" si="39"/>
        <v>0</v>
      </c>
      <c r="S114" s="64">
        <v>1</v>
      </c>
      <c r="T114" s="68">
        <v>0</v>
      </c>
      <c r="U114" s="244">
        <f t="shared" ref="U114:U130" si="42">SUM(R114:T114)</f>
        <v>1</v>
      </c>
      <c r="V114" s="82" t="e">
        <f>F114&amp;"-"&amp;W114</f>
        <v>#N/A</v>
      </c>
      <c r="W114" s="247" t="e">
        <f>HLOOKUP(D114,list!$O$34:$X$38,2,FALSE)</f>
        <v>#N/A</v>
      </c>
      <c r="X114" s="972">
        <v>1</v>
      </c>
    </row>
    <row r="115" spans="2:24" ht="15" thickBot="1" x14ac:dyDescent="0.35">
      <c r="C115" s="520"/>
      <c r="D115" s="224" t="str">
        <f>D114</f>
        <v xml:space="preserve">  </v>
      </c>
      <c r="E115" s="224"/>
      <c r="F115" s="224" t="str">
        <f>F114</f>
        <v xml:space="preserve">  </v>
      </c>
      <c r="G115" s="224"/>
      <c r="H115" s="380"/>
      <c r="I115" s="516" t="e">
        <f>IF(VLOOKUP(C13,list!$AA$5:$AS$14,4,FALSE)=0," ",(VLOOKUP(C13,list!$AA$5:$AS$14,4,FALSE)))</f>
        <v>#N/A</v>
      </c>
      <c r="J115" s="955" t="e">
        <f t="shared" si="40"/>
        <v>#N/A</v>
      </c>
      <c r="K115" s="955" t="e">
        <f t="shared" si="41"/>
        <v>#N/A</v>
      </c>
      <c r="L115" s="969" t="e">
        <f>IF(I115=" "," ",VLOOKUP(J115,list!$J$4:$M$117,4,FALSE))</f>
        <v>#N/A</v>
      </c>
      <c r="M115" s="66"/>
      <c r="N115" s="1297" t="str">
        <f>IF(SUMIFS('Level of Efficiency Assumptions'!$J:$J,'Level of Efficiency Assumptions'!$H:$H,$I115,'Level of Efficiency Assumptions'!$I:$I,N$51)=0," ",SUMIFS('Level of Efficiency Assumptions'!$J:$J,'Level of Efficiency Assumptions'!$H:$H,$I115,'Level of Efficiency Assumptions'!$I:$I,N$51))</f>
        <v xml:space="preserve"> </v>
      </c>
      <c r="O115" s="1298" t="str">
        <f>IF(SUMIFS('Level of Efficiency Assumptions'!$J:$J,'Level of Efficiency Assumptions'!$H:$H,$I115,'Level of Efficiency Assumptions'!$I:$I,O$51)=0," ",SUMIFS('Level of Efficiency Assumptions'!$J:$J,'Level of Efficiency Assumptions'!$H:$H,$I115,'Level of Efficiency Assumptions'!$I:$I,O$51))</f>
        <v xml:space="preserve"> </v>
      </c>
      <c r="P115" s="1299" t="str">
        <f>IF(SUMIFS('Level of Efficiency Assumptions'!$J:$J,'Level of Efficiency Assumptions'!$H:$H,$I115,'Level of Efficiency Assumptions'!$I:$I,P$51)=0," ",SUMIFS('Level of Efficiency Assumptions'!$J:$J,'Level of Efficiency Assumptions'!$H:$H,$I115,'Level of Efficiency Assumptions'!$I:$I,P$51))</f>
        <v xml:space="preserve"> </v>
      </c>
      <c r="Q115" s="971" t="e">
        <f>IF(I115=" "," ",(VLOOKUP(I115,list!$B$81:$C$111,2,FALSE)))</f>
        <v>#N/A</v>
      </c>
      <c r="R115" s="243">
        <f t="shared" si="39"/>
        <v>0</v>
      </c>
      <c r="S115" s="64">
        <v>1</v>
      </c>
      <c r="T115" s="68">
        <v>0</v>
      </c>
      <c r="U115" s="244">
        <f t="shared" si="42"/>
        <v>1</v>
      </c>
      <c r="V115" s="82" t="e">
        <f>F115&amp;"-"&amp;W115</f>
        <v>#N/A</v>
      </c>
      <c r="W115" s="248" t="e">
        <f>HLOOKUP(D115,list!$O$34:$X$38,3,FALSE)</f>
        <v>#N/A</v>
      </c>
      <c r="X115" s="973">
        <v>0.5</v>
      </c>
    </row>
    <row r="116" spans="2:24" ht="15" thickBot="1" x14ac:dyDescent="0.35">
      <c r="C116" s="520"/>
      <c r="D116" s="224" t="str">
        <f t="shared" ref="D116:D130" si="43">D115</f>
        <v xml:space="preserve">  </v>
      </c>
      <c r="E116" s="224"/>
      <c r="F116" s="224" t="str">
        <f t="shared" ref="F116:F130" si="44">F115</f>
        <v xml:space="preserve">  </v>
      </c>
      <c r="G116" s="224"/>
      <c r="H116" s="380"/>
      <c r="I116" s="516" t="e">
        <f>IF(VLOOKUP(C13,list!$AA$5:$AS$14,5,FALSE)=0," ",(VLOOKUP(C13,list!$AA$5:$AS$14,5,FALSE)))</f>
        <v>#N/A</v>
      </c>
      <c r="J116" s="955" t="e">
        <f t="shared" si="40"/>
        <v>#N/A</v>
      </c>
      <c r="K116" s="955" t="e">
        <f t="shared" si="41"/>
        <v>#N/A</v>
      </c>
      <c r="L116" s="969" t="e">
        <f>IF(I116=" "," ",VLOOKUP(J116,list!$J$4:$M$117,4,FALSE))</f>
        <v>#N/A</v>
      </c>
      <c r="M116" s="66"/>
      <c r="N116" s="1297" t="str">
        <f>IF(SUMIFS('Level of Efficiency Assumptions'!$J:$J,'Level of Efficiency Assumptions'!$H:$H,$I116,'Level of Efficiency Assumptions'!$I:$I,N$51)=0," ",SUMIFS('Level of Efficiency Assumptions'!$J:$J,'Level of Efficiency Assumptions'!$H:$H,$I116,'Level of Efficiency Assumptions'!$I:$I,N$51))</f>
        <v xml:space="preserve"> </v>
      </c>
      <c r="O116" s="1298" t="str">
        <f>IF(SUMIFS('Level of Efficiency Assumptions'!$J:$J,'Level of Efficiency Assumptions'!$H:$H,$I116,'Level of Efficiency Assumptions'!$I:$I,O$51)=0," ",SUMIFS('Level of Efficiency Assumptions'!$J:$J,'Level of Efficiency Assumptions'!$H:$H,$I116,'Level of Efficiency Assumptions'!$I:$I,O$51))</f>
        <v xml:space="preserve"> </v>
      </c>
      <c r="P116" s="1299" t="str">
        <f>IF(SUMIFS('Level of Efficiency Assumptions'!$J:$J,'Level of Efficiency Assumptions'!$H:$H,$I116,'Level of Efficiency Assumptions'!$I:$I,P$51)=0," ",SUMIFS('Level of Efficiency Assumptions'!$J:$J,'Level of Efficiency Assumptions'!$H:$H,$I116,'Level of Efficiency Assumptions'!$I:$I,P$51))</f>
        <v xml:space="preserve"> </v>
      </c>
      <c r="Q116" s="971" t="e">
        <f>IF(I116=" "," ",(VLOOKUP(I116,list!$B$81:$C$111,2,FALSE)))</f>
        <v>#N/A</v>
      </c>
      <c r="R116" s="243">
        <f t="shared" si="39"/>
        <v>0</v>
      </c>
      <c r="S116" s="64">
        <v>1</v>
      </c>
      <c r="T116" s="68">
        <v>0</v>
      </c>
      <c r="U116" s="244">
        <f t="shared" si="42"/>
        <v>1</v>
      </c>
      <c r="V116" s="82" t="e">
        <f>F116&amp;"-"&amp;W116</f>
        <v>#N/A</v>
      </c>
      <c r="W116" s="248" t="e">
        <f>HLOOKUP(D116,list!$O$34:$X$38,4,FALSE)</f>
        <v>#N/A</v>
      </c>
      <c r="X116" s="973">
        <v>0.5</v>
      </c>
    </row>
    <row r="117" spans="2:24" ht="15" thickBot="1" x14ac:dyDescent="0.35">
      <c r="C117" s="520"/>
      <c r="D117" s="224" t="str">
        <f t="shared" si="43"/>
        <v xml:space="preserve">  </v>
      </c>
      <c r="E117" s="224"/>
      <c r="F117" s="224" t="str">
        <f t="shared" si="44"/>
        <v xml:space="preserve">  </v>
      </c>
      <c r="G117" s="224"/>
      <c r="H117" s="380"/>
      <c r="I117" s="516" t="e">
        <f>IF(VLOOKUP(C13,list!$AA$5:$AS$14,6,FALSE)=0," ",(VLOOKUP(C13,list!$AA$5:$AS$14,6,FALSE)))</f>
        <v>#N/A</v>
      </c>
      <c r="J117" s="955" t="e">
        <f t="shared" si="40"/>
        <v>#N/A</v>
      </c>
      <c r="K117" s="955" t="e">
        <f t="shared" si="41"/>
        <v>#N/A</v>
      </c>
      <c r="L117" s="969" t="e">
        <f>IF(I117=" "," ",VLOOKUP(J117,list!$J$4:$M$117,4,FALSE))</f>
        <v>#N/A</v>
      </c>
      <c r="M117" s="66"/>
      <c r="N117" s="1297" t="str">
        <f>IF(SUMIFS('Level of Efficiency Assumptions'!$J:$J,'Level of Efficiency Assumptions'!$H:$H,$I117,'Level of Efficiency Assumptions'!$I:$I,N$51)=0," ",SUMIFS('Level of Efficiency Assumptions'!$J:$J,'Level of Efficiency Assumptions'!$H:$H,$I117,'Level of Efficiency Assumptions'!$I:$I,N$51))</f>
        <v xml:space="preserve"> </v>
      </c>
      <c r="O117" s="1298" t="str">
        <f>IF(SUMIFS('Level of Efficiency Assumptions'!$J:$J,'Level of Efficiency Assumptions'!$H:$H,$I117,'Level of Efficiency Assumptions'!$I:$I,O$51)=0," ",SUMIFS('Level of Efficiency Assumptions'!$J:$J,'Level of Efficiency Assumptions'!$H:$H,$I117,'Level of Efficiency Assumptions'!$I:$I,O$51))</f>
        <v xml:space="preserve"> </v>
      </c>
      <c r="P117" s="1299" t="str">
        <f>IF(SUMIFS('Level of Efficiency Assumptions'!$J:$J,'Level of Efficiency Assumptions'!$H:$H,$I117,'Level of Efficiency Assumptions'!$I:$I,P$51)=0," ",SUMIFS('Level of Efficiency Assumptions'!$J:$J,'Level of Efficiency Assumptions'!$H:$H,$I117,'Level of Efficiency Assumptions'!$I:$I,P$51))</f>
        <v xml:space="preserve"> </v>
      </c>
      <c r="Q117" s="971" t="e">
        <f>IF(I117=" "," ",(VLOOKUP(I117,list!$B$81:$C$111,2,FALSE)))</f>
        <v>#N/A</v>
      </c>
      <c r="R117" s="243">
        <f t="shared" si="39"/>
        <v>0</v>
      </c>
      <c r="S117" s="64">
        <v>1</v>
      </c>
      <c r="T117" s="68">
        <v>0</v>
      </c>
      <c r="U117" s="244">
        <f t="shared" si="42"/>
        <v>1</v>
      </c>
      <c r="V117" s="82" t="e">
        <f>F117&amp;"-"&amp;W117</f>
        <v>#N/A</v>
      </c>
      <c r="W117" s="249" t="e">
        <f>HLOOKUP(D117,list!$O$34:$X$38,5,FALSE)</f>
        <v>#N/A</v>
      </c>
      <c r="X117" s="974">
        <v>0.5</v>
      </c>
    </row>
    <row r="118" spans="2:24" ht="15" thickBot="1" x14ac:dyDescent="0.35">
      <c r="C118" s="520"/>
      <c r="D118" s="224" t="str">
        <f t="shared" si="43"/>
        <v xml:space="preserve">  </v>
      </c>
      <c r="E118" s="224"/>
      <c r="F118" s="224" t="str">
        <f t="shared" si="44"/>
        <v xml:space="preserve">  </v>
      </c>
      <c r="G118" s="224"/>
      <c r="H118" s="380"/>
      <c r="I118" s="516" t="e">
        <f>IF(VLOOKUP(C13,list!$AA$5:$AS$14,7,FALSE)=0," ",(VLOOKUP(C13,list!$AA$5:$AS$14,7,FALSE)))</f>
        <v>#N/A</v>
      </c>
      <c r="J118" s="955" t="e">
        <f t="shared" si="40"/>
        <v>#N/A</v>
      </c>
      <c r="K118" s="955" t="e">
        <f t="shared" si="41"/>
        <v>#N/A</v>
      </c>
      <c r="L118" s="969" t="e">
        <f>IF(I118=" "," ",VLOOKUP(J118,list!$J$4:$M$117,4,FALSE))</f>
        <v>#N/A</v>
      </c>
      <c r="M118" s="66"/>
      <c r="N118" s="1297" t="str">
        <f>IF(SUMIFS('Level of Efficiency Assumptions'!$J:$J,'Level of Efficiency Assumptions'!$H:$H,$I118,'Level of Efficiency Assumptions'!$I:$I,N$51)=0," ",SUMIFS('Level of Efficiency Assumptions'!$J:$J,'Level of Efficiency Assumptions'!$H:$H,$I118,'Level of Efficiency Assumptions'!$I:$I,N$51))</f>
        <v xml:space="preserve"> </v>
      </c>
      <c r="O118" s="1298" t="str">
        <f>IF(SUMIFS('Level of Efficiency Assumptions'!$J:$J,'Level of Efficiency Assumptions'!$H:$H,$I118,'Level of Efficiency Assumptions'!$I:$I,O$51)=0," ",SUMIFS('Level of Efficiency Assumptions'!$J:$J,'Level of Efficiency Assumptions'!$H:$H,$I118,'Level of Efficiency Assumptions'!$I:$I,O$51))</f>
        <v xml:space="preserve"> </v>
      </c>
      <c r="P118" s="1299" t="str">
        <f>IF(SUMIFS('Level of Efficiency Assumptions'!$J:$J,'Level of Efficiency Assumptions'!$H:$H,$I118,'Level of Efficiency Assumptions'!$I:$I,P$51)=0," ",SUMIFS('Level of Efficiency Assumptions'!$J:$J,'Level of Efficiency Assumptions'!$H:$H,$I118,'Level of Efficiency Assumptions'!$I:$I,P$51))</f>
        <v xml:space="preserve"> </v>
      </c>
      <c r="Q118" s="971" t="e">
        <f>IF(I118=" "," ",(VLOOKUP(I118,list!$B$81:$C$111,2,FALSE)))</f>
        <v>#N/A</v>
      </c>
      <c r="R118" s="243">
        <f t="shared" si="39"/>
        <v>0</v>
      </c>
      <c r="S118" s="64">
        <v>1</v>
      </c>
      <c r="T118" s="68">
        <v>0</v>
      </c>
      <c r="U118" s="244">
        <f t="shared" si="42"/>
        <v>1</v>
      </c>
      <c r="W118" s="182"/>
      <c r="X118" s="975"/>
    </row>
    <row r="119" spans="2:24" ht="15" thickBot="1" x14ac:dyDescent="0.35">
      <c r="C119" s="520"/>
      <c r="D119" s="224" t="str">
        <f t="shared" si="43"/>
        <v xml:space="preserve">  </v>
      </c>
      <c r="E119" s="224"/>
      <c r="F119" s="224" t="str">
        <f t="shared" si="44"/>
        <v xml:space="preserve">  </v>
      </c>
      <c r="G119" s="224"/>
      <c r="H119" s="380"/>
      <c r="I119" s="516" t="e">
        <f>IF(VLOOKUP(C13,list!$AA$5:$AS$14,8,FALSE)=0," ",(VLOOKUP(C13,list!$AA$5:$AS$14,8,FALSE)))</f>
        <v>#N/A</v>
      </c>
      <c r="J119" s="955" t="e">
        <f t="shared" si="40"/>
        <v>#N/A</v>
      </c>
      <c r="K119" s="955" t="e">
        <f t="shared" si="41"/>
        <v>#N/A</v>
      </c>
      <c r="L119" s="969" t="e">
        <f>IF(I119=" "," ",VLOOKUP(J119,list!$J$4:$M$117,4,FALSE))</f>
        <v>#N/A</v>
      </c>
      <c r="M119" s="66"/>
      <c r="N119" s="1297" t="str">
        <f>IF(SUMIFS('Level of Efficiency Assumptions'!$J:$J,'Level of Efficiency Assumptions'!$H:$H,$I119,'Level of Efficiency Assumptions'!$I:$I,N$51)=0," ",SUMIFS('Level of Efficiency Assumptions'!$J:$J,'Level of Efficiency Assumptions'!$H:$H,$I119,'Level of Efficiency Assumptions'!$I:$I,N$51))</f>
        <v xml:space="preserve"> </v>
      </c>
      <c r="O119" s="1298" t="str">
        <f>IF(SUMIFS('Level of Efficiency Assumptions'!$J:$J,'Level of Efficiency Assumptions'!$H:$H,$I119,'Level of Efficiency Assumptions'!$I:$I,O$51)=0," ",SUMIFS('Level of Efficiency Assumptions'!$J:$J,'Level of Efficiency Assumptions'!$H:$H,$I119,'Level of Efficiency Assumptions'!$I:$I,O$51))</f>
        <v xml:space="preserve"> </v>
      </c>
      <c r="P119" s="1299" t="str">
        <f>IF(SUMIFS('Level of Efficiency Assumptions'!$J:$J,'Level of Efficiency Assumptions'!$H:$H,$I119,'Level of Efficiency Assumptions'!$I:$I,P$51)=0," ",SUMIFS('Level of Efficiency Assumptions'!$J:$J,'Level of Efficiency Assumptions'!$H:$H,$I119,'Level of Efficiency Assumptions'!$I:$I,P$51))</f>
        <v xml:space="preserve"> </v>
      </c>
      <c r="Q119" s="971" t="e">
        <f>IF(I119=" "," ",(VLOOKUP(I119,list!$B$81:$C$111,2,FALSE)))</f>
        <v>#N/A</v>
      </c>
      <c r="R119" s="243">
        <f t="shared" si="39"/>
        <v>0</v>
      </c>
      <c r="S119" s="64">
        <v>1</v>
      </c>
      <c r="T119" s="68">
        <v>0</v>
      </c>
      <c r="U119" s="244">
        <f t="shared" si="42"/>
        <v>1</v>
      </c>
      <c r="W119" s="182"/>
      <c r="X119" s="975"/>
    </row>
    <row r="120" spans="2:24" ht="15" thickBot="1" x14ac:dyDescent="0.35">
      <c r="C120" s="520"/>
      <c r="D120" s="224" t="str">
        <f t="shared" si="43"/>
        <v xml:space="preserve">  </v>
      </c>
      <c r="E120" s="224"/>
      <c r="F120" s="224" t="str">
        <f t="shared" si="44"/>
        <v xml:space="preserve">  </v>
      </c>
      <c r="G120" s="224"/>
      <c r="H120" s="380"/>
      <c r="I120" s="516" t="e">
        <f>IF(VLOOKUP(C13,list!$AA$5:$AS$14,9,FALSE)=0," ",(VLOOKUP(C13,list!$AA$5:$AS$14,9,FALSE)))</f>
        <v>#N/A</v>
      </c>
      <c r="J120" s="955" t="e">
        <f t="shared" si="40"/>
        <v>#N/A</v>
      </c>
      <c r="K120" s="955" t="e">
        <f t="shared" si="41"/>
        <v>#N/A</v>
      </c>
      <c r="L120" s="969" t="e">
        <f>IF(I120=" "," ",VLOOKUP(J120,list!$J$4:$M$117,4,FALSE))</f>
        <v>#N/A</v>
      </c>
      <c r="M120" s="66"/>
      <c r="N120" s="1297" t="str">
        <f>IF(SUMIFS('Level of Efficiency Assumptions'!$J:$J,'Level of Efficiency Assumptions'!$H:$H,$I120,'Level of Efficiency Assumptions'!$I:$I,N$51)=0," ",SUMIFS('Level of Efficiency Assumptions'!$J:$J,'Level of Efficiency Assumptions'!$H:$H,$I120,'Level of Efficiency Assumptions'!$I:$I,N$51))</f>
        <v xml:space="preserve"> </v>
      </c>
      <c r="O120" s="1298" t="str">
        <f>IF(SUMIFS('Level of Efficiency Assumptions'!$J:$J,'Level of Efficiency Assumptions'!$H:$H,$I120,'Level of Efficiency Assumptions'!$I:$I,O$51)=0," ",SUMIFS('Level of Efficiency Assumptions'!$J:$J,'Level of Efficiency Assumptions'!$H:$H,$I120,'Level of Efficiency Assumptions'!$I:$I,O$51))</f>
        <v xml:space="preserve"> </v>
      </c>
      <c r="P120" s="1299" t="str">
        <f>IF(SUMIFS('Level of Efficiency Assumptions'!$J:$J,'Level of Efficiency Assumptions'!$H:$H,$I120,'Level of Efficiency Assumptions'!$I:$I,P$51)=0," ",SUMIFS('Level of Efficiency Assumptions'!$J:$J,'Level of Efficiency Assumptions'!$H:$H,$I120,'Level of Efficiency Assumptions'!$I:$I,P$51))</f>
        <v xml:space="preserve"> </v>
      </c>
      <c r="Q120" s="971" t="e">
        <f>IF(I120=" "," ",(VLOOKUP(I120,list!$B$81:$C$111,2,FALSE)))</f>
        <v>#N/A</v>
      </c>
      <c r="R120" s="243">
        <f t="shared" si="39"/>
        <v>0</v>
      </c>
      <c r="S120" s="64">
        <v>1</v>
      </c>
      <c r="T120" s="68">
        <v>0</v>
      </c>
      <c r="U120" s="244">
        <f t="shared" si="42"/>
        <v>1</v>
      </c>
    </row>
    <row r="121" spans="2:24" ht="15" thickBot="1" x14ac:dyDescent="0.35">
      <c r="C121" s="520"/>
      <c r="D121" s="224" t="str">
        <f t="shared" si="43"/>
        <v xml:space="preserve">  </v>
      </c>
      <c r="E121" s="224"/>
      <c r="F121" s="224" t="str">
        <f t="shared" si="44"/>
        <v xml:space="preserve">  </v>
      </c>
      <c r="G121" s="224"/>
      <c r="H121" s="380"/>
      <c r="I121" s="516" t="e">
        <f>IF(VLOOKUP(C13,list!$AA$5:$AS$14,10,FALSE)=0," ",(VLOOKUP(C13,list!$AA$5:$AS$14,10,FALSE)))</f>
        <v>#N/A</v>
      </c>
      <c r="J121" s="955" t="e">
        <f t="shared" si="40"/>
        <v>#N/A</v>
      </c>
      <c r="K121" s="955" t="e">
        <f t="shared" si="41"/>
        <v>#N/A</v>
      </c>
      <c r="L121" s="969" t="e">
        <f>IF(I121=" "," ",VLOOKUP(J121,list!$J$4:$M$117,4,FALSE))</f>
        <v>#N/A</v>
      </c>
      <c r="M121" s="66"/>
      <c r="N121" s="1297" t="str">
        <f>IF(SUMIFS('Level of Efficiency Assumptions'!$J:$J,'Level of Efficiency Assumptions'!$H:$H,$I121,'Level of Efficiency Assumptions'!$I:$I,N$51)=0," ",SUMIFS('Level of Efficiency Assumptions'!$J:$J,'Level of Efficiency Assumptions'!$H:$H,$I121,'Level of Efficiency Assumptions'!$I:$I,N$51))</f>
        <v xml:space="preserve"> </v>
      </c>
      <c r="O121" s="1298" t="str">
        <f>IF(SUMIFS('Level of Efficiency Assumptions'!$J:$J,'Level of Efficiency Assumptions'!$H:$H,$I121,'Level of Efficiency Assumptions'!$I:$I,O$51)=0," ",SUMIFS('Level of Efficiency Assumptions'!$J:$J,'Level of Efficiency Assumptions'!$H:$H,$I121,'Level of Efficiency Assumptions'!$I:$I,O$51))</f>
        <v xml:space="preserve"> </v>
      </c>
      <c r="P121" s="1299" t="str">
        <f>IF(SUMIFS('Level of Efficiency Assumptions'!$J:$J,'Level of Efficiency Assumptions'!$H:$H,$I121,'Level of Efficiency Assumptions'!$I:$I,P$51)=0," ",SUMIFS('Level of Efficiency Assumptions'!$J:$J,'Level of Efficiency Assumptions'!$H:$H,$I121,'Level of Efficiency Assumptions'!$I:$I,P$51))</f>
        <v xml:space="preserve"> </v>
      </c>
      <c r="Q121" s="971" t="e">
        <f>IF(I121=" "," ",(VLOOKUP(I121,list!$B$81:$C$111,2,FALSE)))</f>
        <v>#N/A</v>
      </c>
      <c r="R121" s="243">
        <f t="shared" si="39"/>
        <v>0</v>
      </c>
      <c r="S121" s="64">
        <v>1</v>
      </c>
      <c r="T121" s="68">
        <v>0</v>
      </c>
      <c r="U121" s="244">
        <f t="shared" si="42"/>
        <v>1</v>
      </c>
    </row>
    <row r="122" spans="2:24" ht="15" thickBot="1" x14ac:dyDescent="0.35">
      <c r="C122" s="520"/>
      <c r="D122" s="224" t="str">
        <f t="shared" si="43"/>
        <v xml:space="preserve">  </v>
      </c>
      <c r="E122" s="224"/>
      <c r="F122" s="224" t="str">
        <f t="shared" si="44"/>
        <v xml:space="preserve">  </v>
      </c>
      <c r="G122" s="224"/>
      <c r="H122" s="380"/>
      <c r="I122" s="516" t="e">
        <f>IF(VLOOKUP(C13,list!$AA$5:$AS$14,11,FALSE)=0," ",(VLOOKUP(C13,list!$AA$5:$AS$14,11,FALSE)))</f>
        <v>#N/A</v>
      </c>
      <c r="J122" s="955" t="e">
        <f t="shared" si="40"/>
        <v>#N/A</v>
      </c>
      <c r="K122" s="955" t="e">
        <f t="shared" si="41"/>
        <v>#N/A</v>
      </c>
      <c r="L122" s="969" t="e">
        <f>IF(I122=" "," ",VLOOKUP(J122,list!$J$4:$M$117,4,FALSE))</f>
        <v>#N/A</v>
      </c>
      <c r="M122" s="66"/>
      <c r="N122" s="1297" t="str">
        <f>IF(SUMIFS('Level of Efficiency Assumptions'!$J:$J,'Level of Efficiency Assumptions'!$H:$H,$I122,'Level of Efficiency Assumptions'!$I:$I,N$51)=0," ",SUMIFS('Level of Efficiency Assumptions'!$J:$J,'Level of Efficiency Assumptions'!$H:$H,$I122,'Level of Efficiency Assumptions'!$I:$I,N$51))</f>
        <v xml:space="preserve"> </v>
      </c>
      <c r="O122" s="1298" t="str">
        <f>IF(SUMIFS('Level of Efficiency Assumptions'!$J:$J,'Level of Efficiency Assumptions'!$H:$H,$I122,'Level of Efficiency Assumptions'!$I:$I,O$51)=0," ",SUMIFS('Level of Efficiency Assumptions'!$J:$J,'Level of Efficiency Assumptions'!$H:$H,$I122,'Level of Efficiency Assumptions'!$I:$I,O$51))</f>
        <v xml:space="preserve"> </v>
      </c>
      <c r="P122" s="1299" t="str">
        <f>IF(SUMIFS('Level of Efficiency Assumptions'!$J:$J,'Level of Efficiency Assumptions'!$H:$H,$I122,'Level of Efficiency Assumptions'!$I:$I,P$51)=0," ",SUMIFS('Level of Efficiency Assumptions'!$J:$J,'Level of Efficiency Assumptions'!$H:$H,$I122,'Level of Efficiency Assumptions'!$I:$I,P$51))</f>
        <v xml:space="preserve"> </v>
      </c>
      <c r="Q122" s="971" t="e">
        <f>IF(I122=" "," ",(VLOOKUP(I122,list!$B$81:$C$111,2,FALSE)))</f>
        <v>#N/A</v>
      </c>
      <c r="R122" s="243">
        <f t="shared" si="39"/>
        <v>0</v>
      </c>
      <c r="S122" s="64">
        <v>1</v>
      </c>
      <c r="T122" s="68">
        <v>0</v>
      </c>
      <c r="U122" s="244">
        <f t="shared" si="42"/>
        <v>1</v>
      </c>
    </row>
    <row r="123" spans="2:24" ht="15" thickBot="1" x14ac:dyDescent="0.35">
      <c r="C123" s="520"/>
      <c r="D123" s="224" t="str">
        <f t="shared" si="43"/>
        <v xml:space="preserve">  </v>
      </c>
      <c r="E123" s="224"/>
      <c r="F123" s="224" t="str">
        <f t="shared" si="44"/>
        <v xml:space="preserve">  </v>
      </c>
      <c r="G123" s="224"/>
      <c r="H123" s="380"/>
      <c r="I123" s="516" t="e">
        <f>IF(VLOOKUP(C13,list!$AA$5:$AS$14,12,FALSE)=0," ",(VLOOKUP(C13,list!$AA$5:$AS$14,12,FALSE)))</f>
        <v>#N/A</v>
      </c>
      <c r="J123" s="955" t="e">
        <f t="shared" si="40"/>
        <v>#N/A</v>
      </c>
      <c r="K123" s="955" t="e">
        <f t="shared" si="41"/>
        <v>#N/A</v>
      </c>
      <c r="L123" s="969" t="e">
        <f>IF(I123=" "," ",VLOOKUP(J123,list!$J$4:$M$117,4,FALSE))</f>
        <v>#N/A</v>
      </c>
      <c r="M123" s="66"/>
      <c r="N123" s="1297" t="str">
        <f>IF(SUMIFS('Level of Efficiency Assumptions'!$J:$J,'Level of Efficiency Assumptions'!$H:$H,$I123,'Level of Efficiency Assumptions'!$I:$I,N$51)=0," ",SUMIFS('Level of Efficiency Assumptions'!$J:$J,'Level of Efficiency Assumptions'!$H:$H,$I123,'Level of Efficiency Assumptions'!$I:$I,N$51))</f>
        <v xml:space="preserve"> </v>
      </c>
      <c r="O123" s="1298" t="str">
        <f>IF(SUMIFS('Level of Efficiency Assumptions'!$J:$J,'Level of Efficiency Assumptions'!$H:$H,$I123,'Level of Efficiency Assumptions'!$I:$I,O$51)=0," ",SUMIFS('Level of Efficiency Assumptions'!$J:$J,'Level of Efficiency Assumptions'!$H:$H,$I123,'Level of Efficiency Assumptions'!$I:$I,O$51))</f>
        <v xml:space="preserve"> </v>
      </c>
      <c r="P123" s="1299" t="str">
        <f>IF(SUMIFS('Level of Efficiency Assumptions'!$J:$J,'Level of Efficiency Assumptions'!$H:$H,$I123,'Level of Efficiency Assumptions'!$I:$I,P$51)=0," ",SUMIFS('Level of Efficiency Assumptions'!$J:$J,'Level of Efficiency Assumptions'!$H:$H,$I123,'Level of Efficiency Assumptions'!$I:$I,P$51))</f>
        <v xml:space="preserve"> </v>
      </c>
      <c r="Q123" s="971" t="e">
        <f>IF(I123=" "," ",(VLOOKUP(I123,list!$B$81:$C$111,2,FALSE)))</f>
        <v>#N/A</v>
      </c>
      <c r="R123" s="243">
        <f t="shared" si="39"/>
        <v>0</v>
      </c>
      <c r="S123" s="64">
        <v>1</v>
      </c>
      <c r="T123" s="68">
        <v>0</v>
      </c>
      <c r="U123" s="244">
        <f t="shared" si="42"/>
        <v>1</v>
      </c>
    </row>
    <row r="124" spans="2:24" ht="15" thickBot="1" x14ac:dyDescent="0.35">
      <c r="C124" s="520"/>
      <c r="D124" s="224" t="str">
        <f t="shared" si="43"/>
        <v xml:space="preserve">  </v>
      </c>
      <c r="E124" s="224"/>
      <c r="F124" s="224" t="str">
        <f t="shared" si="44"/>
        <v xml:space="preserve">  </v>
      </c>
      <c r="G124" s="224"/>
      <c r="H124" s="380"/>
      <c r="I124" s="516" t="e">
        <f>IF(VLOOKUP(C13,list!$AA$5:$AS$14,13,FALSE)=0," ",(VLOOKUP(C13,list!$AA$5:$AS$14,13,FALSE)))</f>
        <v>#N/A</v>
      </c>
      <c r="J124" s="955" t="e">
        <f t="shared" si="40"/>
        <v>#N/A</v>
      </c>
      <c r="K124" s="955" t="e">
        <f t="shared" si="41"/>
        <v>#N/A</v>
      </c>
      <c r="L124" s="969" t="e">
        <f>IF(I124=" "," ",VLOOKUP(J124,list!$J$4:$M$117,4,FALSE))</f>
        <v>#N/A</v>
      </c>
      <c r="M124" s="66"/>
      <c r="N124" s="1297" t="str">
        <f>IF(SUMIFS('Level of Efficiency Assumptions'!$J:$J,'Level of Efficiency Assumptions'!$H:$H,$I124,'Level of Efficiency Assumptions'!$I:$I,N$51)=0," ",SUMIFS('Level of Efficiency Assumptions'!$J:$J,'Level of Efficiency Assumptions'!$H:$H,$I124,'Level of Efficiency Assumptions'!$I:$I,N$51))</f>
        <v xml:space="preserve"> </v>
      </c>
      <c r="O124" s="1298" t="str">
        <f>IF(SUMIFS('Level of Efficiency Assumptions'!$J:$J,'Level of Efficiency Assumptions'!$H:$H,$I124,'Level of Efficiency Assumptions'!$I:$I,O$51)=0," ",SUMIFS('Level of Efficiency Assumptions'!$J:$J,'Level of Efficiency Assumptions'!$H:$H,$I124,'Level of Efficiency Assumptions'!$I:$I,O$51))</f>
        <v xml:space="preserve"> </v>
      </c>
      <c r="P124" s="1299" t="str">
        <f>IF(SUMIFS('Level of Efficiency Assumptions'!$J:$J,'Level of Efficiency Assumptions'!$H:$H,$I124,'Level of Efficiency Assumptions'!$I:$I,P$51)=0," ",SUMIFS('Level of Efficiency Assumptions'!$J:$J,'Level of Efficiency Assumptions'!$H:$H,$I124,'Level of Efficiency Assumptions'!$I:$I,P$51))</f>
        <v xml:space="preserve"> </v>
      </c>
      <c r="Q124" s="971" t="e">
        <f>IF(I124=" "," ",(VLOOKUP(I124,list!$B$81:$C$111,2,FALSE)))</f>
        <v>#N/A</v>
      </c>
      <c r="R124" s="243">
        <f t="shared" si="39"/>
        <v>0</v>
      </c>
      <c r="S124" s="64">
        <v>1</v>
      </c>
      <c r="T124" s="68">
        <v>0</v>
      </c>
      <c r="U124" s="244">
        <f t="shared" si="42"/>
        <v>1</v>
      </c>
    </row>
    <row r="125" spans="2:24" ht="15" thickBot="1" x14ac:dyDescent="0.35">
      <c r="C125" s="520"/>
      <c r="D125" s="224" t="str">
        <f t="shared" si="43"/>
        <v xml:space="preserve">  </v>
      </c>
      <c r="E125" s="224"/>
      <c r="F125" s="224" t="str">
        <f t="shared" si="44"/>
        <v xml:space="preserve">  </v>
      </c>
      <c r="G125" s="224"/>
      <c r="H125" s="380"/>
      <c r="I125" s="516" t="e">
        <f>IF(VLOOKUP(C13,list!$AA$5:$AS$14,14,FALSE)=0," ",(VLOOKUP(C13,list!$AA$5:$AS$14,14,FALSE)))</f>
        <v>#N/A</v>
      </c>
      <c r="J125" s="955" t="e">
        <f t="shared" si="40"/>
        <v>#N/A</v>
      </c>
      <c r="K125" s="955" t="e">
        <f t="shared" si="41"/>
        <v>#N/A</v>
      </c>
      <c r="L125" s="969" t="e">
        <f>IF(I125=" "," ",VLOOKUP(J125,list!$J$4:$M$117,4,FALSE))</f>
        <v>#N/A</v>
      </c>
      <c r="M125" s="66"/>
      <c r="N125" s="1297" t="str">
        <f>IF(SUMIFS('Level of Efficiency Assumptions'!$J:$J,'Level of Efficiency Assumptions'!$H:$H,$I125,'Level of Efficiency Assumptions'!$I:$I,N$51)=0," ",SUMIFS('Level of Efficiency Assumptions'!$J:$J,'Level of Efficiency Assumptions'!$H:$H,$I125,'Level of Efficiency Assumptions'!$I:$I,N$51))</f>
        <v xml:space="preserve"> </v>
      </c>
      <c r="O125" s="1298" t="str">
        <f>IF(SUMIFS('Level of Efficiency Assumptions'!$J:$J,'Level of Efficiency Assumptions'!$H:$H,$I125,'Level of Efficiency Assumptions'!$I:$I,O$51)=0," ",SUMIFS('Level of Efficiency Assumptions'!$J:$J,'Level of Efficiency Assumptions'!$H:$H,$I125,'Level of Efficiency Assumptions'!$I:$I,O$51))</f>
        <v xml:space="preserve"> </v>
      </c>
      <c r="P125" s="1299" t="str">
        <f>IF(SUMIFS('Level of Efficiency Assumptions'!$J:$J,'Level of Efficiency Assumptions'!$H:$H,$I125,'Level of Efficiency Assumptions'!$I:$I,P$51)=0," ",SUMIFS('Level of Efficiency Assumptions'!$J:$J,'Level of Efficiency Assumptions'!$H:$H,$I125,'Level of Efficiency Assumptions'!$I:$I,P$51))</f>
        <v xml:space="preserve"> </v>
      </c>
      <c r="Q125" s="971" t="e">
        <f>IF(I125=" "," ",(VLOOKUP(I125,list!$B$81:$C$111,2,FALSE)))</f>
        <v>#N/A</v>
      </c>
      <c r="R125" s="243">
        <f t="shared" si="39"/>
        <v>0</v>
      </c>
      <c r="S125" s="64">
        <v>1</v>
      </c>
      <c r="T125" s="68">
        <v>0</v>
      </c>
      <c r="U125" s="244">
        <f t="shared" si="42"/>
        <v>1</v>
      </c>
    </row>
    <row r="126" spans="2:24" ht="15" thickBot="1" x14ac:dyDescent="0.35">
      <c r="C126" s="520"/>
      <c r="D126" s="224" t="str">
        <f t="shared" si="43"/>
        <v xml:space="preserve">  </v>
      </c>
      <c r="E126" s="224"/>
      <c r="F126" s="224" t="str">
        <f t="shared" si="44"/>
        <v xml:space="preserve">  </v>
      </c>
      <c r="G126" s="224"/>
      <c r="H126" s="380"/>
      <c r="I126" s="516" t="e">
        <f>IF(VLOOKUP(C13,list!$AA$5:$AS$14,15,FALSE)=0," ",(VLOOKUP(C13,list!$AA$5:$AS$14,15,FALSE)))</f>
        <v>#N/A</v>
      </c>
      <c r="J126" s="955" t="e">
        <f t="shared" si="40"/>
        <v>#N/A</v>
      </c>
      <c r="K126" s="955" t="e">
        <f t="shared" si="41"/>
        <v>#N/A</v>
      </c>
      <c r="L126" s="969" t="e">
        <f>IF(I126=" "," ",VLOOKUP(J126,list!$J$4:$M$117,4,FALSE))</f>
        <v>#N/A</v>
      </c>
      <c r="M126" s="66"/>
      <c r="N126" s="1297" t="str">
        <f>IF(SUMIFS('Level of Efficiency Assumptions'!$J:$J,'Level of Efficiency Assumptions'!$H:$H,$I126,'Level of Efficiency Assumptions'!$I:$I,N$51)=0," ",SUMIFS('Level of Efficiency Assumptions'!$J:$J,'Level of Efficiency Assumptions'!$H:$H,$I126,'Level of Efficiency Assumptions'!$I:$I,N$51))</f>
        <v xml:space="preserve"> </v>
      </c>
      <c r="O126" s="1298" t="str">
        <f>IF(SUMIFS('Level of Efficiency Assumptions'!$J:$J,'Level of Efficiency Assumptions'!$H:$H,$I126,'Level of Efficiency Assumptions'!$I:$I,O$51)=0," ",SUMIFS('Level of Efficiency Assumptions'!$J:$J,'Level of Efficiency Assumptions'!$H:$H,$I126,'Level of Efficiency Assumptions'!$I:$I,O$51))</f>
        <v xml:space="preserve"> </v>
      </c>
      <c r="P126" s="1299" t="str">
        <f>IF(SUMIFS('Level of Efficiency Assumptions'!$J:$J,'Level of Efficiency Assumptions'!$H:$H,$I126,'Level of Efficiency Assumptions'!$I:$I,P$51)=0," ",SUMIFS('Level of Efficiency Assumptions'!$J:$J,'Level of Efficiency Assumptions'!$H:$H,$I126,'Level of Efficiency Assumptions'!$I:$I,P$51))</f>
        <v xml:space="preserve"> </v>
      </c>
      <c r="Q126" s="971" t="e">
        <f>IF(I126=" "," ",(VLOOKUP(I126,list!$B$81:$C$111,2,FALSE)))</f>
        <v>#N/A</v>
      </c>
      <c r="R126" s="243">
        <f t="shared" si="39"/>
        <v>0</v>
      </c>
      <c r="S126" s="64">
        <v>1</v>
      </c>
      <c r="T126" s="68">
        <v>0</v>
      </c>
      <c r="U126" s="244">
        <f t="shared" si="42"/>
        <v>1</v>
      </c>
    </row>
    <row r="127" spans="2:24" ht="15" thickBot="1" x14ac:dyDescent="0.35">
      <c r="C127" s="520"/>
      <c r="D127" s="224" t="str">
        <f t="shared" si="43"/>
        <v xml:space="preserve">  </v>
      </c>
      <c r="E127" s="224"/>
      <c r="F127" s="224" t="str">
        <f t="shared" si="44"/>
        <v xml:space="preserve">  </v>
      </c>
      <c r="G127" s="224"/>
      <c r="H127" s="380"/>
      <c r="I127" s="516" t="e">
        <f>IF(VLOOKUP(C13,list!$AA$5:$AS$14,16,FALSE)=0," ",(VLOOKUP(C13,list!$AA$5:$AS$14,16,FALSE)))</f>
        <v>#N/A</v>
      </c>
      <c r="J127" s="955" t="e">
        <f t="shared" si="40"/>
        <v>#N/A</v>
      </c>
      <c r="K127" s="955" t="e">
        <f t="shared" si="41"/>
        <v>#N/A</v>
      </c>
      <c r="L127" s="969" t="e">
        <f>IF(I127=" "," ",VLOOKUP(J127,list!$J$4:$M$117,4,FALSE))</f>
        <v>#N/A</v>
      </c>
      <c r="M127" s="66"/>
      <c r="N127" s="1297" t="str">
        <f>IF(SUMIFS('Level of Efficiency Assumptions'!$J:$J,'Level of Efficiency Assumptions'!$H:$H,$I127,'Level of Efficiency Assumptions'!$I:$I,N$51)=0," ",SUMIFS('Level of Efficiency Assumptions'!$J:$J,'Level of Efficiency Assumptions'!$H:$H,$I127,'Level of Efficiency Assumptions'!$I:$I,N$51))</f>
        <v xml:space="preserve"> </v>
      </c>
      <c r="O127" s="1298" t="str">
        <f>IF(SUMIFS('Level of Efficiency Assumptions'!$J:$J,'Level of Efficiency Assumptions'!$H:$H,$I127,'Level of Efficiency Assumptions'!$I:$I,O$51)=0," ",SUMIFS('Level of Efficiency Assumptions'!$J:$J,'Level of Efficiency Assumptions'!$H:$H,$I127,'Level of Efficiency Assumptions'!$I:$I,O$51))</f>
        <v xml:space="preserve"> </v>
      </c>
      <c r="P127" s="1299" t="str">
        <f>IF(SUMIFS('Level of Efficiency Assumptions'!$J:$J,'Level of Efficiency Assumptions'!$H:$H,$I127,'Level of Efficiency Assumptions'!$I:$I,P$51)=0," ",SUMIFS('Level of Efficiency Assumptions'!$J:$J,'Level of Efficiency Assumptions'!$H:$H,$I127,'Level of Efficiency Assumptions'!$I:$I,P$51))</f>
        <v xml:space="preserve"> </v>
      </c>
      <c r="Q127" s="971" t="e">
        <f>IF(I127=" "," ",(VLOOKUP(I127,list!$B$81:$C$111,2,FALSE)))</f>
        <v>#N/A</v>
      </c>
      <c r="R127" s="243">
        <f t="shared" si="39"/>
        <v>0</v>
      </c>
      <c r="S127" s="64">
        <v>1</v>
      </c>
      <c r="T127" s="68">
        <v>0</v>
      </c>
      <c r="U127" s="244">
        <f t="shared" si="42"/>
        <v>1</v>
      </c>
    </row>
    <row r="128" spans="2:24" ht="15" thickBot="1" x14ac:dyDescent="0.35">
      <c r="C128" s="520"/>
      <c r="D128" s="224" t="str">
        <f t="shared" si="43"/>
        <v xml:space="preserve">  </v>
      </c>
      <c r="E128" s="224"/>
      <c r="F128" s="224" t="str">
        <f t="shared" si="44"/>
        <v xml:space="preserve">  </v>
      </c>
      <c r="G128" s="224"/>
      <c r="H128" s="380"/>
      <c r="I128" s="516" t="e">
        <f>IF(VLOOKUP(C13,list!$AA$5:$AS$14,17,FALSE)=0," ",(VLOOKUP(C13,list!$AA$5:$AS$14,17,FALSE)))</f>
        <v>#N/A</v>
      </c>
      <c r="J128" s="955" t="e">
        <f t="shared" si="40"/>
        <v>#N/A</v>
      </c>
      <c r="K128" s="955" t="e">
        <f t="shared" si="41"/>
        <v>#N/A</v>
      </c>
      <c r="L128" s="969" t="e">
        <f>IF(I128=" "," ",VLOOKUP(J128,list!$J$4:$M$117,4,FALSE))</f>
        <v>#N/A</v>
      </c>
      <c r="M128" s="66"/>
      <c r="N128" s="1297" t="str">
        <f>IF(SUMIFS('Level of Efficiency Assumptions'!$J:$J,'Level of Efficiency Assumptions'!$H:$H,$I128,'Level of Efficiency Assumptions'!$I:$I,N$51)=0," ",SUMIFS('Level of Efficiency Assumptions'!$J:$J,'Level of Efficiency Assumptions'!$H:$H,$I128,'Level of Efficiency Assumptions'!$I:$I,N$51))</f>
        <v xml:space="preserve"> </v>
      </c>
      <c r="O128" s="1298" t="str">
        <f>IF(SUMIFS('Level of Efficiency Assumptions'!$J:$J,'Level of Efficiency Assumptions'!$H:$H,$I128,'Level of Efficiency Assumptions'!$I:$I,O$51)=0," ",SUMIFS('Level of Efficiency Assumptions'!$J:$J,'Level of Efficiency Assumptions'!$H:$H,$I128,'Level of Efficiency Assumptions'!$I:$I,O$51))</f>
        <v xml:space="preserve"> </v>
      </c>
      <c r="P128" s="1299" t="str">
        <f>IF(SUMIFS('Level of Efficiency Assumptions'!$J:$J,'Level of Efficiency Assumptions'!$H:$H,$I128,'Level of Efficiency Assumptions'!$I:$I,P$51)=0," ",SUMIFS('Level of Efficiency Assumptions'!$J:$J,'Level of Efficiency Assumptions'!$H:$H,$I128,'Level of Efficiency Assumptions'!$I:$I,P$51))</f>
        <v xml:space="preserve"> </v>
      </c>
      <c r="Q128" s="971" t="e">
        <f>IF(I128=" "," ",(VLOOKUP(I128,list!$B$81:$C$111,2,FALSE)))</f>
        <v>#N/A</v>
      </c>
      <c r="R128" s="243">
        <f t="shared" si="39"/>
        <v>0</v>
      </c>
      <c r="S128" s="64">
        <v>1</v>
      </c>
      <c r="T128" s="68">
        <v>0</v>
      </c>
      <c r="U128" s="244">
        <f t="shared" si="42"/>
        <v>1</v>
      </c>
    </row>
    <row r="129" spans="2:24" ht="15" thickBot="1" x14ac:dyDescent="0.35">
      <c r="C129" s="520"/>
      <c r="D129" s="224" t="str">
        <f t="shared" si="43"/>
        <v xml:space="preserve">  </v>
      </c>
      <c r="E129" s="224"/>
      <c r="F129" s="224" t="str">
        <f t="shared" si="44"/>
        <v xml:space="preserve">  </v>
      </c>
      <c r="G129" s="224"/>
      <c r="H129" s="380"/>
      <c r="I129" s="516" t="e">
        <f>IF(VLOOKUP(C13,list!$AA$5:$AS$14,18,FALSE)=0," ",(VLOOKUP(C13,list!$AA$5:$AS$14,18,FALSE)))</f>
        <v>#N/A</v>
      </c>
      <c r="J129" s="955" t="e">
        <f t="shared" si="40"/>
        <v>#N/A</v>
      </c>
      <c r="K129" s="955" t="e">
        <f t="shared" si="41"/>
        <v>#N/A</v>
      </c>
      <c r="L129" s="969" t="e">
        <f>IF(I129=" "," ",VLOOKUP(J129,list!$J$4:$M$117,4,FALSE))</f>
        <v>#N/A</v>
      </c>
      <c r="M129" s="66"/>
      <c r="N129" s="1297" t="str">
        <f>IF(SUMIFS('Level of Efficiency Assumptions'!$J:$J,'Level of Efficiency Assumptions'!$H:$H,$I129,'Level of Efficiency Assumptions'!$I:$I,N$51)=0," ",SUMIFS('Level of Efficiency Assumptions'!$J:$J,'Level of Efficiency Assumptions'!$H:$H,$I129,'Level of Efficiency Assumptions'!$I:$I,N$51))</f>
        <v xml:space="preserve"> </v>
      </c>
      <c r="O129" s="1298" t="str">
        <f>IF(SUMIFS('Level of Efficiency Assumptions'!$J:$J,'Level of Efficiency Assumptions'!$H:$H,$I129,'Level of Efficiency Assumptions'!$I:$I,O$51)=0," ",SUMIFS('Level of Efficiency Assumptions'!$J:$J,'Level of Efficiency Assumptions'!$H:$H,$I129,'Level of Efficiency Assumptions'!$I:$I,O$51))</f>
        <v xml:space="preserve"> </v>
      </c>
      <c r="P129" s="1299" t="str">
        <f>IF(SUMIFS('Level of Efficiency Assumptions'!$J:$J,'Level of Efficiency Assumptions'!$H:$H,$I129,'Level of Efficiency Assumptions'!$I:$I,P$51)=0," ",SUMIFS('Level of Efficiency Assumptions'!$J:$J,'Level of Efficiency Assumptions'!$H:$H,$I129,'Level of Efficiency Assumptions'!$I:$I,P$51))</f>
        <v xml:space="preserve"> </v>
      </c>
      <c r="Q129" s="971" t="e">
        <f>IF(I129=" "," ",(VLOOKUP(I129,list!$B$81:$C$111,2,FALSE)))</f>
        <v>#N/A</v>
      </c>
      <c r="R129" s="243">
        <f t="shared" si="39"/>
        <v>0</v>
      </c>
      <c r="S129" s="64">
        <v>1</v>
      </c>
      <c r="T129" s="68">
        <v>0</v>
      </c>
      <c r="U129" s="244">
        <f t="shared" si="42"/>
        <v>1</v>
      </c>
    </row>
    <row r="130" spans="2:24" ht="15" thickBot="1" x14ac:dyDescent="0.35">
      <c r="C130" s="632"/>
      <c r="D130" s="226" t="str">
        <f t="shared" si="43"/>
        <v xml:space="preserve">  </v>
      </c>
      <c r="E130" s="226"/>
      <c r="F130" s="226" t="str">
        <f t="shared" si="44"/>
        <v xml:space="preserve">  </v>
      </c>
      <c r="G130" s="226"/>
      <c r="H130" s="976"/>
      <c r="I130" s="516" t="e">
        <f>IF(VLOOKUP(C13,list!$AA$5:$AS$14,19,FALSE)=0," ",(VLOOKUP(C13,list!$AA$5:$AS$14,19,FALSE)))</f>
        <v>#N/A</v>
      </c>
      <c r="J130" s="955" t="e">
        <f>IF(I130=" "," ",(D130&amp;"-"&amp;I130))</f>
        <v>#N/A</v>
      </c>
      <c r="K130" s="955" t="e">
        <f t="shared" si="41"/>
        <v>#N/A</v>
      </c>
      <c r="L130" s="969" t="e">
        <f>IF(I130=" "," ",VLOOKUP(J130,list!$J$4:$M$117,4,FALSE))</f>
        <v>#N/A</v>
      </c>
      <c r="M130" s="67"/>
      <c r="N130" s="1303" t="str">
        <f>IF(SUMIFS('Level of Efficiency Assumptions'!$J:$J,'Level of Efficiency Assumptions'!$H:$H,$I130,'Level of Efficiency Assumptions'!$I:$I,N$51)=0," ",SUMIFS('Level of Efficiency Assumptions'!$J:$J,'Level of Efficiency Assumptions'!$H:$H,$I130,'Level of Efficiency Assumptions'!$I:$I,N$51))</f>
        <v xml:space="preserve"> </v>
      </c>
      <c r="O130" s="1304" t="str">
        <f>IF(SUMIFS('Level of Efficiency Assumptions'!$J:$J,'Level of Efficiency Assumptions'!$H:$H,$I130,'Level of Efficiency Assumptions'!$I:$I,O$51)=0," ",SUMIFS('Level of Efficiency Assumptions'!$J:$J,'Level of Efficiency Assumptions'!$H:$H,$I130,'Level of Efficiency Assumptions'!$I:$I,O$51))</f>
        <v xml:space="preserve"> </v>
      </c>
      <c r="P130" s="1305" t="str">
        <f>IF(SUMIFS('Level of Efficiency Assumptions'!$J:$J,'Level of Efficiency Assumptions'!$H:$H,$I130,'Level of Efficiency Assumptions'!$I:$I,P$51)=0," ",SUMIFS('Level of Efficiency Assumptions'!$J:$J,'Level of Efficiency Assumptions'!$H:$H,$I130,'Level of Efficiency Assumptions'!$I:$I,P$51))</f>
        <v xml:space="preserve"> </v>
      </c>
      <c r="Q130" s="977" t="e">
        <f>IF(I130=" "," ",(VLOOKUP(I130,list!$B$81:$C$111,2,FALSE)))</f>
        <v>#N/A</v>
      </c>
      <c r="R130" s="245">
        <f t="shared" si="39"/>
        <v>0</v>
      </c>
      <c r="S130" s="65">
        <v>1</v>
      </c>
      <c r="T130" s="69">
        <v>0</v>
      </c>
      <c r="U130" s="246">
        <f t="shared" si="42"/>
        <v>1</v>
      </c>
    </row>
    <row r="131" spans="2:24" x14ac:dyDescent="0.3">
      <c r="D131" s="846"/>
      <c r="F131" s="82"/>
      <c r="J131" s="846"/>
      <c r="K131" s="846"/>
      <c r="N131" s="1179"/>
      <c r="O131" s="1179"/>
      <c r="P131" s="1179"/>
      <c r="R131" s="176" t="s">
        <v>295</v>
      </c>
      <c r="S131" s="176"/>
      <c r="T131" s="176"/>
      <c r="U131" s="176"/>
    </row>
    <row r="132" spans="2:24" ht="15" thickBot="1" x14ac:dyDescent="0.35">
      <c r="D132" s="846"/>
      <c r="F132" s="82"/>
      <c r="J132" s="846"/>
      <c r="K132" s="846"/>
      <c r="N132" s="1179"/>
      <c r="O132" s="1179"/>
      <c r="P132" s="1179"/>
    </row>
    <row r="133" spans="2:24" ht="15" thickBot="1" x14ac:dyDescent="0.35">
      <c r="B133" s="814">
        <v>5</v>
      </c>
      <c r="C133" s="967" t="str">
        <f t="shared" ref="C133:H133" si="45">C14</f>
        <v xml:space="preserve">  </v>
      </c>
      <c r="D133" s="967" t="str">
        <f t="shared" si="45"/>
        <v xml:space="preserve">  </v>
      </c>
      <c r="E133" s="967" t="str">
        <f t="shared" si="45"/>
        <v xml:space="preserve">  </v>
      </c>
      <c r="F133" s="967" t="str">
        <f t="shared" si="45"/>
        <v xml:space="preserve">  </v>
      </c>
      <c r="G133" s="967">
        <f t="shared" si="45"/>
        <v>0</v>
      </c>
      <c r="H133" s="968">
        <f t="shared" si="45"/>
        <v>0</v>
      </c>
      <c r="I133" s="516" t="e">
        <f>IF(VLOOKUP(C14,list!$AA$5:$AS$14,2,FALSE)=0," ",(VLOOKUP(C14,list!$AA$5:$AS$14,2,FALSE)))</f>
        <v>#N/A</v>
      </c>
      <c r="J133" s="955" t="e">
        <f>IF(I133=" "," ",(D14&amp;"-"&amp;I133))</f>
        <v>#N/A</v>
      </c>
      <c r="K133" s="955" t="e">
        <f>IF(I133=" "," ",(F14&amp;"-"&amp;I133))</f>
        <v>#N/A</v>
      </c>
      <c r="L133" s="969" t="e">
        <f>IF(I133=" "," ",VLOOKUP(J133,list!$J$4:$M$117,4,FALSE))</f>
        <v>#N/A</v>
      </c>
      <c r="M133" s="70"/>
      <c r="N133" s="1300" t="str">
        <f>IF(SUMIFS('Level of Efficiency Assumptions'!$J:$J,'Level of Efficiency Assumptions'!$H:$H,$I133,'Level of Efficiency Assumptions'!$I:$I,N$51)=0," ",SUMIFS('Level of Efficiency Assumptions'!$J:$J,'Level of Efficiency Assumptions'!$H:$H,$I133,'Level of Efficiency Assumptions'!$I:$I,N$51))</f>
        <v xml:space="preserve"> </v>
      </c>
      <c r="O133" s="1301" t="str">
        <f>IF(SUMIFS('Level of Efficiency Assumptions'!$J:$J,'Level of Efficiency Assumptions'!$H:$H,$I133,'Level of Efficiency Assumptions'!$I:$I,O$51)=0," ",SUMIFS('Level of Efficiency Assumptions'!$J:$J,'Level of Efficiency Assumptions'!$H:$H,$I133,'Level of Efficiency Assumptions'!$I:$I,O$51))</f>
        <v xml:space="preserve"> </v>
      </c>
      <c r="P133" s="1302" t="str">
        <f>IF(SUMIFS('Level of Efficiency Assumptions'!$J:$J,'Level of Efficiency Assumptions'!$H:$H,$I133,'Level of Efficiency Assumptions'!$I:$I,P$51)=0," ",SUMIFS('Level of Efficiency Assumptions'!$J:$J,'Level of Efficiency Assumptions'!$H:$H,$I133,'Level of Efficiency Assumptions'!$I:$I,P$51))</f>
        <v xml:space="preserve"> </v>
      </c>
      <c r="Q133" s="970" t="e">
        <f>IF(I133=" "," ",(VLOOKUP(I133,list!$B$81:$C$111,2,FALSE)))</f>
        <v>#N/A</v>
      </c>
      <c r="R133" s="241">
        <f t="shared" ref="R133:R150" si="46">1-S133-T133</f>
        <v>0</v>
      </c>
      <c r="S133" s="83">
        <v>1</v>
      </c>
      <c r="T133" s="84">
        <v>0</v>
      </c>
      <c r="U133" s="242">
        <f>SUM(R133:T133)</f>
        <v>1</v>
      </c>
      <c r="W133" s="250" t="s">
        <v>367</v>
      </c>
      <c r="X133" s="251" t="s">
        <v>366</v>
      </c>
    </row>
    <row r="134" spans="2:24" ht="15" thickBot="1" x14ac:dyDescent="0.35">
      <c r="C134" s="520"/>
      <c r="D134" s="224" t="str">
        <f>D14</f>
        <v xml:space="preserve">  </v>
      </c>
      <c r="E134" s="224"/>
      <c r="F134" s="224" t="str">
        <f>F14</f>
        <v xml:space="preserve">  </v>
      </c>
      <c r="G134" s="224"/>
      <c r="H134" s="380"/>
      <c r="I134" s="516" t="e">
        <f>IF(VLOOKUP(C14,list!$AA$5:$AS$14,3,FALSE)=0," ",(VLOOKUP(C14,list!$AA$5:$AS$14,3,FALSE)))</f>
        <v>#N/A</v>
      </c>
      <c r="J134" s="955" t="e">
        <f t="shared" ref="J134:J149" si="47">IF(I134=" "," ",(D134&amp;"-"&amp;I134))</f>
        <v>#N/A</v>
      </c>
      <c r="K134" s="955" t="e">
        <f t="shared" ref="K134:K150" si="48">IF(I134=" "," ",(F134&amp;"-"&amp;I134))</f>
        <v>#N/A</v>
      </c>
      <c r="L134" s="969" t="e">
        <f>IF(I134=" "," ",VLOOKUP(J134,list!$J$4:$M$117,4,FALSE))</f>
        <v>#N/A</v>
      </c>
      <c r="M134" s="66"/>
      <c r="N134" s="1297" t="str">
        <f>IF(SUMIFS('Level of Efficiency Assumptions'!$J:$J,'Level of Efficiency Assumptions'!$H:$H,$I134,'Level of Efficiency Assumptions'!$I:$I,N$51)=0," ",SUMIFS('Level of Efficiency Assumptions'!$J:$J,'Level of Efficiency Assumptions'!$H:$H,$I134,'Level of Efficiency Assumptions'!$I:$I,N$51))</f>
        <v xml:space="preserve"> </v>
      </c>
      <c r="O134" s="1298" t="str">
        <f>IF(SUMIFS('Level of Efficiency Assumptions'!$J:$J,'Level of Efficiency Assumptions'!$H:$H,$I134,'Level of Efficiency Assumptions'!$I:$I,O$51)=0," ",SUMIFS('Level of Efficiency Assumptions'!$J:$J,'Level of Efficiency Assumptions'!$H:$H,$I134,'Level of Efficiency Assumptions'!$I:$I,O$51))</f>
        <v xml:space="preserve"> </v>
      </c>
      <c r="P134" s="1299" t="str">
        <f>IF(SUMIFS('Level of Efficiency Assumptions'!$J:$J,'Level of Efficiency Assumptions'!$H:$H,$I134,'Level of Efficiency Assumptions'!$I:$I,P$51)=0," ",SUMIFS('Level of Efficiency Assumptions'!$J:$J,'Level of Efficiency Assumptions'!$H:$H,$I134,'Level of Efficiency Assumptions'!$I:$I,P$51))</f>
        <v xml:space="preserve"> </v>
      </c>
      <c r="Q134" s="971" t="e">
        <f>IF(I134=" "," ",(VLOOKUP(I134,list!$B$81:$C$111,2,FALSE)))</f>
        <v>#N/A</v>
      </c>
      <c r="R134" s="243">
        <f t="shared" si="46"/>
        <v>0</v>
      </c>
      <c r="S134" s="64">
        <v>1</v>
      </c>
      <c r="T134" s="68">
        <v>0</v>
      </c>
      <c r="U134" s="244">
        <f t="shared" ref="U134:U150" si="49">SUM(R134:T134)</f>
        <v>1</v>
      </c>
      <c r="V134" s="82" t="e">
        <f>F134&amp;"-"&amp;W134</f>
        <v>#N/A</v>
      </c>
      <c r="W134" s="247" t="e">
        <f>HLOOKUP(D134,list!$O$34:$X$38,2,FALSE)</f>
        <v>#N/A</v>
      </c>
      <c r="X134" s="972">
        <v>1</v>
      </c>
    </row>
    <row r="135" spans="2:24" ht="15" thickBot="1" x14ac:dyDescent="0.35">
      <c r="C135" s="520"/>
      <c r="D135" s="224" t="str">
        <f>D134</f>
        <v xml:space="preserve">  </v>
      </c>
      <c r="E135" s="224"/>
      <c r="F135" s="224" t="str">
        <f>F134</f>
        <v xml:space="preserve">  </v>
      </c>
      <c r="G135" s="224"/>
      <c r="H135" s="380"/>
      <c r="I135" s="516" t="e">
        <f>IF(VLOOKUP(C14,list!$AA$5:$AS$14,4,FALSE)=0," ",(VLOOKUP(C14,list!$AA$5:$AS$14,4,FALSE)))</f>
        <v>#N/A</v>
      </c>
      <c r="J135" s="955" t="e">
        <f t="shared" si="47"/>
        <v>#N/A</v>
      </c>
      <c r="K135" s="955" t="e">
        <f t="shared" si="48"/>
        <v>#N/A</v>
      </c>
      <c r="L135" s="969" t="e">
        <f>IF(I135=" "," ",VLOOKUP(J135,list!$J$4:$M$117,4,FALSE))</f>
        <v>#N/A</v>
      </c>
      <c r="M135" s="66"/>
      <c r="N135" s="1297" t="str">
        <f>IF(SUMIFS('Level of Efficiency Assumptions'!$J:$J,'Level of Efficiency Assumptions'!$H:$H,$I135,'Level of Efficiency Assumptions'!$I:$I,N$51)=0," ",SUMIFS('Level of Efficiency Assumptions'!$J:$J,'Level of Efficiency Assumptions'!$H:$H,$I135,'Level of Efficiency Assumptions'!$I:$I,N$51))</f>
        <v xml:space="preserve"> </v>
      </c>
      <c r="O135" s="1298" t="str">
        <f>IF(SUMIFS('Level of Efficiency Assumptions'!$J:$J,'Level of Efficiency Assumptions'!$H:$H,$I135,'Level of Efficiency Assumptions'!$I:$I,O$51)=0," ",SUMIFS('Level of Efficiency Assumptions'!$J:$J,'Level of Efficiency Assumptions'!$H:$H,$I135,'Level of Efficiency Assumptions'!$I:$I,O$51))</f>
        <v xml:space="preserve"> </v>
      </c>
      <c r="P135" s="1299" t="str">
        <f>IF(SUMIFS('Level of Efficiency Assumptions'!$J:$J,'Level of Efficiency Assumptions'!$H:$H,$I135,'Level of Efficiency Assumptions'!$I:$I,P$51)=0," ",SUMIFS('Level of Efficiency Assumptions'!$J:$J,'Level of Efficiency Assumptions'!$H:$H,$I135,'Level of Efficiency Assumptions'!$I:$I,P$51))</f>
        <v xml:space="preserve"> </v>
      </c>
      <c r="Q135" s="971" t="e">
        <f>IF(I135=" "," ",(VLOOKUP(I135,list!$B$81:$C$111,2,FALSE)))</f>
        <v>#N/A</v>
      </c>
      <c r="R135" s="243">
        <f t="shared" si="46"/>
        <v>0</v>
      </c>
      <c r="S135" s="64">
        <v>1</v>
      </c>
      <c r="T135" s="68">
        <v>0</v>
      </c>
      <c r="U135" s="244">
        <f t="shared" si="49"/>
        <v>1</v>
      </c>
      <c r="V135" s="82" t="e">
        <f>F135&amp;"-"&amp;W135</f>
        <v>#N/A</v>
      </c>
      <c r="W135" s="248" t="e">
        <f>HLOOKUP(D135,list!$O$34:$X$38,3,FALSE)</f>
        <v>#N/A</v>
      </c>
      <c r="X135" s="973">
        <v>0.5</v>
      </c>
    </row>
    <row r="136" spans="2:24" ht="15" thickBot="1" x14ac:dyDescent="0.35">
      <c r="C136" s="520"/>
      <c r="D136" s="224" t="str">
        <f t="shared" ref="D136:D150" si="50">D135</f>
        <v xml:space="preserve">  </v>
      </c>
      <c r="E136" s="224"/>
      <c r="F136" s="224" t="str">
        <f t="shared" ref="F136:F150" si="51">F135</f>
        <v xml:space="preserve">  </v>
      </c>
      <c r="G136" s="224"/>
      <c r="H136" s="380"/>
      <c r="I136" s="516" t="e">
        <f>IF(VLOOKUP(C14,list!$AA$5:$AS$14,5,FALSE)=0," ",(VLOOKUP(C14,list!$AA$5:$AS$14,5,FALSE)))</f>
        <v>#N/A</v>
      </c>
      <c r="J136" s="955" t="e">
        <f t="shared" si="47"/>
        <v>#N/A</v>
      </c>
      <c r="K136" s="955" t="e">
        <f t="shared" si="48"/>
        <v>#N/A</v>
      </c>
      <c r="L136" s="969" t="e">
        <f>IF(I136=" "," ",VLOOKUP(J136,list!$J$4:$M$117,4,FALSE))</f>
        <v>#N/A</v>
      </c>
      <c r="M136" s="66"/>
      <c r="N136" s="1297" t="str">
        <f>IF(SUMIFS('Level of Efficiency Assumptions'!$J:$J,'Level of Efficiency Assumptions'!$H:$H,$I136,'Level of Efficiency Assumptions'!$I:$I,N$51)=0," ",SUMIFS('Level of Efficiency Assumptions'!$J:$J,'Level of Efficiency Assumptions'!$H:$H,$I136,'Level of Efficiency Assumptions'!$I:$I,N$51))</f>
        <v xml:space="preserve"> </v>
      </c>
      <c r="O136" s="1298" t="str">
        <f>IF(SUMIFS('Level of Efficiency Assumptions'!$J:$J,'Level of Efficiency Assumptions'!$H:$H,$I136,'Level of Efficiency Assumptions'!$I:$I,O$51)=0," ",SUMIFS('Level of Efficiency Assumptions'!$J:$J,'Level of Efficiency Assumptions'!$H:$H,$I136,'Level of Efficiency Assumptions'!$I:$I,O$51))</f>
        <v xml:space="preserve"> </v>
      </c>
      <c r="P136" s="1299" t="str">
        <f>IF(SUMIFS('Level of Efficiency Assumptions'!$J:$J,'Level of Efficiency Assumptions'!$H:$H,$I136,'Level of Efficiency Assumptions'!$I:$I,P$51)=0," ",SUMIFS('Level of Efficiency Assumptions'!$J:$J,'Level of Efficiency Assumptions'!$H:$H,$I136,'Level of Efficiency Assumptions'!$I:$I,P$51))</f>
        <v xml:space="preserve"> </v>
      </c>
      <c r="Q136" s="971" t="e">
        <f>IF(I136=" "," ",(VLOOKUP(I136,list!$B$81:$C$111,2,FALSE)))</f>
        <v>#N/A</v>
      </c>
      <c r="R136" s="243">
        <f t="shared" si="46"/>
        <v>0</v>
      </c>
      <c r="S136" s="64">
        <v>1</v>
      </c>
      <c r="T136" s="68">
        <v>0</v>
      </c>
      <c r="U136" s="244">
        <f t="shared" si="49"/>
        <v>1</v>
      </c>
      <c r="V136" s="82" t="e">
        <f>F136&amp;"-"&amp;W136</f>
        <v>#N/A</v>
      </c>
      <c r="W136" s="248" t="e">
        <f>HLOOKUP(D136,list!$O$34:$X$38,4,FALSE)</f>
        <v>#N/A</v>
      </c>
      <c r="X136" s="973">
        <v>0.5</v>
      </c>
    </row>
    <row r="137" spans="2:24" ht="15" thickBot="1" x14ac:dyDescent="0.35">
      <c r="C137" s="520"/>
      <c r="D137" s="224" t="str">
        <f t="shared" si="50"/>
        <v xml:space="preserve">  </v>
      </c>
      <c r="E137" s="224"/>
      <c r="F137" s="224" t="str">
        <f t="shared" si="51"/>
        <v xml:space="preserve">  </v>
      </c>
      <c r="G137" s="224"/>
      <c r="H137" s="380"/>
      <c r="I137" s="516" t="e">
        <f>IF(VLOOKUP(C14,list!$AA$5:$AS$14,6,FALSE)=0," ",(VLOOKUP(C14,list!$AA$5:$AS$14,6,FALSE)))</f>
        <v>#N/A</v>
      </c>
      <c r="J137" s="955" t="e">
        <f t="shared" si="47"/>
        <v>#N/A</v>
      </c>
      <c r="K137" s="955" t="e">
        <f t="shared" si="48"/>
        <v>#N/A</v>
      </c>
      <c r="L137" s="969" t="e">
        <f>IF(I137=" "," ",VLOOKUP(J137,list!$J$4:$M$117,4,FALSE))</f>
        <v>#N/A</v>
      </c>
      <c r="M137" s="66"/>
      <c r="N137" s="1297" t="str">
        <f>IF(SUMIFS('Level of Efficiency Assumptions'!$J:$J,'Level of Efficiency Assumptions'!$H:$H,$I137,'Level of Efficiency Assumptions'!$I:$I,N$51)=0," ",SUMIFS('Level of Efficiency Assumptions'!$J:$J,'Level of Efficiency Assumptions'!$H:$H,$I137,'Level of Efficiency Assumptions'!$I:$I,N$51))</f>
        <v xml:space="preserve"> </v>
      </c>
      <c r="O137" s="1298" t="str">
        <f>IF(SUMIFS('Level of Efficiency Assumptions'!$J:$J,'Level of Efficiency Assumptions'!$H:$H,$I137,'Level of Efficiency Assumptions'!$I:$I,O$51)=0," ",SUMIFS('Level of Efficiency Assumptions'!$J:$J,'Level of Efficiency Assumptions'!$H:$H,$I137,'Level of Efficiency Assumptions'!$I:$I,O$51))</f>
        <v xml:space="preserve"> </v>
      </c>
      <c r="P137" s="1299" t="str">
        <f>IF(SUMIFS('Level of Efficiency Assumptions'!$J:$J,'Level of Efficiency Assumptions'!$H:$H,$I137,'Level of Efficiency Assumptions'!$I:$I,P$51)=0," ",SUMIFS('Level of Efficiency Assumptions'!$J:$J,'Level of Efficiency Assumptions'!$H:$H,$I137,'Level of Efficiency Assumptions'!$I:$I,P$51))</f>
        <v xml:space="preserve"> </v>
      </c>
      <c r="Q137" s="971" t="e">
        <f>IF(I137=" "," ",(VLOOKUP(I137,list!$B$81:$C$111,2,FALSE)))</f>
        <v>#N/A</v>
      </c>
      <c r="R137" s="243">
        <f t="shared" si="46"/>
        <v>0</v>
      </c>
      <c r="S137" s="64">
        <v>1</v>
      </c>
      <c r="T137" s="68">
        <v>0</v>
      </c>
      <c r="U137" s="244">
        <f t="shared" si="49"/>
        <v>1</v>
      </c>
      <c r="V137" s="82" t="e">
        <f>F137&amp;"-"&amp;W137</f>
        <v>#N/A</v>
      </c>
      <c r="W137" s="249" t="e">
        <f>HLOOKUP(D137,list!$O$34:$X$38,5,FALSE)</f>
        <v>#N/A</v>
      </c>
      <c r="X137" s="974">
        <v>0.5</v>
      </c>
    </row>
    <row r="138" spans="2:24" ht="15" thickBot="1" x14ac:dyDescent="0.35">
      <c r="C138" s="520"/>
      <c r="D138" s="224" t="str">
        <f t="shared" si="50"/>
        <v xml:space="preserve">  </v>
      </c>
      <c r="E138" s="224"/>
      <c r="F138" s="224" t="str">
        <f t="shared" si="51"/>
        <v xml:space="preserve">  </v>
      </c>
      <c r="G138" s="224"/>
      <c r="H138" s="380"/>
      <c r="I138" s="516" t="e">
        <f>IF(VLOOKUP(C14,list!$AA$5:$AS$14,7,FALSE)=0," ",(VLOOKUP(C14,list!$AA$5:$AS$14,7,FALSE)))</f>
        <v>#N/A</v>
      </c>
      <c r="J138" s="955" t="e">
        <f t="shared" si="47"/>
        <v>#N/A</v>
      </c>
      <c r="K138" s="955" t="e">
        <f t="shared" si="48"/>
        <v>#N/A</v>
      </c>
      <c r="L138" s="969" t="e">
        <f>IF(I138=" "," ",VLOOKUP(J138,list!$J$4:$M$117,4,FALSE))</f>
        <v>#N/A</v>
      </c>
      <c r="M138" s="66"/>
      <c r="N138" s="1297" t="str">
        <f>IF(SUMIFS('Level of Efficiency Assumptions'!$J:$J,'Level of Efficiency Assumptions'!$H:$H,$I138,'Level of Efficiency Assumptions'!$I:$I,N$51)=0," ",SUMIFS('Level of Efficiency Assumptions'!$J:$J,'Level of Efficiency Assumptions'!$H:$H,$I138,'Level of Efficiency Assumptions'!$I:$I,N$51))</f>
        <v xml:space="preserve"> </v>
      </c>
      <c r="O138" s="1298" t="str">
        <f>IF(SUMIFS('Level of Efficiency Assumptions'!$J:$J,'Level of Efficiency Assumptions'!$H:$H,$I138,'Level of Efficiency Assumptions'!$I:$I,O$51)=0," ",SUMIFS('Level of Efficiency Assumptions'!$J:$J,'Level of Efficiency Assumptions'!$H:$H,$I138,'Level of Efficiency Assumptions'!$I:$I,O$51))</f>
        <v xml:space="preserve"> </v>
      </c>
      <c r="P138" s="1299" t="str">
        <f>IF(SUMIFS('Level of Efficiency Assumptions'!$J:$J,'Level of Efficiency Assumptions'!$H:$H,$I138,'Level of Efficiency Assumptions'!$I:$I,P$51)=0," ",SUMIFS('Level of Efficiency Assumptions'!$J:$J,'Level of Efficiency Assumptions'!$H:$H,$I138,'Level of Efficiency Assumptions'!$I:$I,P$51))</f>
        <v xml:space="preserve"> </v>
      </c>
      <c r="Q138" s="971" t="e">
        <f>IF(I138=" "," ",(VLOOKUP(I138,list!$B$81:$C$111,2,FALSE)))</f>
        <v>#N/A</v>
      </c>
      <c r="R138" s="243">
        <f t="shared" si="46"/>
        <v>0</v>
      </c>
      <c r="S138" s="64">
        <v>1</v>
      </c>
      <c r="T138" s="68">
        <v>0</v>
      </c>
      <c r="U138" s="244">
        <f t="shared" si="49"/>
        <v>1</v>
      </c>
      <c r="W138" s="182"/>
      <c r="X138" s="975"/>
    </row>
    <row r="139" spans="2:24" ht="15" thickBot="1" x14ac:dyDescent="0.35">
      <c r="C139" s="520"/>
      <c r="D139" s="224" t="str">
        <f t="shared" si="50"/>
        <v xml:space="preserve">  </v>
      </c>
      <c r="E139" s="224"/>
      <c r="F139" s="224" t="str">
        <f t="shared" si="51"/>
        <v xml:space="preserve">  </v>
      </c>
      <c r="G139" s="224"/>
      <c r="H139" s="380"/>
      <c r="I139" s="516" t="e">
        <f>IF(VLOOKUP(C14,list!$AA$5:$AS$14,8,FALSE)=0," ",(VLOOKUP(C14,list!$AA$5:$AS$14,8,FALSE)))</f>
        <v>#N/A</v>
      </c>
      <c r="J139" s="955" t="e">
        <f t="shared" si="47"/>
        <v>#N/A</v>
      </c>
      <c r="K139" s="955" t="e">
        <f t="shared" si="48"/>
        <v>#N/A</v>
      </c>
      <c r="L139" s="969" t="e">
        <f>IF(I139=" "," ",VLOOKUP(J139,list!$J$4:$M$117,4,FALSE))</f>
        <v>#N/A</v>
      </c>
      <c r="M139" s="66"/>
      <c r="N139" s="1297" t="str">
        <f>IF(SUMIFS('Level of Efficiency Assumptions'!$J:$J,'Level of Efficiency Assumptions'!$H:$H,$I139,'Level of Efficiency Assumptions'!$I:$I,N$51)=0," ",SUMIFS('Level of Efficiency Assumptions'!$J:$J,'Level of Efficiency Assumptions'!$H:$H,$I139,'Level of Efficiency Assumptions'!$I:$I,N$51))</f>
        <v xml:space="preserve"> </v>
      </c>
      <c r="O139" s="1298" t="str">
        <f>IF(SUMIFS('Level of Efficiency Assumptions'!$J:$J,'Level of Efficiency Assumptions'!$H:$H,$I139,'Level of Efficiency Assumptions'!$I:$I,O$51)=0," ",SUMIFS('Level of Efficiency Assumptions'!$J:$J,'Level of Efficiency Assumptions'!$H:$H,$I139,'Level of Efficiency Assumptions'!$I:$I,O$51))</f>
        <v xml:space="preserve"> </v>
      </c>
      <c r="P139" s="1299" t="str">
        <f>IF(SUMIFS('Level of Efficiency Assumptions'!$J:$J,'Level of Efficiency Assumptions'!$H:$H,$I139,'Level of Efficiency Assumptions'!$I:$I,P$51)=0," ",SUMIFS('Level of Efficiency Assumptions'!$J:$J,'Level of Efficiency Assumptions'!$H:$H,$I139,'Level of Efficiency Assumptions'!$I:$I,P$51))</f>
        <v xml:space="preserve"> </v>
      </c>
      <c r="Q139" s="971" t="e">
        <f>IF(I139=" "," ",(VLOOKUP(I139,list!$B$81:$C$111,2,FALSE)))</f>
        <v>#N/A</v>
      </c>
      <c r="R139" s="243">
        <f t="shared" si="46"/>
        <v>0</v>
      </c>
      <c r="S139" s="64">
        <v>1</v>
      </c>
      <c r="T139" s="68">
        <v>0</v>
      </c>
      <c r="U139" s="244">
        <f t="shared" si="49"/>
        <v>1</v>
      </c>
      <c r="W139" s="182"/>
      <c r="X139" s="975"/>
    </row>
    <row r="140" spans="2:24" ht="15" thickBot="1" x14ac:dyDescent="0.35">
      <c r="C140" s="520"/>
      <c r="D140" s="224" t="str">
        <f t="shared" si="50"/>
        <v xml:space="preserve">  </v>
      </c>
      <c r="E140" s="224"/>
      <c r="F140" s="224" t="str">
        <f t="shared" si="51"/>
        <v xml:space="preserve">  </v>
      </c>
      <c r="G140" s="224"/>
      <c r="H140" s="380"/>
      <c r="I140" s="516" t="e">
        <f>IF(VLOOKUP(C14,list!$AA$5:$AS$14,9,FALSE)=0," ",(VLOOKUP(C14,list!$AA$5:$AS$14,9,FALSE)))</f>
        <v>#N/A</v>
      </c>
      <c r="J140" s="955" t="e">
        <f t="shared" si="47"/>
        <v>#N/A</v>
      </c>
      <c r="K140" s="955" t="e">
        <f t="shared" si="48"/>
        <v>#N/A</v>
      </c>
      <c r="L140" s="969" t="e">
        <f>IF(I140=" "," ",VLOOKUP(J140,list!$J$4:$M$117,4,FALSE))</f>
        <v>#N/A</v>
      </c>
      <c r="M140" s="66"/>
      <c r="N140" s="1297" t="str">
        <f>IF(SUMIFS('Level of Efficiency Assumptions'!$J:$J,'Level of Efficiency Assumptions'!$H:$H,$I140,'Level of Efficiency Assumptions'!$I:$I,N$51)=0," ",SUMIFS('Level of Efficiency Assumptions'!$J:$J,'Level of Efficiency Assumptions'!$H:$H,$I140,'Level of Efficiency Assumptions'!$I:$I,N$51))</f>
        <v xml:space="preserve"> </v>
      </c>
      <c r="O140" s="1298" t="str">
        <f>IF(SUMIFS('Level of Efficiency Assumptions'!$J:$J,'Level of Efficiency Assumptions'!$H:$H,$I140,'Level of Efficiency Assumptions'!$I:$I,O$51)=0," ",SUMIFS('Level of Efficiency Assumptions'!$J:$J,'Level of Efficiency Assumptions'!$H:$H,$I140,'Level of Efficiency Assumptions'!$I:$I,O$51))</f>
        <v xml:space="preserve"> </v>
      </c>
      <c r="P140" s="1299" t="str">
        <f>IF(SUMIFS('Level of Efficiency Assumptions'!$J:$J,'Level of Efficiency Assumptions'!$H:$H,$I140,'Level of Efficiency Assumptions'!$I:$I,P$51)=0," ",SUMIFS('Level of Efficiency Assumptions'!$J:$J,'Level of Efficiency Assumptions'!$H:$H,$I140,'Level of Efficiency Assumptions'!$I:$I,P$51))</f>
        <v xml:space="preserve"> </v>
      </c>
      <c r="Q140" s="971" t="e">
        <f>IF(I140=" "," ",(VLOOKUP(I140,list!$B$81:$C$111,2,FALSE)))</f>
        <v>#N/A</v>
      </c>
      <c r="R140" s="243">
        <f t="shared" si="46"/>
        <v>0</v>
      </c>
      <c r="S140" s="64">
        <v>1</v>
      </c>
      <c r="T140" s="68">
        <v>0</v>
      </c>
      <c r="U140" s="244">
        <f t="shared" si="49"/>
        <v>1</v>
      </c>
    </row>
    <row r="141" spans="2:24" ht="15" thickBot="1" x14ac:dyDescent="0.35">
      <c r="C141" s="520"/>
      <c r="D141" s="224" t="str">
        <f t="shared" si="50"/>
        <v xml:space="preserve">  </v>
      </c>
      <c r="E141" s="224"/>
      <c r="F141" s="224" t="str">
        <f t="shared" si="51"/>
        <v xml:space="preserve">  </v>
      </c>
      <c r="G141" s="224"/>
      <c r="H141" s="380"/>
      <c r="I141" s="516" t="e">
        <f>IF(VLOOKUP(C14,list!$AA$5:$AS$14,10,FALSE)=0," ",(VLOOKUP(C14,list!$AA$5:$AS$14,10,FALSE)))</f>
        <v>#N/A</v>
      </c>
      <c r="J141" s="955" t="e">
        <f t="shared" si="47"/>
        <v>#N/A</v>
      </c>
      <c r="K141" s="955" t="e">
        <f t="shared" si="48"/>
        <v>#N/A</v>
      </c>
      <c r="L141" s="969" t="e">
        <f>IF(I141=" "," ",VLOOKUP(J141,list!$J$4:$M$117,4,FALSE))</f>
        <v>#N/A</v>
      </c>
      <c r="M141" s="66"/>
      <c r="N141" s="1297" t="str">
        <f>IF(SUMIFS('Level of Efficiency Assumptions'!$J:$J,'Level of Efficiency Assumptions'!$H:$H,$I141,'Level of Efficiency Assumptions'!$I:$I,N$51)=0," ",SUMIFS('Level of Efficiency Assumptions'!$J:$J,'Level of Efficiency Assumptions'!$H:$H,$I141,'Level of Efficiency Assumptions'!$I:$I,N$51))</f>
        <v xml:space="preserve"> </v>
      </c>
      <c r="O141" s="1298" t="str">
        <f>IF(SUMIFS('Level of Efficiency Assumptions'!$J:$J,'Level of Efficiency Assumptions'!$H:$H,$I141,'Level of Efficiency Assumptions'!$I:$I,O$51)=0," ",SUMIFS('Level of Efficiency Assumptions'!$J:$J,'Level of Efficiency Assumptions'!$H:$H,$I141,'Level of Efficiency Assumptions'!$I:$I,O$51))</f>
        <v xml:space="preserve"> </v>
      </c>
      <c r="P141" s="1299" t="str">
        <f>IF(SUMIFS('Level of Efficiency Assumptions'!$J:$J,'Level of Efficiency Assumptions'!$H:$H,$I141,'Level of Efficiency Assumptions'!$I:$I,P$51)=0," ",SUMIFS('Level of Efficiency Assumptions'!$J:$J,'Level of Efficiency Assumptions'!$H:$H,$I141,'Level of Efficiency Assumptions'!$I:$I,P$51))</f>
        <v xml:space="preserve"> </v>
      </c>
      <c r="Q141" s="971" t="e">
        <f>IF(I141=" "," ",(VLOOKUP(I141,list!$B$81:$C$111,2,FALSE)))</f>
        <v>#N/A</v>
      </c>
      <c r="R141" s="243">
        <f t="shared" si="46"/>
        <v>0</v>
      </c>
      <c r="S141" s="64">
        <v>1</v>
      </c>
      <c r="T141" s="68">
        <v>0</v>
      </c>
      <c r="U141" s="244">
        <f t="shared" si="49"/>
        <v>1</v>
      </c>
    </row>
    <row r="142" spans="2:24" ht="15" thickBot="1" x14ac:dyDescent="0.35">
      <c r="C142" s="520"/>
      <c r="D142" s="224" t="str">
        <f t="shared" si="50"/>
        <v xml:space="preserve">  </v>
      </c>
      <c r="E142" s="224"/>
      <c r="F142" s="224" t="str">
        <f t="shared" si="51"/>
        <v xml:space="preserve">  </v>
      </c>
      <c r="G142" s="224"/>
      <c r="H142" s="380"/>
      <c r="I142" s="516" t="e">
        <f>IF(VLOOKUP(C14,list!$AA$5:$AS$14,11,FALSE)=0," ",(VLOOKUP(C14,list!$AA$5:$AS$14,11,FALSE)))</f>
        <v>#N/A</v>
      </c>
      <c r="J142" s="955" t="e">
        <f t="shared" si="47"/>
        <v>#N/A</v>
      </c>
      <c r="K142" s="955" t="e">
        <f t="shared" si="48"/>
        <v>#N/A</v>
      </c>
      <c r="L142" s="969" t="e">
        <f>IF(I142=" "," ",VLOOKUP(J142,list!$J$4:$M$117,4,FALSE))</f>
        <v>#N/A</v>
      </c>
      <c r="M142" s="66"/>
      <c r="N142" s="1297" t="str">
        <f>IF(SUMIFS('Level of Efficiency Assumptions'!$J:$J,'Level of Efficiency Assumptions'!$H:$H,$I142,'Level of Efficiency Assumptions'!$I:$I,N$51)=0," ",SUMIFS('Level of Efficiency Assumptions'!$J:$J,'Level of Efficiency Assumptions'!$H:$H,$I142,'Level of Efficiency Assumptions'!$I:$I,N$51))</f>
        <v xml:space="preserve"> </v>
      </c>
      <c r="O142" s="1298" t="str">
        <f>IF(SUMIFS('Level of Efficiency Assumptions'!$J:$J,'Level of Efficiency Assumptions'!$H:$H,$I142,'Level of Efficiency Assumptions'!$I:$I,O$51)=0," ",SUMIFS('Level of Efficiency Assumptions'!$J:$J,'Level of Efficiency Assumptions'!$H:$H,$I142,'Level of Efficiency Assumptions'!$I:$I,O$51))</f>
        <v xml:space="preserve"> </v>
      </c>
      <c r="P142" s="1299" t="str">
        <f>IF(SUMIFS('Level of Efficiency Assumptions'!$J:$J,'Level of Efficiency Assumptions'!$H:$H,$I142,'Level of Efficiency Assumptions'!$I:$I,P$51)=0," ",SUMIFS('Level of Efficiency Assumptions'!$J:$J,'Level of Efficiency Assumptions'!$H:$H,$I142,'Level of Efficiency Assumptions'!$I:$I,P$51))</f>
        <v xml:space="preserve"> </v>
      </c>
      <c r="Q142" s="971" t="e">
        <f>IF(I142=" "," ",(VLOOKUP(I142,list!$B$81:$C$111,2,FALSE)))</f>
        <v>#N/A</v>
      </c>
      <c r="R142" s="243">
        <f t="shared" si="46"/>
        <v>0</v>
      </c>
      <c r="S142" s="64">
        <v>1</v>
      </c>
      <c r="T142" s="68">
        <v>0</v>
      </c>
      <c r="U142" s="244">
        <f t="shared" si="49"/>
        <v>1</v>
      </c>
    </row>
    <row r="143" spans="2:24" ht="15" thickBot="1" x14ac:dyDescent="0.35">
      <c r="C143" s="520"/>
      <c r="D143" s="224" t="str">
        <f t="shared" si="50"/>
        <v xml:space="preserve">  </v>
      </c>
      <c r="E143" s="224"/>
      <c r="F143" s="224" t="str">
        <f t="shared" si="51"/>
        <v xml:space="preserve">  </v>
      </c>
      <c r="G143" s="224"/>
      <c r="H143" s="380"/>
      <c r="I143" s="516" t="e">
        <f>IF(VLOOKUP(C14,list!$AA$5:$AS$14,12,FALSE)=0," ",(VLOOKUP(C14,list!$AA$5:$AS$14,12,FALSE)))</f>
        <v>#N/A</v>
      </c>
      <c r="J143" s="955" t="e">
        <f t="shared" si="47"/>
        <v>#N/A</v>
      </c>
      <c r="K143" s="955" t="e">
        <f t="shared" si="48"/>
        <v>#N/A</v>
      </c>
      <c r="L143" s="969" t="e">
        <f>IF(I143=" "," ",VLOOKUP(J143,list!$J$4:$M$117,4,FALSE))</f>
        <v>#N/A</v>
      </c>
      <c r="M143" s="66"/>
      <c r="N143" s="1297" t="str">
        <f>IF(SUMIFS('Level of Efficiency Assumptions'!$J:$J,'Level of Efficiency Assumptions'!$H:$H,$I143,'Level of Efficiency Assumptions'!$I:$I,N$51)=0," ",SUMIFS('Level of Efficiency Assumptions'!$J:$J,'Level of Efficiency Assumptions'!$H:$H,$I143,'Level of Efficiency Assumptions'!$I:$I,N$51))</f>
        <v xml:space="preserve"> </v>
      </c>
      <c r="O143" s="1298" t="str">
        <f>IF(SUMIFS('Level of Efficiency Assumptions'!$J:$J,'Level of Efficiency Assumptions'!$H:$H,$I143,'Level of Efficiency Assumptions'!$I:$I,O$51)=0," ",SUMIFS('Level of Efficiency Assumptions'!$J:$J,'Level of Efficiency Assumptions'!$H:$H,$I143,'Level of Efficiency Assumptions'!$I:$I,O$51))</f>
        <v xml:space="preserve"> </v>
      </c>
      <c r="P143" s="1299" t="str">
        <f>IF(SUMIFS('Level of Efficiency Assumptions'!$J:$J,'Level of Efficiency Assumptions'!$H:$H,$I143,'Level of Efficiency Assumptions'!$I:$I,P$51)=0," ",SUMIFS('Level of Efficiency Assumptions'!$J:$J,'Level of Efficiency Assumptions'!$H:$H,$I143,'Level of Efficiency Assumptions'!$I:$I,P$51))</f>
        <v xml:space="preserve"> </v>
      </c>
      <c r="Q143" s="971" t="e">
        <f>IF(I143=" "," ",(VLOOKUP(I143,list!$B$81:$C$111,2,FALSE)))</f>
        <v>#N/A</v>
      </c>
      <c r="R143" s="243">
        <f t="shared" si="46"/>
        <v>0</v>
      </c>
      <c r="S143" s="64">
        <v>1</v>
      </c>
      <c r="T143" s="68">
        <v>0</v>
      </c>
      <c r="U143" s="244">
        <f t="shared" si="49"/>
        <v>1</v>
      </c>
    </row>
    <row r="144" spans="2:24" ht="15" thickBot="1" x14ac:dyDescent="0.35">
      <c r="C144" s="520"/>
      <c r="D144" s="224" t="str">
        <f t="shared" si="50"/>
        <v xml:space="preserve">  </v>
      </c>
      <c r="E144" s="224"/>
      <c r="F144" s="224" t="str">
        <f t="shared" si="51"/>
        <v xml:space="preserve">  </v>
      </c>
      <c r="G144" s="224"/>
      <c r="H144" s="380"/>
      <c r="I144" s="516" t="e">
        <f>IF(VLOOKUP(C14,list!$AA$5:$AS$14,13,FALSE)=0," ",(VLOOKUP(C14,list!$AA$5:$AS$14,13,FALSE)))</f>
        <v>#N/A</v>
      </c>
      <c r="J144" s="955" t="e">
        <f t="shared" si="47"/>
        <v>#N/A</v>
      </c>
      <c r="K144" s="955" t="e">
        <f t="shared" si="48"/>
        <v>#N/A</v>
      </c>
      <c r="L144" s="969" t="e">
        <f>IF(I144=" "," ",VLOOKUP(J144,list!$J$4:$M$117,4,FALSE))</f>
        <v>#N/A</v>
      </c>
      <c r="M144" s="66"/>
      <c r="N144" s="1297" t="str">
        <f>IF(SUMIFS('Level of Efficiency Assumptions'!$J:$J,'Level of Efficiency Assumptions'!$H:$H,$I144,'Level of Efficiency Assumptions'!$I:$I,N$51)=0," ",SUMIFS('Level of Efficiency Assumptions'!$J:$J,'Level of Efficiency Assumptions'!$H:$H,$I144,'Level of Efficiency Assumptions'!$I:$I,N$51))</f>
        <v xml:space="preserve"> </v>
      </c>
      <c r="O144" s="1298" t="str">
        <f>IF(SUMIFS('Level of Efficiency Assumptions'!$J:$J,'Level of Efficiency Assumptions'!$H:$H,$I144,'Level of Efficiency Assumptions'!$I:$I,O$51)=0," ",SUMIFS('Level of Efficiency Assumptions'!$J:$J,'Level of Efficiency Assumptions'!$H:$H,$I144,'Level of Efficiency Assumptions'!$I:$I,O$51))</f>
        <v xml:space="preserve"> </v>
      </c>
      <c r="P144" s="1299" t="str">
        <f>IF(SUMIFS('Level of Efficiency Assumptions'!$J:$J,'Level of Efficiency Assumptions'!$H:$H,$I144,'Level of Efficiency Assumptions'!$I:$I,P$51)=0," ",SUMIFS('Level of Efficiency Assumptions'!$J:$J,'Level of Efficiency Assumptions'!$H:$H,$I144,'Level of Efficiency Assumptions'!$I:$I,P$51))</f>
        <v xml:space="preserve"> </v>
      </c>
      <c r="Q144" s="971" t="e">
        <f>IF(I144=" "," ",(VLOOKUP(I144,list!$B$81:$C$111,2,FALSE)))</f>
        <v>#N/A</v>
      </c>
      <c r="R144" s="243">
        <f t="shared" si="46"/>
        <v>0</v>
      </c>
      <c r="S144" s="64">
        <v>1</v>
      </c>
      <c r="T144" s="68">
        <v>0</v>
      </c>
      <c r="U144" s="244">
        <f t="shared" si="49"/>
        <v>1</v>
      </c>
    </row>
    <row r="145" spans="2:24" ht="15" thickBot="1" x14ac:dyDescent="0.35">
      <c r="C145" s="520"/>
      <c r="D145" s="224" t="str">
        <f t="shared" si="50"/>
        <v xml:space="preserve">  </v>
      </c>
      <c r="E145" s="224"/>
      <c r="F145" s="224" t="str">
        <f t="shared" si="51"/>
        <v xml:space="preserve">  </v>
      </c>
      <c r="G145" s="224"/>
      <c r="H145" s="380"/>
      <c r="I145" s="516" t="e">
        <f>IF(VLOOKUP(C14,list!$AA$5:$AS$14,14,FALSE)=0," ",(VLOOKUP(C14,list!$AA$5:$AS$14,14,FALSE)))</f>
        <v>#N/A</v>
      </c>
      <c r="J145" s="955" t="e">
        <f t="shared" si="47"/>
        <v>#N/A</v>
      </c>
      <c r="K145" s="955" t="e">
        <f t="shared" si="48"/>
        <v>#N/A</v>
      </c>
      <c r="L145" s="969" t="e">
        <f>IF(I145=" "," ",VLOOKUP(J145,list!$J$4:$M$117,4,FALSE))</f>
        <v>#N/A</v>
      </c>
      <c r="M145" s="66"/>
      <c r="N145" s="1297" t="str">
        <f>IF(SUMIFS('Level of Efficiency Assumptions'!$J:$J,'Level of Efficiency Assumptions'!$H:$H,$I145,'Level of Efficiency Assumptions'!$I:$I,N$51)=0," ",SUMIFS('Level of Efficiency Assumptions'!$J:$J,'Level of Efficiency Assumptions'!$H:$H,$I145,'Level of Efficiency Assumptions'!$I:$I,N$51))</f>
        <v xml:space="preserve"> </v>
      </c>
      <c r="O145" s="1298" t="str">
        <f>IF(SUMIFS('Level of Efficiency Assumptions'!$J:$J,'Level of Efficiency Assumptions'!$H:$H,$I145,'Level of Efficiency Assumptions'!$I:$I,O$51)=0," ",SUMIFS('Level of Efficiency Assumptions'!$J:$J,'Level of Efficiency Assumptions'!$H:$H,$I145,'Level of Efficiency Assumptions'!$I:$I,O$51))</f>
        <v xml:space="preserve"> </v>
      </c>
      <c r="P145" s="1299" t="str">
        <f>IF(SUMIFS('Level of Efficiency Assumptions'!$J:$J,'Level of Efficiency Assumptions'!$H:$H,$I145,'Level of Efficiency Assumptions'!$I:$I,P$51)=0," ",SUMIFS('Level of Efficiency Assumptions'!$J:$J,'Level of Efficiency Assumptions'!$H:$H,$I145,'Level of Efficiency Assumptions'!$I:$I,P$51))</f>
        <v xml:space="preserve"> </v>
      </c>
      <c r="Q145" s="971" t="e">
        <f>IF(I145=" "," ",(VLOOKUP(I145,list!$B$81:$C$111,2,FALSE)))</f>
        <v>#N/A</v>
      </c>
      <c r="R145" s="243">
        <f t="shared" si="46"/>
        <v>0</v>
      </c>
      <c r="S145" s="64">
        <v>1</v>
      </c>
      <c r="T145" s="68">
        <v>0</v>
      </c>
      <c r="U145" s="244">
        <f t="shared" si="49"/>
        <v>1</v>
      </c>
    </row>
    <row r="146" spans="2:24" ht="15" thickBot="1" x14ac:dyDescent="0.35">
      <c r="C146" s="520"/>
      <c r="D146" s="224" t="str">
        <f t="shared" si="50"/>
        <v xml:space="preserve">  </v>
      </c>
      <c r="E146" s="224"/>
      <c r="F146" s="224" t="str">
        <f t="shared" si="51"/>
        <v xml:space="preserve">  </v>
      </c>
      <c r="G146" s="224"/>
      <c r="H146" s="380"/>
      <c r="I146" s="516" t="e">
        <f>IF(VLOOKUP(C14,list!$AA$5:$AS$14,15,FALSE)=0," ",(VLOOKUP(C14,list!$AA$5:$AS$14,15,FALSE)))</f>
        <v>#N/A</v>
      </c>
      <c r="J146" s="955" t="e">
        <f t="shared" si="47"/>
        <v>#N/A</v>
      </c>
      <c r="K146" s="955" t="e">
        <f t="shared" si="48"/>
        <v>#N/A</v>
      </c>
      <c r="L146" s="969" t="e">
        <f>IF(I146=" "," ",VLOOKUP(J146,list!$J$4:$M$117,4,FALSE))</f>
        <v>#N/A</v>
      </c>
      <c r="M146" s="66"/>
      <c r="N146" s="1297" t="str">
        <f>IF(SUMIFS('Level of Efficiency Assumptions'!$J:$J,'Level of Efficiency Assumptions'!$H:$H,$I146,'Level of Efficiency Assumptions'!$I:$I,N$51)=0," ",SUMIFS('Level of Efficiency Assumptions'!$J:$J,'Level of Efficiency Assumptions'!$H:$H,$I146,'Level of Efficiency Assumptions'!$I:$I,N$51))</f>
        <v xml:space="preserve"> </v>
      </c>
      <c r="O146" s="1298" t="str">
        <f>IF(SUMIFS('Level of Efficiency Assumptions'!$J:$J,'Level of Efficiency Assumptions'!$H:$H,$I146,'Level of Efficiency Assumptions'!$I:$I,O$51)=0," ",SUMIFS('Level of Efficiency Assumptions'!$J:$J,'Level of Efficiency Assumptions'!$H:$H,$I146,'Level of Efficiency Assumptions'!$I:$I,O$51))</f>
        <v xml:space="preserve"> </v>
      </c>
      <c r="P146" s="1299" t="str">
        <f>IF(SUMIFS('Level of Efficiency Assumptions'!$J:$J,'Level of Efficiency Assumptions'!$H:$H,$I146,'Level of Efficiency Assumptions'!$I:$I,P$51)=0," ",SUMIFS('Level of Efficiency Assumptions'!$J:$J,'Level of Efficiency Assumptions'!$H:$H,$I146,'Level of Efficiency Assumptions'!$I:$I,P$51))</f>
        <v xml:space="preserve"> </v>
      </c>
      <c r="Q146" s="971" t="e">
        <f>IF(I146=" "," ",(VLOOKUP(I146,list!$B$81:$C$111,2,FALSE)))</f>
        <v>#N/A</v>
      </c>
      <c r="R146" s="243">
        <f t="shared" si="46"/>
        <v>0</v>
      </c>
      <c r="S146" s="64">
        <v>1</v>
      </c>
      <c r="T146" s="68">
        <v>0</v>
      </c>
      <c r="U146" s="244">
        <f t="shared" si="49"/>
        <v>1</v>
      </c>
    </row>
    <row r="147" spans="2:24" ht="15" thickBot="1" x14ac:dyDescent="0.35">
      <c r="C147" s="520"/>
      <c r="D147" s="224" t="str">
        <f t="shared" si="50"/>
        <v xml:space="preserve">  </v>
      </c>
      <c r="E147" s="224"/>
      <c r="F147" s="224" t="str">
        <f t="shared" si="51"/>
        <v xml:space="preserve">  </v>
      </c>
      <c r="G147" s="224"/>
      <c r="H147" s="380"/>
      <c r="I147" s="516" t="e">
        <f>IF(VLOOKUP(C14,list!$AA$5:$AS$14,16,FALSE)=0," ",(VLOOKUP(C14,list!$AA$5:$AS$14,16,FALSE)))</f>
        <v>#N/A</v>
      </c>
      <c r="J147" s="955" t="e">
        <f t="shared" si="47"/>
        <v>#N/A</v>
      </c>
      <c r="K147" s="955" t="e">
        <f t="shared" si="48"/>
        <v>#N/A</v>
      </c>
      <c r="L147" s="969" t="e">
        <f>IF(I147=" "," ",VLOOKUP(J147,list!$J$4:$M$117,4,FALSE))</f>
        <v>#N/A</v>
      </c>
      <c r="M147" s="66"/>
      <c r="N147" s="1297" t="str">
        <f>IF(SUMIFS('Level of Efficiency Assumptions'!$J:$J,'Level of Efficiency Assumptions'!$H:$H,$I147,'Level of Efficiency Assumptions'!$I:$I,N$51)=0," ",SUMIFS('Level of Efficiency Assumptions'!$J:$J,'Level of Efficiency Assumptions'!$H:$H,$I147,'Level of Efficiency Assumptions'!$I:$I,N$51))</f>
        <v xml:space="preserve"> </v>
      </c>
      <c r="O147" s="1298" t="str">
        <f>IF(SUMIFS('Level of Efficiency Assumptions'!$J:$J,'Level of Efficiency Assumptions'!$H:$H,$I147,'Level of Efficiency Assumptions'!$I:$I,O$51)=0," ",SUMIFS('Level of Efficiency Assumptions'!$J:$J,'Level of Efficiency Assumptions'!$H:$H,$I147,'Level of Efficiency Assumptions'!$I:$I,O$51))</f>
        <v xml:space="preserve"> </v>
      </c>
      <c r="P147" s="1299" t="str">
        <f>IF(SUMIFS('Level of Efficiency Assumptions'!$J:$J,'Level of Efficiency Assumptions'!$H:$H,$I147,'Level of Efficiency Assumptions'!$I:$I,P$51)=0," ",SUMIFS('Level of Efficiency Assumptions'!$J:$J,'Level of Efficiency Assumptions'!$H:$H,$I147,'Level of Efficiency Assumptions'!$I:$I,P$51))</f>
        <v xml:space="preserve"> </v>
      </c>
      <c r="Q147" s="971" t="e">
        <f>IF(I147=" "," ",(VLOOKUP(I147,list!$B$81:$C$111,2,FALSE)))</f>
        <v>#N/A</v>
      </c>
      <c r="R147" s="243">
        <f t="shared" si="46"/>
        <v>0</v>
      </c>
      <c r="S147" s="64">
        <v>1</v>
      </c>
      <c r="T147" s="68">
        <v>0</v>
      </c>
      <c r="U147" s="244">
        <f t="shared" si="49"/>
        <v>1</v>
      </c>
    </row>
    <row r="148" spans="2:24" ht="15" thickBot="1" x14ac:dyDescent="0.35">
      <c r="C148" s="520"/>
      <c r="D148" s="224" t="str">
        <f t="shared" si="50"/>
        <v xml:space="preserve">  </v>
      </c>
      <c r="E148" s="224"/>
      <c r="F148" s="224" t="str">
        <f t="shared" si="51"/>
        <v xml:space="preserve">  </v>
      </c>
      <c r="G148" s="224"/>
      <c r="H148" s="380"/>
      <c r="I148" s="516" t="e">
        <f>IF(VLOOKUP(C14,list!$AA$5:$AS$14,17,FALSE)=0," ",(VLOOKUP(C14,list!$AA$5:$AS$14,17,FALSE)))</f>
        <v>#N/A</v>
      </c>
      <c r="J148" s="955" t="e">
        <f t="shared" si="47"/>
        <v>#N/A</v>
      </c>
      <c r="K148" s="955" t="e">
        <f t="shared" si="48"/>
        <v>#N/A</v>
      </c>
      <c r="L148" s="969" t="e">
        <f>IF(I148=" "," ",VLOOKUP(J148,list!$J$4:$M$117,4,FALSE))</f>
        <v>#N/A</v>
      </c>
      <c r="M148" s="66"/>
      <c r="N148" s="1297" t="str">
        <f>IF(SUMIFS('Level of Efficiency Assumptions'!$J:$J,'Level of Efficiency Assumptions'!$H:$H,$I148,'Level of Efficiency Assumptions'!$I:$I,N$51)=0," ",SUMIFS('Level of Efficiency Assumptions'!$J:$J,'Level of Efficiency Assumptions'!$H:$H,$I148,'Level of Efficiency Assumptions'!$I:$I,N$51))</f>
        <v xml:space="preserve"> </v>
      </c>
      <c r="O148" s="1298" t="str">
        <f>IF(SUMIFS('Level of Efficiency Assumptions'!$J:$J,'Level of Efficiency Assumptions'!$H:$H,$I148,'Level of Efficiency Assumptions'!$I:$I,O$51)=0," ",SUMIFS('Level of Efficiency Assumptions'!$J:$J,'Level of Efficiency Assumptions'!$H:$H,$I148,'Level of Efficiency Assumptions'!$I:$I,O$51))</f>
        <v xml:space="preserve"> </v>
      </c>
      <c r="P148" s="1299" t="str">
        <f>IF(SUMIFS('Level of Efficiency Assumptions'!$J:$J,'Level of Efficiency Assumptions'!$H:$H,$I148,'Level of Efficiency Assumptions'!$I:$I,P$51)=0," ",SUMIFS('Level of Efficiency Assumptions'!$J:$J,'Level of Efficiency Assumptions'!$H:$H,$I148,'Level of Efficiency Assumptions'!$I:$I,P$51))</f>
        <v xml:space="preserve"> </v>
      </c>
      <c r="Q148" s="971" t="e">
        <f>IF(I148=" "," ",(VLOOKUP(I148,list!$B$81:$C$111,2,FALSE)))</f>
        <v>#N/A</v>
      </c>
      <c r="R148" s="243">
        <f t="shared" si="46"/>
        <v>0</v>
      </c>
      <c r="S148" s="64">
        <v>1</v>
      </c>
      <c r="T148" s="68">
        <v>0</v>
      </c>
      <c r="U148" s="244">
        <f t="shared" si="49"/>
        <v>1</v>
      </c>
    </row>
    <row r="149" spans="2:24" ht="15" thickBot="1" x14ac:dyDescent="0.35">
      <c r="C149" s="520"/>
      <c r="D149" s="224" t="str">
        <f t="shared" si="50"/>
        <v xml:space="preserve">  </v>
      </c>
      <c r="E149" s="224"/>
      <c r="F149" s="224" t="str">
        <f t="shared" si="51"/>
        <v xml:space="preserve">  </v>
      </c>
      <c r="G149" s="224"/>
      <c r="H149" s="380"/>
      <c r="I149" s="516" t="e">
        <f>IF(VLOOKUP(C14,list!$AA$5:$AS$14,18,FALSE)=0," ",(VLOOKUP(C14,list!$AA$5:$AS$14,18,FALSE)))</f>
        <v>#N/A</v>
      </c>
      <c r="J149" s="955" t="e">
        <f t="shared" si="47"/>
        <v>#N/A</v>
      </c>
      <c r="K149" s="955" t="e">
        <f t="shared" si="48"/>
        <v>#N/A</v>
      </c>
      <c r="L149" s="969" t="e">
        <f>IF(I149=" "," ",VLOOKUP(J149,list!$J$4:$M$117,4,FALSE))</f>
        <v>#N/A</v>
      </c>
      <c r="M149" s="66"/>
      <c r="N149" s="1297" t="str">
        <f>IF(SUMIFS('Level of Efficiency Assumptions'!$J:$J,'Level of Efficiency Assumptions'!$H:$H,$I149,'Level of Efficiency Assumptions'!$I:$I,N$51)=0," ",SUMIFS('Level of Efficiency Assumptions'!$J:$J,'Level of Efficiency Assumptions'!$H:$H,$I149,'Level of Efficiency Assumptions'!$I:$I,N$51))</f>
        <v xml:space="preserve"> </v>
      </c>
      <c r="O149" s="1298" t="str">
        <f>IF(SUMIFS('Level of Efficiency Assumptions'!$J:$J,'Level of Efficiency Assumptions'!$H:$H,$I149,'Level of Efficiency Assumptions'!$I:$I,O$51)=0," ",SUMIFS('Level of Efficiency Assumptions'!$J:$J,'Level of Efficiency Assumptions'!$H:$H,$I149,'Level of Efficiency Assumptions'!$I:$I,O$51))</f>
        <v xml:space="preserve"> </v>
      </c>
      <c r="P149" s="1299" t="str">
        <f>IF(SUMIFS('Level of Efficiency Assumptions'!$J:$J,'Level of Efficiency Assumptions'!$H:$H,$I149,'Level of Efficiency Assumptions'!$I:$I,P$51)=0," ",SUMIFS('Level of Efficiency Assumptions'!$J:$J,'Level of Efficiency Assumptions'!$H:$H,$I149,'Level of Efficiency Assumptions'!$I:$I,P$51))</f>
        <v xml:space="preserve"> </v>
      </c>
      <c r="Q149" s="971" t="e">
        <f>IF(I149=" "," ",(VLOOKUP(I149,list!$B$81:$C$111,2,FALSE)))</f>
        <v>#N/A</v>
      </c>
      <c r="R149" s="243">
        <f t="shared" si="46"/>
        <v>0</v>
      </c>
      <c r="S149" s="64">
        <v>1</v>
      </c>
      <c r="T149" s="68">
        <v>0</v>
      </c>
      <c r="U149" s="244">
        <f t="shared" si="49"/>
        <v>1</v>
      </c>
    </row>
    <row r="150" spans="2:24" ht="15" thickBot="1" x14ac:dyDescent="0.35">
      <c r="C150" s="632"/>
      <c r="D150" s="226" t="str">
        <f t="shared" si="50"/>
        <v xml:space="preserve">  </v>
      </c>
      <c r="E150" s="226"/>
      <c r="F150" s="226" t="str">
        <f t="shared" si="51"/>
        <v xml:space="preserve">  </v>
      </c>
      <c r="G150" s="226"/>
      <c r="H150" s="976"/>
      <c r="I150" s="516" t="e">
        <f>IF(VLOOKUP(C14,list!$AA$5:$AS$14,19,FALSE)=0," ",(VLOOKUP(C14,list!$AA$5:$AS$14,19,FALSE)))</f>
        <v>#N/A</v>
      </c>
      <c r="J150" s="955" t="e">
        <f>IF(I150=" "," ",(D150&amp;"-"&amp;I150))</f>
        <v>#N/A</v>
      </c>
      <c r="K150" s="955" t="e">
        <f t="shared" si="48"/>
        <v>#N/A</v>
      </c>
      <c r="L150" s="969" t="e">
        <f>IF(I150=" "," ",VLOOKUP(J150,list!$J$4:$M$117,4,FALSE))</f>
        <v>#N/A</v>
      </c>
      <c r="M150" s="67"/>
      <c r="N150" s="1303" t="str">
        <f>IF(SUMIFS('Level of Efficiency Assumptions'!$J:$J,'Level of Efficiency Assumptions'!$H:$H,$I150,'Level of Efficiency Assumptions'!$I:$I,N$51)=0," ",SUMIFS('Level of Efficiency Assumptions'!$J:$J,'Level of Efficiency Assumptions'!$H:$H,$I150,'Level of Efficiency Assumptions'!$I:$I,N$51))</f>
        <v xml:space="preserve"> </v>
      </c>
      <c r="O150" s="1304" t="str">
        <f>IF(SUMIFS('Level of Efficiency Assumptions'!$J:$J,'Level of Efficiency Assumptions'!$H:$H,$I150,'Level of Efficiency Assumptions'!$I:$I,O$51)=0," ",SUMIFS('Level of Efficiency Assumptions'!$J:$J,'Level of Efficiency Assumptions'!$H:$H,$I150,'Level of Efficiency Assumptions'!$I:$I,O$51))</f>
        <v xml:space="preserve"> </v>
      </c>
      <c r="P150" s="1305" t="str">
        <f>IF(SUMIFS('Level of Efficiency Assumptions'!$J:$J,'Level of Efficiency Assumptions'!$H:$H,$I150,'Level of Efficiency Assumptions'!$I:$I,P$51)=0," ",SUMIFS('Level of Efficiency Assumptions'!$J:$J,'Level of Efficiency Assumptions'!$H:$H,$I150,'Level of Efficiency Assumptions'!$I:$I,P$51))</f>
        <v xml:space="preserve"> </v>
      </c>
      <c r="Q150" s="977" t="e">
        <f>IF(I150=" "," ",(VLOOKUP(I150,list!$B$81:$C$111,2,FALSE)))</f>
        <v>#N/A</v>
      </c>
      <c r="R150" s="245">
        <f t="shared" si="46"/>
        <v>0</v>
      </c>
      <c r="S150" s="65">
        <v>1</v>
      </c>
      <c r="T150" s="69">
        <v>0</v>
      </c>
      <c r="U150" s="246">
        <f t="shared" si="49"/>
        <v>1</v>
      </c>
    </row>
    <row r="151" spans="2:24" x14ac:dyDescent="0.3">
      <c r="D151" s="846"/>
      <c r="F151" s="82"/>
      <c r="J151" s="846"/>
      <c r="K151" s="846"/>
      <c r="N151" s="1179"/>
      <c r="O151" s="1179"/>
      <c r="P151" s="1179"/>
      <c r="R151" s="176" t="s">
        <v>295</v>
      </c>
      <c r="S151" s="176"/>
      <c r="T151" s="176"/>
      <c r="U151" s="176"/>
    </row>
    <row r="152" spans="2:24" ht="15" thickBot="1" x14ac:dyDescent="0.35">
      <c r="D152" s="846"/>
      <c r="F152" s="82"/>
      <c r="J152" s="846"/>
      <c r="K152" s="846"/>
      <c r="N152" s="1179"/>
      <c r="O152" s="1179"/>
      <c r="P152" s="1179"/>
    </row>
    <row r="153" spans="2:24" ht="15" thickBot="1" x14ac:dyDescent="0.35">
      <c r="B153" s="814">
        <v>6</v>
      </c>
      <c r="C153" s="967" t="str">
        <f t="shared" ref="C153:H153" si="52">C15</f>
        <v xml:space="preserve">  </v>
      </c>
      <c r="D153" s="967" t="str">
        <f t="shared" si="52"/>
        <v xml:space="preserve">  </v>
      </c>
      <c r="E153" s="967" t="str">
        <f t="shared" si="52"/>
        <v xml:space="preserve">  </v>
      </c>
      <c r="F153" s="967" t="str">
        <f t="shared" si="52"/>
        <v xml:space="preserve">  </v>
      </c>
      <c r="G153" s="967">
        <f t="shared" si="52"/>
        <v>0</v>
      </c>
      <c r="H153" s="968">
        <f t="shared" si="52"/>
        <v>0</v>
      </c>
      <c r="I153" s="516" t="e">
        <f>IF(VLOOKUP(C15,list!$AA$5:$AS$14,2,FALSE)=0," ",(VLOOKUP(C15,list!$AA$5:$AS$14,2,FALSE)))</f>
        <v>#N/A</v>
      </c>
      <c r="J153" s="955" t="e">
        <f>IF(I153=" "," ",(D15&amp;"-"&amp;I153))</f>
        <v>#N/A</v>
      </c>
      <c r="K153" s="955" t="e">
        <f>IF(I153=" "," ",(F15&amp;"-"&amp;I153))</f>
        <v>#N/A</v>
      </c>
      <c r="L153" s="969" t="e">
        <f>IF(I153=" "," ",VLOOKUP(J153,list!$J$4:$M$117,4,FALSE))</f>
        <v>#N/A</v>
      </c>
      <c r="M153" s="70"/>
      <c r="N153" s="1300" t="str">
        <f>IF(SUMIFS('Level of Efficiency Assumptions'!$J:$J,'Level of Efficiency Assumptions'!$H:$H,$I153,'Level of Efficiency Assumptions'!$I:$I,N$51)=0," ",SUMIFS('Level of Efficiency Assumptions'!$J:$J,'Level of Efficiency Assumptions'!$H:$H,$I153,'Level of Efficiency Assumptions'!$I:$I,N$51))</f>
        <v xml:space="preserve"> </v>
      </c>
      <c r="O153" s="1301" t="str">
        <f>IF(SUMIFS('Level of Efficiency Assumptions'!$J:$J,'Level of Efficiency Assumptions'!$H:$H,$I153,'Level of Efficiency Assumptions'!$I:$I,O$51)=0," ",SUMIFS('Level of Efficiency Assumptions'!$J:$J,'Level of Efficiency Assumptions'!$H:$H,$I153,'Level of Efficiency Assumptions'!$I:$I,O$51))</f>
        <v xml:space="preserve"> </v>
      </c>
      <c r="P153" s="1302" t="str">
        <f>IF(SUMIFS('Level of Efficiency Assumptions'!$J:$J,'Level of Efficiency Assumptions'!$H:$H,$I153,'Level of Efficiency Assumptions'!$I:$I,P$51)=0," ",SUMIFS('Level of Efficiency Assumptions'!$J:$J,'Level of Efficiency Assumptions'!$H:$H,$I153,'Level of Efficiency Assumptions'!$I:$I,P$51))</f>
        <v xml:space="preserve"> </v>
      </c>
      <c r="Q153" s="970" t="e">
        <f>IF(I153=" "," ",(VLOOKUP(I153,list!$B$81:$C$111,2,FALSE)))</f>
        <v>#N/A</v>
      </c>
      <c r="R153" s="241">
        <f t="shared" ref="R153:R170" si="53">1-S153-T153</f>
        <v>0</v>
      </c>
      <c r="S153" s="83">
        <v>1</v>
      </c>
      <c r="T153" s="84">
        <v>0</v>
      </c>
      <c r="U153" s="242">
        <f>SUM(R153:T153)</f>
        <v>1</v>
      </c>
      <c r="W153" s="250" t="s">
        <v>367</v>
      </c>
      <c r="X153" s="251" t="s">
        <v>366</v>
      </c>
    </row>
    <row r="154" spans="2:24" ht="15" thickBot="1" x14ac:dyDescent="0.35">
      <c r="C154" s="520"/>
      <c r="D154" s="224" t="str">
        <f>D15</f>
        <v xml:space="preserve">  </v>
      </c>
      <c r="E154" s="224"/>
      <c r="F154" s="224" t="str">
        <f>F15</f>
        <v xml:space="preserve">  </v>
      </c>
      <c r="G154" s="224"/>
      <c r="H154" s="380"/>
      <c r="I154" s="516" t="e">
        <f>IF(VLOOKUP(C15,list!$AA$5:$AS$14,3,FALSE)=0," ",(VLOOKUP(C15,list!$AA$5:$AS$14,3,FALSE)))</f>
        <v>#N/A</v>
      </c>
      <c r="J154" s="955" t="e">
        <f t="shared" ref="J154:J169" si="54">IF(I154=" "," ",(D154&amp;"-"&amp;I154))</f>
        <v>#N/A</v>
      </c>
      <c r="K154" s="955" t="e">
        <f t="shared" ref="K154:K170" si="55">IF(I154=" "," ",(F154&amp;"-"&amp;I154))</f>
        <v>#N/A</v>
      </c>
      <c r="L154" s="969" t="e">
        <f>IF(I154=" "," ",VLOOKUP(J154,list!$J$4:$M$117,4,FALSE))</f>
        <v>#N/A</v>
      </c>
      <c r="M154" s="66"/>
      <c r="N154" s="1297" t="str">
        <f>IF(SUMIFS('Level of Efficiency Assumptions'!$J:$J,'Level of Efficiency Assumptions'!$H:$H,$I154,'Level of Efficiency Assumptions'!$I:$I,N$51)=0," ",SUMIFS('Level of Efficiency Assumptions'!$J:$J,'Level of Efficiency Assumptions'!$H:$H,$I154,'Level of Efficiency Assumptions'!$I:$I,N$51))</f>
        <v xml:space="preserve"> </v>
      </c>
      <c r="O154" s="1298" t="str">
        <f>IF(SUMIFS('Level of Efficiency Assumptions'!$J:$J,'Level of Efficiency Assumptions'!$H:$H,$I154,'Level of Efficiency Assumptions'!$I:$I,O$51)=0," ",SUMIFS('Level of Efficiency Assumptions'!$J:$J,'Level of Efficiency Assumptions'!$H:$H,$I154,'Level of Efficiency Assumptions'!$I:$I,O$51))</f>
        <v xml:space="preserve"> </v>
      </c>
      <c r="P154" s="1299" t="str">
        <f>IF(SUMIFS('Level of Efficiency Assumptions'!$J:$J,'Level of Efficiency Assumptions'!$H:$H,$I154,'Level of Efficiency Assumptions'!$I:$I,P$51)=0," ",SUMIFS('Level of Efficiency Assumptions'!$J:$J,'Level of Efficiency Assumptions'!$H:$H,$I154,'Level of Efficiency Assumptions'!$I:$I,P$51))</f>
        <v xml:space="preserve"> </v>
      </c>
      <c r="Q154" s="971" t="e">
        <f>IF(I154=" "," ",(VLOOKUP(I154,list!$B$81:$C$111,2,FALSE)))</f>
        <v>#N/A</v>
      </c>
      <c r="R154" s="243">
        <f t="shared" si="53"/>
        <v>0</v>
      </c>
      <c r="S154" s="64">
        <v>1</v>
      </c>
      <c r="T154" s="68">
        <v>0</v>
      </c>
      <c r="U154" s="244">
        <f t="shared" ref="U154:U170" si="56">SUM(R154:T154)</f>
        <v>1</v>
      </c>
      <c r="V154" s="82" t="e">
        <f>F154&amp;"-"&amp;W154</f>
        <v>#N/A</v>
      </c>
      <c r="W154" s="247" t="e">
        <f>HLOOKUP(D154,list!$O$34:$X$38,2,FALSE)</f>
        <v>#N/A</v>
      </c>
      <c r="X154" s="972">
        <v>1</v>
      </c>
    </row>
    <row r="155" spans="2:24" ht="15" thickBot="1" x14ac:dyDescent="0.35">
      <c r="C155" s="520"/>
      <c r="D155" s="224" t="str">
        <f>D154</f>
        <v xml:space="preserve">  </v>
      </c>
      <c r="E155" s="224"/>
      <c r="F155" s="224" t="str">
        <f>F154</f>
        <v xml:space="preserve">  </v>
      </c>
      <c r="G155" s="224"/>
      <c r="H155" s="380"/>
      <c r="I155" s="516" t="e">
        <f>IF(VLOOKUP(C15,list!$AA$5:$AS$14,4,FALSE)=0," ",(VLOOKUP(C15,list!$AA$5:$AS$14,4,FALSE)))</f>
        <v>#N/A</v>
      </c>
      <c r="J155" s="955" t="e">
        <f t="shared" si="54"/>
        <v>#N/A</v>
      </c>
      <c r="K155" s="955" t="e">
        <f t="shared" si="55"/>
        <v>#N/A</v>
      </c>
      <c r="L155" s="969" t="e">
        <f>IF(I155=" "," ",VLOOKUP(J155,list!$J$4:$M$117,4,FALSE))</f>
        <v>#N/A</v>
      </c>
      <c r="M155" s="66"/>
      <c r="N155" s="1297" t="str">
        <f>IF(SUMIFS('Level of Efficiency Assumptions'!$J:$J,'Level of Efficiency Assumptions'!$H:$H,$I155,'Level of Efficiency Assumptions'!$I:$I,N$51)=0," ",SUMIFS('Level of Efficiency Assumptions'!$J:$J,'Level of Efficiency Assumptions'!$H:$H,$I155,'Level of Efficiency Assumptions'!$I:$I,N$51))</f>
        <v xml:space="preserve"> </v>
      </c>
      <c r="O155" s="1298" t="str">
        <f>IF(SUMIFS('Level of Efficiency Assumptions'!$J:$J,'Level of Efficiency Assumptions'!$H:$H,$I155,'Level of Efficiency Assumptions'!$I:$I,O$51)=0," ",SUMIFS('Level of Efficiency Assumptions'!$J:$J,'Level of Efficiency Assumptions'!$H:$H,$I155,'Level of Efficiency Assumptions'!$I:$I,O$51))</f>
        <v xml:space="preserve"> </v>
      </c>
      <c r="P155" s="1299" t="str">
        <f>IF(SUMIFS('Level of Efficiency Assumptions'!$J:$J,'Level of Efficiency Assumptions'!$H:$H,$I155,'Level of Efficiency Assumptions'!$I:$I,P$51)=0," ",SUMIFS('Level of Efficiency Assumptions'!$J:$J,'Level of Efficiency Assumptions'!$H:$H,$I155,'Level of Efficiency Assumptions'!$I:$I,P$51))</f>
        <v xml:space="preserve"> </v>
      </c>
      <c r="Q155" s="971" t="e">
        <f>IF(I155=" "," ",(VLOOKUP(I155,list!$B$81:$C$111,2,FALSE)))</f>
        <v>#N/A</v>
      </c>
      <c r="R155" s="243">
        <f t="shared" si="53"/>
        <v>0</v>
      </c>
      <c r="S155" s="64">
        <v>1</v>
      </c>
      <c r="T155" s="68">
        <v>0</v>
      </c>
      <c r="U155" s="244">
        <f t="shared" si="56"/>
        <v>1</v>
      </c>
      <c r="V155" s="82" t="e">
        <f>F155&amp;"-"&amp;W155</f>
        <v>#N/A</v>
      </c>
      <c r="W155" s="248" t="e">
        <f>HLOOKUP(D155,list!$O$34:$X$38,3,FALSE)</f>
        <v>#N/A</v>
      </c>
      <c r="X155" s="973">
        <v>0.5</v>
      </c>
    </row>
    <row r="156" spans="2:24" ht="15" thickBot="1" x14ac:dyDescent="0.35">
      <c r="C156" s="520"/>
      <c r="D156" s="224" t="str">
        <f t="shared" ref="D156:D170" si="57">D155</f>
        <v xml:space="preserve">  </v>
      </c>
      <c r="E156" s="224"/>
      <c r="F156" s="224" t="str">
        <f t="shared" ref="F156:F170" si="58">F155</f>
        <v xml:space="preserve">  </v>
      </c>
      <c r="G156" s="224"/>
      <c r="H156" s="380"/>
      <c r="I156" s="516" t="e">
        <f>IF(VLOOKUP(C15,list!$AA$5:$AS$14,5,FALSE)=0," ",(VLOOKUP(C15,list!$AA$5:$AS$14,5,FALSE)))</f>
        <v>#N/A</v>
      </c>
      <c r="J156" s="955" t="e">
        <f t="shared" si="54"/>
        <v>#N/A</v>
      </c>
      <c r="K156" s="955" t="e">
        <f t="shared" si="55"/>
        <v>#N/A</v>
      </c>
      <c r="L156" s="969" t="e">
        <f>IF(I156=" "," ",VLOOKUP(J156,list!$J$4:$M$117,4,FALSE))</f>
        <v>#N/A</v>
      </c>
      <c r="M156" s="66"/>
      <c r="N156" s="1297" t="str">
        <f>IF(SUMIFS('Level of Efficiency Assumptions'!$J:$J,'Level of Efficiency Assumptions'!$H:$H,$I156,'Level of Efficiency Assumptions'!$I:$I,N$51)=0," ",SUMIFS('Level of Efficiency Assumptions'!$J:$J,'Level of Efficiency Assumptions'!$H:$H,$I156,'Level of Efficiency Assumptions'!$I:$I,N$51))</f>
        <v xml:space="preserve"> </v>
      </c>
      <c r="O156" s="1298" t="str">
        <f>IF(SUMIFS('Level of Efficiency Assumptions'!$J:$J,'Level of Efficiency Assumptions'!$H:$H,$I156,'Level of Efficiency Assumptions'!$I:$I,O$51)=0," ",SUMIFS('Level of Efficiency Assumptions'!$J:$J,'Level of Efficiency Assumptions'!$H:$H,$I156,'Level of Efficiency Assumptions'!$I:$I,O$51))</f>
        <v xml:space="preserve"> </v>
      </c>
      <c r="P156" s="1299" t="str">
        <f>IF(SUMIFS('Level of Efficiency Assumptions'!$J:$J,'Level of Efficiency Assumptions'!$H:$H,$I156,'Level of Efficiency Assumptions'!$I:$I,P$51)=0," ",SUMIFS('Level of Efficiency Assumptions'!$J:$J,'Level of Efficiency Assumptions'!$H:$H,$I156,'Level of Efficiency Assumptions'!$I:$I,P$51))</f>
        <v xml:space="preserve"> </v>
      </c>
      <c r="Q156" s="971" t="e">
        <f>IF(I156=" "," ",(VLOOKUP(I156,list!$B$81:$C$111,2,FALSE)))</f>
        <v>#N/A</v>
      </c>
      <c r="R156" s="243">
        <f t="shared" si="53"/>
        <v>0</v>
      </c>
      <c r="S156" s="64">
        <v>1</v>
      </c>
      <c r="T156" s="68">
        <v>0</v>
      </c>
      <c r="U156" s="244">
        <f t="shared" si="56"/>
        <v>1</v>
      </c>
      <c r="V156" s="82" t="e">
        <f>F156&amp;"-"&amp;W156</f>
        <v>#N/A</v>
      </c>
      <c r="W156" s="248" t="e">
        <f>HLOOKUP(D156,list!$O$34:$X$38,4,FALSE)</f>
        <v>#N/A</v>
      </c>
      <c r="X156" s="973">
        <v>0.5</v>
      </c>
    </row>
    <row r="157" spans="2:24" ht="15" thickBot="1" x14ac:dyDescent="0.35">
      <c r="C157" s="520"/>
      <c r="D157" s="224" t="str">
        <f t="shared" si="57"/>
        <v xml:space="preserve">  </v>
      </c>
      <c r="E157" s="224"/>
      <c r="F157" s="224" t="str">
        <f t="shared" si="58"/>
        <v xml:space="preserve">  </v>
      </c>
      <c r="G157" s="224"/>
      <c r="H157" s="380"/>
      <c r="I157" s="516" t="e">
        <f>IF(VLOOKUP(C15,list!$AA$5:$AS$14,6,FALSE)=0," ",(VLOOKUP(C15,list!$AA$5:$AS$14,6,FALSE)))</f>
        <v>#N/A</v>
      </c>
      <c r="J157" s="955" t="e">
        <f t="shared" si="54"/>
        <v>#N/A</v>
      </c>
      <c r="K157" s="955" t="e">
        <f t="shared" si="55"/>
        <v>#N/A</v>
      </c>
      <c r="L157" s="969" t="e">
        <f>IF(I157=" "," ",VLOOKUP(J157,list!$J$4:$M$117,4,FALSE))</f>
        <v>#N/A</v>
      </c>
      <c r="M157" s="66"/>
      <c r="N157" s="1297" t="str">
        <f>IF(SUMIFS('Level of Efficiency Assumptions'!$J:$J,'Level of Efficiency Assumptions'!$H:$H,$I157,'Level of Efficiency Assumptions'!$I:$I,N$51)=0," ",SUMIFS('Level of Efficiency Assumptions'!$J:$J,'Level of Efficiency Assumptions'!$H:$H,$I157,'Level of Efficiency Assumptions'!$I:$I,N$51))</f>
        <v xml:space="preserve"> </v>
      </c>
      <c r="O157" s="1298" t="str">
        <f>IF(SUMIFS('Level of Efficiency Assumptions'!$J:$J,'Level of Efficiency Assumptions'!$H:$H,$I157,'Level of Efficiency Assumptions'!$I:$I,O$51)=0," ",SUMIFS('Level of Efficiency Assumptions'!$J:$J,'Level of Efficiency Assumptions'!$H:$H,$I157,'Level of Efficiency Assumptions'!$I:$I,O$51))</f>
        <v xml:space="preserve"> </v>
      </c>
      <c r="P157" s="1299" t="str">
        <f>IF(SUMIFS('Level of Efficiency Assumptions'!$J:$J,'Level of Efficiency Assumptions'!$H:$H,$I157,'Level of Efficiency Assumptions'!$I:$I,P$51)=0," ",SUMIFS('Level of Efficiency Assumptions'!$J:$J,'Level of Efficiency Assumptions'!$H:$H,$I157,'Level of Efficiency Assumptions'!$I:$I,P$51))</f>
        <v xml:space="preserve"> </v>
      </c>
      <c r="Q157" s="971" t="e">
        <f>IF(I157=" "," ",(VLOOKUP(I157,list!$B$81:$C$111,2,FALSE)))</f>
        <v>#N/A</v>
      </c>
      <c r="R157" s="243">
        <f t="shared" si="53"/>
        <v>0</v>
      </c>
      <c r="S157" s="64">
        <v>1</v>
      </c>
      <c r="T157" s="68">
        <v>0</v>
      </c>
      <c r="U157" s="244">
        <f t="shared" si="56"/>
        <v>1</v>
      </c>
      <c r="V157" s="82" t="e">
        <f>F157&amp;"-"&amp;W157</f>
        <v>#N/A</v>
      </c>
      <c r="W157" s="249" t="e">
        <f>HLOOKUP(D157,list!$O$34:$X$38,5,FALSE)</f>
        <v>#N/A</v>
      </c>
      <c r="X157" s="974">
        <v>0.5</v>
      </c>
    </row>
    <row r="158" spans="2:24" ht="15" thickBot="1" x14ac:dyDescent="0.35">
      <c r="C158" s="520"/>
      <c r="D158" s="224" t="str">
        <f t="shared" si="57"/>
        <v xml:space="preserve">  </v>
      </c>
      <c r="E158" s="224"/>
      <c r="F158" s="224" t="str">
        <f t="shared" si="58"/>
        <v xml:space="preserve">  </v>
      </c>
      <c r="G158" s="224"/>
      <c r="H158" s="380"/>
      <c r="I158" s="516" t="e">
        <f>IF(VLOOKUP(C15,list!$AA$5:$AS$14,7,FALSE)=0," ",(VLOOKUP(C15,list!$AA$5:$AS$14,7,FALSE)))</f>
        <v>#N/A</v>
      </c>
      <c r="J158" s="955" t="e">
        <f t="shared" si="54"/>
        <v>#N/A</v>
      </c>
      <c r="K158" s="955" t="e">
        <f t="shared" si="55"/>
        <v>#N/A</v>
      </c>
      <c r="L158" s="969" t="e">
        <f>IF(I158=" "," ",VLOOKUP(J158,list!$J$4:$M$117,4,FALSE))</f>
        <v>#N/A</v>
      </c>
      <c r="M158" s="66"/>
      <c r="N158" s="1297" t="str">
        <f>IF(SUMIFS('Level of Efficiency Assumptions'!$J:$J,'Level of Efficiency Assumptions'!$H:$H,$I158,'Level of Efficiency Assumptions'!$I:$I,N$51)=0," ",SUMIFS('Level of Efficiency Assumptions'!$J:$J,'Level of Efficiency Assumptions'!$H:$H,$I158,'Level of Efficiency Assumptions'!$I:$I,N$51))</f>
        <v xml:space="preserve"> </v>
      </c>
      <c r="O158" s="1298" t="str">
        <f>IF(SUMIFS('Level of Efficiency Assumptions'!$J:$J,'Level of Efficiency Assumptions'!$H:$H,$I158,'Level of Efficiency Assumptions'!$I:$I,O$51)=0," ",SUMIFS('Level of Efficiency Assumptions'!$J:$J,'Level of Efficiency Assumptions'!$H:$H,$I158,'Level of Efficiency Assumptions'!$I:$I,O$51))</f>
        <v xml:space="preserve"> </v>
      </c>
      <c r="P158" s="1299" t="str">
        <f>IF(SUMIFS('Level of Efficiency Assumptions'!$J:$J,'Level of Efficiency Assumptions'!$H:$H,$I158,'Level of Efficiency Assumptions'!$I:$I,P$51)=0," ",SUMIFS('Level of Efficiency Assumptions'!$J:$J,'Level of Efficiency Assumptions'!$H:$H,$I158,'Level of Efficiency Assumptions'!$I:$I,P$51))</f>
        <v xml:space="preserve"> </v>
      </c>
      <c r="Q158" s="971" t="e">
        <f>IF(I158=" "," ",(VLOOKUP(I158,list!$B$81:$C$111,2,FALSE)))</f>
        <v>#N/A</v>
      </c>
      <c r="R158" s="243">
        <f t="shared" si="53"/>
        <v>0</v>
      </c>
      <c r="S158" s="64">
        <v>1</v>
      </c>
      <c r="T158" s="68">
        <v>0</v>
      </c>
      <c r="U158" s="244">
        <f t="shared" si="56"/>
        <v>1</v>
      </c>
      <c r="W158" s="182"/>
      <c r="X158" s="975"/>
    </row>
    <row r="159" spans="2:24" ht="15" thickBot="1" x14ac:dyDescent="0.35">
      <c r="C159" s="520"/>
      <c r="D159" s="224" t="str">
        <f t="shared" si="57"/>
        <v xml:space="preserve">  </v>
      </c>
      <c r="E159" s="224"/>
      <c r="F159" s="224" t="str">
        <f t="shared" si="58"/>
        <v xml:space="preserve">  </v>
      </c>
      <c r="G159" s="224"/>
      <c r="H159" s="380"/>
      <c r="I159" s="516" t="e">
        <f>IF(VLOOKUP(C15,list!$AA$5:$AS$14,8,FALSE)=0," ",(VLOOKUP(C15,list!$AA$5:$AS$14,8,FALSE)))</f>
        <v>#N/A</v>
      </c>
      <c r="J159" s="955" t="e">
        <f t="shared" si="54"/>
        <v>#N/A</v>
      </c>
      <c r="K159" s="955" t="e">
        <f t="shared" si="55"/>
        <v>#N/A</v>
      </c>
      <c r="L159" s="969" t="e">
        <f>IF(I159=" "," ",VLOOKUP(J159,list!$J$4:$M$117,4,FALSE))</f>
        <v>#N/A</v>
      </c>
      <c r="M159" s="66"/>
      <c r="N159" s="1297" t="str">
        <f>IF(SUMIFS('Level of Efficiency Assumptions'!$J:$J,'Level of Efficiency Assumptions'!$H:$H,$I159,'Level of Efficiency Assumptions'!$I:$I,N$51)=0," ",SUMIFS('Level of Efficiency Assumptions'!$J:$J,'Level of Efficiency Assumptions'!$H:$H,$I159,'Level of Efficiency Assumptions'!$I:$I,N$51))</f>
        <v xml:space="preserve"> </v>
      </c>
      <c r="O159" s="1298" t="str">
        <f>IF(SUMIFS('Level of Efficiency Assumptions'!$J:$J,'Level of Efficiency Assumptions'!$H:$H,$I159,'Level of Efficiency Assumptions'!$I:$I,O$51)=0," ",SUMIFS('Level of Efficiency Assumptions'!$J:$J,'Level of Efficiency Assumptions'!$H:$H,$I159,'Level of Efficiency Assumptions'!$I:$I,O$51))</f>
        <v xml:space="preserve"> </v>
      </c>
      <c r="P159" s="1299" t="str">
        <f>IF(SUMIFS('Level of Efficiency Assumptions'!$J:$J,'Level of Efficiency Assumptions'!$H:$H,$I159,'Level of Efficiency Assumptions'!$I:$I,P$51)=0," ",SUMIFS('Level of Efficiency Assumptions'!$J:$J,'Level of Efficiency Assumptions'!$H:$H,$I159,'Level of Efficiency Assumptions'!$I:$I,P$51))</f>
        <v xml:space="preserve"> </v>
      </c>
      <c r="Q159" s="971" t="e">
        <f>IF(I159=" "," ",(VLOOKUP(I159,list!$B$81:$C$111,2,FALSE)))</f>
        <v>#N/A</v>
      </c>
      <c r="R159" s="243">
        <f t="shared" si="53"/>
        <v>0</v>
      </c>
      <c r="S159" s="64">
        <v>1</v>
      </c>
      <c r="T159" s="68">
        <v>0</v>
      </c>
      <c r="U159" s="244">
        <f t="shared" si="56"/>
        <v>1</v>
      </c>
      <c r="W159" s="182"/>
      <c r="X159" s="975"/>
    </row>
    <row r="160" spans="2:24" ht="15" thickBot="1" x14ac:dyDescent="0.35">
      <c r="C160" s="520"/>
      <c r="D160" s="224" t="str">
        <f t="shared" si="57"/>
        <v xml:space="preserve">  </v>
      </c>
      <c r="E160" s="224"/>
      <c r="F160" s="224" t="str">
        <f t="shared" si="58"/>
        <v xml:space="preserve">  </v>
      </c>
      <c r="G160" s="224"/>
      <c r="H160" s="380"/>
      <c r="I160" s="516" t="e">
        <f>IF(VLOOKUP(C15,list!$AA$5:$AS$14,9,FALSE)=0," ",(VLOOKUP(C15,list!$AA$5:$AS$14,9,FALSE)))</f>
        <v>#N/A</v>
      </c>
      <c r="J160" s="955" t="e">
        <f t="shared" si="54"/>
        <v>#N/A</v>
      </c>
      <c r="K160" s="955" t="e">
        <f t="shared" si="55"/>
        <v>#N/A</v>
      </c>
      <c r="L160" s="969" t="e">
        <f>IF(I160=" "," ",VLOOKUP(J160,list!$J$4:$M$117,4,FALSE))</f>
        <v>#N/A</v>
      </c>
      <c r="M160" s="66"/>
      <c r="N160" s="1297" t="str">
        <f>IF(SUMIFS('Level of Efficiency Assumptions'!$J:$J,'Level of Efficiency Assumptions'!$H:$H,$I160,'Level of Efficiency Assumptions'!$I:$I,N$51)=0," ",SUMIFS('Level of Efficiency Assumptions'!$J:$J,'Level of Efficiency Assumptions'!$H:$H,$I160,'Level of Efficiency Assumptions'!$I:$I,N$51))</f>
        <v xml:space="preserve"> </v>
      </c>
      <c r="O160" s="1298" t="str">
        <f>IF(SUMIFS('Level of Efficiency Assumptions'!$J:$J,'Level of Efficiency Assumptions'!$H:$H,$I160,'Level of Efficiency Assumptions'!$I:$I,O$51)=0," ",SUMIFS('Level of Efficiency Assumptions'!$J:$J,'Level of Efficiency Assumptions'!$H:$H,$I160,'Level of Efficiency Assumptions'!$I:$I,O$51))</f>
        <v xml:space="preserve"> </v>
      </c>
      <c r="P160" s="1299" t="str">
        <f>IF(SUMIFS('Level of Efficiency Assumptions'!$J:$J,'Level of Efficiency Assumptions'!$H:$H,$I160,'Level of Efficiency Assumptions'!$I:$I,P$51)=0," ",SUMIFS('Level of Efficiency Assumptions'!$J:$J,'Level of Efficiency Assumptions'!$H:$H,$I160,'Level of Efficiency Assumptions'!$I:$I,P$51))</f>
        <v xml:space="preserve"> </v>
      </c>
      <c r="Q160" s="971" t="e">
        <f>IF(I160=" "," ",(VLOOKUP(I160,list!$B$81:$C$111,2,FALSE)))</f>
        <v>#N/A</v>
      </c>
      <c r="R160" s="243">
        <f t="shared" si="53"/>
        <v>0</v>
      </c>
      <c r="S160" s="64">
        <v>1</v>
      </c>
      <c r="T160" s="68">
        <v>0</v>
      </c>
      <c r="U160" s="244">
        <f t="shared" si="56"/>
        <v>1</v>
      </c>
    </row>
    <row r="161" spans="2:24" ht="15" thickBot="1" x14ac:dyDescent="0.35">
      <c r="C161" s="520"/>
      <c r="D161" s="224" t="str">
        <f t="shared" si="57"/>
        <v xml:space="preserve">  </v>
      </c>
      <c r="E161" s="224"/>
      <c r="F161" s="224" t="str">
        <f t="shared" si="58"/>
        <v xml:space="preserve">  </v>
      </c>
      <c r="G161" s="224"/>
      <c r="H161" s="380"/>
      <c r="I161" s="516" t="e">
        <f>IF(VLOOKUP(C15,list!$AA$5:$AS$14,10,FALSE)=0," ",(VLOOKUP(C15,list!$AA$5:$AS$14,10,FALSE)))</f>
        <v>#N/A</v>
      </c>
      <c r="J161" s="955" t="e">
        <f t="shared" si="54"/>
        <v>#N/A</v>
      </c>
      <c r="K161" s="955" t="e">
        <f t="shared" si="55"/>
        <v>#N/A</v>
      </c>
      <c r="L161" s="969" t="e">
        <f>IF(I161=" "," ",VLOOKUP(J161,list!$J$4:$M$117,4,FALSE))</f>
        <v>#N/A</v>
      </c>
      <c r="M161" s="66"/>
      <c r="N161" s="1297" t="str">
        <f>IF(SUMIFS('Level of Efficiency Assumptions'!$J:$J,'Level of Efficiency Assumptions'!$H:$H,$I161,'Level of Efficiency Assumptions'!$I:$I,N$51)=0," ",SUMIFS('Level of Efficiency Assumptions'!$J:$J,'Level of Efficiency Assumptions'!$H:$H,$I161,'Level of Efficiency Assumptions'!$I:$I,N$51))</f>
        <v xml:space="preserve"> </v>
      </c>
      <c r="O161" s="1298" t="str">
        <f>IF(SUMIFS('Level of Efficiency Assumptions'!$J:$J,'Level of Efficiency Assumptions'!$H:$H,$I161,'Level of Efficiency Assumptions'!$I:$I,O$51)=0," ",SUMIFS('Level of Efficiency Assumptions'!$J:$J,'Level of Efficiency Assumptions'!$H:$H,$I161,'Level of Efficiency Assumptions'!$I:$I,O$51))</f>
        <v xml:space="preserve"> </v>
      </c>
      <c r="P161" s="1299" t="str">
        <f>IF(SUMIFS('Level of Efficiency Assumptions'!$J:$J,'Level of Efficiency Assumptions'!$H:$H,$I161,'Level of Efficiency Assumptions'!$I:$I,P$51)=0," ",SUMIFS('Level of Efficiency Assumptions'!$J:$J,'Level of Efficiency Assumptions'!$H:$H,$I161,'Level of Efficiency Assumptions'!$I:$I,P$51))</f>
        <v xml:space="preserve"> </v>
      </c>
      <c r="Q161" s="971" t="e">
        <f>IF(I161=" "," ",(VLOOKUP(I161,list!$B$81:$C$111,2,FALSE)))</f>
        <v>#N/A</v>
      </c>
      <c r="R161" s="243">
        <f t="shared" si="53"/>
        <v>0</v>
      </c>
      <c r="S161" s="64">
        <v>1</v>
      </c>
      <c r="T161" s="68">
        <v>0</v>
      </c>
      <c r="U161" s="244">
        <f t="shared" si="56"/>
        <v>1</v>
      </c>
    </row>
    <row r="162" spans="2:24" ht="15" thickBot="1" x14ac:dyDescent="0.35">
      <c r="C162" s="520"/>
      <c r="D162" s="224" t="str">
        <f t="shared" si="57"/>
        <v xml:space="preserve">  </v>
      </c>
      <c r="E162" s="224"/>
      <c r="F162" s="224" t="str">
        <f t="shared" si="58"/>
        <v xml:space="preserve">  </v>
      </c>
      <c r="G162" s="224"/>
      <c r="H162" s="380"/>
      <c r="I162" s="516" t="e">
        <f>IF(VLOOKUP(C15,list!$AA$5:$AS$14,11,FALSE)=0," ",(VLOOKUP(C15,list!$AA$5:$AS$14,11,FALSE)))</f>
        <v>#N/A</v>
      </c>
      <c r="J162" s="955" t="e">
        <f t="shared" si="54"/>
        <v>#N/A</v>
      </c>
      <c r="K162" s="955" t="e">
        <f t="shared" si="55"/>
        <v>#N/A</v>
      </c>
      <c r="L162" s="969" t="e">
        <f>IF(I162=" "," ",VLOOKUP(J162,list!$J$4:$M$117,4,FALSE))</f>
        <v>#N/A</v>
      </c>
      <c r="M162" s="66"/>
      <c r="N162" s="1297" t="str">
        <f>IF(SUMIFS('Level of Efficiency Assumptions'!$J:$J,'Level of Efficiency Assumptions'!$H:$H,$I162,'Level of Efficiency Assumptions'!$I:$I,N$51)=0," ",SUMIFS('Level of Efficiency Assumptions'!$J:$J,'Level of Efficiency Assumptions'!$H:$H,$I162,'Level of Efficiency Assumptions'!$I:$I,N$51))</f>
        <v xml:space="preserve"> </v>
      </c>
      <c r="O162" s="1298" t="str">
        <f>IF(SUMIFS('Level of Efficiency Assumptions'!$J:$J,'Level of Efficiency Assumptions'!$H:$H,$I162,'Level of Efficiency Assumptions'!$I:$I,O$51)=0," ",SUMIFS('Level of Efficiency Assumptions'!$J:$J,'Level of Efficiency Assumptions'!$H:$H,$I162,'Level of Efficiency Assumptions'!$I:$I,O$51))</f>
        <v xml:space="preserve"> </v>
      </c>
      <c r="P162" s="1299" t="str">
        <f>IF(SUMIFS('Level of Efficiency Assumptions'!$J:$J,'Level of Efficiency Assumptions'!$H:$H,$I162,'Level of Efficiency Assumptions'!$I:$I,P$51)=0," ",SUMIFS('Level of Efficiency Assumptions'!$J:$J,'Level of Efficiency Assumptions'!$H:$H,$I162,'Level of Efficiency Assumptions'!$I:$I,P$51))</f>
        <v xml:space="preserve"> </v>
      </c>
      <c r="Q162" s="971" t="e">
        <f>IF(I162=" "," ",(VLOOKUP(I162,list!$B$81:$C$111,2,FALSE)))</f>
        <v>#N/A</v>
      </c>
      <c r="R162" s="243">
        <f t="shared" si="53"/>
        <v>0</v>
      </c>
      <c r="S162" s="64">
        <v>1</v>
      </c>
      <c r="T162" s="68">
        <v>0</v>
      </c>
      <c r="U162" s="244">
        <f t="shared" si="56"/>
        <v>1</v>
      </c>
    </row>
    <row r="163" spans="2:24" ht="15" thickBot="1" x14ac:dyDescent="0.35">
      <c r="C163" s="520"/>
      <c r="D163" s="224" t="str">
        <f t="shared" si="57"/>
        <v xml:space="preserve">  </v>
      </c>
      <c r="E163" s="224"/>
      <c r="F163" s="224" t="str">
        <f t="shared" si="58"/>
        <v xml:space="preserve">  </v>
      </c>
      <c r="G163" s="224"/>
      <c r="H163" s="380"/>
      <c r="I163" s="516" t="e">
        <f>IF(VLOOKUP(C15,list!$AA$5:$AS$14,12,FALSE)=0," ",(VLOOKUP(C15,list!$AA$5:$AS$14,12,FALSE)))</f>
        <v>#N/A</v>
      </c>
      <c r="J163" s="955" t="e">
        <f t="shared" si="54"/>
        <v>#N/A</v>
      </c>
      <c r="K163" s="955" t="e">
        <f t="shared" si="55"/>
        <v>#N/A</v>
      </c>
      <c r="L163" s="969" t="e">
        <f>IF(I163=" "," ",VLOOKUP(J163,list!$J$4:$M$117,4,FALSE))</f>
        <v>#N/A</v>
      </c>
      <c r="M163" s="66"/>
      <c r="N163" s="1297" t="str">
        <f>IF(SUMIFS('Level of Efficiency Assumptions'!$J:$J,'Level of Efficiency Assumptions'!$H:$H,$I163,'Level of Efficiency Assumptions'!$I:$I,N$51)=0," ",SUMIFS('Level of Efficiency Assumptions'!$J:$J,'Level of Efficiency Assumptions'!$H:$H,$I163,'Level of Efficiency Assumptions'!$I:$I,N$51))</f>
        <v xml:space="preserve"> </v>
      </c>
      <c r="O163" s="1298" t="str">
        <f>IF(SUMIFS('Level of Efficiency Assumptions'!$J:$J,'Level of Efficiency Assumptions'!$H:$H,$I163,'Level of Efficiency Assumptions'!$I:$I,O$51)=0," ",SUMIFS('Level of Efficiency Assumptions'!$J:$J,'Level of Efficiency Assumptions'!$H:$H,$I163,'Level of Efficiency Assumptions'!$I:$I,O$51))</f>
        <v xml:space="preserve"> </v>
      </c>
      <c r="P163" s="1299" t="str">
        <f>IF(SUMIFS('Level of Efficiency Assumptions'!$J:$J,'Level of Efficiency Assumptions'!$H:$H,$I163,'Level of Efficiency Assumptions'!$I:$I,P$51)=0," ",SUMIFS('Level of Efficiency Assumptions'!$J:$J,'Level of Efficiency Assumptions'!$H:$H,$I163,'Level of Efficiency Assumptions'!$I:$I,P$51))</f>
        <v xml:space="preserve"> </v>
      </c>
      <c r="Q163" s="971" t="e">
        <f>IF(I163=" "," ",(VLOOKUP(I163,list!$B$81:$C$111,2,FALSE)))</f>
        <v>#N/A</v>
      </c>
      <c r="R163" s="243">
        <f t="shared" si="53"/>
        <v>0</v>
      </c>
      <c r="S163" s="64">
        <v>1</v>
      </c>
      <c r="T163" s="68">
        <v>0</v>
      </c>
      <c r="U163" s="244">
        <f t="shared" si="56"/>
        <v>1</v>
      </c>
    </row>
    <row r="164" spans="2:24" ht="15" thickBot="1" x14ac:dyDescent="0.35">
      <c r="C164" s="520"/>
      <c r="D164" s="224" t="str">
        <f t="shared" si="57"/>
        <v xml:space="preserve">  </v>
      </c>
      <c r="E164" s="224"/>
      <c r="F164" s="224" t="str">
        <f t="shared" si="58"/>
        <v xml:space="preserve">  </v>
      </c>
      <c r="G164" s="224"/>
      <c r="H164" s="380"/>
      <c r="I164" s="516" t="e">
        <f>IF(VLOOKUP(C15,list!$AA$5:$AS$14,13,FALSE)=0," ",(VLOOKUP(C15,list!$AA$5:$AS$14,13,FALSE)))</f>
        <v>#N/A</v>
      </c>
      <c r="J164" s="955" t="e">
        <f t="shared" si="54"/>
        <v>#N/A</v>
      </c>
      <c r="K164" s="955" t="e">
        <f t="shared" si="55"/>
        <v>#N/A</v>
      </c>
      <c r="L164" s="969" t="e">
        <f>IF(I164=" "," ",VLOOKUP(J164,list!$J$4:$M$117,4,FALSE))</f>
        <v>#N/A</v>
      </c>
      <c r="M164" s="66"/>
      <c r="N164" s="1297" t="str">
        <f>IF(SUMIFS('Level of Efficiency Assumptions'!$J:$J,'Level of Efficiency Assumptions'!$H:$H,$I164,'Level of Efficiency Assumptions'!$I:$I,N$51)=0," ",SUMIFS('Level of Efficiency Assumptions'!$J:$J,'Level of Efficiency Assumptions'!$H:$H,$I164,'Level of Efficiency Assumptions'!$I:$I,N$51))</f>
        <v xml:space="preserve"> </v>
      </c>
      <c r="O164" s="1298" t="str">
        <f>IF(SUMIFS('Level of Efficiency Assumptions'!$J:$J,'Level of Efficiency Assumptions'!$H:$H,$I164,'Level of Efficiency Assumptions'!$I:$I,O$51)=0," ",SUMIFS('Level of Efficiency Assumptions'!$J:$J,'Level of Efficiency Assumptions'!$H:$H,$I164,'Level of Efficiency Assumptions'!$I:$I,O$51))</f>
        <v xml:space="preserve"> </v>
      </c>
      <c r="P164" s="1299" t="str">
        <f>IF(SUMIFS('Level of Efficiency Assumptions'!$J:$J,'Level of Efficiency Assumptions'!$H:$H,$I164,'Level of Efficiency Assumptions'!$I:$I,P$51)=0," ",SUMIFS('Level of Efficiency Assumptions'!$J:$J,'Level of Efficiency Assumptions'!$H:$H,$I164,'Level of Efficiency Assumptions'!$I:$I,P$51))</f>
        <v xml:space="preserve"> </v>
      </c>
      <c r="Q164" s="971" t="e">
        <f>IF(I164=" "," ",(VLOOKUP(I164,list!$B$81:$C$111,2,FALSE)))</f>
        <v>#N/A</v>
      </c>
      <c r="R164" s="243">
        <f t="shared" si="53"/>
        <v>0</v>
      </c>
      <c r="S164" s="64">
        <v>1</v>
      </c>
      <c r="T164" s="68">
        <v>0</v>
      </c>
      <c r="U164" s="244">
        <f t="shared" si="56"/>
        <v>1</v>
      </c>
    </row>
    <row r="165" spans="2:24" ht="15" thickBot="1" x14ac:dyDescent="0.35">
      <c r="C165" s="520"/>
      <c r="D165" s="224" t="str">
        <f t="shared" si="57"/>
        <v xml:space="preserve">  </v>
      </c>
      <c r="E165" s="224"/>
      <c r="F165" s="224" t="str">
        <f t="shared" si="58"/>
        <v xml:space="preserve">  </v>
      </c>
      <c r="G165" s="224"/>
      <c r="H165" s="380"/>
      <c r="I165" s="516" t="e">
        <f>IF(VLOOKUP(C15,list!$AA$5:$AS$14,14,FALSE)=0," ",(VLOOKUP(C15,list!$AA$5:$AS$14,14,FALSE)))</f>
        <v>#N/A</v>
      </c>
      <c r="J165" s="955" t="e">
        <f t="shared" si="54"/>
        <v>#N/A</v>
      </c>
      <c r="K165" s="955" t="e">
        <f t="shared" si="55"/>
        <v>#N/A</v>
      </c>
      <c r="L165" s="969" t="e">
        <f>IF(I165=" "," ",VLOOKUP(J165,list!$J$4:$M$117,4,FALSE))</f>
        <v>#N/A</v>
      </c>
      <c r="M165" s="66"/>
      <c r="N165" s="1297" t="str">
        <f>IF(SUMIFS('Level of Efficiency Assumptions'!$J:$J,'Level of Efficiency Assumptions'!$H:$H,$I165,'Level of Efficiency Assumptions'!$I:$I,N$51)=0," ",SUMIFS('Level of Efficiency Assumptions'!$J:$J,'Level of Efficiency Assumptions'!$H:$H,$I165,'Level of Efficiency Assumptions'!$I:$I,N$51))</f>
        <v xml:space="preserve"> </v>
      </c>
      <c r="O165" s="1298" t="str">
        <f>IF(SUMIFS('Level of Efficiency Assumptions'!$J:$J,'Level of Efficiency Assumptions'!$H:$H,$I165,'Level of Efficiency Assumptions'!$I:$I,O$51)=0," ",SUMIFS('Level of Efficiency Assumptions'!$J:$J,'Level of Efficiency Assumptions'!$H:$H,$I165,'Level of Efficiency Assumptions'!$I:$I,O$51))</f>
        <v xml:space="preserve"> </v>
      </c>
      <c r="P165" s="1299" t="str">
        <f>IF(SUMIFS('Level of Efficiency Assumptions'!$J:$J,'Level of Efficiency Assumptions'!$H:$H,$I165,'Level of Efficiency Assumptions'!$I:$I,P$51)=0," ",SUMIFS('Level of Efficiency Assumptions'!$J:$J,'Level of Efficiency Assumptions'!$H:$H,$I165,'Level of Efficiency Assumptions'!$I:$I,P$51))</f>
        <v xml:space="preserve"> </v>
      </c>
      <c r="Q165" s="971" t="e">
        <f>IF(I165=" "," ",(VLOOKUP(I165,list!$B$81:$C$111,2,FALSE)))</f>
        <v>#N/A</v>
      </c>
      <c r="R165" s="243">
        <f t="shared" si="53"/>
        <v>0</v>
      </c>
      <c r="S165" s="64">
        <v>1</v>
      </c>
      <c r="T165" s="68">
        <v>0</v>
      </c>
      <c r="U165" s="244">
        <f t="shared" si="56"/>
        <v>1</v>
      </c>
    </row>
    <row r="166" spans="2:24" ht="15" thickBot="1" x14ac:dyDescent="0.35">
      <c r="C166" s="520"/>
      <c r="D166" s="224" t="str">
        <f t="shared" si="57"/>
        <v xml:space="preserve">  </v>
      </c>
      <c r="E166" s="224"/>
      <c r="F166" s="224" t="str">
        <f t="shared" si="58"/>
        <v xml:space="preserve">  </v>
      </c>
      <c r="G166" s="224"/>
      <c r="H166" s="380"/>
      <c r="I166" s="516" t="e">
        <f>IF(VLOOKUP(C15,list!$AA$5:$AS$14,15,FALSE)=0," ",(VLOOKUP(C15,list!$AA$5:$AS$14,15,FALSE)))</f>
        <v>#N/A</v>
      </c>
      <c r="J166" s="955" t="e">
        <f t="shared" si="54"/>
        <v>#N/A</v>
      </c>
      <c r="K166" s="955" t="e">
        <f t="shared" si="55"/>
        <v>#N/A</v>
      </c>
      <c r="L166" s="969" t="e">
        <f>IF(I166=" "," ",VLOOKUP(J166,list!$J$4:$M$117,4,FALSE))</f>
        <v>#N/A</v>
      </c>
      <c r="M166" s="66"/>
      <c r="N166" s="1297" t="str">
        <f>IF(SUMIFS('Level of Efficiency Assumptions'!$J:$J,'Level of Efficiency Assumptions'!$H:$H,$I166,'Level of Efficiency Assumptions'!$I:$I,N$51)=0," ",SUMIFS('Level of Efficiency Assumptions'!$J:$J,'Level of Efficiency Assumptions'!$H:$H,$I166,'Level of Efficiency Assumptions'!$I:$I,N$51))</f>
        <v xml:space="preserve"> </v>
      </c>
      <c r="O166" s="1298" t="str">
        <f>IF(SUMIFS('Level of Efficiency Assumptions'!$J:$J,'Level of Efficiency Assumptions'!$H:$H,$I166,'Level of Efficiency Assumptions'!$I:$I,O$51)=0," ",SUMIFS('Level of Efficiency Assumptions'!$J:$J,'Level of Efficiency Assumptions'!$H:$H,$I166,'Level of Efficiency Assumptions'!$I:$I,O$51))</f>
        <v xml:space="preserve"> </v>
      </c>
      <c r="P166" s="1299" t="str">
        <f>IF(SUMIFS('Level of Efficiency Assumptions'!$J:$J,'Level of Efficiency Assumptions'!$H:$H,$I166,'Level of Efficiency Assumptions'!$I:$I,P$51)=0," ",SUMIFS('Level of Efficiency Assumptions'!$J:$J,'Level of Efficiency Assumptions'!$H:$H,$I166,'Level of Efficiency Assumptions'!$I:$I,P$51))</f>
        <v xml:space="preserve"> </v>
      </c>
      <c r="Q166" s="971" t="e">
        <f>IF(I166=" "," ",(VLOOKUP(I166,list!$B$81:$C$111,2,FALSE)))</f>
        <v>#N/A</v>
      </c>
      <c r="R166" s="243">
        <f t="shared" si="53"/>
        <v>0</v>
      </c>
      <c r="S166" s="64">
        <v>1</v>
      </c>
      <c r="T166" s="68">
        <v>0</v>
      </c>
      <c r="U166" s="244">
        <f t="shared" si="56"/>
        <v>1</v>
      </c>
    </row>
    <row r="167" spans="2:24" ht="15" thickBot="1" x14ac:dyDescent="0.35">
      <c r="C167" s="520"/>
      <c r="D167" s="224" t="str">
        <f t="shared" si="57"/>
        <v xml:space="preserve">  </v>
      </c>
      <c r="E167" s="224"/>
      <c r="F167" s="224" t="str">
        <f t="shared" si="58"/>
        <v xml:space="preserve">  </v>
      </c>
      <c r="G167" s="224"/>
      <c r="H167" s="380"/>
      <c r="I167" s="516" t="e">
        <f>IF(VLOOKUP(C15,list!$AA$5:$AS$14,16,FALSE)=0," ",(VLOOKUP(C15,list!$AA$5:$AS$14,16,FALSE)))</f>
        <v>#N/A</v>
      </c>
      <c r="J167" s="955" t="e">
        <f t="shared" si="54"/>
        <v>#N/A</v>
      </c>
      <c r="K167" s="955" t="e">
        <f t="shared" si="55"/>
        <v>#N/A</v>
      </c>
      <c r="L167" s="969" t="e">
        <f>IF(I167=" "," ",VLOOKUP(J167,list!$J$4:$M$117,4,FALSE))</f>
        <v>#N/A</v>
      </c>
      <c r="M167" s="66"/>
      <c r="N167" s="1297" t="str">
        <f>IF(SUMIFS('Level of Efficiency Assumptions'!$J:$J,'Level of Efficiency Assumptions'!$H:$H,$I167,'Level of Efficiency Assumptions'!$I:$I,N$51)=0," ",SUMIFS('Level of Efficiency Assumptions'!$J:$J,'Level of Efficiency Assumptions'!$H:$H,$I167,'Level of Efficiency Assumptions'!$I:$I,N$51))</f>
        <v xml:space="preserve"> </v>
      </c>
      <c r="O167" s="1298" t="str">
        <f>IF(SUMIFS('Level of Efficiency Assumptions'!$J:$J,'Level of Efficiency Assumptions'!$H:$H,$I167,'Level of Efficiency Assumptions'!$I:$I,O$51)=0," ",SUMIFS('Level of Efficiency Assumptions'!$J:$J,'Level of Efficiency Assumptions'!$H:$H,$I167,'Level of Efficiency Assumptions'!$I:$I,O$51))</f>
        <v xml:space="preserve"> </v>
      </c>
      <c r="P167" s="1299" t="str">
        <f>IF(SUMIFS('Level of Efficiency Assumptions'!$J:$J,'Level of Efficiency Assumptions'!$H:$H,$I167,'Level of Efficiency Assumptions'!$I:$I,P$51)=0," ",SUMIFS('Level of Efficiency Assumptions'!$J:$J,'Level of Efficiency Assumptions'!$H:$H,$I167,'Level of Efficiency Assumptions'!$I:$I,P$51))</f>
        <v xml:space="preserve"> </v>
      </c>
      <c r="Q167" s="971" t="e">
        <f>IF(I167=" "," ",(VLOOKUP(I167,list!$B$81:$C$111,2,FALSE)))</f>
        <v>#N/A</v>
      </c>
      <c r="R167" s="243">
        <f t="shared" si="53"/>
        <v>0</v>
      </c>
      <c r="S167" s="64">
        <v>1</v>
      </c>
      <c r="T167" s="68">
        <v>0</v>
      </c>
      <c r="U167" s="244">
        <f t="shared" si="56"/>
        <v>1</v>
      </c>
    </row>
    <row r="168" spans="2:24" ht="15" thickBot="1" x14ac:dyDescent="0.35">
      <c r="C168" s="520"/>
      <c r="D168" s="224" t="str">
        <f t="shared" si="57"/>
        <v xml:space="preserve">  </v>
      </c>
      <c r="E168" s="224"/>
      <c r="F168" s="224" t="str">
        <f t="shared" si="58"/>
        <v xml:space="preserve">  </v>
      </c>
      <c r="G168" s="224"/>
      <c r="H168" s="380"/>
      <c r="I168" s="516" t="e">
        <f>IF(VLOOKUP(C15,list!$AA$5:$AS$14,17,FALSE)=0," ",(VLOOKUP(C15,list!$AA$5:$AS$14,17,FALSE)))</f>
        <v>#N/A</v>
      </c>
      <c r="J168" s="955" t="e">
        <f t="shared" si="54"/>
        <v>#N/A</v>
      </c>
      <c r="K168" s="955" t="e">
        <f t="shared" si="55"/>
        <v>#N/A</v>
      </c>
      <c r="L168" s="969" t="e">
        <f>IF(I168=" "," ",VLOOKUP(J168,list!$J$4:$M$117,4,FALSE))</f>
        <v>#N/A</v>
      </c>
      <c r="M168" s="66"/>
      <c r="N168" s="1297" t="str">
        <f>IF(SUMIFS('Level of Efficiency Assumptions'!$J:$J,'Level of Efficiency Assumptions'!$H:$H,$I168,'Level of Efficiency Assumptions'!$I:$I,N$51)=0," ",SUMIFS('Level of Efficiency Assumptions'!$J:$J,'Level of Efficiency Assumptions'!$H:$H,$I168,'Level of Efficiency Assumptions'!$I:$I,N$51))</f>
        <v xml:space="preserve"> </v>
      </c>
      <c r="O168" s="1298" t="str">
        <f>IF(SUMIFS('Level of Efficiency Assumptions'!$J:$J,'Level of Efficiency Assumptions'!$H:$H,$I168,'Level of Efficiency Assumptions'!$I:$I,O$51)=0," ",SUMIFS('Level of Efficiency Assumptions'!$J:$J,'Level of Efficiency Assumptions'!$H:$H,$I168,'Level of Efficiency Assumptions'!$I:$I,O$51))</f>
        <v xml:space="preserve"> </v>
      </c>
      <c r="P168" s="1299" t="str">
        <f>IF(SUMIFS('Level of Efficiency Assumptions'!$J:$J,'Level of Efficiency Assumptions'!$H:$H,$I168,'Level of Efficiency Assumptions'!$I:$I,P$51)=0," ",SUMIFS('Level of Efficiency Assumptions'!$J:$J,'Level of Efficiency Assumptions'!$H:$H,$I168,'Level of Efficiency Assumptions'!$I:$I,P$51))</f>
        <v xml:space="preserve"> </v>
      </c>
      <c r="Q168" s="971" t="e">
        <f>IF(I168=" "," ",(VLOOKUP(I168,list!$B$81:$C$111,2,FALSE)))</f>
        <v>#N/A</v>
      </c>
      <c r="R168" s="243">
        <f t="shared" si="53"/>
        <v>0</v>
      </c>
      <c r="S168" s="64">
        <v>1</v>
      </c>
      <c r="T168" s="68">
        <v>0</v>
      </c>
      <c r="U168" s="244">
        <f t="shared" si="56"/>
        <v>1</v>
      </c>
    </row>
    <row r="169" spans="2:24" ht="15" thickBot="1" x14ac:dyDescent="0.35">
      <c r="C169" s="520"/>
      <c r="D169" s="224" t="str">
        <f t="shared" si="57"/>
        <v xml:space="preserve">  </v>
      </c>
      <c r="E169" s="224"/>
      <c r="F169" s="224" t="str">
        <f t="shared" si="58"/>
        <v xml:space="preserve">  </v>
      </c>
      <c r="G169" s="224"/>
      <c r="H169" s="380"/>
      <c r="I169" s="516" t="e">
        <f>IF(VLOOKUP(C15,list!$AA$5:$AS$14,18,FALSE)=0," ",(VLOOKUP(C15,list!$AA$5:$AS$14,18,FALSE)))</f>
        <v>#N/A</v>
      </c>
      <c r="J169" s="955" t="e">
        <f t="shared" si="54"/>
        <v>#N/A</v>
      </c>
      <c r="K169" s="955" t="e">
        <f t="shared" si="55"/>
        <v>#N/A</v>
      </c>
      <c r="L169" s="969" t="e">
        <f>IF(I169=" "," ",VLOOKUP(J169,list!$J$4:$M$117,4,FALSE))</f>
        <v>#N/A</v>
      </c>
      <c r="M169" s="66"/>
      <c r="N169" s="1297" t="str">
        <f>IF(SUMIFS('Level of Efficiency Assumptions'!$J:$J,'Level of Efficiency Assumptions'!$H:$H,$I169,'Level of Efficiency Assumptions'!$I:$I,N$51)=0," ",SUMIFS('Level of Efficiency Assumptions'!$J:$J,'Level of Efficiency Assumptions'!$H:$H,$I169,'Level of Efficiency Assumptions'!$I:$I,N$51))</f>
        <v xml:space="preserve"> </v>
      </c>
      <c r="O169" s="1298" t="str">
        <f>IF(SUMIFS('Level of Efficiency Assumptions'!$J:$J,'Level of Efficiency Assumptions'!$H:$H,$I169,'Level of Efficiency Assumptions'!$I:$I,O$51)=0," ",SUMIFS('Level of Efficiency Assumptions'!$J:$J,'Level of Efficiency Assumptions'!$H:$H,$I169,'Level of Efficiency Assumptions'!$I:$I,O$51))</f>
        <v xml:space="preserve"> </v>
      </c>
      <c r="P169" s="1299" t="str">
        <f>IF(SUMIFS('Level of Efficiency Assumptions'!$J:$J,'Level of Efficiency Assumptions'!$H:$H,$I169,'Level of Efficiency Assumptions'!$I:$I,P$51)=0," ",SUMIFS('Level of Efficiency Assumptions'!$J:$J,'Level of Efficiency Assumptions'!$H:$H,$I169,'Level of Efficiency Assumptions'!$I:$I,P$51))</f>
        <v xml:space="preserve"> </v>
      </c>
      <c r="Q169" s="971" t="e">
        <f>IF(I169=" "," ",(VLOOKUP(I169,list!$B$81:$C$111,2,FALSE)))</f>
        <v>#N/A</v>
      </c>
      <c r="R169" s="243">
        <f t="shared" si="53"/>
        <v>0</v>
      </c>
      <c r="S169" s="64">
        <v>1</v>
      </c>
      <c r="T169" s="68">
        <v>0</v>
      </c>
      <c r="U169" s="244">
        <f t="shared" si="56"/>
        <v>1</v>
      </c>
    </row>
    <row r="170" spans="2:24" ht="15" thickBot="1" x14ac:dyDescent="0.35">
      <c r="C170" s="632"/>
      <c r="D170" s="226" t="str">
        <f t="shared" si="57"/>
        <v xml:space="preserve">  </v>
      </c>
      <c r="E170" s="226"/>
      <c r="F170" s="226" t="str">
        <f t="shared" si="58"/>
        <v xml:space="preserve">  </v>
      </c>
      <c r="G170" s="226"/>
      <c r="H170" s="976"/>
      <c r="I170" s="516" t="e">
        <f>IF(VLOOKUP(C15,list!$AA$5:$AS$14,19,FALSE)=0," ",(VLOOKUP(C15,list!$AA$5:$AS$14,19,FALSE)))</f>
        <v>#N/A</v>
      </c>
      <c r="J170" s="955" t="e">
        <f>IF(I170=" "," ",(D170&amp;"-"&amp;I170))</f>
        <v>#N/A</v>
      </c>
      <c r="K170" s="955" t="e">
        <f t="shared" si="55"/>
        <v>#N/A</v>
      </c>
      <c r="L170" s="969" t="e">
        <f>IF(I170=" "," ",VLOOKUP(J170,list!$J$4:$M$117,4,FALSE))</f>
        <v>#N/A</v>
      </c>
      <c r="M170" s="67"/>
      <c r="N170" s="1303" t="str">
        <f>IF(SUMIFS('Level of Efficiency Assumptions'!$J:$J,'Level of Efficiency Assumptions'!$H:$H,$I170,'Level of Efficiency Assumptions'!$I:$I,N$51)=0," ",SUMIFS('Level of Efficiency Assumptions'!$J:$J,'Level of Efficiency Assumptions'!$H:$H,$I170,'Level of Efficiency Assumptions'!$I:$I,N$51))</f>
        <v xml:space="preserve"> </v>
      </c>
      <c r="O170" s="1304" t="str">
        <f>IF(SUMIFS('Level of Efficiency Assumptions'!$J:$J,'Level of Efficiency Assumptions'!$H:$H,$I170,'Level of Efficiency Assumptions'!$I:$I,O$51)=0," ",SUMIFS('Level of Efficiency Assumptions'!$J:$J,'Level of Efficiency Assumptions'!$H:$H,$I170,'Level of Efficiency Assumptions'!$I:$I,O$51))</f>
        <v xml:space="preserve"> </v>
      </c>
      <c r="P170" s="1305" t="str">
        <f>IF(SUMIFS('Level of Efficiency Assumptions'!$J:$J,'Level of Efficiency Assumptions'!$H:$H,$I170,'Level of Efficiency Assumptions'!$I:$I,P$51)=0," ",SUMIFS('Level of Efficiency Assumptions'!$J:$J,'Level of Efficiency Assumptions'!$H:$H,$I170,'Level of Efficiency Assumptions'!$I:$I,P$51))</f>
        <v xml:space="preserve"> </v>
      </c>
      <c r="Q170" s="977" t="e">
        <f>IF(I170=" "," ",(VLOOKUP(I170,list!$B$81:$C$111,2,FALSE)))</f>
        <v>#N/A</v>
      </c>
      <c r="R170" s="245">
        <f t="shared" si="53"/>
        <v>0</v>
      </c>
      <c r="S170" s="65">
        <v>1</v>
      </c>
      <c r="T170" s="69">
        <v>0</v>
      </c>
      <c r="U170" s="246">
        <f t="shared" si="56"/>
        <v>1</v>
      </c>
    </row>
    <row r="171" spans="2:24" x14ac:dyDescent="0.3">
      <c r="D171" s="846"/>
      <c r="F171" s="82"/>
      <c r="J171" s="846"/>
      <c r="K171" s="846"/>
      <c r="N171" s="1179"/>
      <c r="O171" s="1179"/>
      <c r="P171" s="1179"/>
      <c r="R171" s="176" t="s">
        <v>295</v>
      </c>
      <c r="S171" s="176"/>
      <c r="T171" s="176"/>
      <c r="U171" s="176"/>
    </row>
    <row r="172" spans="2:24" ht="15" thickBot="1" x14ac:dyDescent="0.35">
      <c r="D172" s="846"/>
      <c r="F172" s="82"/>
      <c r="J172" s="846"/>
      <c r="K172" s="846"/>
      <c r="N172" s="1179"/>
      <c r="O172" s="1179"/>
      <c r="P172" s="1179"/>
    </row>
    <row r="173" spans="2:24" ht="15" thickBot="1" x14ac:dyDescent="0.35">
      <c r="B173" s="814">
        <v>7</v>
      </c>
      <c r="C173" s="967" t="str">
        <f t="shared" ref="C173:H173" si="59">C16</f>
        <v xml:space="preserve">  </v>
      </c>
      <c r="D173" s="967" t="str">
        <f t="shared" si="59"/>
        <v xml:space="preserve">  </v>
      </c>
      <c r="E173" s="967" t="str">
        <f t="shared" si="59"/>
        <v xml:space="preserve">  </v>
      </c>
      <c r="F173" s="967" t="str">
        <f t="shared" si="59"/>
        <v xml:space="preserve">  </v>
      </c>
      <c r="G173" s="967">
        <f t="shared" si="59"/>
        <v>0</v>
      </c>
      <c r="H173" s="968">
        <f t="shared" si="59"/>
        <v>0</v>
      </c>
      <c r="I173" s="516" t="e">
        <f>IF(VLOOKUP(C16,list!$AA$5:$AS$14,2,FALSE)=0," ",(VLOOKUP(C16,list!$AA$5:$AS$14,2,FALSE)))</f>
        <v>#N/A</v>
      </c>
      <c r="J173" s="955" t="e">
        <f>IF(I173=" "," ",(D16&amp;"-"&amp;I173))</f>
        <v>#N/A</v>
      </c>
      <c r="K173" s="955" t="e">
        <f>IF(I173=" "," ",(F16&amp;"-"&amp;I173))</f>
        <v>#N/A</v>
      </c>
      <c r="L173" s="969" t="e">
        <f>IF(I173=" "," ",VLOOKUP(J173,list!$J$4:$M$117,4,FALSE))</f>
        <v>#N/A</v>
      </c>
      <c r="M173" s="70"/>
      <c r="N173" s="1300" t="str">
        <f>IF(SUMIFS('Level of Efficiency Assumptions'!$J:$J,'Level of Efficiency Assumptions'!$H:$H,$I173,'Level of Efficiency Assumptions'!$I:$I,N$51)=0," ",SUMIFS('Level of Efficiency Assumptions'!$J:$J,'Level of Efficiency Assumptions'!$H:$H,$I173,'Level of Efficiency Assumptions'!$I:$I,N$51))</f>
        <v xml:space="preserve"> </v>
      </c>
      <c r="O173" s="1301" t="str">
        <f>IF(SUMIFS('Level of Efficiency Assumptions'!$J:$J,'Level of Efficiency Assumptions'!$H:$H,$I173,'Level of Efficiency Assumptions'!$I:$I,O$51)=0," ",SUMIFS('Level of Efficiency Assumptions'!$J:$J,'Level of Efficiency Assumptions'!$H:$H,$I173,'Level of Efficiency Assumptions'!$I:$I,O$51))</f>
        <v xml:space="preserve"> </v>
      </c>
      <c r="P173" s="1302" t="str">
        <f>IF(SUMIFS('Level of Efficiency Assumptions'!$J:$J,'Level of Efficiency Assumptions'!$H:$H,$I173,'Level of Efficiency Assumptions'!$I:$I,P$51)=0," ",SUMIFS('Level of Efficiency Assumptions'!$J:$J,'Level of Efficiency Assumptions'!$H:$H,$I173,'Level of Efficiency Assumptions'!$I:$I,P$51))</f>
        <v xml:space="preserve"> </v>
      </c>
      <c r="Q173" s="970" t="e">
        <f>IF(I173=" "," ",(VLOOKUP(I173,list!$B$81:$C$111,2,FALSE)))</f>
        <v>#N/A</v>
      </c>
      <c r="R173" s="241">
        <f t="shared" ref="R173:R190" si="60">1-S173-T173</f>
        <v>0</v>
      </c>
      <c r="S173" s="83">
        <v>1</v>
      </c>
      <c r="T173" s="84">
        <v>0</v>
      </c>
      <c r="U173" s="242">
        <f>SUM(R173:T173)</f>
        <v>1</v>
      </c>
      <c r="W173" s="250" t="s">
        <v>367</v>
      </c>
      <c r="X173" s="251" t="s">
        <v>366</v>
      </c>
    </row>
    <row r="174" spans="2:24" ht="15" thickBot="1" x14ac:dyDescent="0.35">
      <c r="C174" s="520"/>
      <c r="D174" s="224" t="str">
        <f>D16</f>
        <v xml:space="preserve">  </v>
      </c>
      <c r="E174" s="224"/>
      <c r="F174" s="224" t="str">
        <f>F16</f>
        <v xml:space="preserve">  </v>
      </c>
      <c r="G174" s="224"/>
      <c r="H174" s="380"/>
      <c r="I174" s="516" t="e">
        <f>IF(VLOOKUP(C16,list!$AA$5:$AS$14,3,FALSE)=0," ",(VLOOKUP(C16,list!$AA$5:$AS$14,3,FALSE)))</f>
        <v>#N/A</v>
      </c>
      <c r="J174" s="955" t="e">
        <f t="shared" ref="J174:J189" si="61">IF(I174=" "," ",(D174&amp;"-"&amp;I174))</f>
        <v>#N/A</v>
      </c>
      <c r="K174" s="955" t="e">
        <f t="shared" ref="K174:K190" si="62">IF(I174=" "," ",(F174&amp;"-"&amp;I174))</f>
        <v>#N/A</v>
      </c>
      <c r="L174" s="969" t="e">
        <f>IF(I174=" "," ",VLOOKUP(J174,list!$J$4:$M$117,4,FALSE))</f>
        <v>#N/A</v>
      </c>
      <c r="M174" s="66"/>
      <c r="N174" s="1297" t="str">
        <f>IF(SUMIFS('Level of Efficiency Assumptions'!$J:$J,'Level of Efficiency Assumptions'!$H:$H,$I174,'Level of Efficiency Assumptions'!$I:$I,N$51)=0," ",SUMIFS('Level of Efficiency Assumptions'!$J:$J,'Level of Efficiency Assumptions'!$H:$H,$I174,'Level of Efficiency Assumptions'!$I:$I,N$51))</f>
        <v xml:space="preserve"> </v>
      </c>
      <c r="O174" s="1298" t="str">
        <f>IF(SUMIFS('Level of Efficiency Assumptions'!$J:$J,'Level of Efficiency Assumptions'!$H:$H,$I174,'Level of Efficiency Assumptions'!$I:$I,O$51)=0," ",SUMIFS('Level of Efficiency Assumptions'!$J:$J,'Level of Efficiency Assumptions'!$H:$H,$I174,'Level of Efficiency Assumptions'!$I:$I,O$51))</f>
        <v xml:space="preserve"> </v>
      </c>
      <c r="P174" s="1299" t="str">
        <f>IF(SUMIFS('Level of Efficiency Assumptions'!$J:$J,'Level of Efficiency Assumptions'!$H:$H,$I174,'Level of Efficiency Assumptions'!$I:$I,P$51)=0," ",SUMIFS('Level of Efficiency Assumptions'!$J:$J,'Level of Efficiency Assumptions'!$H:$H,$I174,'Level of Efficiency Assumptions'!$I:$I,P$51))</f>
        <v xml:space="preserve"> </v>
      </c>
      <c r="Q174" s="971" t="e">
        <f>IF(I174=" "," ",(VLOOKUP(I174,list!$B$81:$C$111,2,FALSE)))</f>
        <v>#N/A</v>
      </c>
      <c r="R174" s="243">
        <f t="shared" si="60"/>
        <v>0</v>
      </c>
      <c r="S174" s="64">
        <v>1</v>
      </c>
      <c r="T174" s="68">
        <v>0</v>
      </c>
      <c r="U174" s="244">
        <f t="shared" ref="U174:U190" si="63">SUM(R174:T174)</f>
        <v>1</v>
      </c>
      <c r="V174" s="82" t="e">
        <f>F174&amp;"-"&amp;W174</f>
        <v>#N/A</v>
      </c>
      <c r="W174" s="247" t="e">
        <f>HLOOKUP(D174,list!$O$34:$X$38,2,FALSE)</f>
        <v>#N/A</v>
      </c>
      <c r="X174" s="972">
        <v>1</v>
      </c>
    </row>
    <row r="175" spans="2:24" ht="15" thickBot="1" x14ac:dyDescent="0.35">
      <c r="C175" s="520"/>
      <c r="D175" s="224" t="str">
        <f>D174</f>
        <v xml:space="preserve">  </v>
      </c>
      <c r="E175" s="224"/>
      <c r="F175" s="224" t="str">
        <f>F174</f>
        <v xml:space="preserve">  </v>
      </c>
      <c r="G175" s="224"/>
      <c r="H175" s="380"/>
      <c r="I175" s="516" t="e">
        <f>IF(VLOOKUP(C16,list!$AA$5:$AS$14,4,FALSE)=0," ",(VLOOKUP(C16,list!$AA$5:$AS$14,4,FALSE)))</f>
        <v>#N/A</v>
      </c>
      <c r="J175" s="955" t="e">
        <f t="shared" si="61"/>
        <v>#N/A</v>
      </c>
      <c r="K175" s="955" t="e">
        <f t="shared" si="62"/>
        <v>#N/A</v>
      </c>
      <c r="L175" s="969" t="e">
        <f>IF(I175=" "," ",VLOOKUP(J175,list!$J$4:$M$117,4,FALSE))</f>
        <v>#N/A</v>
      </c>
      <c r="M175" s="66"/>
      <c r="N175" s="1297" t="str">
        <f>IF(SUMIFS('Level of Efficiency Assumptions'!$J:$J,'Level of Efficiency Assumptions'!$H:$H,$I175,'Level of Efficiency Assumptions'!$I:$I,N$51)=0," ",SUMIFS('Level of Efficiency Assumptions'!$J:$J,'Level of Efficiency Assumptions'!$H:$H,$I175,'Level of Efficiency Assumptions'!$I:$I,N$51))</f>
        <v xml:space="preserve"> </v>
      </c>
      <c r="O175" s="1298" t="str">
        <f>IF(SUMIFS('Level of Efficiency Assumptions'!$J:$J,'Level of Efficiency Assumptions'!$H:$H,$I175,'Level of Efficiency Assumptions'!$I:$I,O$51)=0," ",SUMIFS('Level of Efficiency Assumptions'!$J:$J,'Level of Efficiency Assumptions'!$H:$H,$I175,'Level of Efficiency Assumptions'!$I:$I,O$51))</f>
        <v xml:space="preserve"> </v>
      </c>
      <c r="P175" s="1299" t="str">
        <f>IF(SUMIFS('Level of Efficiency Assumptions'!$J:$J,'Level of Efficiency Assumptions'!$H:$H,$I175,'Level of Efficiency Assumptions'!$I:$I,P$51)=0," ",SUMIFS('Level of Efficiency Assumptions'!$J:$J,'Level of Efficiency Assumptions'!$H:$H,$I175,'Level of Efficiency Assumptions'!$I:$I,P$51))</f>
        <v xml:space="preserve"> </v>
      </c>
      <c r="Q175" s="971" t="e">
        <f>IF(I175=" "," ",(VLOOKUP(I175,list!$B$81:$C$111,2,FALSE)))</f>
        <v>#N/A</v>
      </c>
      <c r="R175" s="243">
        <f t="shared" si="60"/>
        <v>0</v>
      </c>
      <c r="S175" s="64">
        <v>1</v>
      </c>
      <c r="T175" s="68">
        <v>0</v>
      </c>
      <c r="U175" s="244">
        <f t="shared" si="63"/>
        <v>1</v>
      </c>
      <c r="V175" s="82" t="e">
        <f>F175&amp;"-"&amp;W175</f>
        <v>#N/A</v>
      </c>
      <c r="W175" s="248" t="e">
        <f>HLOOKUP(D175,list!$O$34:$X$38,3,FALSE)</f>
        <v>#N/A</v>
      </c>
      <c r="X175" s="973">
        <v>0.5</v>
      </c>
    </row>
    <row r="176" spans="2:24" ht="15" thickBot="1" x14ac:dyDescent="0.35">
      <c r="C176" s="520"/>
      <c r="D176" s="224" t="str">
        <f t="shared" ref="D176:D190" si="64">D175</f>
        <v xml:space="preserve">  </v>
      </c>
      <c r="E176" s="224"/>
      <c r="F176" s="224" t="str">
        <f t="shared" ref="F176:F190" si="65">F175</f>
        <v xml:space="preserve">  </v>
      </c>
      <c r="G176" s="224"/>
      <c r="H176" s="380"/>
      <c r="I176" s="516" t="e">
        <f>IF(VLOOKUP(C16,list!$AA$5:$AS$14,5,FALSE)=0," ",(VLOOKUP(C16,list!$AA$5:$AS$14,5,FALSE)))</f>
        <v>#N/A</v>
      </c>
      <c r="J176" s="955" t="e">
        <f t="shared" si="61"/>
        <v>#N/A</v>
      </c>
      <c r="K176" s="955" t="e">
        <f t="shared" si="62"/>
        <v>#N/A</v>
      </c>
      <c r="L176" s="969" t="e">
        <f>IF(I176=" "," ",VLOOKUP(J176,list!$J$4:$M$117,4,FALSE))</f>
        <v>#N/A</v>
      </c>
      <c r="M176" s="66"/>
      <c r="N176" s="1297" t="str">
        <f>IF(SUMIFS('Level of Efficiency Assumptions'!$J:$J,'Level of Efficiency Assumptions'!$H:$H,$I176,'Level of Efficiency Assumptions'!$I:$I,N$51)=0," ",SUMIFS('Level of Efficiency Assumptions'!$J:$J,'Level of Efficiency Assumptions'!$H:$H,$I176,'Level of Efficiency Assumptions'!$I:$I,N$51))</f>
        <v xml:space="preserve"> </v>
      </c>
      <c r="O176" s="1298" t="str">
        <f>IF(SUMIFS('Level of Efficiency Assumptions'!$J:$J,'Level of Efficiency Assumptions'!$H:$H,$I176,'Level of Efficiency Assumptions'!$I:$I,O$51)=0," ",SUMIFS('Level of Efficiency Assumptions'!$J:$J,'Level of Efficiency Assumptions'!$H:$H,$I176,'Level of Efficiency Assumptions'!$I:$I,O$51))</f>
        <v xml:space="preserve"> </v>
      </c>
      <c r="P176" s="1299" t="str">
        <f>IF(SUMIFS('Level of Efficiency Assumptions'!$J:$J,'Level of Efficiency Assumptions'!$H:$H,$I176,'Level of Efficiency Assumptions'!$I:$I,P$51)=0," ",SUMIFS('Level of Efficiency Assumptions'!$J:$J,'Level of Efficiency Assumptions'!$H:$H,$I176,'Level of Efficiency Assumptions'!$I:$I,P$51))</f>
        <v xml:space="preserve"> </v>
      </c>
      <c r="Q176" s="971" t="e">
        <f>IF(I176=" "," ",(VLOOKUP(I176,list!$B$81:$C$111,2,FALSE)))</f>
        <v>#N/A</v>
      </c>
      <c r="R176" s="243">
        <f t="shared" si="60"/>
        <v>0</v>
      </c>
      <c r="S176" s="64">
        <v>1</v>
      </c>
      <c r="T176" s="68">
        <v>0</v>
      </c>
      <c r="U176" s="244">
        <f t="shared" si="63"/>
        <v>1</v>
      </c>
      <c r="V176" s="82" t="e">
        <f>F176&amp;"-"&amp;W176</f>
        <v>#N/A</v>
      </c>
      <c r="W176" s="248" t="e">
        <f>HLOOKUP(D176,list!$O$34:$X$38,4,FALSE)</f>
        <v>#N/A</v>
      </c>
      <c r="X176" s="973">
        <v>0.5</v>
      </c>
    </row>
    <row r="177" spans="3:24" ht="15" thickBot="1" x14ac:dyDescent="0.35">
      <c r="C177" s="520"/>
      <c r="D177" s="224" t="str">
        <f t="shared" si="64"/>
        <v xml:space="preserve">  </v>
      </c>
      <c r="E177" s="224"/>
      <c r="F177" s="224" t="str">
        <f t="shared" si="65"/>
        <v xml:space="preserve">  </v>
      </c>
      <c r="G177" s="224"/>
      <c r="H177" s="380"/>
      <c r="I177" s="516" t="e">
        <f>IF(VLOOKUP(C16,list!$AA$5:$AS$14,6,FALSE)=0," ",(VLOOKUP(C16,list!$AA$5:$AS$14,6,FALSE)))</f>
        <v>#N/A</v>
      </c>
      <c r="J177" s="955" t="e">
        <f t="shared" si="61"/>
        <v>#N/A</v>
      </c>
      <c r="K177" s="955" t="e">
        <f t="shared" si="62"/>
        <v>#N/A</v>
      </c>
      <c r="L177" s="969" t="e">
        <f>IF(I177=" "," ",VLOOKUP(J177,list!$J$4:$M$117,4,FALSE))</f>
        <v>#N/A</v>
      </c>
      <c r="M177" s="66"/>
      <c r="N177" s="1297" t="str">
        <f>IF(SUMIFS('Level of Efficiency Assumptions'!$J:$J,'Level of Efficiency Assumptions'!$H:$H,$I177,'Level of Efficiency Assumptions'!$I:$I,N$51)=0," ",SUMIFS('Level of Efficiency Assumptions'!$J:$J,'Level of Efficiency Assumptions'!$H:$H,$I177,'Level of Efficiency Assumptions'!$I:$I,N$51))</f>
        <v xml:space="preserve"> </v>
      </c>
      <c r="O177" s="1298" t="str">
        <f>IF(SUMIFS('Level of Efficiency Assumptions'!$J:$J,'Level of Efficiency Assumptions'!$H:$H,$I177,'Level of Efficiency Assumptions'!$I:$I,O$51)=0," ",SUMIFS('Level of Efficiency Assumptions'!$J:$J,'Level of Efficiency Assumptions'!$H:$H,$I177,'Level of Efficiency Assumptions'!$I:$I,O$51))</f>
        <v xml:space="preserve"> </v>
      </c>
      <c r="P177" s="1299" t="str">
        <f>IF(SUMIFS('Level of Efficiency Assumptions'!$J:$J,'Level of Efficiency Assumptions'!$H:$H,$I177,'Level of Efficiency Assumptions'!$I:$I,P$51)=0," ",SUMIFS('Level of Efficiency Assumptions'!$J:$J,'Level of Efficiency Assumptions'!$H:$H,$I177,'Level of Efficiency Assumptions'!$I:$I,P$51))</f>
        <v xml:space="preserve"> </v>
      </c>
      <c r="Q177" s="971" t="e">
        <f>IF(I177=" "," ",(VLOOKUP(I177,list!$B$81:$C$111,2,FALSE)))</f>
        <v>#N/A</v>
      </c>
      <c r="R177" s="243">
        <f t="shared" si="60"/>
        <v>0</v>
      </c>
      <c r="S177" s="64">
        <v>1</v>
      </c>
      <c r="T177" s="68">
        <v>0</v>
      </c>
      <c r="U177" s="244">
        <f t="shared" si="63"/>
        <v>1</v>
      </c>
      <c r="V177" s="82" t="e">
        <f>F177&amp;"-"&amp;W177</f>
        <v>#N/A</v>
      </c>
      <c r="W177" s="249" t="e">
        <f>HLOOKUP(D177,list!$O$34:$X$38,5,FALSE)</f>
        <v>#N/A</v>
      </c>
      <c r="X177" s="974">
        <v>0.5</v>
      </c>
    </row>
    <row r="178" spans="3:24" ht="15" thickBot="1" x14ac:dyDescent="0.35">
      <c r="C178" s="520"/>
      <c r="D178" s="224" t="str">
        <f t="shared" si="64"/>
        <v xml:space="preserve">  </v>
      </c>
      <c r="E178" s="224"/>
      <c r="F178" s="224" t="str">
        <f t="shared" si="65"/>
        <v xml:space="preserve">  </v>
      </c>
      <c r="G178" s="224"/>
      <c r="H178" s="380"/>
      <c r="I178" s="516" t="e">
        <f>IF(VLOOKUP(C16,list!$AA$5:$AS$14,7,FALSE)=0," ",(VLOOKUP(C16,list!$AA$5:$AS$14,7,FALSE)))</f>
        <v>#N/A</v>
      </c>
      <c r="J178" s="955" t="e">
        <f t="shared" si="61"/>
        <v>#N/A</v>
      </c>
      <c r="K178" s="955" t="e">
        <f t="shared" si="62"/>
        <v>#N/A</v>
      </c>
      <c r="L178" s="969" t="e">
        <f>IF(I178=" "," ",VLOOKUP(J178,list!$J$4:$M$117,4,FALSE))</f>
        <v>#N/A</v>
      </c>
      <c r="M178" s="66"/>
      <c r="N178" s="1297" t="str">
        <f>IF(SUMIFS('Level of Efficiency Assumptions'!$J:$J,'Level of Efficiency Assumptions'!$H:$H,$I178,'Level of Efficiency Assumptions'!$I:$I,N$51)=0," ",SUMIFS('Level of Efficiency Assumptions'!$J:$J,'Level of Efficiency Assumptions'!$H:$H,$I178,'Level of Efficiency Assumptions'!$I:$I,N$51))</f>
        <v xml:space="preserve"> </v>
      </c>
      <c r="O178" s="1298" t="str">
        <f>IF(SUMIFS('Level of Efficiency Assumptions'!$J:$J,'Level of Efficiency Assumptions'!$H:$H,$I178,'Level of Efficiency Assumptions'!$I:$I,O$51)=0," ",SUMIFS('Level of Efficiency Assumptions'!$J:$J,'Level of Efficiency Assumptions'!$H:$H,$I178,'Level of Efficiency Assumptions'!$I:$I,O$51))</f>
        <v xml:space="preserve"> </v>
      </c>
      <c r="P178" s="1299" t="str">
        <f>IF(SUMIFS('Level of Efficiency Assumptions'!$J:$J,'Level of Efficiency Assumptions'!$H:$H,$I178,'Level of Efficiency Assumptions'!$I:$I,P$51)=0," ",SUMIFS('Level of Efficiency Assumptions'!$J:$J,'Level of Efficiency Assumptions'!$H:$H,$I178,'Level of Efficiency Assumptions'!$I:$I,P$51))</f>
        <v xml:space="preserve"> </v>
      </c>
      <c r="Q178" s="971" t="e">
        <f>IF(I178=" "," ",(VLOOKUP(I178,list!$B$81:$C$111,2,FALSE)))</f>
        <v>#N/A</v>
      </c>
      <c r="R178" s="243">
        <f t="shared" si="60"/>
        <v>0</v>
      </c>
      <c r="S178" s="64">
        <v>1</v>
      </c>
      <c r="T178" s="68">
        <v>0</v>
      </c>
      <c r="U178" s="244">
        <f t="shared" si="63"/>
        <v>1</v>
      </c>
      <c r="W178" s="182"/>
      <c r="X178" s="975"/>
    </row>
    <row r="179" spans="3:24" ht="15" thickBot="1" x14ac:dyDescent="0.35">
      <c r="C179" s="520"/>
      <c r="D179" s="224" t="str">
        <f t="shared" si="64"/>
        <v xml:space="preserve">  </v>
      </c>
      <c r="E179" s="224"/>
      <c r="F179" s="224" t="str">
        <f t="shared" si="65"/>
        <v xml:space="preserve">  </v>
      </c>
      <c r="G179" s="224"/>
      <c r="H179" s="380"/>
      <c r="I179" s="516" t="e">
        <f>IF(VLOOKUP(C16,list!$AA$5:$AS$14,8,FALSE)=0," ",(VLOOKUP(C16,list!$AA$5:$AS$14,8,FALSE)))</f>
        <v>#N/A</v>
      </c>
      <c r="J179" s="955" t="e">
        <f t="shared" si="61"/>
        <v>#N/A</v>
      </c>
      <c r="K179" s="955" t="e">
        <f t="shared" si="62"/>
        <v>#N/A</v>
      </c>
      <c r="L179" s="969" t="e">
        <f>IF(I179=" "," ",VLOOKUP(J179,list!$J$4:$M$117,4,FALSE))</f>
        <v>#N/A</v>
      </c>
      <c r="M179" s="66"/>
      <c r="N179" s="1297" t="str">
        <f>IF(SUMIFS('Level of Efficiency Assumptions'!$J:$J,'Level of Efficiency Assumptions'!$H:$H,$I179,'Level of Efficiency Assumptions'!$I:$I,N$51)=0," ",SUMIFS('Level of Efficiency Assumptions'!$J:$J,'Level of Efficiency Assumptions'!$H:$H,$I179,'Level of Efficiency Assumptions'!$I:$I,N$51))</f>
        <v xml:space="preserve"> </v>
      </c>
      <c r="O179" s="1298" t="str">
        <f>IF(SUMIFS('Level of Efficiency Assumptions'!$J:$J,'Level of Efficiency Assumptions'!$H:$H,$I179,'Level of Efficiency Assumptions'!$I:$I,O$51)=0," ",SUMIFS('Level of Efficiency Assumptions'!$J:$J,'Level of Efficiency Assumptions'!$H:$H,$I179,'Level of Efficiency Assumptions'!$I:$I,O$51))</f>
        <v xml:space="preserve"> </v>
      </c>
      <c r="P179" s="1299" t="str">
        <f>IF(SUMIFS('Level of Efficiency Assumptions'!$J:$J,'Level of Efficiency Assumptions'!$H:$H,$I179,'Level of Efficiency Assumptions'!$I:$I,P$51)=0," ",SUMIFS('Level of Efficiency Assumptions'!$J:$J,'Level of Efficiency Assumptions'!$H:$H,$I179,'Level of Efficiency Assumptions'!$I:$I,P$51))</f>
        <v xml:space="preserve"> </v>
      </c>
      <c r="Q179" s="971" t="e">
        <f>IF(I179=" "," ",(VLOOKUP(I179,list!$B$81:$C$111,2,FALSE)))</f>
        <v>#N/A</v>
      </c>
      <c r="R179" s="243">
        <f t="shared" si="60"/>
        <v>0</v>
      </c>
      <c r="S179" s="64">
        <v>1</v>
      </c>
      <c r="T179" s="68">
        <v>0</v>
      </c>
      <c r="U179" s="244">
        <f t="shared" si="63"/>
        <v>1</v>
      </c>
      <c r="W179" s="182"/>
      <c r="X179" s="975"/>
    </row>
    <row r="180" spans="3:24" ht="15" thickBot="1" x14ac:dyDescent="0.35">
      <c r="C180" s="520"/>
      <c r="D180" s="224" t="str">
        <f t="shared" si="64"/>
        <v xml:space="preserve">  </v>
      </c>
      <c r="E180" s="224"/>
      <c r="F180" s="224" t="str">
        <f t="shared" si="65"/>
        <v xml:space="preserve">  </v>
      </c>
      <c r="G180" s="224"/>
      <c r="H180" s="380"/>
      <c r="I180" s="516" t="e">
        <f>IF(VLOOKUP(C16,list!$AA$5:$AS$14,9,FALSE)=0," ",(VLOOKUP(C16,list!$AA$5:$AS$14,9,FALSE)))</f>
        <v>#N/A</v>
      </c>
      <c r="J180" s="955" t="e">
        <f t="shared" si="61"/>
        <v>#N/A</v>
      </c>
      <c r="K180" s="955" t="e">
        <f t="shared" si="62"/>
        <v>#N/A</v>
      </c>
      <c r="L180" s="969" t="e">
        <f>IF(I180=" "," ",VLOOKUP(J180,list!$J$4:$M$117,4,FALSE))</f>
        <v>#N/A</v>
      </c>
      <c r="M180" s="66"/>
      <c r="N180" s="1297" t="str">
        <f>IF(SUMIFS('Level of Efficiency Assumptions'!$J:$J,'Level of Efficiency Assumptions'!$H:$H,$I180,'Level of Efficiency Assumptions'!$I:$I,N$51)=0," ",SUMIFS('Level of Efficiency Assumptions'!$J:$J,'Level of Efficiency Assumptions'!$H:$H,$I180,'Level of Efficiency Assumptions'!$I:$I,N$51))</f>
        <v xml:space="preserve"> </v>
      </c>
      <c r="O180" s="1298" t="str">
        <f>IF(SUMIFS('Level of Efficiency Assumptions'!$J:$J,'Level of Efficiency Assumptions'!$H:$H,$I180,'Level of Efficiency Assumptions'!$I:$I,O$51)=0," ",SUMIFS('Level of Efficiency Assumptions'!$J:$J,'Level of Efficiency Assumptions'!$H:$H,$I180,'Level of Efficiency Assumptions'!$I:$I,O$51))</f>
        <v xml:space="preserve"> </v>
      </c>
      <c r="P180" s="1299" t="str">
        <f>IF(SUMIFS('Level of Efficiency Assumptions'!$J:$J,'Level of Efficiency Assumptions'!$H:$H,$I180,'Level of Efficiency Assumptions'!$I:$I,P$51)=0," ",SUMIFS('Level of Efficiency Assumptions'!$J:$J,'Level of Efficiency Assumptions'!$H:$H,$I180,'Level of Efficiency Assumptions'!$I:$I,P$51))</f>
        <v xml:space="preserve"> </v>
      </c>
      <c r="Q180" s="971" t="e">
        <f>IF(I180=" "," ",(VLOOKUP(I180,list!$B$81:$C$111,2,FALSE)))</f>
        <v>#N/A</v>
      </c>
      <c r="R180" s="243">
        <f t="shared" si="60"/>
        <v>0</v>
      </c>
      <c r="S180" s="64">
        <v>1</v>
      </c>
      <c r="T180" s="68">
        <v>0</v>
      </c>
      <c r="U180" s="244">
        <f t="shared" si="63"/>
        <v>1</v>
      </c>
    </row>
    <row r="181" spans="3:24" ht="15" thickBot="1" x14ac:dyDescent="0.35">
      <c r="C181" s="520"/>
      <c r="D181" s="224" t="str">
        <f t="shared" si="64"/>
        <v xml:space="preserve">  </v>
      </c>
      <c r="E181" s="224"/>
      <c r="F181" s="224" t="str">
        <f t="shared" si="65"/>
        <v xml:space="preserve">  </v>
      </c>
      <c r="G181" s="224"/>
      <c r="H181" s="380"/>
      <c r="I181" s="516" t="e">
        <f>IF(VLOOKUP(C16,list!$AA$5:$AS$14,10,FALSE)=0," ",(VLOOKUP(C16,list!$AA$5:$AS$14,10,FALSE)))</f>
        <v>#N/A</v>
      </c>
      <c r="J181" s="955" t="e">
        <f t="shared" si="61"/>
        <v>#N/A</v>
      </c>
      <c r="K181" s="955" t="e">
        <f t="shared" si="62"/>
        <v>#N/A</v>
      </c>
      <c r="L181" s="969" t="e">
        <f>IF(I181=" "," ",VLOOKUP(J181,list!$J$4:$M$117,4,FALSE))</f>
        <v>#N/A</v>
      </c>
      <c r="M181" s="66"/>
      <c r="N181" s="1297" t="str">
        <f>IF(SUMIFS('Level of Efficiency Assumptions'!$J:$J,'Level of Efficiency Assumptions'!$H:$H,$I181,'Level of Efficiency Assumptions'!$I:$I,N$51)=0," ",SUMIFS('Level of Efficiency Assumptions'!$J:$J,'Level of Efficiency Assumptions'!$H:$H,$I181,'Level of Efficiency Assumptions'!$I:$I,N$51))</f>
        <v xml:space="preserve"> </v>
      </c>
      <c r="O181" s="1298" t="str">
        <f>IF(SUMIFS('Level of Efficiency Assumptions'!$J:$J,'Level of Efficiency Assumptions'!$H:$H,$I181,'Level of Efficiency Assumptions'!$I:$I,O$51)=0," ",SUMIFS('Level of Efficiency Assumptions'!$J:$J,'Level of Efficiency Assumptions'!$H:$H,$I181,'Level of Efficiency Assumptions'!$I:$I,O$51))</f>
        <v xml:space="preserve"> </v>
      </c>
      <c r="P181" s="1299" t="str">
        <f>IF(SUMIFS('Level of Efficiency Assumptions'!$J:$J,'Level of Efficiency Assumptions'!$H:$H,$I181,'Level of Efficiency Assumptions'!$I:$I,P$51)=0," ",SUMIFS('Level of Efficiency Assumptions'!$J:$J,'Level of Efficiency Assumptions'!$H:$H,$I181,'Level of Efficiency Assumptions'!$I:$I,P$51))</f>
        <v xml:space="preserve"> </v>
      </c>
      <c r="Q181" s="971" t="e">
        <f>IF(I181=" "," ",(VLOOKUP(I181,list!$B$81:$C$111,2,FALSE)))</f>
        <v>#N/A</v>
      </c>
      <c r="R181" s="243">
        <f t="shared" si="60"/>
        <v>0</v>
      </c>
      <c r="S181" s="64">
        <v>1</v>
      </c>
      <c r="T181" s="68">
        <v>0</v>
      </c>
      <c r="U181" s="244">
        <f t="shared" si="63"/>
        <v>1</v>
      </c>
    </row>
    <row r="182" spans="3:24" ht="15" thickBot="1" x14ac:dyDescent="0.35">
      <c r="C182" s="520"/>
      <c r="D182" s="224" t="str">
        <f t="shared" si="64"/>
        <v xml:space="preserve">  </v>
      </c>
      <c r="E182" s="224"/>
      <c r="F182" s="224" t="str">
        <f t="shared" si="65"/>
        <v xml:space="preserve">  </v>
      </c>
      <c r="G182" s="224"/>
      <c r="H182" s="380"/>
      <c r="I182" s="516" t="e">
        <f>IF(VLOOKUP(C16,list!$AA$5:$AS$14,11,FALSE)=0," ",(VLOOKUP(C16,list!$AA$5:$AS$14,11,FALSE)))</f>
        <v>#N/A</v>
      </c>
      <c r="J182" s="955" t="e">
        <f t="shared" si="61"/>
        <v>#N/A</v>
      </c>
      <c r="K182" s="955" t="e">
        <f t="shared" si="62"/>
        <v>#N/A</v>
      </c>
      <c r="L182" s="969" t="e">
        <f>IF(I182=" "," ",VLOOKUP(J182,list!$J$4:$M$117,4,FALSE))</f>
        <v>#N/A</v>
      </c>
      <c r="M182" s="66"/>
      <c r="N182" s="1297" t="str">
        <f>IF(SUMIFS('Level of Efficiency Assumptions'!$J:$J,'Level of Efficiency Assumptions'!$H:$H,$I182,'Level of Efficiency Assumptions'!$I:$I,N$51)=0," ",SUMIFS('Level of Efficiency Assumptions'!$J:$J,'Level of Efficiency Assumptions'!$H:$H,$I182,'Level of Efficiency Assumptions'!$I:$I,N$51))</f>
        <v xml:space="preserve"> </v>
      </c>
      <c r="O182" s="1298" t="str">
        <f>IF(SUMIFS('Level of Efficiency Assumptions'!$J:$J,'Level of Efficiency Assumptions'!$H:$H,$I182,'Level of Efficiency Assumptions'!$I:$I,O$51)=0," ",SUMIFS('Level of Efficiency Assumptions'!$J:$J,'Level of Efficiency Assumptions'!$H:$H,$I182,'Level of Efficiency Assumptions'!$I:$I,O$51))</f>
        <v xml:space="preserve"> </v>
      </c>
      <c r="P182" s="1299" t="str">
        <f>IF(SUMIFS('Level of Efficiency Assumptions'!$J:$J,'Level of Efficiency Assumptions'!$H:$H,$I182,'Level of Efficiency Assumptions'!$I:$I,P$51)=0," ",SUMIFS('Level of Efficiency Assumptions'!$J:$J,'Level of Efficiency Assumptions'!$H:$H,$I182,'Level of Efficiency Assumptions'!$I:$I,P$51))</f>
        <v xml:space="preserve"> </v>
      </c>
      <c r="Q182" s="971" t="e">
        <f>IF(I182=" "," ",(VLOOKUP(I182,list!$B$81:$C$111,2,FALSE)))</f>
        <v>#N/A</v>
      </c>
      <c r="R182" s="243">
        <f t="shared" si="60"/>
        <v>0</v>
      </c>
      <c r="S182" s="64">
        <v>1</v>
      </c>
      <c r="T182" s="68">
        <v>0</v>
      </c>
      <c r="U182" s="244">
        <f t="shared" si="63"/>
        <v>1</v>
      </c>
    </row>
    <row r="183" spans="3:24" ht="15" thickBot="1" x14ac:dyDescent="0.35">
      <c r="C183" s="520"/>
      <c r="D183" s="224" t="str">
        <f t="shared" si="64"/>
        <v xml:space="preserve">  </v>
      </c>
      <c r="E183" s="224"/>
      <c r="F183" s="224" t="str">
        <f t="shared" si="65"/>
        <v xml:space="preserve">  </v>
      </c>
      <c r="G183" s="224"/>
      <c r="H183" s="380"/>
      <c r="I183" s="516" t="e">
        <f>IF(VLOOKUP(C16,list!$AA$5:$AS$14,12,FALSE)=0," ",(VLOOKUP(C16,list!$AA$5:$AS$14,12,FALSE)))</f>
        <v>#N/A</v>
      </c>
      <c r="J183" s="955" t="e">
        <f t="shared" si="61"/>
        <v>#N/A</v>
      </c>
      <c r="K183" s="955" t="e">
        <f t="shared" si="62"/>
        <v>#N/A</v>
      </c>
      <c r="L183" s="969" t="e">
        <f>IF(I183=" "," ",VLOOKUP(J183,list!$J$4:$M$117,4,FALSE))</f>
        <v>#N/A</v>
      </c>
      <c r="M183" s="66"/>
      <c r="N183" s="1297" t="str">
        <f>IF(SUMIFS('Level of Efficiency Assumptions'!$J:$J,'Level of Efficiency Assumptions'!$H:$H,$I183,'Level of Efficiency Assumptions'!$I:$I,N$51)=0," ",SUMIFS('Level of Efficiency Assumptions'!$J:$J,'Level of Efficiency Assumptions'!$H:$H,$I183,'Level of Efficiency Assumptions'!$I:$I,N$51))</f>
        <v xml:space="preserve"> </v>
      </c>
      <c r="O183" s="1298" t="str">
        <f>IF(SUMIFS('Level of Efficiency Assumptions'!$J:$J,'Level of Efficiency Assumptions'!$H:$H,$I183,'Level of Efficiency Assumptions'!$I:$I,O$51)=0," ",SUMIFS('Level of Efficiency Assumptions'!$J:$J,'Level of Efficiency Assumptions'!$H:$H,$I183,'Level of Efficiency Assumptions'!$I:$I,O$51))</f>
        <v xml:space="preserve"> </v>
      </c>
      <c r="P183" s="1299" t="str">
        <f>IF(SUMIFS('Level of Efficiency Assumptions'!$J:$J,'Level of Efficiency Assumptions'!$H:$H,$I183,'Level of Efficiency Assumptions'!$I:$I,P$51)=0," ",SUMIFS('Level of Efficiency Assumptions'!$J:$J,'Level of Efficiency Assumptions'!$H:$H,$I183,'Level of Efficiency Assumptions'!$I:$I,P$51))</f>
        <v xml:space="preserve"> </v>
      </c>
      <c r="Q183" s="971" t="e">
        <f>IF(I183=" "," ",(VLOOKUP(I183,list!$B$81:$C$111,2,FALSE)))</f>
        <v>#N/A</v>
      </c>
      <c r="R183" s="243">
        <f t="shared" si="60"/>
        <v>0</v>
      </c>
      <c r="S183" s="64">
        <v>1</v>
      </c>
      <c r="T183" s="68">
        <v>0</v>
      </c>
      <c r="U183" s="244">
        <f t="shared" si="63"/>
        <v>1</v>
      </c>
    </row>
    <row r="184" spans="3:24" ht="15" thickBot="1" x14ac:dyDescent="0.35">
      <c r="C184" s="520"/>
      <c r="D184" s="224" t="str">
        <f t="shared" si="64"/>
        <v xml:space="preserve">  </v>
      </c>
      <c r="E184" s="224"/>
      <c r="F184" s="224" t="str">
        <f t="shared" si="65"/>
        <v xml:space="preserve">  </v>
      </c>
      <c r="G184" s="224"/>
      <c r="H184" s="380"/>
      <c r="I184" s="516" t="e">
        <f>IF(VLOOKUP(C16,list!$AA$5:$AS$14,13,FALSE)=0," ",(VLOOKUP(C16,list!$AA$5:$AS$14,13,FALSE)))</f>
        <v>#N/A</v>
      </c>
      <c r="J184" s="955" t="e">
        <f t="shared" si="61"/>
        <v>#N/A</v>
      </c>
      <c r="K184" s="955" t="e">
        <f t="shared" si="62"/>
        <v>#N/A</v>
      </c>
      <c r="L184" s="969" t="e">
        <f>IF(I184=" "," ",VLOOKUP(J184,list!$J$4:$M$117,4,FALSE))</f>
        <v>#N/A</v>
      </c>
      <c r="M184" s="66"/>
      <c r="N184" s="1297" t="str">
        <f>IF(SUMIFS('Level of Efficiency Assumptions'!$J:$J,'Level of Efficiency Assumptions'!$H:$H,$I184,'Level of Efficiency Assumptions'!$I:$I,N$51)=0," ",SUMIFS('Level of Efficiency Assumptions'!$J:$J,'Level of Efficiency Assumptions'!$H:$H,$I184,'Level of Efficiency Assumptions'!$I:$I,N$51))</f>
        <v xml:space="preserve"> </v>
      </c>
      <c r="O184" s="1298" t="str">
        <f>IF(SUMIFS('Level of Efficiency Assumptions'!$J:$J,'Level of Efficiency Assumptions'!$H:$H,$I184,'Level of Efficiency Assumptions'!$I:$I,O$51)=0," ",SUMIFS('Level of Efficiency Assumptions'!$J:$J,'Level of Efficiency Assumptions'!$H:$H,$I184,'Level of Efficiency Assumptions'!$I:$I,O$51))</f>
        <v xml:space="preserve"> </v>
      </c>
      <c r="P184" s="1299" t="str">
        <f>IF(SUMIFS('Level of Efficiency Assumptions'!$J:$J,'Level of Efficiency Assumptions'!$H:$H,$I184,'Level of Efficiency Assumptions'!$I:$I,P$51)=0," ",SUMIFS('Level of Efficiency Assumptions'!$J:$J,'Level of Efficiency Assumptions'!$H:$H,$I184,'Level of Efficiency Assumptions'!$I:$I,P$51))</f>
        <v xml:space="preserve"> </v>
      </c>
      <c r="Q184" s="971" t="e">
        <f>IF(I184=" "," ",(VLOOKUP(I184,list!$B$81:$C$111,2,FALSE)))</f>
        <v>#N/A</v>
      </c>
      <c r="R184" s="243">
        <f t="shared" si="60"/>
        <v>0</v>
      </c>
      <c r="S184" s="64">
        <v>1</v>
      </c>
      <c r="T184" s="68">
        <v>0</v>
      </c>
      <c r="U184" s="244">
        <f t="shared" si="63"/>
        <v>1</v>
      </c>
    </row>
    <row r="185" spans="3:24" ht="15" thickBot="1" x14ac:dyDescent="0.35">
      <c r="C185" s="520"/>
      <c r="D185" s="224" t="str">
        <f t="shared" si="64"/>
        <v xml:space="preserve">  </v>
      </c>
      <c r="E185" s="224"/>
      <c r="F185" s="224" t="str">
        <f t="shared" si="65"/>
        <v xml:space="preserve">  </v>
      </c>
      <c r="G185" s="224"/>
      <c r="H185" s="380"/>
      <c r="I185" s="516" t="e">
        <f>IF(VLOOKUP(C16,list!$AA$5:$AS$14,14,FALSE)=0," ",(VLOOKUP(C16,list!$AA$5:$AS$14,14,FALSE)))</f>
        <v>#N/A</v>
      </c>
      <c r="J185" s="955" t="e">
        <f t="shared" si="61"/>
        <v>#N/A</v>
      </c>
      <c r="K185" s="955" t="e">
        <f t="shared" si="62"/>
        <v>#N/A</v>
      </c>
      <c r="L185" s="969" t="e">
        <f>IF(I185=" "," ",VLOOKUP(J185,list!$J$4:$M$117,4,FALSE))</f>
        <v>#N/A</v>
      </c>
      <c r="M185" s="66"/>
      <c r="N185" s="1297" t="str">
        <f>IF(SUMIFS('Level of Efficiency Assumptions'!$J:$J,'Level of Efficiency Assumptions'!$H:$H,$I185,'Level of Efficiency Assumptions'!$I:$I,N$51)=0," ",SUMIFS('Level of Efficiency Assumptions'!$J:$J,'Level of Efficiency Assumptions'!$H:$H,$I185,'Level of Efficiency Assumptions'!$I:$I,N$51))</f>
        <v xml:space="preserve"> </v>
      </c>
      <c r="O185" s="1298" t="str">
        <f>IF(SUMIFS('Level of Efficiency Assumptions'!$J:$J,'Level of Efficiency Assumptions'!$H:$H,$I185,'Level of Efficiency Assumptions'!$I:$I,O$51)=0," ",SUMIFS('Level of Efficiency Assumptions'!$J:$J,'Level of Efficiency Assumptions'!$H:$H,$I185,'Level of Efficiency Assumptions'!$I:$I,O$51))</f>
        <v xml:space="preserve"> </v>
      </c>
      <c r="P185" s="1299" t="str">
        <f>IF(SUMIFS('Level of Efficiency Assumptions'!$J:$J,'Level of Efficiency Assumptions'!$H:$H,$I185,'Level of Efficiency Assumptions'!$I:$I,P$51)=0," ",SUMIFS('Level of Efficiency Assumptions'!$J:$J,'Level of Efficiency Assumptions'!$H:$H,$I185,'Level of Efficiency Assumptions'!$I:$I,P$51))</f>
        <v xml:space="preserve"> </v>
      </c>
      <c r="Q185" s="971" t="e">
        <f>IF(I185=" "," ",(VLOOKUP(I185,list!$B$81:$C$111,2,FALSE)))</f>
        <v>#N/A</v>
      </c>
      <c r="R185" s="243">
        <f t="shared" si="60"/>
        <v>0</v>
      </c>
      <c r="S185" s="64">
        <v>1</v>
      </c>
      <c r="T185" s="68">
        <v>0</v>
      </c>
      <c r="U185" s="244">
        <f t="shared" si="63"/>
        <v>1</v>
      </c>
    </row>
    <row r="186" spans="3:24" ht="15" thickBot="1" x14ac:dyDescent="0.35">
      <c r="C186" s="520"/>
      <c r="D186" s="224" t="str">
        <f t="shared" si="64"/>
        <v xml:space="preserve">  </v>
      </c>
      <c r="E186" s="224"/>
      <c r="F186" s="224" t="str">
        <f t="shared" si="65"/>
        <v xml:space="preserve">  </v>
      </c>
      <c r="G186" s="224"/>
      <c r="H186" s="380"/>
      <c r="I186" s="516" t="e">
        <f>IF(VLOOKUP(C16,list!$AA$5:$AS$14,15,FALSE)=0," ",(VLOOKUP(C16,list!$AA$5:$AS$14,15,FALSE)))</f>
        <v>#N/A</v>
      </c>
      <c r="J186" s="955" t="e">
        <f t="shared" si="61"/>
        <v>#N/A</v>
      </c>
      <c r="K186" s="955" t="e">
        <f t="shared" si="62"/>
        <v>#N/A</v>
      </c>
      <c r="L186" s="969" t="e">
        <f>IF(I186=" "," ",VLOOKUP(J186,list!$J$4:$M$117,4,FALSE))</f>
        <v>#N/A</v>
      </c>
      <c r="M186" s="66"/>
      <c r="N186" s="1297" t="str">
        <f>IF(SUMIFS('Level of Efficiency Assumptions'!$J:$J,'Level of Efficiency Assumptions'!$H:$H,$I186,'Level of Efficiency Assumptions'!$I:$I,N$51)=0," ",SUMIFS('Level of Efficiency Assumptions'!$J:$J,'Level of Efficiency Assumptions'!$H:$H,$I186,'Level of Efficiency Assumptions'!$I:$I,N$51))</f>
        <v xml:space="preserve"> </v>
      </c>
      <c r="O186" s="1298" t="str">
        <f>IF(SUMIFS('Level of Efficiency Assumptions'!$J:$J,'Level of Efficiency Assumptions'!$H:$H,$I186,'Level of Efficiency Assumptions'!$I:$I,O$51)=0," ",SUMIFS('Level of Efficiency Assumptions'!$J:$J,'Level of Efficiency Assumptions'!$H:$H,$I186,'Level of Efficiency Assumptions'!$I:$I,O$51))</f>
        <v xml:space="preserve"> </v>
      </c>
      <c r="P186" s="1299" t="str">
        <f>IF(SUMIFS('Level of Efficiency Assumptions'!$J:$J,'Level of Efficiency Assumptions'!$H:$H,$I186,'Level of Efficiency Assumptions'!$I:$I,P$51)=0," ",SUMIFS('Level of Efficiency Assumptions'!$J:$J,'Level of Efficiency Assumptions'!$H:$H,$I186,'Level of Efficiency Assumptions'!$I:$I,P$51))</f>
        <v xml:space="preserve"> </v>
      </c>
      <c r="Q186" s="971" t="e">
        <f>IF(I186=" "," ",(VLOOKUP(I186,list!$B$81:$C$111,2,FALSE)))</f>
        <v>#N/A</v>
      </c>
      <c r="R186" s="243">
        <f t="shared" si="60"/>
        <v>0</v>
      </c>
      <c r="S186" s="64">
        <v>1</v>
      </c>
      <c r="T186" s="68">
        <v>0</v>
      </c>
      <c r="U186" s="244">
        <f t="shared" si="63"/>
        <v>1</v>
      </c>
    </row>
    <row r="187" spans="3:24" ht="15" thickBot="1" x14ac:dyDescent="0.35">
      <c r="C187" s="520"/>
      <c r="D187" s="224" t="str">
        <f t="shared" si="64"/>
        <v xml:space="preserve">  </v>
      </c>
      <c r="E187" s="224"/>
      <c r="F187" s="224" t="str">
        <f t="shared" si="65"/>
        <v xml:space="preserve">  </v>
      </c>
      <c r="G187" s="224"/>
      <c r="H187" s="380"/>
      <c r="I187" s="516" t="e">
        <f>IF(VLOOKUP(C16,list!$AA$5:$AS$14,16,FALSE)=0," ",(VLOOKUP(C16,list!$AA$5:$AS$14,16,FALSE)))</f>
        <v>#N/A</v>
      </c>
      <c r="J187" s="955" t="e">
        <f t="shared" si="61"/>
        <v>#N/A</v>
      </c>
      <c r="K187" s="955" t="e">
        <f t="shared" si="62"/>
        <v>#N/A</v>
      </c>
      <c r="L187" s="969" t="e">
        <f>IF(I187=" "," ",VLOOKUP(J187,list!$J$4:$M$117,4,FALSE))</f>
        <v>#N/A</v>
      </c>
      <c r="M187" s="66"/>
      <c r="N187" s="1297" t="str">
        <f>IF(SUMIFS('Level of Efficiency Assumptions'!$J:$J,'Level of Efficiency Assumptions'!$H:$H,$I187,'Level of Efficiency Assumptions'!$I:$I,N$51)=0," ",SUMIFS('Level of Efficiency Assumptions'!$J:$J,'Level of Efficiency Assumptions'!$H:$H,$I187,'Level of Efficiency Assumptions'!$I:$I,N$51))</f>
        <v xml:space="preserve"> </v>
      </c>
      <c r="O187" s="1298" t="str">
        <f>IF(SUMIFS('Level of Efficiency Assumptions'!$J:$J,'Level of Efficiency Assumptions'!$H:$H,$I187,'Level of Efficiency Assumptions'!$I:$I,O$51)=0," ",SUMIFS('Level of Efficiency Assumptions'!$J:$J,'Level of Efficiency Assumptions'!$H:$H,$I187,'Level of Efficiency Assumptions'!$I:$I,O$51))</f>
        <v xml:space="preserve"> </v>
      </c>
      <c r="P187" s="1299" t="str">
        <f>IF(SUMIFS('Level of Efficiency Assumptions'!$J:$J,'Level of Efficiency Assumptions'!$H:$H,$I187,'Level of Efficiency Assumptions'!$I:$I,P$51)=0," ",SUMIFS('Level of Efficiency Assumptions'!$J:$J,'Level of Efficiency Assumptions'!$H:$H,$I187,'Level of Efficiency Assumptions'!$I:$I,P$51))</f>
        <v xml:space="preserve"> </v>
      </c>
      <c r="Q187" s="971" t="e">
        <f>IF(I187=" "," ",(VLOOKUP(I187,list!$B$81:$C$111,2,FALSE)))</f>
        <v>#N/A</v>
      </c>
      <c r="R187" s="243">
        <f t="shared" si="60"/>
        <v>0</v>
      </c>
      <c r="S187" s="64">
        <v>1</v>
      </c>
      <c r="T187" s="68">
        <v>0</v>
      </c>
      <c r="U187" s="244">
        <f t="shared" si="63"/>
        <v>1</v>
      </c>
    </row>
    <row r="188" spans="3:24" ht="15" thickBot="1" x14ac:dyDescent="0.35">
      <c r="C188" s="520"/>
      <c r="D188" s="224" t="str">
        <f t="shared" si="64"/>
        <v xml:space="preserve">  </v>
      </c>
      <c r="E188" s="224"/>
      <c r="F188" s="224" t="str">
        <f t="shared" si="65"/>
        <v xml:space="preserve">  </v>
      </c>
      <c r="G188" s="224"/>
      <c r="H188" s="380"/>
      <c r="I188" s="516" t="e">
        <f>IF(VLOOKUP(C16,list!$AA$5:$AS$14,17,FALSE)=0," ",(VLOOKUP(C16,list!$AA$5:$AS$14,17,FALSE)))</f>
        <v>#N/A</v>
      </c>
      <c r="J188" s="955" t="e">
        <f t="shared" si="61"/>
        <v>#N/A</v>
      </c>
      <c r="K188" s="955" t="e">
        <f t="shared" si="62"/>
        <v>#N/A</v>
      </c>
      <c r="L188" s="969" t="e">
        <f>IF(I188=" "," ",VLOOKUP(J188,list!$J$4:$M$117,4,FALSE))</f>
        <v>#N/A</v>
      </c>
      <c r="M188" s="66"/>
      <c r="N188" s="1297" t="str">
        <f>IF(SUMIFS('Level of Efficiency Assumptions'!$J:$J,'Level of Efficiency Assumptions'!$H:$H,$I188,'Level of Efficiency Assumptions'!$I:$I,N$51)=0," ",SUMIFS('Level of Efficiency Assumptions'!$J:$J,'Level of Efficiency Assumptions'!$H:$H,$I188,'Level of Efficiency Assumptions'!$I:$I,N$51))</f>
        <v xml:space="preserve"> </v>
      </c>
      <c r="O188" s="1298" t="str">
        <f>IF(SUMIFS('Level of Efficiency Assumptions'!$J:$J,'Level of Efficiency Assumptions'!$H:$H,$I188,'Level of Efficiency Assumptions'!$I:$I,O$51)=0," ",SUMIFS('Level of Efficiency Assumptions'!$J:$J,'Level of Efficiency Assumptions'!$H:$H,$I188,'Level of Efficiency Assumptions'!$I:$I,O$51))</f>
        <v xml:space="preserve"> </v>
      </c>
      <c r="P188" s="1299" t="str">
        <f>IF(SUMIFS('Level of Efficiency Assumptions'!$J:$J,'Level of Efficiency Assumptions'!$H:$H,$I188,'Level of Efficiency Assumptions'!$I:$I,P$51)=0," ",SUMIFS('Level of Efficiency Assumptions'!$J:$J,'Level of Efficiency Assumptions'!$H:$H,$I188,'Level of Efficiency Assumptions'!$I:$I,P$51))</f>
        <v xml:space="preserve"> </v>
      </c>
      <c r="Q188" s="971" t="e">
        <f>IF(I188=" "," ",(VLOOKUP(I188,list!$B$81:$C$111,2,FALSE)))</f>
        <v>#N/A</v>
      </c>
      <c r="R188" s="243">
        <f t="shared" si="60"/>
        <v>0</v>
      </c>
      <c r="S188" s="64">
        <v>1</v>
      </c>
      <c r="T188" s="68">
        <v>0</v>
      </c>
      <c r="U188" s="244">
        <f t="shared" si="63"/>
        <v>1</v>
      </c>
    </row>
    <row r="189" spans="3:24" ht="15" thickBot="1" x14ac:dyDescent="0.35">
      <c r="C189" s="520"/>
      <c r="D189" s="224" t="str">
        <f t="shared" si="64"/>
        <v xml:space="preserve">  </v>
      </c>
      <c r="E189" s="224"/>
      <c r="F189" s="224" t="str">
        <f t="shared" si="65"/>
        <v xml:space="preserve">  </v>
      </c>
      <c r="G189" s="224"/>
      <c r="H189" s="380"/>
      <c r="I189" s="516" t="e">
        <f>IF(VLOOKUP(C16,list!$AA$5:$AS$14,18,FALSE)=0," ",(VLOOKUP(C16,list!$AA$5:$AS$14,18,FALSE)))</f>
        <v>#N/A</v>
      </c>
      <c r="J189" s="955" t="e">
        <f t="shared" si="61"/>
        <v>#N/A</v>
      </c>
      <c r="K189" s="955" t="e">
        <f t="shared" si="62"/>
        <v>#N/A</v>
      </c>
      <c r="L189" s="969" t="e">
        <f>IF(I189=" "," ",VLOOKUP(J189,list!$J$4:$M$117,4,FALSE))</f>
        <v>#N/A</v>
      </c>
      <c r="M189" s="66"/>
      <c r="N189" s="1297" t="str">
        <f>IF(SUMIFS('Level of Efficiency Assumptions'!$J:$J,'Level of Efficiency Assumptions'!$H:$H,$I189,'Level of Efficiency Assumptions'!$I:$I,N$51)=0," ",SUMIFS('Level of Efficiency Assumptions'!$J:$J,'Level of Efficiency Assumptions'!$H:$H,$I189,'Level of Efficiency Assumptions'!$I:$I,N$51))</f>
        <v xml:space="preserve"> </v>
      </c>
      <c r="O189" s="1298" t="str">
        <f>IF(SUMIFS('Level of Efficiency Assumptions'!$J:$J,'Level of Efficiency Assumptions'!$H:$H,$I189,'Level of Efficiency Assumptions'!$I:$I,O$51)=0," ",SUMIFS('Level of Efficiency Assumptions'!$J:$J,'Level of Efficiency Assumptions'!$H:$H,$I189,'Level of Efficiency Assumptions'!$I:$I,O$51))</f>
        <v xml:space="preserve"> </v>
      </c>
      <c r="P189" s="1299" t="str">
        <f>IF(SUMIFS('Level of Efficiency Assumptions'!$J:$J,'Level of Efficiency Assumptions'!$H:$H,$I189,'Level of Efficiency Assumptions'!$I:$I,P$51)=0," ",SUMIFS('Level of Efficiency Assumptions'!$J:$J,'Level of Efficiency Assumptions'!$H:$H,$I189,'Level of Efficiency Assumptions'!$I:$I,P$51))</f>
        <v xml:space="preserve"> </v>
      </c>
      <c r="Q189" s="971" t="e">
        <f>IF(I189=" "," ",(VLOOKUP(I189,list!$B$81:$C$111,2,FALSE)))</f>
        <v>#N/A</v>
      </c>
      <c r="R189" s="243">
        <f t="shared" si="60"/>
        <v>0</v>
      </c>
      <c r="S189" s="64">
        <v>1</v>
      </c>
      <c r="T189" s="68">
        <v>0</v>
      </c>
      <c r="U189" s="244">
        <f t="shared" si="63"/>
        <v>1</v>
      </c>
    </row>
    <row r="190" spans="3:24" ht="15" thickBot="1" x14ac:dyDescent="0.35">
      <c r="C190" s="632"/>
      <c r="D190" s="226" t="str">
        <f t="shared" si="64"/>
        <v xml:space="preserve">  </v>
      </c>
      <c r="E190" s="226"/>
      <c r="F190" s="226" t="str">
        <f t="shared" si="65"/>
        <v xml:space="preserve">  </v>
      </c>
      <c r="G190" s="226"/>
      <c r="H190" s="976"/>
      <c r="I190" s="516" t="e">
        <f>IF(VLOOKUP(C16,list!$AA$5:$AS$14,19,FALSE)=0," ",(VLOOKUP(C16,list!$AA$5:$AS$14,19,FALSE)))</f>
        <v>#N/A</v>
      </c>
      <c r="J190" s="955" t="e">
        <f>IF(I190=" "," ",(D190&amp;"-"&amp;I190))</f>
        <v>#N/A</v>
      </c>
      <c r="K190" s="955" t="e">
        <f t="shared" si="62"/>
        <v>#N/A</v>
      </c>
      <c r="L190" s="969" t="e">
        <f>IF(I190=" "," ",VLOOKUP(J190,list!$J$4:$M$117,4,FALSE))</f>
        <v>#N/A</v>
      </c>
      <c r="M190" s="67"/>
      <c r="N190" s="1303" t="str">
        <f>IF(SUMIFS('Level of Efficiency Assumptions'!$J:$J,'Level of Efficiency Assumptions'!$H:$H,$I190,'Level of Efficiency Assumptions'!$I:$I,N$51)=0," ",SUMIFS('Level of Efficiency Assumptions'!$J:$J,'Level of Efficiency Assumptions'!$H:$H,$I190,'Level of Efficiency Assumptions'!$I:$I,N$51))</f>
        <v xml:space="preserve"> </v>
      </c>
      <c r="O190" s="1304" t="str">
        <f>IF(SUMIFS('Level of Efficiency Assumptions'!$J:$J,'Level of Efficiency Assumptions'!$H:$H,$I190,'Level of Efficiency Assumptions'!$I:$I,O$51)=0," ",SUMIFS('Level of Efficiency Assumptions'!$J:$J,'Level of Efficiency Assumptions'!$H:$H,$I190,'Level of Efficiency Assumptions'!$I:$I,O$51))</f>
        <v xml:space="preserve"> </v>
      </c>
      <c r="P190" s="1305" t="str">
        <f>IF(SUMIFS('Level of Efficiency Assumptions'!$J:$J,'Level of Efficiency Assumptions'!$H:$H,$I190,'Level of Efficiency Assumptions'!$I:$I,P$51)=0," ",SUMIFS('Level of Efficiency Assumptions'!$J:$J,'Level of Efficiency Assumptions'!$H:$H,$I190,'Level of Efficiency Assumptions'!$I:$I,P$51))</f>
        <v xml:space="preserve"> </v>
      </c>
      <c r="Q190" s="977" t="e">
        <f>IF(I190=" "," ",(VLOOKUP(I190,list!$B$81:$C$111,2,FALSE)))</f>
        <v>#N/A</v>
      </c>
      <c r="R190" s="245">
        <f t="shared" si="60"/>
        <v>0</v>
      </c>
      <c r="S190" s="65">
        <v>1</v>
      </c>
      <c r="T190" s="69">
        <v>0</v>
      </c>
      <c r="U190" s="246">
        <f t="shared" si="63"/>
        <v>1</v>
      </c>
    </row>
    <row r="191" spans="3:24" x14ac:dyDescent="0.3">
      <c r="D191" s="846"/>
      <c r="F191" s="82"/>
      <c r="J191" s="846"/>
      <c r="K191" s="846"/>
      <c r="N191" s="1179"/>
      <c r="O191" s="1179"/>
      <c r="P191" s="1179"/>
      <c r="R191" s="176" t="s">
        <v>295</v>
      </c>
      <c r="S191" s="176"/>
      <c r="T191" s="176"/>
      <c r="U191" s="176"/>
    </row>
    <row r="192" spans="3:24" ht="15" thickBot="1" x14ac:dyDescent="0.35">
      <c r="D192" s="846"/>
      <c r="F192" s="82"/>
      <c r="J192" s="846"/>
      <c r="K192" s="846"/>
      <c r="N192" s="1179"/>
      <c r="O192" s="1179"/>
      <c r="P192" s="1179"/>
    </row>
    <row r="193" spans="2:24" ht="15" thickBot="1" x14ac:dyDescent="0.35">
      <c r="B193" s="814">
        <v>8</v>
      </c>
      <c r="C193" s="967" t="str">
        <f t="shared" ref="C193:H193" si="66">C17</f>
        <v xml:space="preserve">  </v>
      </c>
      <c r="D193" s="967" t="str">
        <f t="shared" si="66"/>
        <v xml:space="preserve">  </v>
      </c>
      <c r="E193" s="967" t="str">
        <f t="shared" si="66"/>
        <v xml:space="preserve">  </v>
      </c>
      <c r="F193" s="967" t="str">
        <f t="shared" si="66"/>
        <v xml:space="preserve">  </v>
      </c>
      <c r="G193" s="967">
        <f t="shared" si="66"/>
        <v>0</v>
      </c>
      <c r="H193" s="968">
        <f t="shared" si="66"/>
        <v>0</v>
      </c>
      <c r="I193" s="516" t="e">
        <f>IF(VLOOKUP(C17,list!$AA$5:$AS$14,2,FALSE)=0," ",(VLOOKUP(C17,list!$AA$5:$AS$14,2,FALSE)))</f>
        <v>#N/A</v>
      </c>
      <c r="J193" s="955" t="e">
        <f>IF(I193=" "," ",(D17&amp;"-"&amp;I193))</f>
        <v>#N/A</v>
      </c>
      <c r="K193" s="955" t="e">
        <f>IF(I193=" "," ",(F17&amp;"-"&amp;I193))</f>
        <v>#N/A</v>
      </c>
      <c r="L193" s="969" t="e">
        <f>IF(I193=" "," ",VLOOKUP(J193,list!$J$4:$M$117,4,FALSE))</f>
        <v>#N/A</v>
      </c>
      <c r="M193" s="70"/>
      <c r="N193" s="1300" t="str">
        <f>IF(SUMIFS('Level of Efficiency Assumptions'!$J:$J,'Level of Efficiency Assumptions'!$H:$H,$I193,'Level of Efficiency Assumptions'!$I:$I,N$51)=0," ",SUMIFS('Level of Efficiency Assumptions'!$J:$J,'Level of Efficiency Assumptions'!$H:$H,$I193,'Level of Efficiency Assumptions'!$I:$I,N$51))</f>
        <v xml:space="preserve"> </v>
      </c>
      <c r="O193" s="1301" t="str">
        <f>IF(SUMIFS('Level of Efficiency Assumptions'!$J:$J,'Level of Efficiency Assumptions'!$H:$H,$I193,'Level of Efficiency Assumptions'!$I:$I,O$51)=0," ",SUMIFS('Level of Efficiency Assumptions'!$J:$J,'Level of Efficiency Assumptions'!$H:$H,$I193,'Level of Efficiency Assumptions'!$I:$I,O$51))</f>
        <v xml:space="preserve"> </v>
      </c>
      <c r="P193" s="1302" t="str">
        <f>IF(SUMIFS('Level of Efficiency Assumptions'!$J:$J,'Level of Efficiency Assumptions'!$H:$H,$I193,'Level of Efficiency Assumptions'!$I:$I,P$51)=0," ",SUMIFS('Level of Efficiency Assumptions'!$J:$J,'Level of Efficiency Assumptions'!$H:$H,$I193,'Level of Efficiency Assumptions'!$I:$I,P$51))</f>
        <v xml:space="preserve"> </v>
      </c>
      <c r="Q193" s="970" t="e">
        <f>IF(I193=" "," ",(VLOOKUP(I193,list!$B$81:$C$111,2,FALSE)))</f>
        <v>#N/A</v>
      </c>
      <c r="R193" s="241">
        <f t="shared" ref="R193:R210" si="67">1-S193-T193</f>
        <v>0</v>
      </c>
      <c r="S193" s="83">
        <v>1</v>
      </c>
      <c r="T193" s="84">
        <v>0</v>
      </c>
      <c r="U193" s="242">
        <f>SUM(R193:T193)</f>
        <v>1</v>
      </c>
      <c r="W193" s="250" t="s">
        <v>367</v>
      </c>
      <c r="X193" s="251" t="s">
        <v>366</v>
      </c>
    </row>
    <row r="194" spans="2:24" ht="15" thickBot="1" x14ac:dyDescent="0.35">
      <c r="C194" s="520"/>
      <c r="D194" s="224" t="str">
        <f>D17</f>
        <v xml:space="preserve">  </v>
      </c>
      <c r="E194" s="224"/>
      <c r="F194" s="224" t="str">
        <f>F17</f>
        <v xml:space="preserve">  </v>
      </c>
      <c r="G194" s="224"/>
      <c r="H194" s="380"/>
      <c r="I194" s="516" t="e">
        <f>IF(VLOOKUP(C17,list!$AA$5:$AS$14,3,FALSE)=0," ",(VLOOKUP(C17,list!$AA$5:$AS$14,3,FALSE)))</f>
        <v>#N/A</v>
      </c>
      <c r="J194" s="955" t="e">
        <f t="shared" ref="J194:J209" si="68">IF(I194=" "," ",(D194&amp;"-"&amp;I194))</f>
        <v>#N/A</v>
      </c>
      <c r="K194" s="955" t="e">
        <f t="shared" ref="K194:K210" si="69">IF(I194=" "," ",(F194&amp;"-"&amp;I194))</f>
        <v>#N/A</v>
      </c>
      <c r="L194" s="969" t="e">
        <f>IF(I194=" "," ",VLOOKUP(J194,list!$J$4:$M$117,4,FALSE))</f>
        <v>#N/A</v>
      </c>
      <c r="M194" s="66"/>
      <c r="N194" s="1297" t="str">
        <f>IF(SUMIFS('Level of Efficiency Assumptions'!$J:$J,'Level of Efficiency Assumptions'!$H:$H,$I194,'Level of Efficiency Assumptions'!$I:$I,N$51)=0," ",SUMIFS('Level of Efficiency Assumptions'!$J:$J,'Level of Efficiency Assumptions'!$H:$H,$I194,'Level of Efficiency Assumptions'!$I:$I,N$51))</f>
        <v xml:space="preserve"> </v>
      </c>
      <c r="O194" s="1298" t="str">
        <f>IF(SUMIFS('Level of Efficiency Assumptions'!$J:$J,'Level of Efficiency Assumptions'!$H:$H,$I194,'Level of Efficiency Assumptions'!$I:$I,O$51)=0," ",SUMIFS('Level of Efficiency Assumptions'!$J:$J,'Level of Efficiency Assumptions'!$H:$H,$I194,'Level of Efficiency Assumptions'!$I:$I,O$51))</f>
        <v xml:space="preserve"> </v>
      </c>
      <c r="P194" s="1299" t="str">
        <f>IF(SUMIFS('Level of Efficiency Assumptions'!$J:$J,'Level of Efficiency Assumptions'!$H:$H,$I194,'Level of Efficiency Assumptions'!$I:$I,P$51)=0," ",SUMIFS('Level of Efficiency Assumptions'!$J:$J,'Level of Efficiency Assumptions'!$H:$H,$I194,'Level of Efficiency Assumptions'!$I:$I,P$51))</f>
        <v xml:space="preserve"> </v>
      </c>
      <c r="Q194" s="971" t="e">
        <f>IF(I194=" "," ",(VLOOKUP(I194,list!$B$81:$C$111,2,FALSE)))</f>
        <v>#N/A</v>
      </c>
      <c r="R194" s="243">
        <f t="shared" si="67"/>
        <v>0</v>
      </c>
      <c r="S194" s="64">
        <v>1</v>
      </c>
      <c r="T194" s="68">
        <v>0</v>
      </c>
      <c r="U194" s="244">
        <f t="shared" ref="U194:U210" si="70">SUM(R194:T194)</f>
        <v>1</v>
      </c>
      <c r="V194" s="82" t="e">
        <f>F194&amp;"-"&amp;W194</f>
        <v>#N/A</v>
      </c>
      <c r="W194" s="247" t="e">
        <f>HLOOKUP(D194,list!$O$34:$X$38,2,FALSE)</f>
        <v>#N/A</v>
      </c>
      <c r="X194" s="972">
        <v>1</v>
      </c>
    </row>
    <row r="195" spans="2:24" ht="15" thickBot="1" x14ac:dyDescent="0.35">
      <c r="C195" s="520"/>
      <c r="D195" s="224" t="str">
        <f>D194</f>
        <v xml:space="preserve">  </v>
      </c>
      <c r="E195" s="224"/>
      <c r="F195" s="224" t="str">
        <f>F194</f>
        <v xml:space="preserve">  </v>
      </c>
      <c r="G195" s="224"/>
      <c r="H195" s="380"/>
      <c r="I195" s="516" t="e">
        <f>IF(VLOOKUP(C17,list!$AA$5:$AS$14,4,FALSE)=0," ",(VLOOKUP(C17,list!$AA$5:$AS$14,4,FALSE)))</f>
        <v>#N/A</v>
      </c>
      <c r="J195" s="955" t="e">
        <f t="shared" si="68"/>
        <v>#N/A</v>
      </c>
      <c r="K195" s="955" t="e">
        <f t="shared" si="69"/>
        <v>#N/A</v>
      </c>
      <c r="L195" s="969" t="e">
        <f>IF(I195=" "," ",VLOOKUP(J195,list!$J$4:$M$117,4,FALSE))</f>
        <v>#N/A</v>
      </c>
      <c r="M195" s="66"/>
      <c r="N195" s="1297" t="str">
        <f>IF(SUMIFS('Level of Efficiency Assumptions'!$J:$J,'Level of Efficiency Assumptions'!$H:$H,$I195,'Level of Efficiency Assumptions'!$I:$I,N$51)=0," ",SUMIFS('Level of Efficiency Assumptions'!$J:$J,'Level of Efficiency Assumptions'!$H:$H,$I195,'Level of Efficiency Assumptions'!$I:$I,N$51))</f>
        <v xml:space="preserve"> </v>
      </c>
      <c r="O195" s="1298" t="str">
        <f>IF(SUMIFS('Level of Efficiency Assumptions'!$J:$J,'Level of Efficiency Assumptions'!$H:$H,$I195,'Level of Efficiency Assumptions'!$I:$I,O$51)=0," ",SUMIFS('Level of Efficiency Assumptions'!$J:$J,'Level of Efficiency Assumptions'!$H:$H,$I195,'Level of Efficiency Assumptions'!$I:$I,O$51))</f>
        <v xml:space="preserve"> </v>
      </c>
      <c r="P195" s="1299" t="str">
        <f>IF(SUMIFS('Level of Efficiency Assumptions'!$J:$J,'Level of Efficiency Assumptions'!$H:$H,$I195,'Level of Efficiency Assumptions'!$I:$I,P$51)=0," ",SUMIFS('Level of Efficiency Assumptions'!$J:$J,'Level of Efficiency Assumptions'!$H:$H,$I195,'Level of Efficiency Assumptions'!$I:$I,P$51))</f>
        <v xml:space="preserve"> </v>
      </c>
      <c r="Q195" s="971" t="e">
        <f>IF(I195=" "," ",(VLOOKUP(I195,list!$B$81:$C$111,2,FALSE)))</f>
        <v>#N/A</v>
      </c>
      <c r="R195" s="243">
        <f t="shared" si="67"/>
        <v>0</v>
      </c>
      <c r="S195" s="64">
        <v>1</v>
      </c>
      <c r="T195" s="68">
        <v>0</v>
      </c>
      <c r="U195" s="244">
        <f t="shared" si="70"/>
        <v>1</v>
      </c>
      <c r="V195" s="82" t="e">
        <f>F195&amp;"-"&amp;W195</f>
        <v>#N/A</v>
      </c>
      <c r="W195" s="248" t="e">
        <f>HLOOKUP(D195,list!$O$34:$X$38,3,FALSE)</f>
        <v>#N/A</v>
      </c>
      <c r="X195" s="973">
        <v>0.5</v>
      </c>
    </row>
    <row r="196" spans="2:24" ht="15" thickBot="1" x14ac:dyDescent="0.35">
      <c r="C196" s="520"/>
      <c r="D196" s="224" t="str">
        <f t="shared" ref="D196:D210" si="71">D195</f>
        <v xml:space="preserve">  </v>
      </c>
      <c r="E196" s="224"/>
      <c r="F196" s="224" t="str">
        <f t="shared" ref="F196:F210" si="72">F195</f>
        <v xml:space="preserve">  </v>
      </c>
      <c r="G196" s="224"/>
      <c r="H196" s="380"/>
      <c r="I196" s="516" t="e">
        <f>IF(VLOOKUP(C17,list!$AA$5:$AS$14,5,FALSE)=0," ",(VLOOKUP(C17,list!$AA$5:$AS$14,5,FALSE)))</f>
        <v>#N/A</v>
      </c>
      <c r="J196" s="955" t="e">
        <f t="shared" si="68"/>
        <v>#N/A</v>
      </c>
      <c r="K196" s="955" t="e">
        <f t="shared" si="69"/>
        <v>#N/A</v>
      </c>
      <c r="L196" s="969" t="e">
        <f>IF(I196=" "," ",VLOOKUP(J196,list!$J$4:$M$117,4,FALSE))</f>
        <v>#N/A</v>
      </c>
      <c r="M196" s="66"/>
      <c r="N196" s="1297" t="str">
        <f>IF(SUMIFS('Level of Efficiency Assumptions'!$J:$J,'Level of Efficiency Assumptions'!$H:$H,$I196,'Level of Efficiency Assumptions'!$I:$I,N$51)=0," ",SUMIFS('Level of Efficiency Assumptions'!$J:$J,'Level of Efficiency Assumptions'!$H:$H,$I196,'Level of Efficiency Assumptions'!$I:$I,N$51))</f>
        <v xml:space="preserve"> </v>
      </c>
      <c r="O196" s="1298" t="str">
        <f>IF(SUMIFS('Level of Efficiency Assumptions'!$J:$J,'Level of Efficiency Assumptions'!$H:$H,$I196,'Level of Efficiency Assumptions'!$I:$I,O$51)=0," ",SUMIFS('Level of Efficiency Assumptions'!$J:$J,'Level of Efficiency Assumptions'!$H:$H,$I196,'Level of Efficiency Assumptions'!$I:$I,O$51))</f>
        <v xml:space="preserve"> </v>
      </c>
      <c r="P196" s="1299" t="str">
        <f>IF(SUMIFS('Level of Efficiency Assumptions'!$J:$J,'Level of Efficiency Assumptions'!$H:$H,$I196,'Level of Efficiency Assumptions'!$I:$I,P$51)=0," ",SUMIFS('Level of Efficiency Assumptions'!$J:$J,'Level of Efficiency Assumptions'!$H:$H,$I196,'Level of Efficiency Assumptions'!$I:$I,P$51))</f>
        <v xml:space="preserve"> </v>
      </c>
      <c r="Q196" s="971" t="e">
        <f>IF(I196=" "," ",(VLOOKUP(I196,list!$B$81:$C$111,2,FALSE)))</f>
        <v>#N/A</v>
      </c>
      <c r="R196" s="243">
        <f t="shared" si="67"/>
        <v>0</v>
      </c>
      <c r="S196" s="64">
        <v>1</v>
      </c>
      <c r="T196" s="68">
        <v>0</v>
      </c>
      <c r="U196" s="244">
        <f t="shared" si="70"/>
        <v>1</v>
      </c>
      <c r="V196" s="82" t="e">
        <f>F196&amp;"-"&amp;W196</f>
        <v>#N/A</v>
      </c>
      <c r="W196" s="248" t="e">
        <f>HLOOKUP(D196,list!$O$34:$X$38,4,FALSE)</f>
        <v>#N/A</v>
      </c>
      <c r="X196" s="973">
        <v>0.5</v>
      </c>
    </row>
    <row r="197" spans="2:24" ht="15" thickBot="1" x14ac:dyDescent="0.35">
      <c r="C197" s="520"/>
      <c r="D197" s="224" t="str">
        <f t="shared" si="71"/>
        <v xml:space="preserve">  </v>
      </c>
      <c r="E197" s="224"/>
      <c r="F197" s="224" t="str">
        <f t="shared" si="72"/>
        <v xml:space="preserve">  </v>
      </c>
      <c r="G197" s="224"/>
      <c r="H197" s="380"/>
      <c r="I197" s="516" t="e">
        <f>IF(VLOOKUP(C17,list!$AA$5:$AS$14,6,FALSE)=0," ",(VLOOKUP(C17,list!$AA$5:$AS$14,6,FALSE)))</f>
        <v>#N/A</v>
      </c>
      <c r="J197" s="955" t="e">
        <f t="shared" si="68"/>
        <v>#N/A</v>
      </c>
      <c r="K197" s="955" t="e">
        <f t="shared" si="69"/>
        <v>#N/A</v>
      </c>
      <c r="L197" s="969" t="e">
        <f>IF(I197=" "," ",VLOOKUP(J197,list!$J$4:$M$117,4,FALSE))</f>
        <v>#N/A</v>
      </c>
      <c r="M197" s="66"/>
      <c r="N197" s="1297" t="str">
        <f>IF(SUMIFS('Level of Efficiency Assumptions'!$J:$J,'Level of Efficiency Assumptions'!$H:$H,$I197,'Level of Efficiency Assumptions'!$I:$I,N$51)=0," ",SUMIFS('Level of Efficiency Assumptions'!$J:$J,'Level of Efficiency Assumptions'!$H:$H,$I197,'Level of Efficiency Assumptions'!$I:$I,N$51))</f>
        <v xml:space="preserve"> </v>
      </c>
      <c r="O197" s="1298" t="str">
        <f>IF(SUMIFS('Level of Efficiency Assumptions'!$J:$J,'Level of Efficiency Assumptions'!$H:$H,$I197,'Level of Efficiency Assumptions'!$I:$I,O$51)=0," ",SUMIFS('Level of Efficiency Assumptions'!$J:$J,'Level of Efficiency Assumptions'!$H:$H,$I197,'Level of Efficiency Assumptions'!$I:$I,O$51))</f>
        <v xml:space="preserve"> </v>
      </c>
      <c r="P197" s="1299" t="str">
        <f>IF(SUMIFS('Level of Efficiency Assumptions'!$J:$J,'Level of Efficiency Assumptions'!$H:$H,$I197,'Level of Efficiency Assumptions'!$I:$I,P$51)=0," ",SUMIFS('Level of Efficiency Assumptions'!$J:$J,'Level of Efficiency Assumptions'!$H:$H,$I197,'Level of Efficiency Assumptions'!$I:$I,P$51))</f>
        <v xml:space="preserve"> </v>
      </c>
      <c r="Q197" s="971" t="e">
        <f>IF(I197=" "," ",(VLOOKUP(I197,list!$B$81:$C$111,2,FALSE)))</f>
        <v>#N/A</v>
      </c>
      <c r="R197" s="243">
        <f t="shared" si="67"/>
        <v>0</v>
      </c>
      <c r="S197" s="64">
        <v>1</v>
      </c>
      <c r="T197" s="68">
        <v>0</v>
      </c>
      <c r="U197" s="244">
        <f t="shared" si="70"/>
        <v>1</v>
      </c>
      <c r="V197" s="82" t="e">
        <f>F197&amp;"-"&amp;W197</f>
        <v>#N/A</v>
      </c>
      <c r="W197" s="249" t="e">
        <f>HLOOKUP(D197,list!$O$34:$X$38,5,FALSE)</f>
        <v>#N/A</v>
      </c>
      <c r="X197" s="974">
        <v>0.5</v>
      </c>
    </row>
    <row r="198" spans="2:24" ht="15" thickBot="1" x14ac:dyDescent="0.35">
      <c r="C198" s="520"/>
      <c r="D198" s="224" t="str">
        <f t="shared" si="71"/>
        <v xml:space="preserve">  </v>
      </c>
      <c r="E198" s="224"/>
      <c r="F198" s="224" t="str">
        <f t="shared" si="72"/>
        <v xml:space="preserve">  </v>
      </c>
      <c r="G198" s="224"/>
      <c r="H198" s="380"/>
      <c r="I198" s="516" t="e">
        <f>IF(VLOOKUP(C17,list!$AA$5:$AS$14,7,FALSE)=0," ",(VLOOKUP(C17,list!$AA$5:$AS$14,7,FALSE)))</f>
        <v>#N/A</v>
      </c>
      <c r="J198" s="955" t="e">
        <f t="shared" si="68"/>
        <v>#N/A</v>
      </c>
      <c r="K198" s="955" t="e">
        <f t="shared" si="69"/>
        <v>#N/A</v>
      </c>
      <c r="L198" s="969" t="e">
        <f>IF(I198=" "," ",VLOOKUP(J198,list!$J$4:$M$117,4,FALSE))</f>
        <v>#N/A</v>
      </c>
      <c r="M198" s="66"/>
      <c r="N198" s="1297" t="str">
        <f>IF(SUMIFS('Level of Efficiency Assumptions'!$J:$J,'Level of Efficiency Assumptions'!$H:$H,$I198,'Level of Efficiency Assumptions'!$I:$I,N$51)=0," ",SUMIFS('Level of Efficiency Assumptions'!$J:$J,'Level of Efficiency Assumptions'!$H:$H,$I198,'Level of Efficiency Assumptions'!$I:$I,N$51))</f>
        <v xml:space="preserve"> </v>
      </c>
      <c r="O198" s="1298" t="str">
        <f>IF(SUMIFS('Level of Efficiency Assumptions'!$J:$J,'Level of Efficiency Assumptions'!$H:$H,$I198,'Level of Efficiency Assumptions'!$I:$I,O$51)=0," ",SUMIFS('Level of Efficiency Assumptions'!$J:$J,'Level of Efficiency Assumptions'!$H:$H,$I198,'Level of Efficiency Assumptions'!$I:$I,O$51))</f>
        <v xml:space="preserve"> </v>
      </c>
      <c r="P198" s="1299" t="str">
        <f>IF(SUMIFS('Level of Efficiency Assumptions'!$J:$J,'Level of Efficiency Assumptions'!$H:$H,$I198,'Level of Efficiency Assumptions'!$I:$I,P$51)=0," ",SUMIFS('Level of Efficiency Assumptions'!$J:$J,'Level of Efficiency Assumptions'!$H:$H,$I198,'Level of Efficiency Assumptions'!$I:$I,P$51))</f>
        <v xml:space="preserve"> </v>
      </c>
      <c r="Q198" s="971" t="e">
        <f>IF(I198=" "," ",(VLOOKUP(I198,list!$B$81:$C$111,2,FALSE)))</f>
        <v>#N/A</v>
      </c>
      <c r="R198" s="243">
        <f t="shared" si="67"/>
        <v>0</v>
      </c>
      <c r="S198" s="64">
        <v>1</v>
      </c>
      <c r="T198" s="68">
        <v>0</v>
      </c>
      <c r="U198" s="244">
        <f t="shared" si="70"/>
        <v>1</v>
      </c>
      <c r="W198" s="182"/>
      <c r="X198" s="975"/>
    </row>
    <row r="199" spans="2:24" ht="15" thickBot="1" x14ac:dyDescent="0.35">
      <c r="C199" s="520"/>
      <c r="D199" s="224" t="str">
        <f t="shared" si="71"/>
        <v xml:space="preserve">  </v>
      </c>
      <c r="E199" s="224"/>
      <c r="F199" s="224" t="str">
        <f t="shared" si="72"/>
        <v xml:space="preserve">  </v>
      </c>
      <c r="G199" s="224"/>
      <c r="H199" s="380"/>
      <c r="I199" s="516" t="e">
        <f>IF(VLOOKUP(C17,list!$AA$5:$AS$14,8,FALSE)=0," ",(VLOOKUP(C17,list!$AA$5:$AS$14,8,FALSE)))</f>
        <v>#N/A</v>
      </c>
      <c r="J199" s="955" t="e">
        <f t="shared" si="68"/>
        <v>#N/A</v>
      </c>
      <c r="K199" s="955" t="e">
        <f t="shared" si="69"/>
        <v>#N/A</v>
      </c>
      <c r="L199" s="969" t="e">
        <f>IF(I199=" "," ",VLOOKUP(J199,list!$J$4:$M$117,4,FALSE))</f>
        <v>#N/A</v>
      </c>
      <c r="M199" s="66"/>
      <c r="N199" s="1297" t="str">
        <f>IF(SUMIFS('Level of Efficiency Assumptions'!$J:$J,'Level of Efficiency Assumptions'!$H:$H,$I199,'Level of Efficiency Assumptions'!$I:$I,N$51)=0," ",SUMIFS('Level of Efficiency Assumptions'!$J:$J,'Level of Efficiency Assumptions'!$H:$H,$I199,'Level of Efficiency Assumptions'!$I:$I,N$51))</f>
        <v xml:space="preserve"> </v>
      </c>
      <c r="O199" s="1298" t="str">
        <f>IF(SUMIFS('Level of Efficiency Assumptions'!$J:$J,'Level of Efficiency Assumptions'!$H:$H,$I199,'Level of Efficiency Assumptions'!$I:$I,O$51)=0," ",SUMIFS('Level of Efficiency Assumptions'!$J:$J,'Level of Efficiency Assumptions'!$H:$H,$I199,'Level of Efficiency Assumptions'!$I:$I,O$51))</f>
        <v xml:space="preserve"> </v>
      </c>
      <c r="P199" s="1299" t="str">
        <f>IF(SUMIFS('Level of Efficiency Assumptions'!$J:$J,'Level of Efficiency Assumptions'!$H:$H,$I199,'Level of Efficiency Assumptions'!$I:$I,P$51)=0," ",SUMIFS('Level of Efficiency Assumptions'!$J:$J,'Level of Efficiency Assumptions'!$H:$H,$I199,'Level of Efficiency Assumptions'!$I:$I,P$51))</f>
        <v xml:space="preserve"> </v>
      </c>
      <c r="Q199" s="971" t="e">
        <f>IF(I199=" "," ",(VLOOKUP(I199,list!$B$81:$C$111,2,FALSE)))</f>
        <v>#N/A</v>
      </c>
      <c r="R199" s="243">
        <f t="shared" si="67"/>
        <v>0</v>
      </c>
      <c r="S199" s="64">
        <v>1</v>
      </c>
      <c r="T199" s="68">
        <v>0</v>
      </c>
      <c r="U199" s="244">
        <f t="shared" si="70"/>
        <v>1</v>
      </c>
      <c r="W199" s="182"/>
      <c r="X199" s="975"/>
    </row>
    <row r="200" spans="2:24" ht="15" thickBot="1" x14ac:dyDescent="0.35">
      <c r="C200" s="520"/>
      <c r="D200" s="224" t="str">
        <f t="shared" si="71"/>
        <v xml:space="preserve">  </v>
      </c>
      <c r="E200" s="224"/>
      <c r="F200" s="224" t="str">
        <f t="shared" si="72"/>
        <v xml:space="preserve">  </v>
      </c>
      <c r="G200" s="224"/>
      <c r="H200" s="380"/>
      <c r="I200" s="516" t="e">
        <f>IF(VLOOKUP(C17,list!$AA$5:$AS$14,9,FALSE)=0," ",(VLOOKUP(C17,list!$AA$5:$AS$14,9,FALSE)))</f>
        <v>#N/A</v>
      </c>
      <c r="J200" s="955" t="e">
        <f t="shared" si="68"/>
        <v>#N/A</v>
      </c>
      <c r="K200" s="955" t="e">
        <f t="shared" si="69"/>
        <v>#N/A</v>
      </c>
      <c r="L200" s="969" t="e">
        <f>IF(I200=" "," ",VLOOKUP(J200,list!$J$4:$M$117,4,FALSE))</f>
        <v>#N/A</v>
      </c>
      <c r="M200" s="66"/>
      <c r="N200" s="1297" t="str">
        <f>IF(SUMIFS('Level of Efficiency Assumptions'!$J:$J,'Level of Efficiency Assumptions'!$H:$H,$I200,'Level of Efficiency Assumptions'!$I:$I,N$51)=0," ",SUMIFS('Level of Efficiency Assumptions'!$J:$J,'Level of Efficiency Assumptions'!$H:$H,$I200,'Level of Efficiency Assumptions'!$I:$I,N$51))</f>
        <v xml:space="preserve"> </v>
      </c>
      <c r="O200" s="1298" t="str">
        <f>IF(SUMIFS('Level of Efficiency Assumptions'!$J:$J,'Level of Efficiency Assumptions'!$H:$H,$I200,'Level of Efficiency Assumptions'!$I:$I,O$51)=0," ",SUMIFS('Level of Efficiency Assumptions'!$J:$J,'Level of Efficiency Assumptions'!$H:$H,$I200,'Level of Efficiency Assumptions'!$I:$I,O$51))</f>
        <v xml:space="preserve"> </v>
      </c>
      <c r="P200" s="1299" t="str">
        <f>IF(SUMIFS('Level of Efficiency Assumptions'!$J:$J,'Level of Efficiency Assumptions'!$H:$H,$I200,'Level of Efficiency Assumptions'!$I:$I,P$51)=0," ",SUMIFS('Level of Efficiency Assumptions'!$J:$J,'Level of Efficiency Assumptions'!$H:$H,$I200,'Level of Efficiency Assumptions'!$I:$I,P$51))</f>
        <v xml:space="preserve"> </v>
      </c>
      <c r="Q200" s="971" t="e">
        <f>IF(I200=" "," ",(VLOOKUP(I200,list!$B$81:$C$111,2,FALSE)))</f>
        <v>#N/A</v>
      </c>
      <c r="R200" s="243">
        <f t="shared" si="67"/>
        <v>0</v>
      </c>
      <c r="S200" s="64">
        <v>1</v>
      </c>
      <c r="T200" s="68">
        <v>0</v>
      </c>
      <c r="U200" s="244">
        <f t="shared" si="70"/>
        <v>1</v>
      </c>
    </row>
    <row r="201" spans="2:24" ht="15" thickBot="1" x14ac:dyDescent="0.35">
      <c r="C201" s="520"/>
      <c r="D201" s="224" t="str">
        <f t="shared" si="71"/>
        <v xml:space="preserve">  </v>
      </c>
      <c r="E201" s="224"/>
      <c r="F201" s="224" t="str">
        <f t="shared" si="72"/>
        <v xml:space="preserve">  </v>
      </c>
      <c r="G201" s="224"/>
      <c r="H201" s="380"/>
      <c r="I201" s="516" t="e">
        <f>IF(VLOOKUP(C17,list!$AA$5:$AS$14,10,FALSE)=0," ",(VLOOKUP(C17,list!$AA$5:$AS$14,10,FALSE)))</f>
        <v>#N/A</v>
      </c>
      <c r="J201" s="955" t="e">
        <f t="shared" si="68"/>
        <v>#N/A</v>
      </c>
      <c r="K201" s="955" t="e">
        <f t="shared" si="69"/>
        <v>#N/A</v>
      </c>
      <c r="L201" s="969" t="e">
        <f>IF(I201=" "," ",VLOOKUP(J201,list!$J$4:$M$117,4,FALSE))</f>
        <v>#N/A</v>
      </c>
      <c r="M201" s="66"/>
      <c r="N201" s="1297" t="str">
        <f>IF(SUMIFS('Level of Efficiency Assumptions'!$J:$J,'Level of Efficiency Assumptions'!$H:$H,$I201,'Level of Efficiency Assumptions'!$I:$I,N$51)=0," ",SUMIFS('Level of Efficiency Assumptions'!$J:$J,'Level of Efficiency Assumptions'!$H:$H,$I201,'Level of Efficiency Assumptions'!$I:$I,N$51))</f>
        <v xml:space="preserve"> </v>
      </c>
      <c r="O201" s="1298" t="str">
        <f>IF(SUMIFS('Level of Efficiency Assumptions'!$J:$J,'Level of Efficiency Assumptions'!$H:$H,$I201,'Level of Efficiency Assumptions'!$I:$I,O$51)=0," ",SUMIFS('Level of Efficiency Assumptions'!$J:$J,'Level of Efficiency Assumptions'!$H:$H,$I201,'Level of Efficiency Assumptions'!$I:$I,O$51))</f>
        <v xml:space="preserve"> </v>
      </c>
      <c r="P201" s="1299" t="str">
        <f>IF(SUMIFS('Level of Efficiency Assumptions'!$J:$J,'Level of Efficiency Assumptions'!$H:$H,$I201,'Level of Efficiency Assumptions'!$I:$I,P$51)=0," ",SUMIFS('Level of Efficiency Assumptions'!$J:$J,'Level of Efficiency Assumptions'!$H:$H,$I201,'Level of Efficiency Assumptions'!$I:$I,P$51))</f>
        <v xml:space="preserve"> </v>
      </c>
      <c r="Q201" s="971" t="e">
        <f>IF(I201=" "," ",(VLOOKUP(I201,list!$B$81:$C$111,2,FALSE)))</f>
        <v>#N/A</v>
      </c>
      <c r="R201" s="243">
        <f t="shared" si="67"/>
        <v>0</v>
      </c>
      <c r="S201" s="64">
        <v>1</v>
      </c>
      <c r="T201" s="68">
        <v>0</v>
      </c>
      <c r="U201" s="244">
        <f t="shared" si="70"/>
        <v>1</v>
      </c>
    </row>
    <row r="202" spans="2:24" ht="15" thickBot="1" x14ac:dyDescent="0.35">
      <c r="C202" s="520"/>
      <c r="D202" s="224" t="str">
        <f t="shared" si="71"/>
        <v xml:space="preserve">  </v>
      </c>
      <c r="E202" s="224"/>
      <c r="F202" s="224" t="str">
        <f t="shared" si="72"/>
        <v xml:space="preserve">  </v>
      </c>
      <c r="G202" s="224"/>
      <c r="H202" s="380"/>
      <c r="I202" s="516" t="e">
        <f>IF(VLOOKUP(C17,list!$AA$5:$AS$14,11,FALSE)=0," ",(VLOOKUP(C17,list!$AA$5:$AS$14,11,FALSE)))</f>
        <v>#N/A</v>
      </c>
      <c r="J202" s="955" t="e">
        <f t="shared" si="68"/>
        <v>#N/A</v>
      </c>
      <c r="K202" s="955" t="e">
        <f t="shared" si="69"/>
        <v>#N/A</v>
      </c>
      <c r="L202" s="969" t="e">
        <f>IF(I202=" "," ",VLOOKUP(J202,list!$J$4:$M$117,4,FALSE))</f>
        <v>#N/A</v>
      </c>
      <c r="M202" s="66"/>
      <c r="N202" s="1297" t="str">
        <f>IF(SUMIFS('Level of Efficiency Assumptions'!$J:$J,'Level of Efficiency Assumptions'!$H:$H,$I202,'Level of Efficiency Assumptions'!$I:$I,N$51)=0," ",SUMIFS('Level of Efficiency Assumptions'!$J:$J,'Level of Efficiency Assumptions'!$H:$H,$I202,'Level of Efficiency Assumptions'!$I:$I,N$51))</f>
        <v xml:space="preserve"> </v>
      </c>
      <c r="O202" s="1298" t="str">
        <f>IF(SUMIFS('Level of Efficiency Assumptions'!$J:$J,'Level of Efficiency Assumptions'!$H:$H,$I202,'Level of Efficiency Assumptions'!$I:$I,O$51)=0," ",SUMIFS('Level of Efficiency Assumptions'!$J:$J,'Level of Efficiency Assumptions'!$H:$H,$I202,'Level of Efficiency Assumptions'!$I:$I,O$51))</f>
        <v xml:space="preserve"> </v>
      </c>
      <c r="P202" s="1299" t="str">
        <f>IF(SUMIFS('Level of Efficiency Assumptions'!$J:$J,'Level of Efficiency Assumptions'!$H:$H,$I202,'Level of Efficiency Assumptions'!$I:$I,P$51)=0," ",SUMIFS('Level of Efficiency Assumptions'!$J:$J,'Level of Efficiency Assumptions'!$H:$H,$I202,'Level of Efficiency Assumptions'!$I:$I,P$51))</f>
        <v xml:space="preserve"> </v>
      </c>
      <c r="Q202" s="971" t="e">
        <f>IF(I202=" "," ",(VLOOKUP(I202,list!$B$81:$C$111,2,FALSE)))</f>
        <v>#N/A</v>
      </c>
      <c r="R202" s="243">
        <f t="shared" si="67"/>
        <v>0</v>
      </c>
      <c r="S202" s="64">
        <v>1</v>
      </c>
      <c r="T202" s="68">
        <v>0</v>
      </c>
      <c r="U202" s="244">
        <f t="shared" si="70"/>
        <v>1</v>
      </c>
    </row>
    <row r="203" spans="2:24" ht="15" thickBot="1" x14ac:dyDescent="0.35">
      <c r="C203" s="520"/>
      <c r="D203" s="224" t="str">
        <f t="shared" si="71"/>
        <v xml:space="preserve">  </v>
      </c>
      <c r="E203" s="224"/>
      <c r="F203" s="224" t="str">
        <f t="shared" si="72"/>
        <v xml:space="preserve">  </v>
      </c>
      <c r="G203" s="224"/>
      <c r="H203" s="380"/>
      <c r="I203" s="516" t="e">
        <f>IF(VLOOKUP(C17,list!$AA$5:$AS$14,12,FALSE)=0," ",(VLOOKUP(C17,list!$AA$5:$AS$14,12,FALSE)))</f>
        <v>#N/A</v>
      </c>
      <c r="J203" s="955" t="e">
        <f t="shared" si="68"/>
        <v>#N/A</v>
      </c>
      <c r="K203" s="955" t="e">
        <f t="shared" si="69"/>
        <v>#N/A</v>
      </c>
      <c r="L203" s="969" t="e">
        <f>IF(I203=" "," ",VLOOKUP(J203,list!$J$4:$M$117,4,FALSE))</f>
        <v>#N/A</v>
      </c>
      <c r="M203" s="66"/>
      <c r="N203" s="1297" t="str">
        <f>IF(SUMIFS('Level of Efficiency Assumptions'!$J:$J,'Level of Efficiency Assumptions'!$H:$H,$I203,'Level of Efficiency Assumptions'!$I:$I,N$51)=0," ",SUMIFS('Level of Efficiency Assumptions'!$J:$J,'Level of Efficiency Assumptions'!$H:$H,$I203,'Level of Efficiency Assumptions'!$I:$I,N$51))</f>
        <v xml:space="preserve"> </v>
      </c>
      <c r="O203" s="1298" t="str">
        <f>IF(SUMIFS('Level of Efficiency Assumptions'!$J:$J,'Level of Efficiency Assumptions'!$H:$H,$I203,'Level of Efficiency Assumptions'!$I:$I,O$51)=0," ",SUMIFS('Level of Efficiency Assumptions'!$J:$J,'Level of Efficiency Assumptions'!$H:$H,$I203,'Level of Efficiency Assumptions'!$I:$I,O$51))</f>
        <v xml:space="preserve"> </v>
      </c>
      <c r="P203" s="1299" t="str">
        <f>IF(SUMIFS('Level of Efficiency Assumptions'!$J:$J,'Level of Efficiency Assumptions'!$H:$H,$I203,'Level of Efficiency Assumptions'!$I:$I,P$51)=0," ",SUMIFS('Level of Efficiency Assumptions'!$J:$J,'Level of Efficiency Assumptions'!$H:$H,$I203,'Level of Efficiency Assumptions'!$I:$I,P$51))</f>
        <v xml:space="preserve"> </v>
      </c>
      <c r="Q203" s="971" t="e">
        <f>IF(I203=" "," ",(VLOOKUP(I203,list!$B$81:$C$111,2,FALSE)))</f>
        <v>#N/A</v>
      </c>
      <c r="R203" s="243">
        <f t="shared" si="67"/>
        <v>0</v>
      </c>
      <c r="S203" s="64">
        <v>1</v>
      </c>
      <c r="T203" s="68">
        <v>0</v>
      </c>
      <c r="U203" s="244">
        <f t="shared" si="70"/>
        <v>1</v>
      </c>
    </row>
    <row r="204" spans="2:24" ht="15" thickBot="1" x14ac:dyDescent="0.35">
      <c r="C204" s="520"/>
      <c r="D204" s="224" t="str">
        <f t="shared" si="71"/>
        <v xml:space="preserve">  </v>
      </c>
      <c r="E204" s="224"/>
      <c r="F204" s="224" t="str">
        <f t="shared" si="72"/>
        <v xml:space="preserve">  </v>
      </c>
      <c r="G204" s="224"/>
      <c r="H204" s="380"/>
      <c r="I204" s="516" t="e">
        <f>IF(VLOOKUP(C17,list!$AA$5:$AS$14,13,FALSE)=0," ",(VLOOKUP(C17,list!$AA$5:$AS$14,13,FALSE)))</f>
        <v>#N/A</v>
      </c>
      <c r="J204" s="955" t="e">
        <f t="shared" si="68"/>
        <v>#N/A</v>
      </c>
      <c r="K204" s="955" t="e">
        <f t="shared" si="69"/>
        <v>#N/A</v>
      </c>
      <c r="L204" s="969" t="e">
        <f>IF(I204=" "," ",VLOOKUP(J204,list!$J$4:$M$117,4,FALSE))</f>
        <v>#N/A</v>
      </c>
      <c r="M204" s="66"/>
      <c r="N204" s="1297" t="str">
        <f>IF(SUMIFS('Level of Efficiency Assumptions'!$J:$J,'Level of Efficiency Assumptions'!$H:$H,$I204,'Level of Efficiency Assumptions'!$I:$I,N$51)=0," ",SUMIFS('Level of Efficiency Assumptions'!$J:$J,'Level of Efficiency Assumptions'!$H:$H,$I204,'Level of Efficiency Assumptions'!$I:$I,N$51))</f>
        <v xml:space="preserve"> </v>
      </c>
      <c r="O204" s="1298" t="str">
        <f>IF(SUMIFS('Level of Efficiency Assumptions'!$J:$J,'Level of Efficiency Assumptions'!$H:$H,$I204,'Level of Efficiency Assumptions'!$I:$I,O$51)=0," ",SUMIFS('Level of Efficiency Assumptions'!$J:$J,'Level of Efficiency Assumptions'!$H:$H,$I204,'Level of Efficiency Assumptions'!$I:$I,O$51))</f>
        <v xml:space="preserve"> </v>
      </c>
      <c r="P204" s="1299" t="str">
        <f>IF(SUMIFS('Level of Efficiency Assumptions'!$J:$J,'Level of Efficiency Assumptions'!$H:$H,$I204,'Level of Efficiency Assumptions'!$I:$I,P$51)=0," ",SUMIFS('Level of Efficiency Assumptions'!$J:$J,'Level of Efficiency Assumptions'!$H:$H,$I204,'Level of Efficiency Assumptions'!$I:$I,P$51))</f>
        <v xml:space="preserve"> </v>
      </c>
      <c r="Q204" s="971" t="e">
        <f>IF(I204=" "," ",(VLOOKUP(I204,list!$B$81:$C$111,2,FALSE)))</f>
        <v>#N/A</v>
      </c>
      <c r="R204" s="243">
        <f t="shared" si="67"/>
        <v>0</v>
      </c>
      <c r="S204" s="64">
        <v>1</v>
      </c>
      <c r="T204" s="68">
        <v>0</v>
      </c>
      <c r="U204" s="244">
        <f t="shared" si="70"/>
        <v>1</v>
      </c>
    </row>
    <row r="205" spans="2:24" ht="15" thickBot="1" x14ac:dyDescent="0.35">
      <c r="C205" s="520"/>
      <c r="D205" s="224" t="str">
        <f t="shared" si="71"/>
        <v xml:space="preserve">  </v>
      </c>
      <c r="E205" s="224"/>
      <c r="F205" s="224" t="str">
        <f t="shared" si="72"/>
        <v xml:space="preserve">  </v>
      </c>
      <c r="G205" s="224"/>
      <c r="H205" s="380"/>
      <c r="I205" s="516" t="e">
        <f>IF(VLOOKUP(C17,list!$AA$5:$AS$14,14,FALSE)=0," ",(VLOOKUP(C17,list!$AA$5:$AS$14,14,FALSE)))</f>
        <v>#N/A</v>
      </c>
      <c r="J205" s="955" t="e">
        <f t="shared" si="68"/>
        <v>#N/A</v>
      </c>
      <c r="K205" s="955" t="e">
        <f t="shared" si="69"/>
        <v>#N/A</v>
      </c>
      <c r="L205" s="969" t="e">
        <f>IF(I205=" "," ",VLOOKUP(J205,list!$J$4:$M$117,4,FALSE))</f>
        <v>#N/A</v>
      </c>
      <c r="M205" s="66"/>
      <c r="N205" s="1297" t="str">
        <f>IF(SUMIFS('Level of Efficiency Assumptions'!$J:$J,'Level of Efficiency Assumptions'!$H:$H,$I205,'Level of Efficiency Assumptions'!$I:$I,N$51)=0," ",SUMIFS('Level of Efficiency Assumptions'!$J:$J,'Level of Efficiency Assumptions'!$H:$H,$I205,'Level of Efficiency Assumptions'!$I:$I,N$51))</f>
        <v xml:space="preserve"> </v>
      </c>
      <c r="O205" s="1298" t="str">
        <f>IF(SUMIFS('Level of Efficiency Assumptions'!$J:$J,'Level of Efficiency Assumptions'!$H:$H,$I205,'Level of Efficiency Assumptions'!$I:$I,O$51)=0," ",SUMIFS('Level of Efficiency Assumptions'!$J:$J,'Level of Efficiency Assumptions'!$H:$H,$I205,'Level of Efficiency Assumptions'!$I:$I,O$51))</f>
        <v xml:space="preserve"> </v>
      </c>
      <c r="P205" s="1299" t="str">
        <f>IF(SUMIFS('Level of Efficiency Assumptions'!$J:$J,'Level of Efficiency Assumptions'!$H:$H,$I205,'Level of Efficiency Assumptions'!$I:$I,P$51)=0," ",SUMIFS('Level of Efficiency Assumptions'!$J:$J,'Level of Efficiency Assumptions'!$H:$H,$I205,'Level of Efficiency Assumptions'!$I:$I,P$51))</f>
        <v xml:space="preserve"> </v>
      </c>
      <c r="Q205" s="971" t="e">
        <f>IF(I205=" "," ",(VLOOKUP(I205,list!$B$81:$C$111,2,FALSE)))</f>
        <v>#N/A</v>
      </c>
      <c r="R205" s="243">
        <f t="shared" si="67"/>
        <v>0</v>
      </c>
      <c r="S205" s="64">
        <v>1</v>
      </c>
      <c r="T205" s="68">
        <v>0</v>
      </c>
      <c r="U205" s="244">
        <f t="shared" si="70"/>
        <v>1</v>
      </c>
    </row>
    <row r="206" spans="2:24" ht="15" thickBot="1" x14ac:dyDescent="0.35">
      <c r="C206" s="520"/>
      <c r="D206" s="224" t="str">
        <f t="shared" si="71"/>
        <v xml:space="preserve">  </v>
      </c>
      <c r="E206" s="224"/>
      <c r="F206" s="224" t="str">
        <f t="shared" si="72"/>
        <v xml:space="preserve">  </v>
      </c>
      <c r="G206" s="224"/>
      <c r="H206" s="380"/>
      <c r="I206" s="516" t="e">
        <f>IF(VLOOKUP(C17,list!$AA$5:$AS$14,15,FALSE)=0," ",(VLOOKUP(C17,list!$AA$5:$AS$14,15,FALSE)))</f>
        <v>#N/A</v>
      </c>
      <c r="J206" s="955" t="e">
        <f t="shared" si="68"/>
        <v>#N/A</v>
      </c>
      <c r="K206" s="955" t="e">
        <f t="shared" si="69"/>
        <v>#N/A</v>
      </c>
      <c r="L206" s="969" t="e">
        <f>IF(I206=" "," ",VLOOKUP(J206,list!$J$4:$M$117,4,FALSE))</f>
        <v>#N/A</v>
      </c>
      <c r="M206" s="66"/>
      <c r="N206" s="1297" t="str">
        <f>IF(SUMIFS('Level of Efficiency Assumptions'!$J:$J,'Level of Efficiency Assumptions'!$H:$H,$I206,'Level of Efficiency Assumptions'!$I:$I,N$51)=0," ",SUMIFS('Level of Efficiency Assumptions'!$J:$J,'Level of Efficiency Assumptions'!$H:$H,$I206,'Level of Efficiency Assumptions'!$I:$I,N$51))</f>
        <v xml:space="preserve"> </v>
      </c>
      <c r="O206" s="1298" t="str">
        <f>IF(SUMIFS('Level of Efficiency Assumptions'!$J:$J,'Level of Efficiency Assumptions'!$H:$H,$I206,'Level of Efficiency Assumptions'!$I:$I,O$51)=0," ",SUMIFS('Level of Efficiency Assumptions'!$J:$J,'Level of Efficiency Assumptions'!$H:$H,$I206,'Level of Efficiency Assumptions'!$I:$I,O$51))</f>
        <v xml:space="preserve"> </v>
      </c>
      <c r="P206" s="1299" t="str">
        <f>IF(SUMIFS('Level of Efficiency Assumptions'!$J:$J,'Level of Efficiency Assumptions'!$H:$H,$I206,'Level of Efficiency Assumptions'!$I:$I,P$51)=0," ",SUMIFS('Level of Efficiency Assumptions'!$J:$J,'Level of Efficiency Assumptions'!$H:$H,$I206,'Level of Efficiency Assumptions'!$I:$I,P$51))</f>
        <v xml:space="preserve"> </v>
      </c>
      <c r="Q206" s="971" t="e">
        <f>IF(I206=" "," ",(VLOOKUP(I206,list!$B$81:$C$111,2,FALSE)))</f>
        <v>#N/A</v>
      </c>
      <c r="R206" s="243">
        <f t="shared" si="67"/>
        <v>0</v>
      </c>
      <c r="S206" s="64">
        <v>1</v>
      </c>
      <c r="T206" s="68">
        <v>0</v>
      </c>
      <c r="U206" s="244">
        <f t="shared" si="70"/>
        <v>1</v>
      </c>
    </row>
    <row r="207" spans="2:24" ht="15" thickBot="1" x14ac:dyDescent="0.35">
      <c r="C207" s="520"/>
      <c r="D207" s="224" t="str">
        <f t="shared" si="71"/>
        <v xml:space="preserve">  </v>
      </c>
      <c r="E207" s="224"/>
      <c r="F207" s="224" t="str">
        <f t="shared" si="72"/>
        <v xml:space="preserve">  </v>
      </c>
      <c r="G207" s="224"/>
      <c r="H207" s="380"/>
      <c r="I207" s="516" t="e">
        <f>IF(VLOOKUP(C17,list!$AA$5:$AS$14,16,FALSE)=0," ",(VLOOKUP(C17,list!$AA$5:$AS$14,16,FALSE)))</f>
        <v>#N/A</v>
      </c>
      <c r="J207" s="955" t="e">
        <f t="shared" si="68"/>
        <v>#N/A</v>
      </c>
      <c r="K207" s="955" t="e">
        <f t="shared" si="69"/>
        <v>#N/A</v>
      </c>
      <c r="L207" s="969" t="e">
        <f>IF(I207=" "," ",VLOOKUP(J207,list!$J$4:$M$117,4,FALSE))</f>
        <v>#N/A</v>
      </c>
      <c r="M207" s="66"/>
      <c r="N207" s="1297" t="str">
        <f>IF(SUMIFS('Level of Efficiency Assumptions'!$J:$J,'Level of Efficiency Assumptions'!$H:$H,$I207,'Level of Efficiency Assumptions'!$I:$I,N$51)=0," ",SUMIFS('Level of Efficiency Assumptions'!$J:$J,'Level of Efficiency Assumptions'!$H:$H,$I207,'Level of Efficiency Assumptions'!$I:$I,N$51))</f>
        <v xml:space="preserve"> </v>
      </c>
      <c r="O207" s="1298" t="str">
        <f>IF(SUMIFS('Level of Efficiency Assumptions'!$J:$J,'Level of Efficiency Assumptions'!$H:$H,$I207,'Level of Efficiency Assumptions'!$I:$I,O$51)=0," ",SUMIFS('Level of Efficiency Assumptions'!$J:$J,'Level of Efficiency Assumptions'!$H:$H,$I207,'Level of Efficiency Assumptions'!$I:$I,O$51))</f>
        <v xml:space="preserve"> </v>
      </c>
      <c r="P207" s="1299" t="str">
        <f>IF(SUMIFS('Level of Efficiency Assumptions'!$J:$J,'Level of Efficiency Assumptions'!$H:$H,$I207,'Level of Efficiency Assumptions'!$I:$I,P$51)=0," ",SUMIFS('Level of Efficiency Assumptions'!$J:$J,'Level of Efficiency Assumptions'!$H:$H,$I207,'Level of Efficiency Assumptions'!$I:$I,P$51))</f>
        <v xml:space="preserve"> </v>
      </c>
      <c r="Q207" s="971" t="e">
        <f>IF(I207=" "," ",(VLOOKUP(I207,list!$B$81:$C$111,2,FALSE)))</f>
        <v>#N/A</v>
      </c>
      <c r="R207" s="243">
        <f t="shared" si="67"/>
        <v>0</v>
      </c>
      <c r="S207" s="64">
        <v>1</v>
      </c>
      <c r="T207" s="68">
        <v>0</v>
      </c>
      <c r="U207" s="244">
        <f t="shared" si="70"/>
        <v>1</v>
      </c>
    </row>
    <row r="208" spans="2:24" ht="15" thickBot="1" x14ac:dyDescent="0.35">
      <c r="C208" s="520"/>
      <c r="D208" s="224" t="str">
        <f t="shared" si="71"/>
        <v xml:space="preserve">  </v>
      </c>
      <c r="E208" s="224"/>
      <c r="F208" s="224" t="str">
        <f t="shared" si="72"/>
        <v xml:space="preserve">  </v>
      </c>
      <c r="G208" s="224"/>
      <c r="H208" s="380"/>
      <c r="I208" s="516" t="e">
        <f>IF(VLOOKUP(C17,list!$AA$5:$AS$14,17,FALSE)=0," ",(VLOOKUP(C17,list!$AA$5:$AS$14,17,FALSE)))</f>
        <v>#N/A</v>
      </c>
      <c r="J208" s="955" t="e">
        <f t="shared" si="68"/>
        <v>#N/A</v>
      </c>
      <c r="K208" s="955" t="e">
        <f t="shared" si="69"/>
        <v>#N/A</v>
      </c>
      <c r="L208" s="969" t="e">
        <f>IF(I208=" "," ",VLOOKUP(J208,list!$J$4:$M$117,4,FALSE))</f>
        <v>#N/A</v>
      </c>
      <c r="M208" s="66"/>
      <c r="N208" s="1297" t="str">
        <f>IF(SUMIFS('Level of Efficiency Assumptions'!$J:$J,'Level of Efficiency Assumptions'!$H:$H,$I208,'Level of Efficiency Assumptions'!$I:$I,N$51)=0," ",SUMIFS('Level of Efficiency Assumptions'!$J:$J,'Level of Efficiency Assumptions'!$H:$H,$I208,'Level of Efficiency Assumptions'!$I:$I,N$51))</f>
        <v xml:space="preserve"> </v>
      </c>
      <c r="O208" s="1298" t="str">
        <f>IF(SUMIFS('Level of Efficiency Assumptions'!$J:$J,'Level of Efficiency Assumptions'!$H:$H,$I208,'Level of Efficiency Assumptions'!$I:$I,O$51)=0," ",SUMIFS('Level of Efficiency Assumptions'!$J:$J,'Level of Efficiency Assumptions'!$H:$H,$I208,'Level of Efficiency Assumptions'!$I:$I,O$51))</f>
        <v xml:space="preserve"> </v>
      </c>
      <c r="P208" s="1299" t="str">
        <f>IF(SUMIFS('Level of Efficiency Assumptions'!$J:$J,'Level of Efficiency Assumptions'!$H:$H,$I208,'Level of Efficiency Assumptions'!$I:$I,P$51)=0," ",SUMIFS('Level of Efficiency Assumptions'!$J:$J,'Level of Efficiency Assumptions'!$H:$H,$I208,'Level of Efficiency Assumptions'!$I:$I,P$51))</f>
        <v xml:space="preserve"> </v>
      </c>
      <c r="Q208" s="971" t="e">
        <f>IF(I208=" "," ",(VLOOKUP(I208,list!$B$81:$C$111,2,FALSE)))</f>
        <v>#N/A</v>
      </c>
      <c r="R208" s="243">
        <f t="shared" si="67"/>
        <v>0</v>
      </c>
      <c r="S208" s="64">
        <v>1</v>
      </c>
      <c r="T208" s="68">
        <v>0</v>
      </c>
      <c r="U208" s="244">
        <f t="shared" si="70"/>
        <v>1</v>
      </c>
    </row>
    <row r="209" spans="2:24" ht="15" thickBot="1" x14ac:dyDescent="0.35">
      <c r="C209" s="520"/>
      <c r="D209" s="224" t="str">
        <f t="shared" si="71"/>
        <v xml:space="preserve">  </v>
      </c>
      <c r="E209" s="224"/>
      <c r="F209" s="224" t="str">
        <f t="shared" si="72"/>
        <v xml:space="preserve">  </v>
      </c>
      <c r="G209" s="224"/>
      <c r="H209" s="380"/>
      <c r="I209" s="516" t="e">
        <f>IF(VLOOKUP(C17,list!$AA$5:$AS$14,18,FALSE)=0," ",(VLOOKUP(C17,list!$AA$5:$AS$14,18,FALSE)))</f>
        <v>#N/A</v>
      </c>
      <c r="J209" s="955" t="e">
        <f t="shared" si="68"/>
        <v>#N/A</v>
      </c>
      <c r="K209" s="955" t="e">
        <f t="shared" si="69"/>
        <v>#N/A</v>
      </c>
      <c r="L209" s="969" t="e">
        <f>IF(I209=" "," ",VLOOKUP(J209,list!$J$4:$M$117,4,FALSE))</f>
        <v>#N/A</v>
      </c>
      <c r="M209" s="66"/>
      <c r="N209" s="1297" t="str">
        <f>IF(SUMIFS('Level of Efficiency Assumptions'!$J:$J,'Level of Efficiency Assumptions'!$H:$H,$I209,'Level of Efficiency Assumptions'!$I:$I,N$51)=0," ",SUMIFS('Level of Efficiency Assumptions'!$J:$J,'Level of Efficiency Assumptions'!$H:$H,$I209,'Level of Efficiency Assumptions'!$I:$I,N$51))</f>
        <v xml:space="preserve"> </v>
      </c>
      <c r="O209" s="1298" t="str">
        <f>IF(SUMIFS('Level of Efficiency Assumptions'!$J:$J,'Level of Efficiency Assumptions'!$H:$H,$I209,'Level of Efficiency Assumptions'!$I:$I,O$51)=0," ",SUMIFS('Level of Efficiency Assumptions'!$J:$J,'Level of Efficiency Assumptions'!$H:$H,$I209,'Level of Efficiency Assumptions'!$I:$I,O$51))</f>
        <v xml:space="preserve"> </v>
      </c>
      <c r="P209" s="1299" t="str">
        <f>IF(SUMIFS('Level of Efficiency Assumptions'!$J:$J,'Level of Efficiency Assumptions'!$H:$H,$I209,'Level of Efficiency Assumptions'!$I:$I,P$51)=0," ",SUMIFS('Level of Efficiency Assumptions'!$J:$J,'Level of Efficiency Assumptions'!$H:$H,$I209,'Level of Efficiency Assumptions'!$I:$I,P$51))</f>
        <v xml:space="preserve"> </v>
      </c>
      <c r="Q209" s="971" t="e">
        <f>IF(I209=" "," ",(VLOOKUP(I209,list!$B$81:$C$111,2,FALSE)))</f>
        <v>#N/A</v>
      </c>
      <c r="R209" s="243">
        <f t="shared" si="67"/>
        <v>0</v>
      </c>
      <c r="S209" s="64">
        <v>1</v>
      </c>
      <c r="T209" s="68">
        <v>0</v>
      </c>
      <c r="U209" s="244">
        <f t="shared" si="70"/>
        <v>1</v>
      </c>
    </row>
    <row r="210" spans="2:24" ht="15" thickBot="1" x14ac:dyDescent="0.35">
      <c r="C210" s="632"/>
      <c r="D210" s="226" t="str">
        <f t="shared" si="71"/>
        <v xml:space="preserve">  </v>
      </c>
      <c r="E210" s="226"/>
      <c r="F210" s="226" t="str">
        <f t="shared" si="72"/>
        <v xml:space="preserve">  </v>
      </c>
      <c r="G210" s="226"/>
      <c r="H210" s="976"/>
      <c r="I210" s="516" t="e">
        <f>IF(VLOOKUP(C17,list!$AA$5:$AS$14,19,FALSE)=0," ",(VLOOKUP(C17,list!$AA$5:$AS$14,19,FALSE)))</f>
        <v>#N/A</v>
      </c>
      <c r="J210" s="955" t="e">
        <f>IF(I210=" "," ",(D210&amp;"-"&amp;I210))</f>
        <v>#N/A</v>
      </c>
      <c r="K210" s="955" t="e">
        <f t="shared" si="69"/>
        <v>#N/A</v>
      </c>
      <c r="L210" s="969" t="e">
        <f>IF(I210=" "," ",VLOOKUP(J210,list!$J$4:$M$117,4,FALSE))</f>
        <v>#N/A</v>
      </c>
      <c r="M210" s="67"/>
      <c r="N210" s="1303" t="str">
        <f>IF(SUMIFS('Level of Efficiency Assumptions'!$J:$J,'Level of Efficiency Assumptions'!$H:$H,$I210,'Level of Efficiency Assumptions'!$I:$I,N$51)=0," ",SUMIFS('Level of Efficiency Assumptions'!$J:$J,'Level of Efficiency Assumptions'!$H:$H,$I210,'Level of Efficiency Assumptions'!$I:$I,N$51))</f>
        <v xml:space="preserve"> </v>
      </c>
      <c r="O210" s="1304" t="str">
        <f>IF(SUMIFS('Level of Efficiency Assumptions'!$J:$J,'Level of Efficiency Assumptions'!$H:$H,$I210,'Level of Efficiency Assumptions'!$I:$I,O$51)=0," ",SUMIFS('Level of Efficiency Assumptions'!$J:$J,'Level of Efficiency Assumptions'!$H:$H,$I210,'Level of Efficiency Assumptions'!$I:$I,O$51))</f>
        <v xml:space="preserve"> </v>
      </c>
      <c r="P210" s="1305" t="str">
        <f>IF(SUMIFS('Level of Efficiency Assumptions'!$J:$J,'Level of Efficiency Assumptions'!$H:$H,$I210,'Level of Efficiency Assumptions'!$I:$I,P$51)=0," ",SUMIFS('Level of Efficiency Assumptions'!$J:$J,'Level of Efficiency Assumptions'!$H:$H,$I210,'Level of Efficiency Assumptions'!$I:$I,P$51))</f>
        <v xml:space="preserve"> </v>
      </c>
      <c r="Q210" s="977" t="e">
        <f>IF(I210=" "," ",(VLOOKUP(I210,list!$B$81:$C$111,2,FALSE)))</f>
        <v>#N/A</v>
      </c>
      <c r="R210" s="245">
        <f t="shared" si="67"/>
        <v>0</v>
      </c>
      <c r="S210" s="65">
        <v>1</v>
      </c>
      <c r="T210" s="69">
        <v>0</v>
      </c>
      <c r="U210" s="246">
        <f t="shared" si="70"/>
        <v>1</v>
      </c>
    </row>
    <row r="211" spans="2:24" x14ac:dyDescent="0.3">
      <c r="D211" s="846"/>
      <c r="F211" s="82"/>
      <c r="J211" s="846"/>
      <c r="K211" s="846"/>
      <c r="N211" s="1179"/>
      <c r="O211" s="1179"/>
      <c r="P211" s="1179"/>
      <c r="R211" s="176" t="s">
        <v>295</v>
      </c>
      <c r="S211" s="176"/>
      <c r="T211" s="176"/>
      <c r="U211" s="176"/>
    </row>
    <row r="212" spans="2:24" ht="15" thickBot="1" x14ac:dyDescent="0.35">
      <c r="D212" s="846"/>
      <c r="F212" s="82"/>
      <c r="J212" s="846"/>
      <c r="K212" s="846"/>
      <c r="N212" s="1179"/>
      <c r="O212" s="1179"/>
      <c r="P212" s="1179"/>
    </row>
    <row r="213" spans="2:24" ht="15" thickBot="1" x14ac:dyDescent="0.35">
      <c r="B213" s="814">
        <v>9</v>
      </c>
      <c r="C213" s="967" t="str">
        <f t="shared" ref="C213:H213" si="73">C18</f>
        <v xml:space="preserve">  </v>
      </c>
      <c r="D213" s="967" t="str">
        <f t="shared" si="73"/>
        <v xml:space="preserve">  </v>
      </c>
      <c r="E213" s="967" t="str">
        <f t="shared" si="73"/>
        <v xml:space="preserve">  </v>
      </c>
      <c r="F213" s="967" t="str">
        <f t="shared" si="73"/>
        <v xml:space="preserve">  </v>
      </c>
      <c r="G213" s="967">
        <f t="shared" si="73"/>
        <v>0</v>
      </c>
      <c r="H213" s="968">
        <f t="shared" si="73"/>
        <v>0</v>
      </c>
      <c r="I213" s="516" t="e">
        <f>IF(VLOOKUP(C18,list!$AA$5:$AS$14,2,FALSE)=0," ",(VLOOKUP(C18,list!$AA$5:$AS$14,2,FALSE)))</f>
        <v>#N/A</v>
      </c>
      <c r="J213" s="955" t="e">
        <f>IF(I213=" "," ",(D18&amp;"-"&amp;I213))</f>
        <v>#N/A</v>
      </c>
      <c r="K213" s="955" t="e">
        <f>IF(I213=" "," ",(F18&amp;"-"&amp;I213))</f>
        <v>#N/A</v>
      </c>
      <c r="L213" s="969" t="e">
        <f>IF(I213=" "," ",VLOOKUP(J213,list!$J$4:$M$117,4,FALSE))</f>
        <v>#N/A</v>
      </c>
      <c r="M213" s="70"/>
      <c r="N213" s="1300" t="str">
        <f>IF(SUMIFS('Level of Efficiency Assumptions'!$J:$J,'Level of Efficiency Assumptions'!$H:$H,$I213,'Level of Efficiency Assumptions'!$I:$I,N$51)=0," ",SUMIFS('Level of Efficiency Assumptions'!$J:$J,'Level of Efficiency Assumptions'!$H:$H,$I213,'Level of Efficiency Assumptions'!$I:$I,N$51))</f>
        <v xml:space="preserve"> </v>
      </c>
      <c r="O213" s="1301" t="str">
        <f>IF(SUMIFS('Level of Efficiency Assumptions'!$J:$J,'Level of Efficiency Assumptions'!$H:$H,$I213,'Level of Efficiency Assumptions'!$I:$I,O$51)=0," ",SUMIFS('Level of Efficiency Assumptions'!$J:$J,'Level of Efficiency Assumptions'!$H:$H,$I213,'Level of Efficiency Assumptions'!$I:$I,O$51))</f>
        <v xml:space="preserve"> </v>
      </c>
      <c r="P213" s="1302" t="str">
        <f>IF(SUMIFS('Level of Efficiency Assumptions'!$J:$J,'Level of Efficiency Assumptions'!$H:$H,$I213,'Level of Efficiency Assumptions'!$I:$I,P$51)=0," ",SUMIFS('Level of Efficiency Assumptions'!$J:$J,'Level of Efficiency Assumptions'!$H:$H,$I213,'Level of Efficiency Assumptions'!$I:$I,P$51))</f>
        <v xml:space="preserve"> </v>
      </c>
      <c r="Q213" s="970" t="e">
        <f>IF(I213=" "," ",(VLOOKUP(I213,list!$B$81:$C$111,2,FALSE)))</f>
        <v>#N/A</v>
      </c>
      <c r="R213" s="241">
        <f t="shared" ref="R213:R230" si="74">1-S213-T213</f>
        <v>0</v>
      </c>
      <c r="S213" s="83">
        <v>1</v>
      </c>
      <c r="T213" s="84">
        <v>0</v>
      </c>
      <c r="U213" s="242">
        <f>SUM(R213:T213)</f>
        <v>1</v>
      </c>
      <c r="W213" s="250" t="s">
        <v>367</v>
      </c>
      <c r="X213" s="251" t="s">
        <v>366</v>
      </c>
    </row>
    <row r="214" spans="2:24" ht="15" thickBot="1" x14ac:dyDescent="0.35">
      <c r="C214" s="520"/>
      <c r="D214" s="224" t="str">
        <f>D18</f>
        <v xml:space="preserve">  </v>
      </c>
      <c r="E214" s="224"/>
      <c r="F214" s="224" t="str">
        <f>F18</f>
        <v xml:space="preserve">  </v>
      </c>
      <c r="G214" s="224"/>
      <c r="H214" s="380"/>
      <c r="I214" s="516" t="e">
        <f>IF(VLOOKUP(C18,list!$AA$5:$AS$14,3,FALSE)=0," ",(VLOOKUP(C18,list!$AA$5:$AS$14,3,FALSE)))</f>
        <v>#N/A</v>
      </c>
      <c r="J214" s="955" t="e">
        <f t="shared" ref="J214:J229" si="75">IF(I214=" "," ",(D214&amp;"-"&amp;I214))</f>
        <v>#N/A</v>
      </c>
      <c r="K214" s="955" t="e">
        <f t="shared" ref="K214:K230" si="76">IF(I214=" "," ",(F214&amp;"-"&amp;I214))</f>
        <v>#N/A</v>
      </c>
      <c r="L214" s="969" t="e">
        <f>IF(I214=" "," ",VLOOKUP(J214,list!$J$4:$M$117,4,FALSE))</f>
        <v>#N/A</v>
      </c>
      <c r="M214" s="66"/>
      <c r="N214" s="1297" t="str">
        <f>IF(SUMIFS('Level of Efficiency Assumptions'!$J:$J,'Level of Efficiency Assumptions'!$H:$H,$I214,'Level of Efficiency Assumptions'!$I:$I,N$51)=0," ",SUMIFS('Level of Efficiency Assumptions'!$J:$J,'Level of Efficiency Assumptions'!$H:$H,$I214,'Level of Efficiency Assumptions'!$I:$I,N$51))</f>
        <v xml:space="preserve"> </v>
      </c>
      <c r="O214" s="1298" t="str">
        <f>IF(SUMIFS('Level of Efficiency Assumptions'!$J:$J,'Level of Efficiency Assumptions'!$H:$H,$I214,'Level of Efficiency Assumptions'!$I:$I,O$51)=0," ",SUMIFS('Level of Efficiency Assumptions'!$J:$J,'Level of Efficiency Assumptions'!$H:$H,$I214,'Level of Efficiency Assumptions'!$I:$I,O$51))</f>
        <v xml:space="preserve"> </v>
      </c>
      <c r="P214" s="1299" t="str">
        <f>IF(SUMIFS('Level of Efficiency Assumptions'!$J:$J,'Level of Efficiency Assumptions'!$H:$H,$I214,'Level of Efficiency Assumptions'!$I:$I,P$51)=0," ",SUMIFS('Level of Efficiency Assumptions'!$J:$J,'Level of Efficiency Assumptions'!$H:$H,$I214,'Level of Efficiency Assumptions'!$I:$I,P$51))</f>
        <v xml:space="preserve"> </v>
      </c>
      <c r="Q214" s="971" t="e">
        <f>IF(I214=" "," ",(VLOOKUP(I214,list!$B$81:$C$111,2,FALSE)))</f>
        <v>#N/A</v>
      </c>
      <c r="R214" s="243">
        <f t="shared" si="74"/>
        <v>0</v>
      </c>
      <c r="S214" s="64">
        <v>1</v>
      </c>
      <c r="T214" s="68">
        <v>0</v>
      </c>
      <c r="U214" s="244">
        <f t="shared" ref="U214:U230" si="77">SUM(R214:T214)</f>
        <v>1</v>
      </c>
      <c r="V214" s="82" t="e">
        <f>F214&amp;"-"&amp;W214</f>
        <v>#N/A</v>
      </c>
      <c r="W214" s="247" t="e">
        <f>HLOOKUP(D214,list!$O$34:$X$38,2,FALSE)</f>
        <v>#N/A</v>
      </c>
      <c r="X214" s="972">
        <v>1</v>
      </c>
    </row>
    <row r="215" spans="2:24" ht="15" thickBot="1" x14ac:dyDescent="0.35">
      <c r="C215" s="520"/>
      <c r="D215" s="224" t="str">
        <f>D214</f>
        <v xml:space="preserve">  </v>
      </c>
      <c r="E215" s="224"/>
      <c r="F215" s="224" t="str">
        <f>F214</f>
        <v xml:space="preserve">  </v>
      </c>
      <c r="G215" s="224"/>
      <c r="H215" s="380"/>
      <c r="I215" s="516" t="e">
        <f>IF(VLOOKUP(C18,list!$AA$5:$AS$14,4,FALSE)=0," ",(VLOOKUP(C18,list!$AA$5:$AS$14,4,FALSE)))</f>
        <v>#N/A</v>
      </c>
      <c r="J215" s="955" t="e">
        <f t="shared" si="75"/>
        <v>#N/A</v>
      </c>
      <c r="K215" s="955" t="e">
        <f t="shared" si="76"/>
        <v>#N/A</v>
      </c>
      <c r="L215" s="969" t="e">
        <f>IF(I215=" "," ",VLOOKUP(J215,list!$J$4:$M$117,4,FALSE))</f>
        <v>#N/A</v>
      </c>
      <c r="M215" s="66"/>
      <c r="N215" s="1297" t="str">
        <f>IF(SUMIFS('Level of Efficiency Assumptions'!$J:$J,'Level of Efficiency Assumptions'!$H:$H,$I215,'Level of Efficiency Assumptions'!$I:$I,N$51)=0," ",SUMIFS('Level of Efficiency Assumptions'!$J:$J,'Level of Efficiency Assumptions'!$H:$H,$I215,'Level of Efficiency Assumptions'!$I:$I,N$51))</f>
        <v xml:space="preserve"> </v>
      </c>
      <c r="O215" s="1298" t="str">
        <f>IF(SUMIFS('Level of Efficiency Assumptions'!$J:$J,'Level of Efficiency Assumptions'!$H:$H,$I215,'Level of Efficiency Assumptions'!$I:$I,O$51)=0," ",SUMIFS('Level of Efficiency Assumptions'!$J:$J,'Level of Efficiency Assumptions'!$H:$H,$I215,'Level of Efficiency Assumptions'!$I:$I,O$51))</f>
        <v xml:space="preserve"> </v>
      </c>
      <c r="P215" s="1299" t="str">
        <f>IF(SUMIFS('Level of Efficiency Assumptions'!$J:$J,'Level of Efficiency Assumptions'!$H:$H,$I215,'Level of Efficiency Assumptions'!$I:$I,P$51)=0," ",SUMIFS('Level of Efficiency Assumptions'!$J:$J,'Level of Efficiency Assumptions'!$H:$H,$I215,'Level of Efficiency Assumptions'!$I:$I,P$51))</f>
        <v xml:space="preserve"> </v>
      </c>
      <c r="Q215" s="971" t="e">
        <f>IF(I215=" "," ",(VLOOKUP(I215,list!$B$81:$C$111,2,FALSE)))</f>
        <v>#N/A</v>
      </c>
      <c r="R215" s="243">
        <f t="shared" si="74"/>
        <v>0</v>
      </c>
      <c r="S215" s="64">
        <v>1</v>
      </c>
      <c r="T215" s="68">
        <v>0</v>
      </c>
      <c r="U215" s="244">
        <f t="shared" si="77"/>
        <v>1</v>
      </c>
      <c r="V215" s="82" t="e">
        <f>F215&amp;"-"&amp;W215</f>
        <v>#N/A</v>
      </c>
      <c r="W215" s="248" t="e">
        <f>HLOOKUP(D215,list!$O$34:$X$38,3,FALSE)</f>
        <v>#N/A</v>
      </c>
      <c r="X215" s="973">
        <v>0.5</v>
      </c>
    </row>
    <row r="216" spans="2:24" ht="15" thickBot="1" x14ac:dyDescent="0.35">
      <c r="C216" s="520"/>
      <c r="D216" s="224" t="str">
        <f t="shared" ref="D216:D230" si="78">D215</f>
        <v xml:space="preserve">  </v>
      </c>
      <c r="E216" s="224"/>
      <c r="F216" s="224" t="str">
        <f t="shared" ref="F216:F230" si="79">F215</f>
        <v xml:space="preserve">  </v>
      </c>
      <c r="G216" s="224"/>
      <c r="H216" s="380"/>
      <c r="I216" s="516" t="e">
        <f>IF(VLOOKUP(C18,list!$AA$5:$AS$14,5,FALSE)=0," ",(VLOOKUP(C18,list!$AA$5:$AS$14,5,FALSE)))</f>
        <v>#N/A</v>
      </c>
      <c r="J216" s="955" t="e">
        <f t="shared" si="75"/>
        <v>#N/A</v>
      </c>
      <c r="K216" s="955" t="e">
        <f t="shared" si="76"/>
        <v>#N/A</v>
      </c>
      <c r="L216" s="969" t="e">
        <f>IF(I216=" "," ",VLOOKUP(J216,list!$J$4:$M$117,4,FALSE))</f>
        <v>#N/A</v>
      </c>
      <c r="M216" s="66"/>
      <c r="N216" s="1297" t="str">
        <f>IF(SUMIFS('Level of Efficiency Assumptions'!$J:$J,'Level of Efficiency Assumptions'!$H:$H,$I216,'Level of Efficiency Assumptions'!$I:$I,N$51)=0," ",SUMIFS('Level of Efficiency Assumptions'!$J:$J,'Level of Efficiency Assumptions'!$H:$H,$I216,'Level of Efficiency Assumptions'!$I:$I,N$51))</f>
        <v xml:space="preserve"> </v>
      </c>
      <c r="O216" s="1298" t="str">
        <f>IF(SUMIFS('Level of Efficiency Assumptions'!$J:$J,'Level of Efficiency Assumptions'!$H:$H,$I216,'Level of Efficiency Assumptions'!$I:$I,O$51)=0," ",SUMIFS('Level of Efficiency Assumptions'!$J:$J,'Level of Efficiency Assumptions'!$H:$H,$I216,'Level of Efficiency Assumptions'!$I:$I,O$51))</f>
        <v xml:space="preserve"> </v>
      </c>
      <c r="P216" s="1299" t="str">
        <f>IF(SUMIFS('Level of Efficiency Assumptions'!$J:$J,'Level of Efficiency Assumptions'!$H:$H,$I216,'Level of Efficiency Assumptions'!$I:$I,P$51)=0," ",SUMIFS('Level of Efficiency Assumptions'!$J:$J,'Level of Efficiency Assumptions'!$H:$H,$I216,'Level of Efficiency Assumptions'!$I:$I,P$51))</f>
        <v xml:space="preserve"> </v>
      </c>
      <c r="Q216" s="971" t="e">
        <f>IF(I216=" "," ",(VLOOKUP(I216,list!$B$81:$C$111,2,FALSE)))</f>
        <v>#N/A</v>
      </c>
      <c r="R216" s="243">
        <f t="shared" si="74"/>
        <v>0</v>
      </c>
      <c r="S216" s="64">
        <v>1</v>
      </c>
      <c r="T216" s="68">
        <v>0</v>
      </c>
      <c r="U216" s="244">
        <f t="shared" si="77"/>
        <v>1</v>
      </c>
      <c r="V216" s="82" t="e">
        <f>F216&amp;"-"&amp;W216</f>
        <v>#N/A</v>
      </c>
      <c r="W216" s="248" t="e">
        <f>HLOOKUP(D216,list!$O$34:$X$38,4,FALSE)</f>
        <v>#N/A</v>
      </c>
      <c r="X216" s="973">
        <v>0.5</v>
      </c>
    </row>
    <row r="217" spans="2:24" ht="15" thickBot="1" x14ac:dyDescent="0.35">
      <c r="C217" s="520"/>
      <c r="D217" s="224" t="str">
        <f t="shared" si="78"/>
        <v xml:space="preserve">  </v>
      </c>
      <c r="E217" s="224"/>
      <c r="F217" s="224" t="str">
        <f t="shared" si="79"/>
        <v xml:space="preserve">  </v>
      </c>
      <c r="G217" s="224"/>
      <c r="H217" s="380"/>
      <c r="I217" s="516" t="e">
        <f>IF(VLOOKUP(C18,list!$AA$5:$AS$14,6,FALSE)=0," ",(VLOOKUP(C18,list!$AA$5:$AS$14,6,FALSE)))</f>
        <v>#N/A</v>
      </c>
      <c r="J217" s="955" t="e">
        <f t="shared" si="75"/>
        <v>#N/A</v>
      </c>
      <c r="K217" s="955" t="e">
        <f t="shared" si="76"/>
        <v>#N/A</v>
      </c>
      <c r="L217" s="969" t="e">
        <f>IF(I217=" "," ",VLOOKUP(J217,list!$J$4:$M$117,4,FALSE))</f>
        <v>#N/A</v>
      </c>
      <c r="M217" s="66"/>
      <c r="N217" s="1297" t="str">
        <f>IF(SUMIFS('Level of Efficiency Assumptions'!$J:$J,'Level of Efficiency Assumptions'!$H:$H,$I217,'Level of Efficiency Assumptions'!$I:$I,N$51)=0," ",SUMIFS('Level of Efficiency Assumptions'!$J:$J,'Level of Efficiency Assumptions'!$H:$H,$I217,'Level of Efficiency Assumptions'!$I:$I,N$51))</f>
        <v xml:space="preserve"> </v>
      </c>
      <c r="O217" s="1298" t="str">
        <f>IF(SUMIFS('Level of Efficiency Assumptions'!$J:$J,'Level of Efficiency Assumptions'!$H:$H,$I217,'Level of Efficiency Assumptions'!$I:$I,O$51)=0," ",SUMIFS('Level of Efficiency Assumptions'!$J:$J,'Level of Efficiency Assumptions'!$H:$H,$I217,'Level of Efficiency Assumptions'!$I:$I,O$51))</f>
        <v xml:space="preserve"> </v>
      </c>
      <c r="P217" s="1299" t="str">
        <f>IF(SUMIFS('Level of Efficiency Assumptions'!$J:$J,'Level of Efficiency Assumptions'!$H:$H,$I217,'Level of Efficiency Assumptions'!$I:$I,P$51)=0," ",SUMIFS('Level of Efficiency Assumptions'!$J:$J,'Level of Efficiency Assumptions'!$H:$H,$I217,'Level of Efficiency Assumptions'!$I:$I,P$51))</f>
        <v xml:space="preserve"> </v>
      </c>
      <c r="Q217" s="971" t="e">
        <f>IF(I217=" "," ",(VLOOKUP(I217,list!$B$81:$C$111,2,FALSE)))</f>
        <v>#N/A</v>
      </c>
      <c r="R217" s="243">
        <f t="shared" si="74"/>
        <v>0</v>
      </c>
      <c r="S217" s="64">
        <v>1</v>
      </c>
      <c r="T217" s="68">
        <v>0</v>
      </c>
      <c r="U217" s="244">
        <f t="shared" si="77"/>
        <v>1</v>
      </c>
      <c r="V217" s="82" t="e">
        <f>F217&amp;"-"&amp;W217</f>
        <v>#N/A</v>
      </c>
      <c r="W217" s="249" t="e">
        <f>HLOOKUP(D217,list!$O$34:$X$38,5,FALSE)</f>
        <v>#N/A</v>
      </c>
      <c r="X217" s="974">
        <v>0.5</v>
      </c>
    </row>
    <row r="218" spans="2:24" ht="15" thickBot="1" x14ac:dyDescent="0.35">
      <c r="C218" s="520"/>
      <c r="D218" s="224" t="str">
        <f t="shared" si="78"/>
        <v xml:space="preserve">  </v>
      </c>
      <c r="E218" s="224"/>
      <c r="F218" s="224" t="str">
        <f t="shared" si="79"/>
        <v xml:space="preserve">  </v>
      </c>
      <c r="G218" s="224"/>
      <c r="H218" s="380"/>
      <c r="I218" s="516" t="e">
        <f>IF(VLOOKUP(C18,list!$AA$5:$AS$14,7,FALSE)=0," ",(VLOOKUP(C18,list!$AA$5:$AS$14,7,FALSE)))</f>
        <v>#N/A</v>
      </c>
      <c r="J218" s="955" t="e">
        <f t="shared" si="75"/>
        <v>#N/A</v>
      </c>
      <c r="K218" s="955" t="e">
        <f t="shared" si="76"/>
        <v>#N/A</v>
      </c>
      <c r="L218" s="969" t="e">
        <f>IF(I218=" "," ",VLOOKUP(J218,list!$J$4:$M$117,4,FALSE))</f>
        <v>#N/A</v>
      </c>
      <c r="M218" s="66"/>
      <c r="N218" s="1297" t="str">
        <f>IF(SUMIFS('Level of Efficiency Assumptions'!$J:$J,'Level of Efficiency Assumptions'!$H:$H,$I218,'Level of Efficiency Assumptions'!$I:$I,N$51)=0," ",SUMIFS('Level of Efficiency Assumptions'!$J:$J,'Level of Efficiency Assumptions'!$H:$H,$I218,'Level of Efficiency Assumptions'!$I:$I,N$51))</f>
        <v xml:space="preserve"> </v>
      </c>
      <c r="O218" s="1298" t="str">
        <f>IF(SUMIFS('Level of Efficiency Assumptions'!$J:$J,'Level of Efficiency Assumptions'!$H:$H,$I218,'Level of Efficiency Assumptions'!$I:$I,O$51)=0," ",SUMIFS('Level of Efficiency Assumptions'!$J:$J,'Level of Efficiency Assumptions'!$H:$H,$I218,'Level of Efficiency Assumptions'!$I:$I,O$51))</f>
        <v xml:space="preserve"> </v>
      </c>
      <c r="P218" s="1299" t="str">
        <f>IF(SUMIFS('Level of Efficiency Assumptions'!$J:$J,'Level of Efficiency Assumptions'!$H:$H,$I218,'Level of Efficiency Assumptions'!$I:$I,P$51)=0," ",SUMIFS('Level of Efficiency Assumptions'!$J:$J,'Level of Efficiency Assumptions'!$H:$H,$I218,'Level of Efficiency Assumptions'!$I:$I,P$51))</f>
        <v xml:space="preserve"> </v>
      </c>
      <c r="Q218" s="971" t="e">
        <f>IF(I218=" "," ",(VLOOKUP(I218,list!$B$81:$C$111,2,FALSE)))</f>
        <v>#N/A</v>
      </c>
      <c r="R218" s="243">
        <f t="shared" si="74"/>
        <v>0</v>
      </c>
      <c r="S218" s="64">
        <v>1</v>
      </c>
      <c r="T218" s="68">
        <v>0</v>
      </c>
      <c r="U218" s="244">
        <f t="shared" si="77"/>
        <v>1</v>
      </c>
      <c r="W218" s="182"/>
      <c r="X218" s="975"/>
    </row>
    <row r="219" spans="2:24" ht="15" thickBot="1" x14ac:dyDescent="0.35">
      <c r="C219" s="520"/>
      <c r="D219" s="224" t="str">
        <f t="shared" si="78"/>
        <v xml:space="preserve">  </v>
      </c>
      <c r="E219" s="224"/>
      <c r="F219" s="224" t="str">
        <f t="shared" si="79"/>
        <v xml:space="preserve">  </v>
      </c>
      <c r="G219" s="224"/>
      <c r="H219" s="380"/>
      <c r="I219" s="516" t="e">
        <f>IF(VLOOKUP(C18,list!$AA$5:$AS$14,8,FALSE)=0," ",(VLOOKUP(C18,list!$AA$5:$AS$14,8,FALSE)))</f>
        <v>#N/A</v>
      </c>
      <c r="J219" s="955" t="e">
        <f t="shared" si="75"/>
        <v>#N/A</v>
      </c>
      <c r="K219" s="955" t="e">
        <f t="shared" si="76"/>
        <v>#N/A</v>
      </c>
      <c r="L219" s="969" t="e">
        <f>IF(I219=" "," ",VLOOKUP(J219,list!$J$4:$M$117,4,FALSE))</f>
        <v>#N/A</v>
      </c>
      <c r="M219" s="66"/>
      <c r="N219" s="1297" t="str">
        <f>IF(SUMIFS('Level of Efficiency Assumptions'!$J:$J,'Level of Efficiency Assumptions'!$H:$H,$I219,'Level of Efficiency Assumptions'!$I:$I,N$51)=0," ",SUMIFS('Level of Efficiency Assumptions'!$J:$J,'Level of Efficiency Assumptions'!$H:$H,$I219,'Level of Efficiency Assumptions'!$I:$I,N$51))</f>
        <v xml:space="preserve"> </v>
      </c>
      <c r="O219" s="1298" t="str">
        <f>IF(SUMIFS('Level of Efficiency Assumptions'!$J:$J,'Level of Efficiency Assumptions'!$H:$H,$I219,'Level of Efficiency Assumptions'!$I:$I,O$51)=0," ",SUMIFS('Level of Efficiency Assumptions'!$J:$J,'Level of Efficiency Assumptions'!$H:$H,$I219,'Level of Efficiency Assumptions'!$I:$I,O$51))</f>
        <v xml:space="preserve"> </v>
      </c>
      <c r="P219" s="1299" t="str">
        <f>IF(SUMIFS('Level of Efficiency Assumptions'!$J:$J,'Level of Efficiency Assumptions'!$H:$H,$I219,'Level of Efficiency Assumptions'!$I:$I,P$51)=0," ",SUMIFS('Level of Efficiency Assumptions'!$J:$J,'Level of Efficiency Assumptions'!$H:$H,$I219,'Level of Efficiency Assumptions'!$I:$I,P$51))</f>
        <v xml:space="preserve"> </v>
      </c>
      <c r="Q219" s="971" t="e">
        <f>IF(I219=" "," ",(VLOOKUP(I219,list!$B$81:$C$111,2,FALSE)))</f>
        <v>#N/A</v>
      </c>
      <c r="R219" s="243">
        <f t="shared" si="74"/>
        <v>0</v>
      </c>
      <c r="S219" s="64">
        <v>1</v>
      </c>
      <c r="T219" s="68">
        <v>0</v>
      </c>
      <c r="U219" s="244">
        <f t="shared" si="77"/>
        <v>1</v>
      </c>
      <c r="W219" s="182"/>
      <c r="X219" s="975"/>
    </row>
    <row r="220" spans="2:24" ht="15" thickBot="1" x14ac:dyDescent="0.35">
      <c r="C220" s="520"/>
      <c r="D220" s="224" t="str">
        <f t="shared" si="78"/>
        <v xml:space="preserve">  </v>
      </c>
      <c r="E220" s="224"/>
      <c r="F220" s="224" t="str">
        <f t="shared" si="79"/>
        <v xml:space="preserve">  </v>
      </c>
      <c r="G220" s="224"/>
      <c r="H220" s="380"/>
      <c r="I220" s="516" t="e">
        <f>IF(VLOOKUP(C18,list!$AA$5:$AS$14,9,FALSE)=0," ",(VLOOKUP(C18,list!$AA$5:$AS$14,9,FALSE)))</f>
        <v>#N/A</v>
      </c>
      <c r="J220" s="955" t="e">
        <f t="shared" si="75"/>
        <v>#N/A</v>
      </c>
      <c r="K220" s="955" t="e">
        <f t="shared" si="76"/>
        <v>#N/A</v>
      </c>
      <c r="L220" s="969" t="e">
        <f>IF(I220=" "," ",VLOOKUP(J220,list!$J$4:$M$117,4,FALSE))</f>
        <v>#N/A</v>
      </c>
      <c r="M220" s="66"/>
      <c r="N220" s="1297" t="str">
        <f>IF(SUMIFS('Level of Efficiency Assumptions'!$J:$J,'Level of Efficiency Assumptions'!$H:$H,$I220,'Level of Efficiency Assumptions'!$I:$I,N$51)=0," ",SUMIFS('Level of Efficiency Assumptions'!$J:$J,'Level of Efficiency Assumptions'!$H:$H,$I220,'Level of Efficiency Assumptions'!$I:$I,N$51))</f>
        <v xml:space="preserve"> </v>
      </c>
      <c r="O220" s="1298" t="str">
        <f>IF(SUMIFS('Level of Efficiency Assumptions'!$J:$J,'Level of Efficiency Assumptions'!$H:$H,$I220,'Level of Efficiency Assumptions'!$I:$I,O$51)=0," ",SUMIFS('Level of Efficiency Assumptions'!$J:$J,'Level of Efficiency Assumptions'!$H:$H,$I220,'Level of Efficiency Assumptions'!$I:$I,O$51))</f>
        <v xml:space="preserve"> </v>
      </c>
      <c r="P220" s="1299" t="str">
        <f>IF(SUMIFS('Level of Efficiency Assumptions'!$J:$J,'Level of Efficiency Assumptions'!$H:$H,$I220,'Level of Efficiency Assumptions'!$I:$I,P$51)=0," ",SUMIFS('Level of Efficiency Assumptions'!$J:$J,'Level of Efficiency Assumptions'!$H:$H,$I220,'Level of Efficiency Assumptions'!$I:$I,P$51))</f>
        <v xml:space="preserve"> </v>
      </c>
      <c r="Q220" s="971" t="e">
        <f>IF(I220=" "," ",(VLOOKUP(I220,list!$B$81:$C$111,2,FALSE)))</f>
        <v>#N/A</v>
      </c>
      <c r="R220" s="243">
        <f t="shared" si="74"/>
        <v>0</v>
      </c>
      <c r="S220" s="64">
        <v>1</v>
      </c>
      <c r="T220" s="68">
        <v>0</v>
      </c>
      <c r="U220" s="244">
        <f t="shared" si="77"/>
        <v>1</v>
      </c>
    </row>
    <row r="221" spans="2:24" ht="15" thickBot="1" x14ac:dyDescent="0.35">
      <c r="C221" s="520"/>
      <c r="D221" s="224" t="str">
        <f t="shared" si="78"/>
        <v xml:space="preserve">  </v>
      </c>
      <c r="E221" s="224"/>
      <c r="F221" s="224" t="str">
        <f t="shared" si="79"/>
        <v xml:space="preserve">  </v>
      </c>
      <c r="G221" s="224"/>
      <c r="H221" s="380"/>
      <c r="I221" s="516" t="e">
        <f>IF(VLOOKUP(C18,list!$AA$5:$AS$14,10,FALSE)=0," ",(VLOOKUP(C18,list!$AA$5:$AS$14,10,FALSE)))</f>
        <v>#N/A</v>
      </c>
      <c r="J221" s="955" t="e">
        <f t="shared" si="75"/>
        <v>#N/A</v>
      </c>
      <c r="K221" s="955" t="e">
        <f t="shared" si="76"/>
        <v>#N/A</v>
      </c>
      <c r="L221" s="969" t="e">
        <f>IF(I221=" "," ",VLOOKUP(J221,list!$J$4:$M$117,4,FALSE))</f>
        <v>#N/A</v>
      </c>
      <c r="M221" s="66"/>
      <c r="N221" s="1297" t="str">
        <f>IF(SUMIFS('Level of Efficiency Assumptions'!$J:$J,'Level of Efficiency Assumptions'!$H:$H,$I221,'Level of Efficiency Assumptions'!$I:$I,N$51)=0," ",SUMIFS('Level of Efficiency Assumptions'!$J:$J,'Level of Efficiency Assumptions'!$H:$H,$I221,'Level of Efficiency Assumptions'!$I:$I,N$51))</f>
        <v xml:space="preserve"> </v>
      </c>
      <c r="O221" s="1298" t="str">
        <f>IF(SUMIFS('Level of Efficiency Assumptions'!$J:$J,'Level of Efficiency Assumptions'!$H:$H,$I221,'Level of Efficiency Assumptions'!$I:$I,O$51)=0," ",SUMIFS('Level of Efficiency Assumptions'!$J:$J,'Level of Efficiency Assumptions'!$H:$H,$I221,'Level of Efficiency Assumptions'!$I:$I,O$51))</f>
        <v xml:space="preserve"> </v>
      </c>
      <c r="P221" s="1299" t="str">
        <f>IF(SUMIFS('Level of Efficiency Assumptions'!$J:$J,'Level of Efficiency Assumptions'!$H:$H,$I221,'Level of Efficiency Assumptions'!$I:$I,P$51)=0," ",SUMIFS('Level of Efficiency Assumptions'!$J:$J,'Level of Efficiency Assumptions'!$H:$H,$I221,'Level of Efficiency Assumptions'!$I:$I,P$51))</f>
        <v xml:space="preserve"> </v>
      </c>
      <c r="Q221" s="971" t="e">
        <f>IF(I221=" "," ",(VLOOKUP(I221,list!$B$81:$C$111,2,FALSE)))</f>
        <v>#N/A</v>
      </c>
      <c r="R221" s="243">
        <f t="shared" si="74"/>
        <v>0</v>
      </c>
      <c r="S221" s="64">
        <v>1</v>
      </c>
      <c r="T221" s="68">
        <v>0</v>
      </c>
      <c r="U221" s="244">
        <f t="shared" si="77"/>
        <v>1</v>
      </c>
    </row>
    <row r="222" spans="2:24" ht="15" thickBot="1" x14ac:dyDescent="0.35">
      <c r="C222" s="520"/>
      <c r="D222" s="224" t="str">
        <f t="shared" si="78"/>
        <v xml:space="preserve">  </v>
      </c>
      <c r="E222" s="224"/>
      <c r="F222" s="224" t="str">
        <f t="shared" si="79"/>
        <v xml:space="preserve">  </v>
      </c>
      <c r="G222" s="224"/>
      <c r="H222" s="380"/>
      <c r="I222" s="516" t="e">
        <f>IF(VLOOKUP(C18,list!$AA$5:$AS$14,11,FALSE)=0," ",(VLOOKUP(C18,list!$AA$5:$AS$14,11,FALSE)))</f>
        <v>#N/A</v>
      </c>
      <c r="J222" s="955" t="e">
        <f t="shared" si="75"/>
        <v>#N/A</v>
      </c>
      <c r="K222" s="955" t="e">
        <f t="shared" si="76"/>
        <v>#N/A</v>
      </c>
      <c r="L222" s="969" t="e">
        <f>IF(I222=" "," ",VLOOKUP(J222,list!$J$4:$M$117,4,FALSE))</f>
        <v>#N/A</v>
      </c>
      <c r="M222" s="66"/>
      <c r="N222" s="1297" t="str">
        <f>IF(SUMIFS('Level of Efficiency Assumptions'!$J:$J,'Level of Efficiency Assumptions'!$H:$H,$I222,'Level of Efficiency Assumptions'!$I:$I,N$51)=0," ",SUMIFS('Level of Efficiency Assumptions'!$J:$J,'Level of Efficiency Assumptions'!$H:$H,$I222,'Level of Efficiency Assumptions'!$I:$I,N$51))</f>
        <v xml:space="preserve"> </v>
      </c>
      <c r="O222" s="1298" t="str">
        <f>IF(SUMIFS('Level of Efficiency Assumptions'!$J:$J,'Level of Efficiency Assumptions'!$H:$H,$I222,'Level of Efficiency Assumptions'!$I:$I,O$51)=0," ",SUMIFS('Level of Efficiency Assumptions'!$J:$J,'Level of Efficiency Assumptions'!$H:$H,$I222,'Level of Efficiency Assumptions'!$I:$I,O$51))</f>
        <v xml:space="preserve"> </v>
      </c>
      <c r="P222" s="1299" t="str">
        <f>IF(SUMIFS('Level of Efficiency Assumptions'!$J:$J,'Level of Efficiency Assumptions'!$H:$H,$I222,'Level of Efficiency Assumptions'!$I:$I,P$51)=0," ",SUMIFS('Level of Efficiency Assumptions'!$J:$J,'Level of Efficiency Assumptions'!$H:$H,$I222,'Level of Efficiency Assumptions'!$I:$I,P$51))</f>
        <v xml:space="preserve"> </v>
      </c>
      <c r="Q222" s="971" t="e">
        <f>IF(I222=" "," ",(VLOOKUP(I222,list!$B$81:$C$111,2,FALSE)))</f>
        <v>#N/A</v>
      </c>
      <c r="R222" s="243">
        <f t="shared" si="74"/>
        <v>0</v>
      </c>
      <c r="S222" s="64">
        <v>1</v>
      </c>
      <c r="T222" s="68">
        <v>0</v>
      </c>
      <c r="U222" s="244">
        <f t="shared" si="77"/>
        <v>1</v>
      </c>
    </row>
    <row r="223" spans="2:24" ht="15" thickBot="1" x14ac:dyDescent="0.35">
      <c r="C223" s="520"/>
      <c r="D223" s="224" t="str">
        <f t="shared" si="78"/>
        <v xml:space="preserve">  </v>
      </c>
      <c r="E223" s="224"/>
      <c r="F223" s="224" t="str">
        <f t="shared" si="79"/>
        <v xml:space="preserve">  </v>
      </c>
      <c r="G223" s="224"/>
      <c r="H223" s="380"/>
      <c r="I223" s="516" t="e">
        <f>IF(VLOOKUP(C18,list!$AA$5:$AS$14,12,FALSE)=0," ",(VLOOKUP(C18,list!$AA$5:$AS$14,12,FALSE)))</f>
        <v>#N/A</v>
      </c>
      <c r="J223" s="955" t="e">
        <f t="shared" si="75"/>
        <v>#N/A</v>
      </c>
      <c r="K223" s="955" t="e">
        <f t="shared" si="76"/>
        <v>#N/A</v>
      </c>
      <c r="L223" s="969" t="e">
        <f>IF(I223=" "," ",VLOOKUP(J223,list!$J$4:$M$117,4,FALSE))</f>
        <v>#N/A</v>
      </c>
      <c r="M223" s="66"/>
      <c r="N223" s="1297" t="str">
        <f>IF(SUMIFS('Level of Efficiency Assumptions'!$J:$J,'Level of Efficiency Assumptions'!$H:$H,$I223,'Level of Efficiency Assumptions'!$I:$I,N$51)=0," ",SUMIFS('Level of Efficiency Assumptions'!$J:$J,'Level of Efficiency Assumptions'!$H:$H,$I223,'Level of Efficiency Assumptions'!$I:$I,N$51))</f>
        <v xml:space="preserve"> </v>
      </c>
      <c r="O223" s="1298" t="str">
        <f>IF(SUMIFS('Level of Efficiency Assumptions'!$J:$J,'Level of Efficiency Assumptions'!$H:$H,$I223,'Level of Efficiency Assumptions'!$I:$I,O$51)=0," ",SUMIFS('Level of Efficiency Assumptions'!$J:$J,'Level of Efficiency Assumptions'!$H:$H,$I223,'Level of Efficiency Assumptions'!$I:$I,O$51))</f>
        <v xml:space="preserve"> </v>
      </c>
      <c r="P223" s="1299" t="str">
        <f>IF(SUMIFS('Level of Efficiency Assumptions'!$J:$J,'Level of Efficiency Assumptions'!$H:$H,$I223,'Level of Efficiency Assumptions'!$I:$I,P$51)=0," ",SUMIFS('Level of Efficiency Assumptions'!$J:$J,'Level of Efficiency Assumptions'!$H:$H,$I223,'Level of Efficiency Assumptions'!$I:$I,P$51))</f>
        <v xml:space="preserve"> </v>
      </c>
      <c r="Q223" s="971" t="e">
        <f>IF(I223=" "," ",(VLOOKUP(I223,list!$B$81:$C$111,2,FALSE)))</f>
        <v>#N/A</v>
      </c>
      <c r="R223" s="243">
        <f t="shared" si="74"/>
        <v>0</v>
      </c>
      <c r="S223" s="64">
        <v>1</v>
      </c>
      <c r="T223" s="68">
        <v>0</v>
      </c>
      <c r="U223" s="244">
        <f t="shared" si="77"/>
        <v>1</v>
      </c>
    </row>
    <row r="224" spans="2:24" ht="15" thickBot="1" x14ac:dyDescent="0.35">
      <c r="C224" s="520"/>
      <c r="D224" s="224" t="str">
        <f t="shared" si="78"/>
        <v xml:space="preserve">  </v>
      </c>
      <c r="E224" s="224"/>
      <c r="F224" s="224" t="str">
        <f t="shared" si="79"/>
        <v xml:space="preserve">  </v>
      </c>
      <c r="G224" s="224"/>
      <c r="H224" s="380"/>
      <c r="I224" s="516" t="e">
        <f>IF(VLOOKUP(C18,list!$AA$5:$AS$14,13,FALSE)=0," ",(VLOOKUP(C18,list!$AA$5:$AS$14,13,FALSE)))</f>
        <v>#N/A</v>
      </c>
      <c r="J224" s="955" t="e">
        <f t="shared" si="75"/>
        <v>#N/A</v>
      </c>
      <c r="K224" s="955" t="e">
        <f t="shared" si="76"/>
        <v>#N/A</v>
      </c>
      <c r="L224" s="969" t="e">
        <f>IF(I224=" "," ",VLOOKUP(J224,list!$J$4:$M$117,4,FALSE))</f>
        <v>#N/A</v>
      </c>
      <c r="M224" s="66"/>
      <c r="N224" s="1297" t="str">
        <f>IF(SUMIFS('Level of Efficiency Assumptions'!$J:$J,'Level of Efficiency Assumptions'!$H:$H,$I224,'Level of Efficiency Assumptions'!$I:$I,N$51)=0," ",SUMIFS('Level of Efficiency Assumptions'!$J:$J,'Level of Efficiency Assumptions'!$H:$H,$I224,'Level of Efficiency Assumptions'!$I:$I,N$51))</f>
        <v xml:space="preserve"> </v>
      </c>
      <c r="O224" s="1298" t="str">
        <f>IF(SUMIFS('Level of Efficiency Assumptions'!$J:$J,'Level of Efficiency Assumptions'!$H:$H,$I224,'Level of Efficiency Assumptions'!$I:$I,O$51)=0," ",SUMIFS('Level of Efficiency Assumptions'!$J:$J,'Level of Efficiency Assumptions'!$H:$H,$I224,'Level of Efficiency Assumptions'!$I:$I,O$51))</f>
        <v xml:space="preserve"> </v>
      </c>
      <c r="P224" s="1299" t="str">
        <f>IF(SUMIFS('Level of Efficiency Assumptions'!$J:$J,'Level of Efficiency Assumptions'!$H:$H,$I224,'Level of Efficiency Assumptions'!$I:$I,P$51)=0," ",SUMIFS('Level of Efficiency Assumptions'!$J:$J,'Level of Efficiency Assumptions'!$H:$H,$I224,'Level of Efficiency Assumptions'!$I:$I,P$51))</f>
        <v xml:space="preserve"> </v>
      </c>
      <c r="Q224" s="971" t="e">
        <f>IF(I224=" "," ",(VLOOKUP(I224,list!$B$81:$C$111,2,FALSE)))</f>
        <v>#N/A</v>
      </c>
      <c r="R224" s="243">
        <f t="shared" si="74"/>
        <v>0</v>
      </c>
      <c r="S224" s="64">
        <v>1</v>
      </c>
      <c r="T224" s="68">
        <v>0</v>
      </c>
      <c r="U224" s="244">
        <f t="shared" si="77"/>
        <v>1</v>
      </c>
    </row>
    <row r="225" spans="2:24" ht="15" thickBot="1" x14ac:dyDescent="0.35">
      <c r="C225" s="520"/>
      <c r="D225" s="224" t="str">
        <f t="shared" si="78"/>
        <v xml:space="preserve">  </v>
      </c>
      <c r="E225" s="224"/>
      <c r="F225" s="224" t="str">
        <f t="shared" si="79"/>
        <v xml:space="preserve">  </v>
      </c>
      <c r="G225" s="224"/>
      <c r="H225" s="380"/>
      <c r="I225" s="516" t="e">
        <f>IF(VLOOKUP(C18,list!$AA$5:$AS$14,14,FALSE)=0," ",(VLOOKUP(C18,list!$AA$5:$AS$14,14,FALSE)))</f>
        <v>#N/A</v>
      </c>
      <c r="J225" s="955" t="e">
        <f t="shared" si="75"/>
        <v>#N/A</v>
      </c>
      <c r="K225" s="955" t="e">
        <f t="shared" si="76"/>
        <v>#N/A</v>
      </c>
      <c r="L225" s="969" t="e">
        <f>IF(I225=" "," ",VLOOKUP(J225,list!$J$4:$M$117,4,FALSE))</f>
        <v>#N/A</v>
      </c>
      <c r="M225" s="66"/>
      <c r="N225" s="1297" t="str">
        <f>IF(SUMIFS('Level of Efficiency Assumptions'!$J:$J,'Level of Efficiency Assumptions'!$H:$H,$I225,'Level of Efficiency Assumptions'!$I:$I,N$51)=0," ",SUMIFS('Level of Efficiency Assumptions'!$J:$J,'Level of Efficiency Assumptions'!$H:$H,$I225,'Level of Efficiency Assumptions'!$I:$I,N$51))</f>
        <v xml:space="preserve"> </v>
      </c>
      <c r="O225" s="1298" t="str">
        <f>IF(SUMIFS('Level of Efficiency Assumptions'!$J:$J,'Level of Efficiency Assumptions'!$H:$H,$I225,'Level of Efficiency Assumptions'!$I:$I,O$51)=0," ",SUMIFS('Level of Efficiency Assumptions'!$J:$J,'Level of Efficiency Assumptions'!$H:$H,$I225,'Level of Efficiency Assumptions'!$I:$I,O$51))</f>
        <v xml:space="preserve"> </v>
      </c>
      <c r="P225" s="1299" t="str">
        <f>IF(SUMIFS('Level of Efficiency Assumptions'!$J:$J,'Level of Efficiency Assumptions'!$H:$H,$I225,'Level of Efficiency Assumptions'!$I:$I,P$51)=0," ",SUMIFS('Level of Efficiency Assumptions'!$J:$J,'Level of Efficiency Assumptions'!$H:$H,$I225,'Level of Efficiency Assumptions'!$I:$I,P$51))</f>
        <v xml:space="preserve"> </v>
      </c>
      <c r="Q225" s="971" t="e">
        <f>IF(I225=" "," ",(VLOOKUP(I225,list!$B$81:$C$111,2,FALSE)))</f>
        <v>#N/A</v>
      </c>
      <c r="R225" s="243">
        <f t="shared" si="74"/>
        <v>0</v>
      </c>
      <c r="S225" s="64">
        <v>1</v>
      </c>
      <c r="T225" s="68">
        <v>0</v>
      </c>
      <c r="U225" s="244">
        <f t="shared" si="77"/>
        <v>1</v>
      </c>
    </row>
    <row r="226" spans="2:24" ht="15" thickBot="1" x14ac:dyDescent="0.35">
      <c r="C226" s="520"/>
      <c r="D226" s="224" t="str">
        <f t="shared" si="78"/>
        <v xml:space="preserve">  </v>
      </c>
      <c r="E226" s="224"/>
      <c r="F226" s="224" t="str">
        <f t="shared" si="79"/>
        <v xml:space="preserve">  </v>
      </c>
      <c r="G226" s="224"/>
      <c r="H226" s="380"/>
      <c r="I226" s="516" t="e">
        <f>IF(VLOOKUP(C18,list!$AA$5:$AS$14,15,FALSE)=0," ",(VLOOKUP(C18,list!$AA$5:$AS$14,15,FALSE)))</f>
        <v>#N/A</v>
      </c>
      <c r="J226" s="955" t="e">
        <f t="shared" si="75"/>
        <v>#N/A</v>
      </c>
      <c r="K226" s="955" t="e">
        <f t="shared" si="76"/>
        <v>#N/A</v>
      </c>
      <c r="L226" s="969" t="e">
        <f>IF(I226=" "," ",VLOOKUP(J226,list!$J$4:$M$117,4,FALSE))</f>
        <v>#N/A</v>
      </c>
      <c r="M226" s="66"/>
      <c r="N226" s="1297" t="str">
        <f>IF(SUMIFS('Level of Efficiency Assumptions'!$J:$J,'Level of Efficiency Assumptions'!$H:$H,$I226,'Level of Efficiency Assumptions'!$I:$I,N$51)=0," ",SUMIFS('Level of Efficiency Assumptions'!$J:$J,'Level of Efficiency Assumptions'!$H:$H,$I226,'Level of Efficiency Assumptions'!$I:$I,N$51))</f>
        <v xml:space="preserve"> </v>
      </c>
      <c r="O226" s="1298" t="str">
        <f>IF(SUMIFS('Level of Efficiency Assumptions'!$J:$J,'Level of Efficiency Assumptions'!$H:$H,$I226,'Level of Efficiency Assumptions'!$I:$I,O$51)=0," ",SUMIFS('Level of Efficiency Assumptions'!$J:$J,'Level of Efficiency Assumptions'!$H:$H,$I226,'Level of Efficiency Assumptions'!$I:$I,O$51))</f>
        <v xml:space="preserve"> </v>
      </c>
      <c r="P226" s="1299" t="str">
        <f>IF(SUMIFS('Level of Efficiency Assumptions'!$J:$J,'Level of Efficiency Assumptions'!$H:$H,$I226,'Level of Efficiency Assumptions'!$I:$I,P$51)=0," ",SUMIFS('Level of Efficiency Assumptions'!$J:$J,'Level of Efficiency Assumptions'!$H:$H,$I226,'Level of Efficiency Assumptions'!$I:$I,P$51))</f>
        <v xml:space="preserve"> </v>
      </c>
      <c r="Q226" s="971" t="e">
        <f>IF(I226=" "," ",(VLOOKUP(I226,list!$B$81:$C$111,2,FALSE)))</f>
        <v>#N/A</v>
      </c>
      <c r="R226" s="243">
        <f t="shared" si="74"/>
        <v>0</v>
      </c>
      <c r="S226" s="64">
        <v>1</v>
      </c>
      <c r="T226" s="68">
        <v>0</v>
      </c>
      <c r="U226" s="244">
        <f t="shared" si="77"/>
        <v>1</v>
      </c>
    </row>
    <row r="227" spans="2:24" ht="15" thickBot="1" x14ac:dyDescent="0.35">
      <c r="C227" s="520"/>
      <c r="D227" s="224" t="str">
        <f t="shared" si="78"/>
        <v xml:space="preserve">  </v>
      </c>
      <c r="E227" s="224"/>
      <c r="F227" s="224" t="str">
        <f t="shared" si="79"/>
        <v xml:space="preserve">  </v>
      </c>
      <c r="G227" s="224"/>
      <c r="H227" s="380"/>
      <c r="I227" s="516" t="e">
        <f>IF(VLOOKUP(C18,list!$AA$5:$AS$14,16,FALSE)=0," ",(VLOOKUP(C18,list!$AA$5:$AS$14,16,FALSE)))</f>
        <v>#N/A</v>
      </c>
      <c r="J227" s="955" t="e">
        <f t="shared" si="75"/>
        <v>#N/A</v>
      </c>
      <c r="K227" s="955" t="e">
        <f t="shared" si="76"/>
        <v>#N/A</v>
      </c>
      <c r="L227" s="969" t="e">
        <f>IF(I227=" "," ",VLOOKUP(J227,list!$J$4:$M$117,4,FALSE))</f>
        <v>#N/A</v>
      </c>
      <c r="M227" s="66"/>
      <c r="N227" s="1297" t="str">
        <f>IF(SUMIFS('Level of Efficiency Assumptions'!$J:$J,'Level of Efficiency Assumptions'!$H:$H,$I227,'Level of Efficiency Assumptions'!$I:$I,N$51)=0," ",SUMIFS('Level of Efficiency Assumptions'!$J:$J,'Level of Efficiency Assumptions'!$H:$H,$I227,'Level of Efficiency Assumptions'!$I:$I,N$51))</f>
        <v xml:space="preserve"> </v>
      </c>
      <c r="O227" s="1298" t="str">
        <f>IF(SUMIFS('Level of Efficiency Assumptions'!$J:$J,'Level of Efficiency Assumptions'!$H:$H,$I227,'Level of Efficiency Assumptions'!$I:$I,O$51)=0," ",SUMIFS('Level of Efficiency Assumptions'!$J:$J,'Level of Efficiency Assumptions'!$H:$H,$I227,'Level of Efficiency Assumptions'!$I:$I,O$51))</f>
        <v xml:space="preserve"> </v>
      </c>
      <c r="P227" s="1299" t="str">
        <f>IF(SUMIFS('Level of Efficiency Assumptions'!$J:$J,'Level of Efficiency Assumptions'!$H:$H,$I227,'Level of Efficiency Assumptions'!$I:$I,P$51)=0," ",SUMIFS('Level of Efficiency Assumptions'!$J:$J,'Level of Efficiency Assumptions'!$H:$H,$I227,'Level of Efficiency Assumptions'!$I:$I,P$51))</f>
        <v xml:space="preserve"> </v>
      </c>
      <c r="Q227" s="971" t="e">
        <f>IF(I227=" "," ",(VLOOKUP(I227,list!$B$81:$C$111,2,FALSE)))</f>
        <v>#N/A</v>
      </c>
      <c r="R227" s="243">
        <f t="shared" si="74"/>
        <v>0</v>
      </c>
      <c r="S227" s="64">
        <v>1</v>
      </c>
      <c r="T227" s="68">
        <v>0</v>
      </c>
      <c r="U227" s="244">
        <f t="shared" si="77"/>
        <v>1</v>
      </c>
    </row>
    <row r="228" spans="2:24" ht="15" thickBot="1" x14ac:dyDescent="0.35">
      <c r="C228" s="520"/>
      <c r="D228" s="224" t="str">
        <f t="shared" si="78"/>
        <v xml:space="preserve">  </v>
      </c>
      <c r="E228" s="224"/>
      <c r="F228" s="224" t="str">
        <f t="shared" si="79"/>
        <v xml:space="preserve">  </v>
      </c>
      <c r="G228" s="224"/>
      <c r="H228" s="380"/>
      <c r="I228" s="516" t="e">
        <f>IF(VLOOKUP(C18,list!$AA$5:$AS$14,17,FALSE)=0," ",(VLOOKUP(C18,list!$AA$5:$AS$14,17,FALSE)))</f>
        <v>#N/A</v>
      </c>
      <c r="J228" s="955" t="e">
        <f t="shared" si="75"/>
        <v>#N/A</v>
      </c>
      <c r="K228" s="955" t="e">
        <f t="shared" si="76"/>
        <v>#N/A</v>
      </c>
      <c r="L228" s="969" t="e">
        <f>IF(I228=" "," ",VLOOKUP(J228,list!$J$4:$M$117,4,FALSE))</f>
        <v>#N/A</v>
      </c>
      <c r="M228" s="66"/>
      <c r="N228" s="1297" t="str">
        <f>IF(SUMIFS('Level of Efficiency Assumptions'!$J:$J,'Level of Efficiency Assumptions'!$H:$H,$I228,'Level of Efficiency Assumptions'!$I:$I,N$51)=0," ",SUMIFS('Level of Efficiency Assumptions'!$J:$J,'Level of Efficiency Assumptions'!$H:$H,$I228,'Level of Efficiency Assumptions'!$I:$I,N$51))</f>
        <v xml:space="preserve"> </v>
      </c>
      <c r="O228" s="1298" t="str">
        <f>IF(SUMIFS('Level of Efficiency Assumptions'!$J:$J,'Level of Efficiency Assumptions'!$H:$H,$I228,'Level of Efficiency Assumptions'!$I:$I,O$51)=0," ",SUMIFS('Level of Efficiency Assumptions'!$J:$J,'Level of Efficiency Assumptions'!$H:$H,$I228,'Level of Efficiency Assumptions'!$I:$I,O$51))</f>
        <v xml:space="preserve"> </v>
      </c>
      <c r="P228" s="1299" t="str">
        <f>IF(SUMIFS('Level of Efficiency Assumptions'!$J:$J,'Level of Efficiency Assumptions'!$H:$H,$I228,'Level of Efficiency Assumptions'!$I:$I,P$51)=0," ",SUMIFS('Level of Efficiency Assumptions'!$J:$J,'Level of Efficiency Assumptions'!$H:$H,$I228,'Level of Efficiency Assumptions'!$I:$I,P$51))</f>
        <v xml:space="preserve"> </v>
      </c>
      <c r="Q228" s="971" t="e">
        <f>IF(I228=" "," ",(VLOOKUP(I228,list!$B$81:$C$111,2,FALSE)))</f>
        <v>#N/A</v>
      </c>
      <c r="R228" s="243">
        <f t="shared" si="74"/>
        <v>0</v>
      </c>
      <c r="S228" s="64">
        <v>1</v>
      </c>
      <c r="T228" s="68">
        <v>0</v>
      </c>
      <c r="U228" s="244">
        <f t="shared" si="77"/>
        <v>1</v>
      </c>
    </row>
    <row r="229" spans="2:24" ht="15" thickBot="1" x14ac:dyDescent="0.35">
      <c r="C229" s="520"/>
      <c r="D229" s="224" t="str">
        <f t="shared" si="78"/>
        <v xml:space="preserve">  </v>
      </c>
      <c r="E229" s="224"/>
      <c r="F229" s="224" t="str">
        <f t="shared" si="79"/>
        <v xml:space="preserve">  </v>
      </c>
      <c r="G229" s="224"/>
      <c r="H229" s="380"/>
      <c r="I229" s="516" t="e">
        <f>IF(VLOOKUP(C18,list!$AA$5:$AS$14,18,FALSE)=0," ",(VLOOKUP(C18,list!$AA$5:$AS$14,18,FALSE)))</f>
        <v>#N/A</v>
      </c>
      <c r="J229" s="955" t="e">
        <f t="shared" si="75"/>
        <v>#N/A</v>
      </c>
      <c r="K229" s="955" t="e">
        <f t="shared" si="76"/>
        <v>#N/A</v>
      </c>
      <c r="L229" s="969" t="e">
        <f>IF(I229=" "," ",VLOOKUP(J229,list!$J$4:$M$117,4,FALSE))</f>
        <v>#N/A</v>
      </c>
      <c r="M229" s="66"/>
      <c r="N229" s="1297" t="str">
        <f>IF(SUMIFS('Level of Efficiency Assumptions'!$J:$J,'Level of Efficiency Assumptions'!$H:$H,$I229,'Level of Efficiency Assumptions'!$I:$I,N$51)=0," ",SUMIFS('Level of Efficiency Assumptions'!$J:$J,'Level of Efficiency Assumptions'!$H:$H,$I229,'Level of Efficiency Assumptions'!$I:$I,N$51))</f>
        <v xml:space="preserve"> </v>
      </c>
      <c r="O229" s="1298" t="str">
        <f>IF(SUMIFS('Level of Efficiency Assumptions'!$J:$J,'Level of Efficiency Assumptions'!$H:$H,$I229,'Level of Efficiency Assumptions'!$I:$I,O$51)=0," ",SUMIFS('Level of Efficiency Assumptions'!$J:$J,'Level of Efficiency Assumptions'!$H:$H,$I229,'Level of Efficiency Assumptions'!$I:$I,O$51))</f>
        <v xml:space="preserve"> </v>
      </c>
      <c r="P229" s="1299" t="str">
        <f>IF(SUMIFS('Level of Efficiency Assumptions'!$J:$J,'Level of Efficiency Assumptions'!$H:$H,$I229,'Level of Efficiency Assumptions'!$I:$I,P$51)=0," ",SUMIFS('Level of Efficiency Assumptions'!$J:$J,'Level of Efficiency Assumptions'!$H:$H,$I229,'Level of Efficiency Assumptions'!$I:$I,P$51))</f>
        <v xml:space="preserve"> </v>
      </c>
      <c r="Q229" s="971" t="e">
        <f>IF(I229=" "," ",(VLOOKUP(I229,list!$B$81:$C$111,2,FALSE)))</f>
        <v>#N/A</v>
      </c>
      <c r="R229" s="243">
        <f t="shared" si="74"/>
        <v>0</v>
      </c>
      <c r="S229" s="64">
        <v>1</v>
      </c>
      <c r="T229" s="68">
        <v>0</v>
      </c>
      <c r="U229" s="244">
        <f t="shared" si="77"/>
        <v>1</v>
      </c>
    </row>
    <row r="230" spans="2:24" ht="15" thickBot="1" x14ac:dyDescent="0.35">
      <c r="C230" s="632"/>
      <c r="D230" s="226" t="str">
        <f t="shared" si="78"/>
        <v xml:space="preserve">  </v>
      </c>
      <c r="E230" s="226"/>
      <c r="F230" s="226" t="str">
        <f t="shared" si="79"/>
        <v xml:space="preserve">  </v>
      </c>
      <c r="G230" s="226"/>
      <c r="H230" s="976"/>
      <c r="I230" s="516" t="e">
        <f>IF(VLOOKUP(C18,list!$AA$5:$AS$14,19,FALSE)=0," ",(VLOOKUP(C18,list!$AA$5:$AS$14,19,FALSE)))</f>
        <v>#N/A</v>
      </c>
      <c r="J230" s="955" t="e">
        <f>IF(I230=" "," ",(D230&amp;"-"&amp;I230))</f>
        <v>#N/A</v>
      </c>
      <c r="K230" s="955" t="e">
        <f t="shared" si="76"/>
        <v>#N/A</v>
      </c>
      <c r="L230" s="969" t="e">
        <f>IF(I230=" "," ",VLOOKUP(J230,list!$J$4:$M$117,4,FALSE))</f>
        <v>#N/A</v>
      </c>
      <c r="M230" s="67"/>
      <c r="N230" s="1303" t="str">
        <f>IF(SUMIFS('Level of Efficiency Assumptions'!$J:$J,'Level of Efficiency Assumptions'!$H:$H,$I230,'Level of Efficiency Assumptions'!$I:$I,N$51)=0," ",SUMIFS('Level of Efficiency Assumptions'!$J:$J,'Level of Efficiency Assumptions'!$H:$H,$I230,'Level of Efficiency Assumptions'!$I:$I,N$51))</f>
        <v xml:space="preserve"> </v>
      </c>
      <c r="O230" s="1304" t="str">
        <f>IF(SUMIFS('Level of Efficiency Assumptions'!$J:$J,'Level of Efficiency Assumptions'!$H:$H,$I230,'Level of Efficiency Assumptions'!$I:$I,O$51)=0," ",SUMIFS('Level of Efficiency Assumptions'!$J:$J,'Level of Efficiency Assumptions'!$H:$H,$I230,'Level of Efficiency Assumptions'!$I:$I,O$51))</f>
        <v xml:space="preserve"> </v>
      </c>
      <c r="P230" s="1305" t="str">
        <f>IF(SUMIFS('Level of Efficiency Assumptions'!$J:$J,'Level of Efficiency Assumptions'!$H:$H,$I230,'Level of Efficiency Assumptions'!$I:$I,P$51)=0," ",SUMIFS('Level of Efficiency Assumptions'!$J:$J,'Level of Efficiency Assumptions'!$H:$H,$I230,'Level of Efficiency Assumptions'!$I:$I,P$51))</f>
        <v xml:space="preserve"> </v>
      </c>
      <c r="Q230" s="977" t="e">
        <f>IF(I230=" "," ",(VLOOKUP(I230,list!$B$81:$C$111,2,FALSE)))</f>
        <v>#N/A</v>
      </c>
      <c r="R230" s="245">
        <f t="shared" si="74"/>
        <v>0</v>
      </c>
      <c r="S230" s="65">
        <v>1</v>
      </c>
      <c r="T230" s="69">
        <v>0</v>
      </c>
      <c r="U230" s="246">
        <f t="shared" si="77"/>
        <v>1</v>
      </c>
    </row>
    <row r="231" spans="2:24" x14ac:dyDescent="0.3">
      <c r="D231" s="846"/>
      <c r="F231" s="82"/>
      <c r="J231" s="846"/>
      <c r="K231" s="846"/>
      <c r="N231" s="1179"/>
      <c r="O231" s="1179"/>
      <c r="P231" s="1179"/>
      <c r="R231" s="176" t="s">
        <v>295</v>
      </c>
      <c r="S231" s="176"/>
      <c r="T231" s="176"/>
      <c r="U231" s="176"/>
    </row>
    <row r="232" spans="2:24" ht="15" thickBot="1" x14ac:dyDescent="0.35">
      <c r="D232" s="846"/>
      <c r="F232" s="82"/>
      <c r="J232" s="846"/>
      <c r="K232" s="846"/>
      <c r="N232" s="1179"/>
      <c r="O232" s="1179"/>
      <c r="P232" s="1179"/>
    </row>
    <row r="233" spans="2:24" ht="15" thickBot="1" x14ac:dyDescent="0.35">
      <c r="B233" s="814">
        <v>10</v>
      </c>
      <c r="C233" s="967" t="str">
        <f t="shared" ref="C233:H233" si="80">C19</f>
        <v xml:space="preserve">  </v>
      </c>
      <c r="D233" s="967" t="str">
        <f t="shared" si="80"/>
        <v xml:space="preserve">  </v>
      </c>
      <c r="E233" s="967" t="str">
        <f t="shared" si="80"/>
        <v xml:space="preserve">  </v>
      </c>
      <c r="F233" s="967" t="str">
        <f t="shared" si="80"/>
        <v xml:space="preserve">  </v>
      </c>
      <c r="G233" s="967">
        <f t="shared" si="80"/>
        <v>0</v>
      </c>
      <c r="H233" s="968">
        <f t="shared" si="80"/>
        <v>0</v>
      </c>
      <c r="I233" s="516" t="e">
        <f>IF(VLOOKUP(C19,list!$AA$5:$AS$14,2,FALSE)=0," ",(VLOOKUP(C19,list!$AA$5:$AS$14,2,FALSE)))</f>
        <v>#N/A</v>
      </c>
      <c r="J233" s="955" t="e">
        <f>IF(I233=" "," ",(D19&amp;"-"&amp;I233))</f>
        <v>#N/A</v>
      </c>
      <c r="K233" s="955" t="e">
        <f>IF(I233=" "," ",(F19&amp;"-"&amp;I233))</f>
        <v>#N/A</v>
      </c>
      <c r="L233" s="969" t="e">
        <f>IF(I233=" "," ",VLOOKUP(J233,list!$J$4:$M$117,4,FALSE))</f>
        <v>#N/A</v>
      </c>
      <c r="M233" s="70"/>
      <c r="N233" s="1300" t="str">
        <f>IF(SUMIFS('Level of Efficiency Assumptions'!$J:$J,'Level of Efficiency Assumptions'!$H:$H,$I233,'Level of Efficiency Assumptions'!$I:$I,N$51)=0," ",SUMIFS('Level of Efficiency Assumptions'!$J:$J,'Level of Efficiency Assumptions'!$H:$H,$I233,'Level of Efficiency Assumptions'!$I:$I,N$51))</f>
        <v xml:space="preserve"> </v>
      </c>
      <c r="O233" s="1301" t="str">
        <f>IF(SUMIFS('Level of Efficiency Assumptions'!$J:$J,'Level of Efficiency Assumptions'!$H:$H,$I233,'Level of Efficiency Assumptions'!$I:$I,O$51)=0," ",SUMIFS('Level of Efficiency Assumptions'!$J:$J,'Level of Efficiency Assumptions'!$H:$H,$I233,'Level of Efficiency Assumptions'!$I:$I,O$51))</f>
        <v xml:space="preserve"> </v>
      </c>
      <c r="P233" s="1302" t="str">
        <f>IF(SUMIFS('Level of Efficiency Assumptions'!$J:$J,'Level of Efficiency Assumptions'!$H:$H,$I233,'Level of Efficiency Assumptions'!$I:$I,P$51)=0," ",SUMIFS('Level of Efficiency Assumptions'!$J:$J,'Level of Efficiency Assumptions'!$H:$H,$I233,'Level of Efficiency Assumptions'!$I:$I,P$51))</f>
        <v xml:space="preserve"> </v>
      </c>
      <c r="Q233" s="970" t="e">
        <f>IF(I233=" "," ",(VLOOKUP(I233,list!$B$81:$C$111,2,FALSE)))</f>
        <v>#N/A</v>
      </c>
      <c r="R233" s="241">
        <f t="shared" ref="R233:R250" si="81">1-S233-T233</f>
        <v>0</v>
      </c>
      <c r="S233" s="83">
        <v>1</v>
      </c>
      <c r="T233" s="84">
        <v>0</v>
      </c>
      <c r="U233" s="242">
        <f>SUM(R233:T233)</f>
        <v>1</v>
      </c>
      <c r="W233" s="250" t="s">
        <v>367</v>
      </c>
      <c r="X233" s="251" t="s">
        <v>366</v>
      </c>
    </row>
    <row r="234" spans="2:24" ht="15" thickBot="1" x14ac:dyDescent="0.35">
      <c r="C234" s="520"/>
      <c r="D234" s="224" t="str">
        <f>D19</f>
        <v xml:space="preserve">  </v>
      </c>
      <c r="E234" s="224"/>
      <c r="F234" s="224" t="str">
        <f>F19</f>
        <v xml:space="preserve">  </v>
      </c>
      <c r="G234" s="224"/>
      <c r="H234" s="380"/>
      <c r="I234" s="516" t="e">
        <f>IF(VLOOKUP(C19,list!$AA$5:$AS$14,3,FALSE)=0," ",(VLOOKUP(C19,list!$AA$5:$AS$14,3,FALSE)))</f>
        <v>#N/A</v>
      </c>
      <c r="J234" s="955" t="e">
        <f t="shared" ref="J234:J249" si="82">IF(I234=" "," ",(D234&amp;"-"&amp;I234))</f>
        <v>#N/A</v>
      </c>
      <c r="K234" s="955" t="e">
        <f t="shared" ref="K234:K250" si="83">IF(I234=" "," ",(F234&amp;"-"&amp;I234))</f>
        <v>#N/A</v>
      </c>
      <c r="L234" s="969" t="e">
        <f>IF(I234=" "," ",VLOOKUP(J234,list!$J$4:$M$117,4,FALSE))</f>
        <v>#N/A</v>
      </c>
      <c r="M234" s="66"/>
      <c r="N234" s="1297" t="str">
        <f>IF(SUMIFS('Level of Efficiency Assumptions'!$J:$J,'Level of Efficiency Assumptions'!$H:$H,$I234,'Level of Efficiency Assumptions'!$I:$I,N$51)=0," ",SUMIFS('Level of Efficiency Assumptions'!$J:$J,'Level of Efficiency Assumptions'!$H:$H,$I234,'Level of Efficiency Assumptions'!$I:$I,N$51))</f>
        <v xml:space="preserve"> </v>
      </c>
      <c r="O234" s="1298" t="str">
        <f>IF(SUMIFS('Level of Efficiency Assumptions'!$J:$J,'Level of Efficiency Assumptions'!$H:$H,$I234,'Level of Efficiency Assumptions'!$I:$I,O$51)=0," ",SUMIFS('Level of Efficiency Assumptions'!$J:$J,'Level of Efficiency Assumptions'!$H:$H,$I234,'Level of Efficiency Assumptions'!$I:$I,O$51))</f>
        <v xml:space="preserve"> </v>
      </c>
      <c r="P234" s="1299" t="str">
        <f>IF(SUMIFS('Level of Efficiency Assumptions'!$J:$J,'Level of Efficiency Assumptions'!$H:$H,$I234,'Level of Efficiency Assumptions'!$I:$I,P$51)=0," ",SUMIFS('Level of Efficiency Assumptions'!$J:$J,'Level of Efficiency Assumptions'!$H:$H,$I234,'Level of Efficiency Assumptions'!$I:$I,P$51))</f>
        <v xml:space="preserve"> </v>
      </c>
      <c r="Q234" s="971" t="e">
        <f>IF(I234=" "," ",(VLOOKUP(I234,list!$B$81:$C$111,2,FALSE)))</f>
        <v>#N/A</v>
      </c>
      <c r="R234" s="243">
        <f t="shared" si="81"/>
        <v>0</v>
      </c>
      <c r="S234" s="64">
        <v>1</v>
      </c>
      <c r="T234" s="68">
        <v>0</v>
      </c>
      <c r="U234" s="244">
        <f t="shared" ref="U234:U250" si="84">SUM(R234:T234)</f>
        <v>1</v>
      </c>
      <c r="V234" s="82" t="e">
        <f>F234&amp;"-"&amp;W234</f>
        <v>#N/A</v>
      </c>
      <c r="W234" s="247" t="e">
        <f>HLOOKUP(D234,list!$O$34:$X$38,2,FALSE)</f>
        <v>#N/A</v>
      </c>
      <c r="X234" s="972">
        <v>1</v>
      </c>
    </row>
    <row r="235" spans="2:24" ht="15" thickBot="1" x14ac:dyDescent="0.35">
      <c r="C235" s="520"/>
      <c r="D235" s="224" t="str">
        <f>D234</f>
        <v xml:space="preserve">  </v>
      </c>
      <c r="E235" s="224"/>
      <c r="F235" s="224" t="str">
        <f>F234</f>
        <v xml:space="preserve">  </v>
      </c>
      <c r="G235" s="224"/>
      <c r="H235" s="380"/>
      <c r="I235" s="516" t="e">
        <f>IF(VLOOKUP(C19,list!$AA$5:$AS$14,4,FALSE)=0," ",(VLOOKUP(C19,list!$AA$5:$AS$14,4,FALSE)))</f>
        <v>#N/A</v>
      </c>
      <c r="J235" s="955" t="e">
        <f t="shared" si="82"/>
        <v>#N/A</v>
      </c>
      <c r="K235" s="955" t="e">
        <f t="shared" si="83"/>
        <v>#N/A</v>
      </c>
      <c r="L235" s="969" t="e">
        <f>IF(I235=" "," ",VLOOKUP(J235,list!$J$4:$M$117,4,FALSE))</f>
        <v>#N/A</v>
      </c>
      <c r="M235" s="66"/>
      <c r="N235" s="1297" t="str">
        <f>IF(SUMIFS('Level of Efficiency Assumptions'!$J:$J,'Level of Efficiency Assumptions'!$H:$H,$I235,'Level of Efficiency Assumptions'!$I:$I,N$51)=0," ",SUMIFS('Level of Efficiency Assumptions'!$J:$J,'Level of Efficiency Assumptions'!$H:$H,$I235,'Level of Efficiency Assumptions'!$I:$I,N$51))</f>
        <v xml:space="preserve"> </v>
      </c>
      <c r="O235" s="1298" t="str">
        <f>IF(SUMIFS('Level of Efficiency Assumptions'!$J:$J,'Level of Efficiency Assumptions'!$H:$H,$I235,'Level of Efficiency Assumptions'!$I:$I,O$51)=0," ",SUMIFS('Level of Efficiency Assumptions'!$J:$J,'Level of Efficiency Assumptions'!$H:$H,$I235,'Level of Efficiency Assumptions'!$I:$I,O$51))</f>
        <v xml:space="preserve"> </v>
      </c>
      <c r="P235" s="1299" t="str">
        <f>IF(SUMIFS('Level of Efficiency Assumptions'!$J:$J,'Level of Efficiency Assumptions'!$H:$H,$I235,'Level of Efficiency Assumptions'!$I:$I,P$51)=0," ",SUMIFS('Level of Efficiency Assumptions'!$J:$J,'Level of Efficiency Assumptions'!$H:$H,$I235,'Level of Efficiency Assumptions'!$I:$I,P$51))</f>
        <v xml:space="preserve"> </v>
      </c>
      <c r="Q235" s="971" t="e">
        <f>IF(I235=" "," ",(VLOOKUP(I235,list!$B$81:$C$111,2,FALSE)))</f>
        <v>#N/A</v>
      </c>
      <c r="R235" s="243">
        <f t="shared" si="81"/>
        <v>0</v>
      </c>
      <c r="S235" s="64">
        <v>1</v>
      </c>
      <c r="T235" s="68">
        <v>0</v>
      </c>
      <c r="U235" s="244">
        <f t="shared" si="84"/>
        <v>1</v>
      </c>
      <c r="V235" s="82" t="e">
        <f>F235&amp;"-"&amp;W235</f>
        <v>#N/A</v>
      </c>
      <c r="W235" s="248" t="e">
        <f>HLOOKUP(D235,list!$O$34:$X$38,3,FALSE)</f>
        <v>#N/A</v>
      </c>
      <c r="X235" s="973">
        <v>0.5</v>
      </c>
    </row>
    <row r="236" spans="2:24" ht="15" thickBot="1" x14ac:dyDescent="0.35">
      <c r="C236" s="520"/>
      <c r="D236" s="224" t="str">
        <f t="shared" ref="D236:D250" si="85">D235</f>
        <v xml:space="preserve">  </v>
      </c>
      <c r="E236" s="224"/>
      <c r="F236" s="224" t="str">
        <f t="shared" ref="F236:F250" si="86">F235</f>
        <v xml:space="preserve">  </v>
      </c>
      <c r="G236" s="224"/>
      <c r="H236" s="380"/>
      <c r="I236" s="516" t="e">
        <f>IF(VLOOKUP(C19,list!$AA$5:$AS$14,5,FALSE)=0," ",(VLOOKUP(C19,list!$AA$5:$AS$14,5,FALSE)))</f>
        <v>#N/A</v>
      </c>
      <c r="J236" s="955" t="e">
        <f t="shared" si="82"/>
        <v>#N/A</v>
      </c>
      <c r="K236" s="955" t="e">
        <f t="shared" si="83"/>
        <v>#N/A</v>
      </c>
      <c r="L236" s="969" t="e">
        <f>IF(I236=" "," ",VLOOKUP(J236,list!$J$4:$M$117,4,FALSE))</f>
        <v>#N/A</v>
      </c>
      <c r="M236" s="66"/>
      <c r="N236" s="1297" t="str">
        <f>IF(SUMIFS('Level of Efficiency Assumptions'!$J:$J,'Level of Efficiency Assumptions'!$H:$H,$I236,'Level of Efficiency Assumptions'!$I:$I,N$51)=0," ",SUMIFS('Level of Efficiency Assumptions'!$J:$J,'Level of Efficiency Assumptions'!$H:$H,$I236,'Level of Efficiency Assumptions'!$I:$I,N$51))</f>
        <v xml:space="preserve"> </v>
      </c>
      <c r="O236" s="1298" t="str">
        <f>IF(SUMIFS('Level of Efficiency Assumptions'!$J:$J,'Level of Efficiency Assumptions'!$H:$H,$I236,'Level of Efficiency Assumptions'!$I:$I,O$51)=0," ",SUMIFS('Level of Efficiency Assumptions'!$J:$J,'Level of Efficiency Assumptions'!$H:$H,$I236,'Level of Efficiency Assumptions'!$I:$I,O$51))</f>
        <v xml:space="preserve"> </v>
      </c>
      <c r="P236" s="1299" t="str">
        <f>IF(SUMIFS('Level of Efficiency Assumptions'!$J:$J,'Level of Efficiency Assumptions'!$H:$H,$I236,'Level of Efficiency Assumptions'!$I:$I,P$51)=0," ",SUMIFS('Level of Efficiency Assumptions'!$J:$J,'Level of Efficiency Assumptions'!$H:$H,$I236,'Level of Efficiency Assumptions'!$I:$I,P$51))</f>
        <v xml:space="preserve"> </v>
      </c>
      <c r="Q236" s="971" t="e">
        <f>IF(I236=" "," ",(VLOOKUP(I236,list!$B$81:$C$111,2,FALSE)))</f>
        <v>#N/A</v>
      </c>
      <c r="R236" s="243">
        <f t="shared" si="81"/>
        <v>0</v>
      </c>
      <c r="S236" s="64">
        <v>1</v>
      </c>
      <c r="T236" s="68">
        <v>0</v>
      </c>
      <c r="U236" s="244">
        <f t="shared" si="84"/>
        <v>1</v>
      </c>
      <c r="V236" s="82" t="e">
        <f>F236&amp;"-"&amp;W236</f>
        <v>#N/A</v>
      </c>
      <c r="W236" s="248" t="e">
        <f>HLOOKUP(D236,list!$O$34:$X$38,4,FALSE)</f>
        <v>#N/A</v>
      </c>
      <c r="X236" s="973">
        <v>0.5</v>
      </c>
    </row>
    <row r="237" spans="2:24" ht="15" thickBot="1" x14ac:dyDescent="0.35">
      <c r="C237" s="520"/>
      <c r="D237" s="224" t="str">
        <f t="shared" si="85"/>
        <v xml:space="preserve">  </v>
      </c>
      <c r="E237" s="224"/>
      <c r="F237" s="224" t="str">
        <f t="shared" si="86"/>
        <v xml:space="preserve">  </v>
      </c>
      <c r="G237" s="224"/>
      <c r="H237" s="380"/>
      <c r="I237" s="516" t="e">
        <f>IF(VLOOKUP(C19,list!$AA$5:$AS$14,6,FALSE)=0," ",(VLOOKUP(C19,list!$AA$5:$AS$14,6,FALSE)))</f>
        <v>#N/A</v>
      </c>
      <c r="J237" s="955" t="e">
        <f t="shared" si="82"/>
        <v>#N/A</v>
      </c>
      <c r="K237" s="955" t="e">
        <f t="shared" si="83"/>
        <v>#N/A</v>
      </c>
      <c r="L237" s="969" t="e">
        <f>IF(I237=" "," ",VLOOKUP(J237,list!$J$4:$M$117,4,FALSE))</f>
        <v>#N/A</v>
      </c>
      <c r="M237" s="66"/>
      <c r="N237" s="1297" t="str">
        <f>IF(SUMIFS('Level of Efficiency Assumptions'!$J:$J,'Level of Efficiency Assumptions'!$H:$H,$I237,'Level of Efficiency Assumptions'!$I:$I,N$51)=0," ",SUMIFS('Level of Efficiency Assumptions'!$J:$J,'Level of Efficiency Assumptions'!$H:$H,$I237,'Level of Efficiency Assumptions'!$I:$I,N$51))</f>
        <v xml:space="preserve"> </v>
      </c>
      <c r="O237" s="1298" t="str">
        <f>IF(SUMIFS('Level of Efficiency Assumptions'!$J:$J,'Level of Efficiency Assumptions'!$H:$H,$I237,'Level of Efficiency Assumptions'!$I:$I,O$51)=0," ",SUMIFS('Level of Efficiency Assumptions'!$J:$J,'Level of Efficiency Assumptions'!$H:$H,$I237,'Level of Efficiency Assumptions'!$I:$I,O$51))</f>
        <v xml:space="preserve"> </v>
      </c>
      <c r="P237" s="1299" t="str">
        <f>IF(SUMIFS('Level of Efficiency Assumptions'!$J:$J,'Level of Efficiency Assumptions'!$H:$H,$I237,'Level of Efficiency Assumptions'!$I:$I,P$51)=0," ",SUMIFS('Level of Efficiency Assumptions'!$J:$J,'Level of Efficiency Assumptions'!$H:$H,$I237,'Level of Efficiency Assumptions'!$I:$I,P$51))</f>
        <v xml:space="preserve"> </v>
      </c>
      <c r="Q237" s="971" t="e">
        <f>IF(I237=" "," ",(VLOOKUP(I237,list!$B$81:$C$111,2,FALSE)))</f>
        <v>#N/A</v>
      </c>
      <c r="R237" s="243">
        <f t="shared" si="81"/>
        <v>0</v>
      </c>
      <c r="S237" s="64">
        <v>1</v>
      </c>
      <c r="T237" s="68">
        <v>0</v>
      </c>
      <c r="U237" s="244">
        <f t="shared" si="84"/>
        <v>1</v>
      </c>
      <c r="V237" s="82" t="e">
        <f>F237&amp;"-"&amp;W237</f>
        <v>#N/A</v>
      </c>
      <c r="W237" s="249" t="e">
        <f>HLOOKUP(D237,list!$O$34:$X$38,5,FALSE)</f>
        <v>#N/A</v>
      </c>
      <c r="X237" s="974">
        <v>0.5</v>
      </c>
    </row>
    <row r="238" spans="2:24" ht="15" thickBot="1" x14ac:dyDescent="0.35">
      <c r="C238" s="520"/>
      <c r="D238" s="224" t="str">
        <f t="shared" si="85"/>
        <v xml:space="preserve">  </v>
      </c>
      <c r="E238" s="224"/>
      <c r="F238" s="224" t="str">
        <f t="shared" si="86"/>
        <v xml:space="preserve">  </v>
      </c>
      <c r="G238" s="224"/>
      <c r="H238" s="380"/>
      <c r="I238" s="516" t="e">
        <f>IF(VLOOKUP(C19,list!$AA$5:$AS$14,7,FALSE)=0," ",(VLOOKUP(C19,list!$AA$5:$AS$14,7,FALSE)))</f>
        <v>#N/A</v>
      </c>
      <c r="J238" s="955" t="e">
        <f t="shared" si="82"/>
        <v>#N/A</v>
      </c>
      <c r="K238" s="955" t="e">
        <f t="shared" si="83"/>
        <v>#N/A</v>
      </c>
      <c r="L238" s="969" t="e">
        <f>IF(I238=" "," ",VLOOKUP(J238,list!$J$4:$M$117,4,FALSE))</f>
        <v>#N/A</v>
      </c>
      <c r="M238" s="66"/>
      <c r="N238" s="1297" t="str">
        <f>IF(SUMIFS('Level of Efficiency Assumptions'!$J:$J,'Level of Efficiency Assumptions'!$H:$H,$I238,'Level of Efficiency Assumptions'!$I:$I,N$51)=0," ",SUMIFS('Level of Efficiency Assumptions'!$J:$J,'Level of Efficiency Assumptions'!$H:$H,$I238,'Level of Efficiency Assumptions'!$I:$I,N$51))</f>
        <v xml:space="preserve"> </v>
      </c>
      <c r="O238" s="1298" t="str">
        <f>IF(SUMIFS('Level of Efficiency Assumptions'!$J:$J,'Level of Efficiency Assumptions'!$H:$H,$I238,'Level of Efficiency Assumptions'!$I:$I,O$51)=0," ",SUMIFS('Level of Efficiency Assumptions'!$J:$J,'Level of Efficiency Assumptions'!$H:$H,$I238,'Level of Efficiency Assumptions'!$I:$I,O$51))</f>
        <v xml:space="preserve"> </v>
      </c>
      <c r="P238" s="1299" t="str">
        <f>IF(SUMIFS('Level of Efficiency Assumptions'!$J:$J,'Level of Efficiency Assumptions'!$H:$H,$I238,'Level of Efficiency Assumptions'!$I:$I,P$51)=0," ",SUMIFS('Level of Efficiency Assumptions'!$J:$J,'Level of Efficiency Assumptions'!$H:$H,$I238,'Level of Efficiency Assumptions'!$I:$I,P$51))</f>
        <v xml:space="preserve"> </v>
      </c>
      <c r="Q238" s="971" t="e">
        <f>IF(I238=" "," ",(VLOOKUP(I238,list!$B$81:$C$111,2,FALSE)))</f>
        <v>#N/A</v>
      </c>
      <c r="R238" s="243">
        <f t="shared" si="81"/>
        <v>0</v>
      </c>
      <c r="S238" s="64">
        <v>1</v>
      </c>
      <c r="T238" s="68">
        <v>0</v>
      </c>
      <c r="U238" s="244">
        <f t="shared" si="84"/>
        <v>1</v>
      </c>
      <c r="W238" s="182"/>
      <c r="X238" s="975"/>
    </row>
    <row r="239" spans="2:24" ht="15" thickBot="1" x14ac:dyDescent="0.35">
      <c r="C239" s="520"/>
      <c r="D239" s="224" t="str">
        <f t="shared" si="85"/>
        <v xml:space="preserve">  </v>
      </c>
      <c r="E239" s="224"/>
      <c r="F239" s="224" t="str">
        <f t="shared" si="86"/>
        <v xml:space="preserve">  </v>
      </c>
      <c r="G239" s="224"/>
      <c r="H239" s="380"/>
      <c r="I239" s="516" t="e">
        <f>IF(VLOOKUP(C19,list!$AA$5:$AS$14,8,FALSE)=0," ",(VLOOKUP(C19,list!$AA$5:$AS$14,8,FALSE)))</f>
        <v>#N/A</v>
      </c>
      <c r="J239" s="955" t="e">
        <f t="shared" si="82"/>
        <v>#N/A</v>
      </c>
      <c r="K239" s="955" t="e">
        <f t="shared" si="83"/>
        <v>#N/A</v>
      </c>
      <c r="L239" s="969" t="e">
        <f>IF(I239=" "," ",VLOOKUP(J239,list!$J$4:$M$117,4,FALSE))</f>
        <v>#N/A</v>
      </c>
      <c r="M239" s="66"/>
      <c r="N239" s="1297" t="str">
        <f>IF(SUMIFS('Level of Efficiency Assumptions'!$J:$J,'Level of Efficiency Assumptions'!$H:$H,$I239,'Level of Efficiency Assumptions'!$I:$I,N$51)=0," ",SUMIFS('Level of Efficiency Assumptions'!$J:$J,'Level of Efficiency Assumptions'!$H:$H,$I239,'Level of Efficiency Assumptions'!$I:$I,N$51))</f>
        <v xml:space="preserve"> </v>
      </c>
      <c r="O239" s="1298" t="str">
        <f>IF(SUMIFS('Level of Efficiency Assumptions'!$J:$J,'Level of Efficiency Assumptions'!$H:$H,$I239,'Level of Efficiency Assumptions'!$I:$I,O$51)=0," ",SUMIFS('Level of Efficiency Assumptions'!$J:$J,'Level of Efficiency Assumptions'!$H:$H,$I239,'Level of Efficiency Assumptions'!$I:$I,O$51))</f>
        <v xml:space="preserve"> </v>
      </c>
      <c r="P239" s="1299" t="str">
        <f>IF(SUMIFS('Level of Efficiency Assumptions'!$J:$J,'Level of Efficiency Assumptions'!$H:$H,$I239,'Level of Efficiency Assumptions'!$I:$I,P$51)=0," ",SUMIFS('Level of Efficiency Assumptions'!$J:$J,'Level of Efficiency Assumptions'!$H:$H,$I239,'Level of Efficiency Assumptions'!$I:$I,P$51))</f>
        <v xml:space="preserve"> </v>
      </c>
      <c r="Q239" s="971" t="e">
        <f>IF(I239=" "," ",(VLOOKUP(I239,list!$B$81:$C$111,2,FALSE)))</f>
        <v>#N/A</v>
      </c>
      <c r="R239" s="243">
        <f t="shared" si="81"/>
        <v>0</v>
      </c>
      <c r="S239" s="64">
        <v>1</v>
      </c>
      <c r="T239" s="68">
        <v>0</v>
      </c>
      <c r="U239" s="244">
        <f t="shared" si="84"/>
        <v>1</v>
      </c>
      <c r="W239" s="182"/>
      <c r="X239" s="975"/>
    </row>
    <row r="240" spans="2:24" ht="15" thickBot="1" x14ac:dyDescent="0.35">
      <c r="C240" s="520"/>
      <c r="D240" s="224" t="str">
        <f t="shared" si="85"/>
        <v xml:space="preserve">  </v>
      </c>
      <c r="E240" s="224"/>
      <c r="F240" s="224" t="str">
        <f t="shared" si="86"/>
        <v xml:space="preserve">  </v>
      </c>
      <c r="G240" s="224"/>
      <c r="H240" s="380"/>
      <c r="I240" s="516" t="e">
        <f>IF(VLOOKUP(C19,list!$AA$5:$AS$14,9,FALSE)=0," ",(VLOOKUP(C19,list!$AA$5:$AS$14,9,FALSE)))</f>
        <v>#N/A</v>
      </c>
      <c r="J240" s="955" t="e">
        <f t="shared" si="82"/>
        <v>#N/A</v>
      </c>
      <c r="K240" s="955" t="e">
        <f t="shared" si="83"/>
        <v>#N/A</v>
      </c>
      <c r="L240" s="969" t="e">
        <f>IF(I240=" "," ",VLOOKUP(J240,list!$J$4:$M$117,4,FALSE))</f>
        <v>#N/A</v>
      </c>
      <c r="M240" s="66"/>
      <c r="N240" s="1297" t="str">
        <f>IF(SUMIFS('Level of Efficiency Assumptions'!$J:$J,'Level of Efficiency Assumptions'!$H:$H,$I240,'Level of Efficiency Assumptions'!$I:$I,N$51)=0," ",SUMIFS('Level of Efficiency Assumptions'!$J:$J,'Level of Efficiency Assumptions'!$H:$H,$I240,'Level of Efficiency Assumptions'!$I:$I,N$51))</f>
        <v xml:space="preserve"> </v>
      </c>
      <c r="O240" s="1298" t="str">
        <f>IF(SUMIFS('Level of Efficiency Assumptions'!$J:$J,'Level of Efficiency Assumptions'!$H:$H,$I240,'Level of Efficiency Assumptions'!$I:$I,O$51)=0," ",SUMIFS('Level of Efficiency Assumptions'!$J:$J,'Level of Efficiency Assumptions'!$H:$H,$I240,'Level of Efficiency Assumptions'!$I:$I,O$51))</f>
        <v xml:space="preserve"> </v>
      </c>
      <c r="P240" s="1299" t="str">
        <f>IF(SUMIFS('Level of Efficiency Assumptions'!$J:$J,'Level of Efficiency Assumptions'!$H:$H,$I240,'Level of Efficiency Assumptions'!$I:$I,P$51)=0," ",SUMIFS('Level of Efficiency Assumptions'!$J:$J,'Level of Efficiency Assumptions'!$H:$H,$I240,'Level of Efficiency Assumptions'!$I:$I,P$51))</f>
        <v xml:space="preserve"> </v>
      </c>
      <c r="Q240" s="971" t="e">
        <f>IF(I240=" "," ",(VLOOKUP(I240,list!$B$81:$C$111,2,FALSE)))</f>
        <v>#N/A</v>
      </c>
      <c r="R240" s="243">
        <f t="shared" si="81"/>
        <v>0</v>
      </c>
      <c r="S240" s="64">
        <v>1</v>
      </c>
      <c r="T240" s="68">
        <v>0</v>
      </c>
      <c r="U240" s="244">
        <f t="shared" si="84"/>
        <v>1</v>
      </c>
    </row>
    <row r="241" spans="2:24" ht="15" thickBot="1" x14ac:dyDescent="0.35">
      <c r="C241" s="520"/>
      <c r="D241" s="224" t="str">
        <f t="shared" si="85"/>
        <v xml:space="preserve">  </v>
      </c>
      <c r="E241" s="224"/>
      <c r="F241" s="224" t="str">
        <f t="shared" si="86"/>
        <v xml:space="preserve">  </v>
      </c>
      <c r="G241" s="224"/>
      <c r="H241" s="380"/>
      <c r="I241" s="516" t="e">
        <f>IF(VLOOKUP(C19,list!$AA$5:$AS$14,10,FALSE)=0," ",(VLOOKUP(C19,list!$AA$5:$AS$14,10,FALSE)))</f>
        <v>#N/A</v>
      </c>
      <c r="J241" s="955" t="e">
        <f t="shared" si="82"/>
        <v>#N/A</v>
      </c>
      <c r="K241" s="955" t="e">
        <f t="shared" si="83"/>
        <v>#N/A</v>
      </c>
      <c r="L241" s="969" t="e">
        <f>IF(I241=" "," ",VLOOKUP(J241,list!$J$4:$M$117,4,FALSE))</f>
        <v>#N/A</v>
      </c>
      <c r="M241" s="66"/>
      <c r="N241" s="1297" t="str">
        <f>IF(SUMIFS('Level of Efficiency Assumptions'!$J:$J,'Level of Efficiency Assumptions'!$H:$H,$I241,'Level of Efficiency Assumptions'!$I:$I,N$51)=0," ",SUMIFS('Level of Efficiency Assumptions'!$J:$J,'Level of Efficiency Assumptions'!$H:$H,$I241,'Level of Efficiency Assumptions'!$I:$I,N$51))</f>
        <v xml:space="preserve"> </v>
      </c>
      <c r="O241" s="1298" t="str">
        <f>IF(SUMIFS('Level of Efficiency Assumptions'!$J:$J,'Level of Efficiency Assumptions'!$H:$H,$I241,'Level of Efficiency Assumptions'!$I:$I,O$51)=0," ",SUMIFS('Level of Efficiency Assumptions'!$J:$J,'Level of Efficiency Assumptions'!$H:$H,$I241,'Level of Efficiency Assumptions'!$I:$I,O$51))</f>
        <v xml:space="preserve"> </v>
      </c>
      <c r="P241" s="1299" t="str">
        <f>IF(SUMIFS('Level of Efficiency Assumptions'!$J:$J,'Level of Efficiency Assumptions'!$H:$H,$I241,'Level of Efficiency Assumptions'!$I:$I,P$51)=0," ",SUMIFS('Level of Efficiency Assumptions'!$J:$J,'Level of Efficiency Assumptions'!$H:$H,$I241,'Level of Efficiency Assumptions'!$I:$I,P$51))</f>
        <v xml:space="preserve"> </v>
      </c>
      <c r="Q241" s="971" t="e">
        <f>IF(I241=" "," ",(VLOOKUP(I241,list!$B$81:$C$111,2,FALSE)))</f>
        <v>#N/A</v>
      </c>
      <c r="R241" s="243">
        <f t="shared" si="81"/>
        <v>0</v>
      </c>
      <c r="S241" s="64">
        <v>1</v>
      </c>
      <c r="T241" s="68">
        <v>0</v>
      </c>
      <c r="U241" s="244">
        <f t="shared" si="84"/>
        <v>1</v>
      </c>
    </row>
    <row r="242" spans="2:24" ht="15" thickBot="1" x14ac:dyDescent="0.35">
      <c r="C242" s="520"/>
      <c r="D242" s="224" t="str">
        <f t="shared" si="85"/>
        <v xml:space="preserve">  </v>
      </c>
      <c r="E242" s="224"/>
      <c r="F242" s="224" t="str">
        <f t="shared" si="86"/>
        <v xml:space="preserve">  </v>
      </c>
      <c r="G242" s="224"/>
      <c r="H242" s="380"/>
      <c r="I242" s="516" t="e">
        <f>IF(VLOOKUP(C19,list!$AA$5:$AS$14,11,FALSE)=0," ",(VLOOKUP(C19,list!$AA$5:$AS$14,11,FALSE)))</f>
        <v>#N/A</v>
      </c>
      <c r="J242" s="955" t="e">
        <f t="shared" si="82"/>
        <v>#N/A</v>
      </c>
      <c r="K242" s="955" t="e">
        <f t="shared" si="83"/>
        <v>#N/A</v>
      </c>
      <c r="L242" s="969" t="e">
        <f>IF(I242=" "," ",VLOOKUP(J242,list!$J$4:$M$117,4,FALSE))</f>
        <v>#N/A</v>
      </c>
      <c r="M242" s="66"/>
      <c r="N242" s="1297" t="str">
        <f>IF(SUMIFS('Level of Efficiency Assumptions'!$J:$J,'Level of Efficiency Assumptions'!$H:$H,$I242,'Level of Efficiency Assumptions'!$I:$I,N$51)=0," ",SUMIFS('Level of Efficiency Assumptions'!$J:$J,'Level of Efficiency Assumptions'!$H:$H,$I242,'Level of Efficiency Assumptions'!$I:$I,N$51))</f>
        <v xml:space="preserve"> </v>
      </c>
      <c r="O242" s="1298" t="str">
        <f>IF(SUMIFS('Level of Efficiency Assumptions'!$J:$J,'Level of Efficiency Assumptions'!$H:$H,$I242,'Level of Efficiency Assumptions'!$I:$I,O$51)=0," ",SUMIFS('Level of Efficiency Assumptions'!$J:$J,'Level of Efficiency Assumptions'!$H:$H,$I242,'Level of Efficiency Assumptions'!$I:$I,O$51))</f>
        <v xml:space="preserve"> </v>
      </c>
      <c r="P242" s="1299" t="str">
        <f>IF(SUMIFS('Level of Efficiency Assumptions'!$J:$J,'Level of Efficiency Assumptions'!$H:$H,$I242,'Level of Efficiency Assumptions'!$I:$I,P$51)=0," ",SUMIFS('Level of Efficiency Assumptions'!$J:$J,'Level of Efficiency Assumptions'!$H:$H,$I242,'Level of Efficiency Assumptions'!$I:$I,P$51))</f>
        <v xml:space="preserve"> </v>
      </c>
      <c r="Q242" s="971" t="e">
        <f>IF(I242=" "," ",(VLOOKUP(I242,list!$B$81:$C$111,2,FALSE)))</f>
        <v>#N/A</v>
      </c>
      <c r="R242" s="243">
        <f t="shared" si="81"/>
        <v>0</v>
      </c>
      <c r="S242" s="64">
        <v>1</v>
      </c>
      <c r="T242" s="68">
        <v>0</v>
      </c>
      <c r="U242" s="244">
        <f t="shared" si="84"/>
        <v>1</v>
      </c>
    </row>
    <row r="243" spans="2:24" ht="15" thickBot="1" x14ac:dyDescent="0.35">
      <c r="C243" s="520"/>
      <c r="D243" s="224" t="str">
        <f t="shared" si="85"/>
        <v xml:space="preserve">  </v>
      </c>
      <c r="E243" s="224"/>
      <c r="F243" s="224" t="str">
        <f t="shared" si="86"/>
        <v xml:space="preserve">  </v>
      </c>
      <c r="G243" s="224"/>
      <c r="H243" s="380"/>
      <c r="I243" s="516" t="e">
        <f>IF(VLOOKUP(C19,list!$AA$5:$AS$14,12,FALSE)=0," ",(VLOOKUP(C19,list!$AA$5:$AS$14,12,FALSE)))</f>
        <v>#N/A</v>
      </c>
      <c r="J243" s="955" t="e">
        <f t="shared" si="82"/>
        <v>#N/A</v>
      </c>
      <c r="K243" s="955" t="e">
        <f t="shared" si="83"/>
        <v>#N/A</v>
      </c>
      <c r="L243" s="969" t="e">
        <f>IF(I243=" "," ",VLOOKUP(J243,list!$J$4:$M$117,4,FALSE))</f>
        <v>#N/A</v>
      </c>
      <c r="M243" s="66"/>
      <c r="N243" s="1297" t="str">
        <f>IF(SUMIFS('Level of Efficiency Assumptions'!$J:$J,'Level of Efficiency Assumptions'!$H:$H,$I243,'Level of Efficiency Assumptions'!$I:$I,N$51)=0," ",SUMIFS('Level of Efficiency Assumptions'!$J:$J,'Level of Efficiency Assumptions'!$H:$H,$I243,'Level of Efficiency Assumptions'!$I:$I,N$51))</f>
        <v xml:space="preserve"> </v>
      </c>
      <c r="O243" s="1298" t="str">
        <f>IF(SUMIFS('Level of Efficiency Assumptions'!$J:$J,'Level of Efficiency Assumptions'!$H:$H,$I243,'Level of Efficiency Assumptions'!$I:$I,O$51)=0," ",SUMIFS('Level of Efficiency Assumptions'!$J:$J,'Level of Efficiency Assumptions'!$H:$H,$I243,'Level of Efficiency Assumptions'!$I:$I,O$51))</f>
        <v xml:space="preserve"> </v>
      </c>
      <c r="P243" s="1299" t="str">
        <f>IF(SUMIFS('Level of Efficiency Assumptions'!$J:$J,'Level of Efficiency Assumptions'!$H:$H,$I243,'Level of Efficiency Assumptions'!$I:$I,P$51)=0," ",SUMIFS('Level of Efficiency Assumptions'!$J:$J,'Level of Efficiency Assumptions'!$H:$H,$I243,'Level of Efficiency Assumptions'!$I:$I,P$51))</f>
        <v xml:space="preserve"> </v>
      </c>
      <c r="Q243" s="971" t="e">
        <f>IF(I243=" "," ",(VLOOKUP(I243,list!$B$81:$C$111,2,FALSE)))</f>
        <v>#N/A</v>
      </c>
      <c r="R243" s="243">
        <f t="shared" si="81"/>
        <v>0</v>
      </c>
      <c r="S243" s="64">
        <v>1</v>
      </c>
      <c r="T243" s="68">
        <v>0</v>
      </c>
      <c r="U243" s="244">
        <f t="shared" si="84"/>
        <v>1</v>
      </c>
    </row>
    <row r="244" spans="2:24" ht="15" thickBot="1" x14ac:dyDescent="0.35">
      <c r="C244" s="520"/>
      <c r="D244" s="224" t="str">
        <f t="shared" si="85"/>
        <v xml:space="preserve">  </v>
      </c>
      <c r="E244" s="224"/>
      <c r="F244" s="224" t="str">
        <f t="shared" si="86"/>
        <v xml:space="preserve">  </v>
      </c>
      <c r="G244" s="224"/>
      <c r="H244" s="380"/>
      <c r="I244" s="516" t="e">
        <f>IF(VLOOKUP(C19,list!$AA$5:$AS$14,13,FALSE)=0," ",(VLOOKUP(C19,list!$AA$5:$AS$14,13,FALSE)))</f>
        <v>#N/A</v>
      </c>
      <c r="J244" s="955" t="e">
        <f t="shared" si="82"/>
        <v>#N/A</v>
      </c>
      <c r="K244" s="955" t="e">
        <f t="shared" si="83"/>
        <v>#N/A</v>
      </c>
      <c r="L244" s="969" t="e">
        <f>IF(I244=" "," ",VLOOKUP(J244,list!$J$4:$M$117,4,FALSE))</f>
        <v>#N/A</v>
      </c>
      <c r="M244" s="66"/>
      <c r="N244" s="1297" t="str">
        <f>IF(SUMIFS('Level of Efficiency Assumptions'!$J:$J,'Level of Efficiency Assumptions'!$H:$H,$I244,'Level of Efficiency Assumptions'!$I:$I,N$51)=0," ",SUMIFS('Level of Efficiency Assumptions'!$J:$J,'Level of Efficiency Assumptions'!$H:$H,$I244,'Level of Efficiency Assumptions'!$I:$I,N$51))</f>
        <v xml:space="preserve"> </v>
      </c>
      <c r="O244" s="1298" t="str">
        <f>IF(SUMIFS('Level of Efficiency Assumptions'!$J:$J,'Level of Efficiency Assumptions'!$H:$H,$I244,'Level of Efficiency Assumptions'!$I:$I,O$51)=0," ",SUMIFS('Level of Efficiency Assumptions'!$J:$J,'Level of Efficiency Assumptions'!$H:$H,$I244,'Level of Efficiency Assumptions'!$I:$I,O$51))</f>
        <v xml:space="preserve"> </v>
      </c>
      <c r="P244" s="1299" t="str">
        <f>IF(SUMIFS('Level of Efficiency Assumptions'!$J:$J,'Level of Efficiency Assumptions'!$H:$H,$I244,'Level of Efficiency Assumptions'!$I:$I,P$51)=0," ",SUMIFS('Level of Efficiency Assumptions'!$J:$J,'Level of Efficiency Assumptions'!$H:$H,$I244,'Level of Efficiency Assumptions'!$I:$I,P$51))</f>
        <v xml:space="preserve"> </v>
      </c>
      <c r="Q244" s="971" t="e">
        <f>IF(I244=" "," ",(VLOOKUP(I244,list!$B$81:$C$111,2,FALSE)))</f>
        <v>#N/A</v>
      </c>
      <c r="R244" s="243">
        <f t="shared" si="81"/>
        <v>0</v>
      </c>
      <c r="S244" s="64">
        <v>1</v>
      </c>
      <c r="T244" s="68">
        <v>0</v>
      </c>
      <c r="U244" s="244">
        <f t="shared" si="84"/>
        <v>1</v>
      </c>
    </row>
    <row r="245" spans="2:24" ht="15" thickBot="1" x14ac:dyDescent="0.35">
      <c r="C245" s="520"/>
      <c r="D245" s="224" t="str">
        <f t="shared" si="85"/>
        <v xml:space="preserve">  </v>
      </c>
      <c r="E245" s="224"/>
      <c r="F245" s="224" t="str">
        <f t="shared" si="86"/>
        <v xml:space="preserve">  </v>
      </c>
      <c r="G245" s="224"/>
      <c r="H245" s="380"/>
      <c r="I245" s="516" t="e">
        <f>IF(VLOOKUP(C19,list!$AA$5:$AS$14,14,FALSE)=0," ",(VLOOKUP(C19,list!$AA$5:$AS$14,14,FALSE)))</f>
        <v>#N/A</v>
      </c>
      <c r="J245" s="955" t="e">
        <f t="shared" si="82"/>
        <v>#N/A</v>
      </c>
      <c r="K245" s="955" t="e">
        <f t="shared" si="83"/>
        <v>#N/A</v>
      </c>
      <c r="L245" s="969" t="e">
        <f>IF(I245=" "," ",VLOOKUP(J245,list!$J$4:$M$117,4,FALSE))</f>
        <v>#N/A</v>
      </c>
      <c r="M245" s="66"/>
      <c r="N245" s="1297" t="str">
        <f>IF(SUMIFS('Level of Efficiency Assumptions'!$J:$J,'Level of Efficiency Assumptions'!$H:$H,$I245,'Level of Efficiency Assumptions'!$I:$I,N$51)=0," ",SUMIFS('Level of Efficiency Assumptions'!$J:$J,'Level of Efficiency Assumptions'!$H:$H,$I245,'Level of Efficiency Assumptions'!$I:$I,N$51))</f>
        <v xml:space="preserve"> </v>
      </c>
      <c r="O245" s="1298" t="str">
        <f>IF(SUMIFS('Level of Efficiency Assumptions'!$J:$J,'Level of Efficiency Assumptions'!$H:$H,$I245,'Level of Efficiency Assumptions'!$I:$I,O$51)=0," ",SUMIFS('Level of Efficiency Assumptions'!$J:$J,'Level of Efficiency Assumptions'!$H:$H,$I245,'Level of Efficiency Assumptions'!$I:$I,O$51))</f>
        <v xml:space="preserve"> </v>
      </c>
      <c r="P245" s="1299" t="str">
        <f>IF(SUMIFS('Level of Efficiency Assumptions'!$J:$J,'Level of Efficiency Assumptions'!$H:$H,$I245,'Level of Efficiency Assumptions'!$I:$I,P$51)=0," ",SUMIFS('Level of Efficiency Assumptions'!$J:$J,'Level of Efficiency Assumptions'!$H:$H,$I245,'Level of Efficiency Assumptions'!$I:$I,P$51))</f>
        <v xml:space="preserve"> </v>
      </c>
      <c r="Q245" s="971" t="e">
        <f>IF(I245=" "," ",(VLOOKUP(I245,list!$B$81:$C$111,2,FALSE)))</f>
        <v>#N/A</v>
      </c>
      <c r="R245" s="243">
        <f t="shared" si="81"/>
        <v>0</v>
      </c>
      <c r="S245" s="64">
        <v>1</v>
      </c>
      <c r="T245" s="68">
        <v>0</v>
      </c>
      <c r="U245" s="244">
        <f t="shared" si="84"/>
        <v>1</v>
      </c>
    </row>
    <row r="246" spans="2:24" ht="15" thickBot="1" x14ac:dyDescent="0.35">
      <c r="C246" s="520"/>
      <c r="D246" s="224" t="str">
        <f t="shared" si="85"/>
        <v xml:space="preserve">  </v>
      </c>
      <c r="E246" s="224"/>
      <c r="F246" s="224" t="str">
        <f t="shared" si="86"/>
        <v xml:space="preserve">  </v>
      </c>
      <c r="G246" s="224"/>
      <c r="H246" s="380"/>
      <c r="I246" s="516" t="e">
        <f>IF(VLOOKUP(C19,list!$AA$5:$AS$14,15,FALSE)=0," ",(VLOOKUP(C19,list!$AA$5:$AS$14,15,FALSE)))</f>
        <v>#N/A</v>
      </c>
      <c r="J246" s="955" t="e">
        <f t="shared" si="82"/>
        <v>#N/A</v>
      </c>
      <c r="K246" s="955" t="e">
        <f t="shared" si="83"/>
        <v>#N/A</v>
      </c>
      <c r="L246" s="969" t="e">
        <f>IF(I246=" "," ",VLOOKUP(J246,list!$J$4:$M$117,4,FALSE))</f>
        <v>#N/A</v>
      </c>
      <c r="M246" s="66"/>
      <c r="N246" s="1297" t="str">
        <f>IF(SUMIFS('Level of Efficiency Assumptions'!$J:$J,'Level of Efficiency Assumptions'!$H:$H,$I246,'Level of Efficiency Assumptions'!$I:$I,N$51)=0," ",SUMIFS('Level of Efficiency Assumptions'!$J:$J,'Level of Efficiency Assumptions'!$H:$H,$I246,'Level of Efficiency Assumptions'!$I:$I,N$51))</f>
        <v xml:space="preserve"> </v>
      </c>
      <c r="O246" s="1298" t="str">
        <f>IF(SUMIFS('Level of Efficiency Assumptions'!$J:$J,'Level of Efficiency Assumptions'!$H:$H,$I246,'Level of Efficiency Assumptions'!$I:$I,O$51)=0," ",SUMIFS('Level of Efficiency Assumptions'!$J:$J,'Level of Efficiency Assumptions'!$H:$H,$I246,'Level of Efficiency Assumptions'!$I:$I,O$51))</f>
        <v xml:space="preserve"> </v>
      </c>
      <c r="P246" s="1299" t="str">
        <f>IF(SUMIFS('Level of Efficiency Assumptions'!$J:$J,'Level of Efficiency Assumptions'!$H:$H,$I246,'Level of Efficiency Assumptions'!$I:$I,P$51)=0," ",SUMIFS('Level of Efficiency Assumptions'!$J:$J,'Level of Efficiency Assumptions'!$H:$H,$I246,'Level of Efficiency Assumptions'!$I:$I,P$51))</f>
        <v xml:space="preserve"> </v>
      </c>
      <c r="Q246" s="971" t="e">
        <f>IF(I246=" "," ",(VLOOKUP(I246,list!$B$81:$C$111,2,FALSE)))</f>
        <v>#N/A</v>
      </c>
      <c r="R246" s="243">
        <f t="shared" si="81"/>
        <v>0</v>
      </c>
      <c r="S246" s="64">
        <v>1</v>
      </c>
      <c r="T246" s="68">
        <v>0</v>
      </c>
      <c r="U246" s="244">
        <f t="shared" si="84"/>
        <v>1</v>
      </c>
    </row>
    <row r="247" spans="2:24" ht="15" thickBot="1" x14ac:dyDescent="0.35">
      <c r="C247" s="520"/>
      <c r="D247" s="224" t="str">
        <f t="shared" si="85"/>
        <v xml:space="preserve">  </v>
      </c>
      <c r="E247" s="224"/>
      <c r="F247" s="224" t="str">
        <f t="shared" si="86"/>
        <v xml:space="preserve">  </v>
      </c>
      <c r="G247" s="224"/>
      <c r="H247" s="380"/>
      <c r="I247" s="516" t="e">
        <f>IF(VLOOKUP(C19,list!$AA$5:$AS$14,16,FALSE)=0," ",(VLOOKUP(C19,list!$AA$5:$AS$14,16,FALSE)))</f>
        <v>#N/A</v>
      </c>
      <c r="J247" s="955" t="e">
        <f t="shared" si="82"/>
        <v>#N/A</v>
      </c>
      <c r="K247" s="955" t="e">
        <f t="shared" si="83"/>
        <v>#N/A</v>
      </c>
      <c r="L247" s="969" t="e">
        <f>IF(I247=" "," ",VLOOKUP(J247,list!$J$4:$M$117,4,FALSE))</f>
        <v>#N/A</v>
      </c>
      <c r="M247" s="66"/>
      <c r="N247" s="1297" t="str">
        <f>IF(SUMIFS('Level of Efficiency Assumptions'!$J:$J,'Level of Efficiency Assumptions'!$H:$H,$I247,'Level of Efficiency Assumptions'!$I:$I,N$51)=0," ",SUMIFS('Level of Efficiency Assumptions'!$J:$J,'Level of Efficiency Assumptions'!$H:$H,$I247,'Level of Efficiency Assumptions'!$I:$I,N$51))</f>
        <v xml:space="preserve"> </v>
      </c>
      <c r="O247" s="1298" t="str">
        <f>IF(SUMIFS('Level of Efficiency Assumptions'!$J:$J,'Level of Efficiency Assumptions'!$H:$H,$I247,'Level of Efficiency Assumptions'!$I:$I,O$51)=0," ",SUMIFS('Level of Efficiency Assumptions'!$J:$J,'Level of Efficiency Assumptions'!$H:$H,$I247,'Level of Efficiency Assumptions'!$I:$I,O$51))</f>
        <v xml:space="preserve"> </v>
      </c>
      <c r="P247" s="1299" t="str">
        <f>IF(SUMIFS('Level of Efficiency Assumptions'!$J:$J,'Level of Efficiency Assumptions'!$H:$H,$I247,'Level of Efficiency Assumptions'!$I:$I,P$51)=0," ",SUMIFS('Level of Efficiency Assumptions'!$J:$J,'Level of Efficiency Assumptions'!$H:$H,$I247,'Level of Efficiency Assumptions'!$I:$I,P$51))</f>
        <v xml:space="preserve"> </v>
      </c>
      <c r="Q247" s="971" t="e">
        <f>IF(I247=" "," ",(VLOOKUP(I247,list!$B$81:$C$111,2,FALSE)))</f>
        <v>#N/A</v>
      </c>
      <c r="R247" s="243">
        <f t="shared" si="81"/>
        <v>0</v>
      </c>
      <c r="S247" s="64">
        <v>1</v>
      </c>
      <c r="T247" s="68">
        <v>0</v>
      </c>
      <c r="U247" s="244">
        <f t="shared" si="84"/>
        <v>1</v>
      </c>
    </row>
    <row r="248" spans="2:24" ht="15" thickBot="1" x14ac:dyDescent="0.35">
      <c r="C248" s="520"/>
      <c r="D248" s="224" t="str">
        <f t="shared" si="85"/>
        <v xml:space="preserve">  </v>
      </c>
      <c r="E248" s="224"/>
      <c r="F248" s="224" t="str">
        <f t="shared" si="86"/>
        <v xml:space="preserve">  </v>
      </c>
      <c r="G248" s="224"/>
      <c r="H248" s="380"/>
      <c r="I248" s="516" t="e">
        <f>IF(VLOOKUP(C19,list!$AA$5:$AS$14,17,FALSE)=0," ",(VLOOKUP(C19,list!$AA$5:$AS$14,17,FALSE)))</f>
        <v>#N/A</v>
      </c>
      <c r="J248" s="955" t="e">
        <f t="shared" si="82"/>
        <v>#N/A</v>
      </c>
      <c r="K248" s="955" t="e">
        <f t="shared" si="83"/>
        <v>#N/A</v>
      </c>
      <c r="L248" s="969" t="e">
        <f>IF(I248=" "," ",VLOOKUP(J248,list!$J$4:$M$117,4,FALSE))</f>
        <v>#N/A</v>
      </c>
      <c r="M248" s="66"/>
      <c r="N248" s="1297" t="str">
        <f>IF(SUMIFS('Level of Efficiency Assumptions'!$J:$J,'Level of Efficiency Assumptions'!$H:$H,$I248,'Level of Efficiency Assumptions'!$I:$I,N$51)=0," ",SUMIFS('Level of Efficiency Assumptions'!$J:$J,'Level of Efficiency Assumptions'!$H:$H,$I248,'Level of Efficiency Assumptions'!$I:$I,N$51))</f>
        <v xml:space="preserve"> </v>
      </c>
      <c r="O248" s="1298" t="str">
        <f>IF(SUMIFS('Level of Efficiency Assumptions'!$J:$J,'Level of Efficiency Assumptions'!$H:$H,$I248,'Level of Efficiency Assumptions'!$I:$I,O$51)=0," ",SUMIFS('Level of Efficiency Assumptions'!$J:$J,'Level of Efficiency Assumptions'!$H:$H,$I248,'Level of Efficiency Assumptions'!$I:$I,O$51))</f>
        <v xml:space="preserve"> </v>
      </c>
      <c r="P248" s="1299" t="str">
        <f>IF(SUMIFS('Level of Efficiency Assumptions'!$J:$J,'Level of Efficiency Assumptions'!$H:$H,$I248,'Level of Efficiency Assumptions'!$I:$I,P$51)=0," ",SUMIFS('Level of Efficiency Assumptions'!$J:$J,'Level of Efficiency Assumptions'!$H:$H,$I248,'Level of Efficiency Assumptions'!$I:$I,P$51))</f>
        <v xml:space="preserve"> </v>
      </c>
      <c r="Q248" s="971" t="e">
        <f>IF(I248=" "," ",(VLOOKUP(I248,list!$B$81:$C$111,2,FALSE)))</f>
        <v>#N/A</v>
      </c>
      <c r="R248" s="243">
        <f t="shared" si="81"/>
        <v>0</v>
      </c>
      <c r="S248" s="64">
        <v>1</v>
      </c>
      <c r="T248" s="68">
        <v>0</v>
      </c>
      <c r="U248" s="244">
        <f t="shared" si="84"/>
        <v>1</v>
      </c>
    </row>
    <row r="249" spans="2:24" ht="15" thickBot="1" x14ac:dyDescent="0.35">
      <c r="C249" s="520"/>
      <c r="D249" s="224" t="str">
        <f t="shared" si="85"/>
        <v xml:space="preserve">  </v>
      </c>
      <c r="E249" s="224"/>
      <c r="F249" s="224" t="str">
        <f t="shared" si="86"/>
        <v xml:space="preserve">  </v>
      </c>
      <c r="G249" s="224"/>
      <c r="H249" s="380"/>
      <c r="I249" s="516" t="e">
        <f>IF(VLOOKUP(C19,list!$AA$5:$AS$14,18,FALSE)=0," ",(VLOOKUP(C19,list!$AA$5:$AS$14,18,FALSE)))</f>
        <v>#N/A</v>
      </c>
      <c r="J249" s="955" t="e">
        <f t="shared" si="82"/>
        <v>#N/A</v>
      </c>
      <c r="K249" s="955" t="e">
        <f t="shared" si="83"/>
        <v>#N/A</v>
      </c>
      <c r="L249" s="969" t="e">
        <f>IF(I249=" "," ",VLOOKUP(J249,list!$J$4:$M$117,4,FALSE))</f>
        <v>#N/A</v>
      </c>
      <c r="M249" s="66"/>
      <c r="N249" s="1297" t="str">
        <f>IF(SUMIFS('Level of Efficiency Assumptions'!$J:$J,'Level of Efficiency Assumptions'!$H:$H,$I249,'Level of Efficiency Assumptions'!$I:$I,N$51)=0," ",SUMIFS('Level of Efficiency Assumptions'!$J:$J,'Level of Efficiency Assumptions'!$H:$H,$I249,'Level of Efficiency Assumptions'!$I:$I,N$51))</f>
        <v xml:space="preserve"> </v>
      </c>
      <c r="O249" s="1298" t="str">
        <f>IF(SUMIFS('Level of Efficiency Assumptions'!$J:$J,'Level of Efficiency Assumptions'!$H:$H,$I249,'Level of Efficiency Assumptions'!$I:$I,O$51)=0," ",SUMIFS('Level of Efficiency Assumptions'!$J:$J,'Level of Efficiency Assumptions'!$H:$H,$I249,'Level of Efficiency Assumptions'!$I:$I,O$51))</f>
        <v xml:space="preserve"> </v>
      </c>
      <c r="P249" s="1299" t="str">
        <f>IF(SUMIFS('Level of Efficiency Assumptions'!$J:$J,'Level of Efficiency Assumptions'!$H:$H,$I249,'Level of Efficiency Assumptions'!$I:$I,P$51)=0," ",SUMIFS('Level of Efficiency Assumptions'!$J:$J,'Level of Efficiency Assumptions'!$H:$H,$I249,'Level of Efficiency Assumptions'!$I:$I,P$51))</f>
        <v xml:space="preserve"> </v>
      </c>
      <c r="Q249" s="971" t="e">
        <f>IF(I249=" "," ",(VLOOKUP(I249,list!$B$81:$C$111,2,FALSE)))</f>
        <v>#N/A</v>
      </c>
      <c r="R249" s="243">
        <f t="shared" si="81"/>
        <v>0</v>
      </c>
      <c r="S249" s="64">
        <v>1</v>
      </c>
      <c r="T249" s="68">
        <v>0</v>
      </c>
      <c r="U249" s="244">
        <f t="shared" si="84"/>
        <v>1</v>
      </c>
    </row>
    <row r="250" spans="2:24" ht="15" thickBot="1" x14ac:dyDescent="0.35">
      <c r="C250" s="632"/>
      <c r="D250" s="226" t="str">
        <f t="shared" si="85"/>
        <v xml:space="preserve">  </v>
      </c>
      <c r="E250" s="226"/>
      <c r="F250" s="226" t="str">
        <f t="shared" si="86"/>
        <v xml:space="preserve">  </v>
      </c>
      <c r="G250" s="226"/>
      <c r="H250" s="976"/>
      <c r="I250" s="516" t="e">
        <f>IF(VLOOKUP(C19,list!$AA$5:$AS$14,19,FALSE)=0," ",(VLOOKUP(C19,list!$AA$5:$AS$14,19,FALSE)))</f>
        <v>#N/A</v>
      </c>
      <c r="J250" s="955" t="e">
        <f>IF(I250=" "," ",(D250&amp;"-"&amp;I250))</f>
        <v>#N/A</v>
      </c>
      <c r="K250" s="955" t="e">
        <f t="shared" si="83"/>
        <v>#N/A</v>
      </c>
      <c r="L250" s="969" t="e">
        <f>IF(I250=" "," ",VLOOKUP(J250,list!$J$4:$M$117,4,FALSE))</f>
        <v>#N/A</v>
      </c>
      <c r="M250" s="67"/>
      <c r="N250" s="1303" t="str">
        <f>IF(SUMIFS('Level of Efficiency Assumptions'!$J:$J,'Level of Efficiency Assumptions'!$H:$H,$I250,'Level of Efficiency Assumptions'!$I:$I,N$51)=0," ",SUMIFS('Level of Efficiency Assumptions'!$J:$J,'Level of Efficiency Assumptions'!$H:$H,$I250,'Level of Efficiency Assumptions'!$I:$I,N$51))</f>
        <v xml:space="preserve"> </v>
      </c>
      <c r="O250" s="1304" t="str">
        <f>IF(SUMIFS('Level of Efficiency Assumptions'!$J:$J,'Level of Efficiency Assumptions'!$H:$H,$I250,'Level of Efficiency Assumptions'!$I:$I,O$51)=0," ",SUMIFS('Level of Efficiency Assumptions'!$J:$J,'Level of Efficiency Assumptions'!$H:$H,$I250,'Level of Efficiency Assumptions'!$I:$I,O$51))</f>
        <v xml:space="preserve"> </v>
      </c>
      <c r="P250" s="1305" t="str">
        <f>IF(SUMIFS('Level of Efficiency Assumptions'!$J:$J,'Level of Efficiency Assumptions'!$H:$H,$I250,'Level of Efficiency Assumptions'!$I:$I,P$51)=0," ",SUMIFS('Level of Efficiency Assumptions'!$J:$J,'Level of Efficiency Assumptions'!$H:$H,$I250,'Level of Efficiency Assumptions'!$I:$I,P$51))</f>
        <v xml:space="preserve"> </v>
      </c>
      <c r="Q250" s="977" t="e">
        <f>IF(I250=" "," ",(VLOOKUP(I250,list!$B$81:$C$111,2,FALSE)))</f>
        <v>#N/A</v>
      </c>
      <c r="R250" s="245">
        <f t="shared" si="81"/>
        <v>0</v>
      </c>
      <c r="S250" s="65">
        <v>1</v>
      </c>
      <c r="T250" s="69">
        <v>0</v>
      </c>
      <c r="U250" s="246">
        <f t="shared" si="84"/>
        <v>1</v>
      </c>
    </row>
    <row r="251" spans="2:24" x14ac:dyDescent="0.3">
      <c r="D251" s="846"/>
      <c r="F251" s="82"/>
      <c r="J251" s="846"/>
      <c r="K251" s="846"/>
      <c r="N251" s="1179"/>
      <c r="O251" s="1179"/>
      <c r="P251" s="1179"/>
      <c r="R251" s="176" t="s">
        <v>295</v>
      </c>
      <c r="S251" s="176"/>
      <c r="T251" s="176"/>
      <c r="U251" s="176"/>
    </row>
    <row r="252" spans="2:24" ht="15" thickBot="1" x14ac:dyDescent="0.35">
      <c r="D252" s="846"/>
      <c r="F252" s="82"/>
      <c r="J252" s="846"/>
      <c r="K252" s="846"/>
      <c r="N252" s="1179"/>
      <c r="O252" s="1179"/>
      <c r="P252" s="1179"/>
    </row>
    <row r="253" spans="2:24" ht="15" thickBot="1" x14ac:dyDescent="0.35">
      <c r="B253" s="814">
        <v>11</v>
      </c>
      <c r="C253" s="967" t="str">
        <f t="shared" ref="C253:H253" si="87">C20</f>
        <v xml:space="preserve">  </v>
      </c>
      <c r="D253" s="967" t="str">
        <f t="shared" si="87"/>
        <v xml:space="preserve">  </v>
      </c>
      <c r="E253" s="967" t="str">
        <f t="shared" si="87"/>
        <v xml:space="preserve">  </v>
      </c>
      <c r="F253" s="967" t="str">
        <f t="shared" si="87"/>
        <v xml:space="preserve">  </v>
      </c>
      <c r="G253" s="967">
        <f t="shared" si="87"/>
        <v>0</v>
      </c>
      <c r="H253" s="968">
        <f t="shared" si="87"/>
        <v>0</v>
      </c>
      <c r="I253" s="516" t="e">
        <f>IF(VLOOKUP(C20,list!$AA$5:$AS$14,2,FALSE)=0," ",(VLOOKUP(C20,list!$AA$5:$AS$14,2,FALSE)))</f>
        <v>#N/A</v>
      </c>
      <c r="J253" s="955" t="e">
        <f>IF(I253=" "," ",(D20&amp;"-"&amp;I253))</f>
        <v>#N/A</v>
      </c>
      <c r="K253" s="955" t="e">
        <f>IF(I253=" "," ",(F20&amp;"-"&amp;I253))</f>
        <v>#N/A</v>
      </c>
      <c r="L253" s="969" t="e">
        <f>IF(I253=" "," ",VLOOKUP(J253,list!$J$4:$M$117,4,FALSE))</f>
        <v>#N/A</v>
      </c>
      <c r="M253" s="70"/>
      <c r="N253" s="1300" t="str">
        <f>IF(SUMIFS('Level of Efficiency Assumptions'!$J:$J,'Level of Efficiency Assumptions'!$H:$H,$I253,'Level of Efficiency Assumptions'!$I:$I,N$51)=0," ",SUMIFS('Level of Efficiency Assumptions'!$J:$J,'Level of Efficiency Assumptions'!$H:$H,$I253,'Level of Efficiency Assumptions'!$I:$I,N$51))</f>
        <v xml:space="preserve"> </v>
      </c>
      <c r="O253" s="1301" t="str">
        <f>IF(SUMIFS('Level of Efficiency Assumptions'!$J:$J,'Level of Efficiency Assumptions'!$H:$H,$I253,'Level of Efficiency Assumptions'!$I:$I,O$51)=0," ",SUMIFS('Level of Efficiency Assumptions'!$J:$J,'Level of Efficiency Assumptions'!$H:$H,$I253,'Level of Efficiency Assumptions'!$I:$I,O$51))</f>
        <v xml:space="preserve"> </v>
      </c>
      <c r="P253" s="1302" t="str">
        <f>IF(SUMIFS('Level of Efficiency Assumptions'!$J:$J,'Level of Efficiency Assumptions'!$H:$H,$I253,'Level of Efficiency Assumptions'!$I:$I,P$51)=0," ",SUMIFS('Level of Efficiency Assumptions'!$J:$J,'Level of Efficiency Assumptions'!$H:$H,$I253,'Level of Efficiency Assumptions'!$I:$I,P$51))</f>
        <v xml:space="preserve"> </v>
      </c>
      <c r="Q253" s="970" t="e">
        <f>IF(I253=" "," ",(VLOOKUP(I253,list!$B$81:$C$111,2,FALSE)))</f>
        <v>#N/A</v>
      </c>
      <c r="R253" s="241">
        <f t="shared" ref="R253:R270" si="88">1-S253-T253</f>
        <v>0</v>
      </c>
      <c r="S253" s="83">
        <v>1</v>
      </c>
      <c r="T253" s="84">
        <v>0</v>
      </c>
      <c r="U253" s="242">
        <f>SUM(R253:T253)</f>
        <v>1</v>
      </c>
      <c r="W253" s="250" t="s">
        <v>367</v>
      </c>
      <c r="X253" s="251" t="s">
        <v>366</v>
      </c>
    </row>
    <row r="254" spans="2:24" ht="15" thickBot="1" x14ac:dyDescent="0.35">
      <c r="C254" s="520"/>
      <c r="D254" s="224" t="str">
        <f>D20</f>
        <v xml:space="preserve">  </v>
      </c>
      <c r="E254" s="224"/>
      <c r="F254" s="224" t="str">
        <f>F20</f>
        <v xml:space="preserve">  </v>
      </c>
      <c r="G254" s="224"/>
      <c r="H254" s="380"/>
      <c r="I254" s="516" t="e">
        <f>IF(VLOOKUP(C20,list!$AA$5:$AS$14,3,FALSE)=0," ",(VLOOKUP(C20,list!$AA$5:$AS$14,3,FALSE)))</f>
        <v>#N/A</v>
      </c>
      <c r="J254" s="955" t="e">
        <f t="shared" ref="J254:J269" si="89">IF(I254=" "," ",(D254&amp;"-"&amp;I254))</f>
        <v>#N/A</v>
      </c>
      <c r="K254" s="955" t="e">
        <f t="shared" ref="K254:K270" si="90">IF(I254=" "," ",(F254&amp;"-"&amp;I254))</f>
        <v>#N/A</v>
      </c>
      <c r="L254" s="969" t="e">
        <f>IF(I254=" "," ",VLOOKUP(J254,list!$J$4:$M$117,4,FALSE))</f>
        <v>#N/A</v>
      </c>
      <c r="M254" s="66"/>
      <c r="N254" s="1297" t="str">
        <f>IF(SUMIFS('Level of Efficiency Assumptions'!$J:$J,'Level of Efficiency Assumptions'!$H:$H,$I254,'Level of Efficiency Assumptions'!$I:$I,N$51)=0," ",SUMIFS('Level of Efficiency Assumptions'!$J:$J,'Level of Efficiency Assumptions'!$H:$H,$I254,'Level of Efficiency Assumptions'!$I:$I,N$51))</f>
        <v xml:space="preserve"> </v>
      </c>
      <c r="O254" s="1298" t="str">
        <f>IF(SUMIFS('Level of Efficiency Assumptions'!$J:$J,'Level of Efficiency Assumptions'!$H:$H,$I254,'Level of Efficiency Assumptions'!$I:$I,O$51)=0," ",SUMIFS('Level of Efficiency Assumptions'!$J:$J,'Level of Efficiency Assumptions'!$H:$H,$I254,'Level of Efficiency Assumptions'!$I:$I,O$51))</f>
        <v xml:space="preserve"> </v>
      </c>
      <c r="P254" s="1299" t="str">
        <f>IF(SUMIFS('Level of Efficiency Assumptions'!$J:$J,'Level of Efficiency Assumptions'!$H:$H,$I254,'Level of Efficiency Assumptions'!$I:$I,P$51)=0," ",SUMIFS('Level of Efficiency Assumptions'!$J:$J,'Level of Efficiency Assumptions'!$H:$H,$I254,'Level of Efficiency Assumptions'!$I:$I,P$51))</f>
        <v xml:space="preserve"> </v>
      </c>
      <c r="Q254" s="971" t="e">
        <f>IF(I254=" "," ",(VLOOKUP(I254,list!$B$81:$C$111,2,FALSE)))</f>
        <v>#N/A</v>
      </c>
      <c r="R254" s="243">
        <f t="shared" si="88"/>
        <v>0</v>
      </c>
      <c r="S254" s="64">
        <v>1</v>
      </c>
      <c r="T254" s="68">
        <v>0</v>
      </c>
      <c r="U254" s="244">
        <f t="shared" ref="U254:U270" si="91">SUM(R254:T254)</f>
        <v>1</v>
      </c>
      <c r="V254" s="82" t="e">
        <f>F254&amp;"-"&amp;W254</f>
        <v>#N/A</v>
      </c>
      <c r="W254" s="247" t="e">
        <f>HLOOKUP(D254,list!$O$34:$X$38,2,FALSE)</f>
        <v>#N/A</v>
      </c>
      <c r="X254" s="972">
        <v>1</v>
      </c>
    </row>
    <row r="255" spans="2:24" ht="15" thickBot="1" x14ac:dyDescent="0.35">
      <c r="C255" s="520"/>
      <c r="D255" s="224" t="str">
        <f>D254</f>
        <v xml:space="preserve">  </v>
      </c>
      <c r="E255" s="224"/>
      <c r="F255" s="224" t="str">
        <f>F254</f>
        <v xml:space="preserve">  </v>
      </c>
      <c r="G255" s="224"/>
      <c r="H255" s="380"/>
      <c r="I255" s="516" t="e">
        <f>IF(VLOOKUP(C20,list!$AA$5:$AS$14,4,FALSE)=0," ",(VLOOKUP(C20,list!$AA$5:$AS$14,4,FALSE)))</f>
        <v>#N/A</v>
      </c>
      <c r="J255" s="955" t="e">
        <f t="shared" si="89"/>
        <v>#N/A</v>
      </c>
      <c r="K255" s="955" t="e">
        <f t="shared" si="90"/>
        <v>#N/A</v>
      </c>
      <c r="L255" s="969" t="e">
        <f>IF(I255=" "," ",VLOOKUP(J255,list!$J$4:$M$117,4,FALSE))</f>
        <v>#N/A</v>
      </c>
      <c r="M255" s="66"/>
      <c r="N255" s="1297" t="str">
        <f>IF(SUMIFS('Level of Efficiency Assumptions'!$J:$J,'Level of Efficiency Assumptions'!$H:$H,$I255,'Level of Efficiency Assumptions'!$I:$I,N$51)=0," ",SUMIFS('Level of Efficiency Assumptions'!$J:$J,'Level of Efficiency Assumptions'!$H:$H,$I255,'Level of Efficiency Assumptions'!$I:$I,N$51))</f>
        <v xml:space="preserve"> </v>
      </c>
      <c r="O255" s="1298" t="str">
        <f>IF(SUMIFS('Level of Efficiency Assumptions'!$J:$J,'Level of Efficiency Assumptions'!$H:$H,$I255,'Level of Efficiency Assumptions'!$I:$I,O$51)=0," ",SUMIFS('Level of Efficiency Assumptions'!$J:$J,'Level of Efficiency Assumptions'!$H:$H,$I255,'Level of Efficiency Assumptions'!$I:$I,O$51))</f>
        <v xml:space="preserve"> </v>
      </c>
      <c r="P255" s="1299" t="str">
        <f>IF(SUMIFS('Level of Efficiency Assumptions'!$J:$J,'Level of Efficiency Assumptions'!$H:$H,$I255,'Level of Efficiency Assumptions'!$I:$I,P$51)=0," ",SUMIFS('Level of Efficiency Assumptions'!$J:$J,'Level of Efficiency Assumptions'!$H:$H,$I255,'Level of Efficiency Assumptions'!$I:$I,P$51))</f>
        <v xml:space="preserve"> </v>
      </c>
      <c r="Q255" s="971" t="e">
        <f>IF(I255=" "," ",(VLOOKUP(I255,list!$B$81:$C$111,2,FALSE)))</f>
        <v>#N/A</v>
      </c>
      <c r="R255" s="243">
        <f t="shared" si="88"/>
        <v>0</v>
      </c>
      <c r="S255" s="64">
        <v>1</v>
      </c>
      <c r="T255" s="68">
        <v>0</v>
      </c>
      <c r="U255" s="244">
        <f t="shared" si="91"/>
        <v>1</v>
      </c>
      <c r="V255" s="82" t="e">
        <f>F255&amp;"-"&amp;W255</f>
        <v>#N/A</v>
      </c>
      <c r="W255" s="248" t="e">
        <f>HLOOKUP(D255,list!$O$34:$X$38,3,FALSE)</f>
        <v>#N/A</v>
      </c>
      <c r="X255" s="973">
        <v>0.5</v>
      </c>
    </row>
    <row r="256" spans="2:24" ht="15" thickBot="1" x14ac:dyDescent="0.35">
      <c r="C256" s="520"/>
      <c r="D256" s="224" t="str">
        <f t="shared" ref="D256:D270" si="92">D255</f>
        <v xml:space="preserve">  </v>
      </c>
      <c r="E256" s="224"/>
      <c r="F256" s="224" t="str">
        <f t="shared" ref="F256:F270" si="93">F255</f>
        <v xml:space="preserve">  </v>
      </c>
      <c r="G256" s="224"/>
      <c r="H256" s="380"/>
      <c r="I256" s="516" t="e">
        <f>IF(VLOOKUP(C20,list!$AA$5:$AS$14,5,FALSE)=0," ",(VLOOKUP(C20,list!$AA$5:$AS$14,5,FALSE)))</f>
        <v>#N/A</v>
      </c>
      <c r="J256" s="955" t="e">
        <f t="shared" si="89"/>
        <v>#N/A</v>
      </c>
      <c r="K256" s="955" t="e">
        <f t="shared" si="90"/>
        <v>#N/A</v>
      </c>
      <c r="L256" s="969" t="e">
        <f>IF(I256=" "," ",VLOOKUP(J256,list!$J$4:$M$117,4,FALSE))</f>
        <v>#N/A</v>
      </c>
      <c r="M256" s="66"/>
      <c r="N256" s="1297" t="str">
        <f>IF(SUMIFS('Level of Efficiency Assumptions'!$J:$J,'Level of Efficiency Assumptions'!$H:$H,$I256,'Level of Efficiency Assumptions'!$I:$I,N$51)=0," ",SUMIFS('Level of Efficiency Assumptions'!$J:$J,'Level of Efficiency Assumptions'!$H:$H,$I256,'Level of Efficiency Assumptions'!$I:$I,N$51))</f>
        <v xml:space="preserve"> </v>
      </c>
      <c r="O256" s="1298" t="str">
        <f>IF(SUMIFS('Level of Efficiency Assumptions'!$J:$J,'Level of Efficiency Assumptions'!$H:$H,$I256,'Level of Efficiency Assumptions'!$I:$I,O$51)=0," ",SUMIFS('Level of Efficiency Assumptions'!$J:$J,'Level of Efficiency Assumptions'!$H:$H,$I256,'Level of Efficiency Assumptions'!$I:$I,O$51))</f>
        <v xml:space="preserve"> </v>
      </c>
      <c r="P256" s="1299" t="str">
        <f>IF(SUMIFS('Level of Efficiency Assumptions'!$J:$J,'Level of Efficiency Assumptions'!$H:$H,$I256,'Level of Efficiency Assumptions'!$I:$I,P$51)=0," ",SUMIFS('Level of Efficiency Assumptions'!$J:$J,'Level of Efficiency Assumptions'!$H:$H,$I256,'Level of Efficiency Assumptions'!$I:$I,P$51))</f>
        <v xml:space="preserve"> </v>
      </c>
      <c r="Q256" s="971" t="e">
        <f>IF(I256=" "," ",(VLOOKUP(I256,list!$B$81:$C$111,2,FALSE)))</f>
        <v>#N/A</v>
      </c>
      <c r="R256" s="243">
        <f t="shared" si="88"/>
        <v>0</v>
      </c>
      <c r="S256" s="64">
        <v>1</v>
      </c>
      <c r="T256" s="68">
        <v>0</v>
      </c>
      <c r="U256" s="244">
        <f t="shared" si="91"/>
        <v>1</v>
      </c>
      <c r="V256" s="82" t="e">
        <f>F256&amp;"-"&amp;W256</f>
        <v>#N/A</v>
      </c>
      <c r="W256" s="248" t="e">
        <f>HLOOKUP(D256,list!$O$34:$X$38,4,FALSE)</f>
        <v>#N/A</v>
      </c>
      <c r="X256" s="973">
        <v>0.5</v>
      </c>
    </row>
    <row r="257" spans="3:24" ht="15" thickBot="1" x14ac:dyDescent="0.35">
      <c r="C257" s="520"/>
      <c r="D257" s="224" t="str">
        <f t="shared" si="92"/>
        <v xml:space="preserve">  </v>
      </c>
      <c r="E257" s="224"/>
      <c r="F257" s="224" t="str">
        <f t="shared" si="93"/>
        <v xml:space="preserve">  </v>
      </c>
      <c r="G257" s="224"/>
      <c r="H257" s="380"/>
      <c r="I257" s="516" t="e">
        <f>IF(VLOOKUP(C20,list!$AA$5:$AS$14,6,FALSE)=0," ",(VLOOKUP(C20,list!$AA$5:$AS$14,6,FALSE)))</f>
        <v>#N/A</v>
      </c>
      <c r="J257" s="955" t="e">
        <f t="shared" si="89"/>
        <v>#N/A</v>
      </c>
      <c r="K257" s="955" t="e">
        <f t="shared" si="90"/>
        <v>#N/A</v>
      </c>
      <c r="L257" s="969" t="e">
        <f>IF(I257=" "," ",VLOOKUP(J257,list!$J$4:$M$117,4,FALSE))</f>
        <v>#N/A</v>
      </c>
      <c r="M257" s="66"/>
      <c r="N257" s="1297" t="str">
        <f>IF(SUMIFS('Level of Efficiency Assumptions'!$J:$J,'Level of Efficiency Assumptions'!$H:$H,$I257,'Level of Efficiency Assumptions'!$I:$I,N$51)=0," ",SUMIFS('Level of Efficiency Assumptions'!$J:$J,'Level of Efficiency Assumptions'!$H:$H,$I257,'Level of Efficiency Assumptions'!$I:$I,N$51))</f>
        <v xml:space="preserve"> </v>
      </c>
      <c r="O257" s="1298" t="str">
        <f>IF(SUMIFS('Level of Efficiency Assumptions'!$J:$J,'Level of Efficiency Assumptions'!$H:$H,$I257,'Level of Efficiency Assumptions'!$I:$I,O$51)=0," ",SUMIFS('Level of Efficiency Assumptions'!$J:$J,'Level of Efficiency Assumptions'!$H:$H,$I257,'Level of Efficiency Assumptions'!$I:$I,O$51))</f>
        <v xml:space="preserve"> </v>
      </c>
      <c r="P257" s="1299" t="str">
        <f>IF(SUMIFS('Level of Efficiency Assumptions'!$J:$J,'Level of Efficiency Assumptions'!$H:$H,$I257,'Level of Efficiency Assumptions'!$I:$I,P$51)=0," ",SUMIFS('Level of Efficiency Assumptions'!$J:$J,'Level of Efficiency Assumptions'!$H:$H,$I257,'Level of Efficiency Assumptions'!$I:$I,P$51))</f>
        <v xml:space="preserve"> </v>
      </c>
      <c r="Q257" s="971" t="e">
        <f>IF(I257=" "," ",(VLOOKUP(I257,list!$B$81:$C$111,2,FALSE)))</f>
        <v>#N/A</v>
      </c>
      <c r="R257" s="243">
        <f t="shared" si="88"/>
        <v>0</v>
      </c>
      <c r="S257" s="64">
        <v>1</v>
      </c>
      <c r="T257" s="68">
        <v>0</v>
      </c>
      <c r="U257" s="244">
        <f t="shared" si="91"/>
        <v>1</v>
      </c>
      <c r="V257" s="82" t="e">
        <f>F257&amp;"-"&amp;W257</f>
        <v>#N/A</v>
      </c>
      <c r="W257" s="249" t="e">
        <f>HLOOKUP(D257,list!$O$34:$X$38,5,FALSE)</f>
        <v>#N/A</v>
      </c>
      <c r="X257" s="974">
        <v>0.5</v>
      </c>
    </row>
    <row r="258" spans="3:24" ht="15" thickBot="1" x14ac:dyDescent="0.35">
      <c r="C258" s="520"/>
      <c r="D258" s="224" t="str">
        <f t="shared" si="92"/>
        <v xml:space="preserve">  </v>
      </c>
      <c r="E258" s="224"/>
      <c r="F258" s="224" t="str">
        <f t="shared" si="93"/>
        <v xml:space="preserve">  </v>
      </c>
      <c r="G258" s="224"/>
      <c r="H258" s="380"/>
      <c r="I258" s="516" t="e">
        <f>IF(VLOOKUP(C20,list!$AA$5:$AS$14,7,FALSE)=0," ",(VLOOKUP(C20,list!$AA$5:$AS$14,7,FALSE)))</f>
        <v>#N/A</v>
      </c>
      <c r="J258" s="955" t="e">
        <f t="shared" si="89"/>
        <v>#N/A</v>
      </c>
      <c r="K258" s="955" t="e">
        <f t="shared" si="90"/>
        <v>#N/A</v>
      </c>
      <c r="L258" s="969" t="e">
        <f>IF(I258=" "," ",VLOOKUP(J258,list!$J$4:$M$117,4,FALSE))</f>
        <v>#N/A</v>
      </c>
      <c r="M258" s="66"/>
      <c r="N258" s="1297" t="str">
        <f>IF(SUMIFS('Level of Efficiency Assumptions'!$J:$J,'Level of Efficiency Assumptions'!$H:$H,$I258,'Level of Efficiency Assumptions'!$I:$I,N$51)=0," ",SUMIFS('Level of Efficiency Assumptions'!$J:$J,'Level of Efficiency Assumptions'!$H:$H,$I258,'Level of Efficiency Assumptions'!$I:$I,N$51))</f>
        <v xml:space="preserve"> </v>
      </c>
      <c r="O258" s="1298" t="str">
        <f>IF(SUMIFS('Level of Efficiency Assumptions'!$J:$J,'Level of Efficiency Assumptions'!$H:$H,$I258,'Level of Efficiency Assumptions'!$I:$I,O$51)=0," ",SUMIFS('Level of Efficiency Assumptions'!$J:$J,'Level of Efficiency Assumptions'!$H:$H,$I258,'Level of Efficiency Assumptions'!$I:$I,O$51))</f>
        <v xml:space="preserve"> </v>
      </c>
      <c r="P258" s="1299" t="str">
        <f>IF(SUMIFS('Level of Efficiency Assumptions'!$J:$J,'Level of Efficiency Assumptions'!$H:$H,$I258,'Level of Efficiency Assumptions'!$I:$I,P$51)=0," ",SUMIFS('Level of Efficiency Assumptions'!$J:$J,'Level of Efficiency Assumptions'!$H:$H,$I258,'Level of Efficiency Assumptions'!$I:$I,P$51))</f>
        <v xml:space="preserve"> </v>
      </c>
      <c r="Q258" s="971" t="e">
        <f>IF(I258=" "," ",(VLOOKUP(I258,list!$B$81:$C$111,2,FALSE)))</f>
        <v>#N/A</v>
      </c>
      <c r="R258" s="243">
        <f t="shared" si="88"/>
        <v>0</v>
      </c>
      <c r="S258" s="64">
        <v>1</v>
      </c>
      <c r="T258" s="68">
        <v>0</v>
      </c>
      <c r="U258" s="244">
        <f t="shared" si="91"/>
        <v>1</v>
      </c>
      <c r="W258" s="182"/>
      <c r="X258" s="975"/>
    </row>
    <row r="259" spans="3:24" ht="15" thickBot="1" x14ac:dyDescent="0.35">
      <c r="C259" s="520"/>
      <c r="D259" s="224" t="str">
        <f t="shared" si="92"/>
        <v xml:space="preserve">  </v>
      </c>
      <c r="E259" s="224"/>
      <c r="F259" s="224" t="str">
        <f t="shared" si="93"/>
        <v xml:space="preserve">  </v>
      </c>
      <c r="G259" s="224"/>
      <c r="H259" s="380"/>
      <c r="I259" s="516" t="e">
        <f>IF(VLOOKUP(C20,list!$AA$5:$AS$14,8,FALSE)=0," ",(VLOOKUP(C20,list!$AA$5:$AS$14,8,FALSE)))</f>
        <v>#N/A</v>
      </c>
      <c r="J259" s="955" t="e">
        <f t="shared" si="89"/>
        <v>#N/A</v>
      </c>
      <c r="K259" s="955" t="e">
        <f t="shared" si="90"/>
        <v>#N/A</v>
      </c>
      <c r="L259" s="969" t="e">
        <f>IF(I259=" "," ",VLOOKUP(J259,list!$J$4:$M$117,4,FALSE))</f>
        <v>#N/A</v>
      </c>
      <c r="M259" s="66"/>
      <c r="N259" s="1297" t="str">
        <f>IF(SUMIFS('Level of Efficiency Assumptions'!$J:$J,'Level of Efficiency Assumptions'!$H:$H,$I259,'Level of Efficiency Assumptions'!$I:$I,N$51)=0," ",SUMIFS('Level of Efficiency Assumptions'!$J:$J,'Level of Efficiency Assumptions'!$H:$H,$I259,'Level of Efficiency Assumptions'!$I:$I,N$51))</f>
        <v xml:space="preserve"> </v>
      </c>
      <c r="O259" s="1298" t="str">
        <f>IF(SUMIFS('Level of Efficiency Assumptions'!$J:$J,'Level of Efficiency Assumptions'!$H:$H,$I259,'Level of Efficiency Assumptions'!$I:$I,O$51)=0," ",SUMIFS('Level of Efficiency Assumptions'!$J:$J,'Level of Efficiency Assumptions'!$H:$H,$I259,'Level of Efficiency Assumptions'!$I:$I,O$51))</f>
        <v xml:space="preserve"> </v>
      </c>
      <c r="P259" s="1299" t="str">
        <f>IF(SUMIFS('Level of Efficiency Assumptions'!$J:$J,'Level of Efficiency Assumptions'!$H:$H,$I259,'Level of Efficiency Assumptions'!$I:$I,P$51)=0," ",SUMIFS('Level of Efficiency Assumptions'!$J:$J,'Level of Efficiency Assumptions'!$H:$H,$I259,'Level of Efficiency Assumptions'!$I:$I,P$51))</f>
        <v xml:space="preserve"> </v>
      </c>
      <c r="Q259" s="971" t="e">
        <f>IF(I259=" "," ",(VLOOKUP(I259,list!$B$81:$C$111,2,FALSE)))</f>
        <v>#N/A</v>
      </c>
      <c r="R259" s="243">
        <f t="shared" si="88"/>
        <v>0</v>
      </c>
      <c r="S259" s="64">
        <v>1</v>
      </c>
      <c r="T259" s="68">
        <v>0</v>
      </c>
      <c r="U259" s="244">
        <f t="shared" si="91"/>
        <v>1</v>
      </c>
      <c r="W259" s="182"/>
      <c r="X259" s="975"/>
    </row>
    <row r="260" spans="3:24" ht="15" thickBot="1" x14ac:dyDescent="0.35">
      <c r="C260" s="520"/>
      <c r="D260" s="224" t="str">
        <f t="shared" si="92"/>
        <v xml:space="preserve">  </v>
      </c>
      <c r="E260" s="224"/>
      <c r="F260" s="224" t="str">
        <f t="shared" si="93"/>
        <v xml:space="preserve">  </v>
      </c>
      <c r="G260" s="224"/>
      <c r="H260" s="380"/>
      <c r="I260" s="516" t="e">
        <f>IF(VLOOKUP(C20,list!$AA$5:$AS$14,9,FALSE)=0," ",(VLOOKUP(C20,list!$AA$5:$AS$14,9,FALSE)))</f>
        <v>#N/A</v>
      </c>
      <c r="J260" s="955" t="e">
        <f t="shared" si="89"/>
        <v>#N/A</v>
      </c>
      <c r="K260" s="955" t="e">
        <f t="shared" si="90"/>
        <v>#N/A</v>
      </c>
      <c r="L260" s="969" t="e">
        <f>IF(I260=" "," ",VLOOKUP(J260,list!$J$4:$M$117,4,FALSE))</f>
        <v>#N/A</v>
      </c>
      <c r="M260" s="66"/>
      <c r="N260" s="1297" t="str">
        <f>IF(SUMIFS('Level of Efficiency Assumptions'!$J:$J,'Level of Efficiency Assumptions'!$H:$H,$I260,'Level of Efficiency Assumptions'!$I:$I,N$51)=0," ",SUMIFS('Level of Efficiency Assumptions'!$J:$J,'Level of Efficiency Assumptions'!$H:$H,$I260,'Level of Efficiency Assumptions'!$I:$I,N$51))</f>
        <v xml:space="preserve"> </v>
      </c>
      <c r="O260" s="1298" t="str">
        <f>IF(SUMIFS('Level of Efficiency Assumptions'!$J:$J,'Level of Efficiency Assumptions'!$H:$H,$I260,'Level of Efficiency Assumptions'!$I:$I,O$51)=0," ",SUMIFS('Level of Efficiency Assumptions'!$J:$J,'Level of Efficiency Assumptions'!$H:$H,$I260,'Level of Efficiency Assumptions'!$I:$I,O$51))</f>
        <v xml:space="preserve"> </v>
      </c>
      <c r="P260" s="1299" t="str">
        <f>IF(SUMIFS('Level of Efficiency Assumptions'!$J:$J,'Level of Efficiency Assumptions'!$H:$H,$I260,'Level of Efficiency Assumptions'!$I:$I,P$51)=0," ",SUMIFS('Level of Efficiency Assumptions'!$J:$J,'Level of Efficiency Assumptions'!$H:$H,$I260,'Level of Efficiency Assumptions'!$I:$I,P$51))</f>
        <v xml:space="preserve"> </v>
      </c>
      <c r="Q260" s="971" t="e">
        <f>IF(I260=" "," ",(VLOOKUP(I260,list!$B$81:$C$111,2,FALSE)))</f>
        <v>#N/A</v>
      </c>
      <c r="R260" s="243">
        <f t="shared" si="88"/>
        <v>0</v>
      </c>
      <c r="S260" s="64">
        <v>1</v>
      </c>
      <c r="T260" s="68">
        <v>0</v>
      </c>
      <c r="U260" s="244">
        <f t="shared" si="91"/>
        <v>1</v>
      </c>
    </row>
    <row r="261" spans="3:24" ht="15" thickBot="1" x14ac:dyDescent="0.35">
      <c r="C261" s="520"/>
      <c r="D261" s="224" t="str">
        <f t="shared" si="92"/>
        <v xml:space="preserve">  </v>
      </c>
      <c r="E261" s="224"/>
      <c r="F261" s="224" t="str">
        <f t="shared" si="93"/>
        <v xml:space="preserve">  </v>
      </c>
      <c r="G261" s="224"/>
      <c r="H261" s="380"/>
      <c r="I261" s="516" t="e">
        <f>IF(VLOOKUP(C20,list!$AA$5:$AS$14,10,FALSE)=0," ",(VLOOKUP(C20,list!$AA$5:$AS$14,10,FALSE)))</f>
        <v>#N/A</v>
      </c>
      <c r="J261" s="955" t="e">
        <f t="shared" si="89"/>
        <v>#N/A</v>
      </c>
      <c r="K261" s="955" t="e">
        <f t="shared" si="90"/>
        <v>#N/A</v>
      </c>
      <c r="L261" s="969" t="e">
        <f>IF(I261=" "," ",VLOOKUP(J261,list!$J$4:$M$117,4,FALSE))</f>
        <v>#N/A</v>
      </c>
      <c r="M261" s="66"/>
      <c r="N261" s="1297" t="str">
        <f>IF(SUMIFS('Level of Efficiency Assumptions'!$J:$J,'Level of Efficiency Assumptions'!$H:$H,$I261,'Level of Efficiency Assumptions'!$I:$I,N$51)=0," ",SUMIFS('Level of Efficiency Assumptions'!$J:$J,'Level of Efficiency Assumptions'!$H:$H,$I261,'Level of Efficiency Assumptions'!$I:$I,N$51))</f>
        <v xml:space="preserve"> </v>
      </c>
      <c r="O261" s="1298" t="str">
        <f>IF(SUMIFS('Level of Efficiency Assumptions'!$J:$J,'Level of Efficiency Assumptions'!$H:$H,$I261,'Level of Efficiency Assumptions'!$I:$I,O$51)=0," ",SUMIFS('Level of Efficiency Assumptions'!$J:$J,'Level of Efficiency Assumptions'!$H:$H,$I261,'Level of Efficiency Assumptions'!$I:$I,O$51))</f>
        <v xml:space="preserve"> </v>
      </c>
      <c r="P261" s="1299" t="str">
        <f>IF(SUMIFS('Level of Efficiency Assumptions'!$J:$J,'Level of Efficiency Assumptions'!$H:$H,$I261,'Level of Efficiency Assumptions'!$I:$I,P$51)=0," ",SUMIFS('Level of Efficiency Assumptions'!$J:$J,'Level of Efficiency Assumptions'!$H:$H,$I261,'Level of Efficiency Assumptions'!$I:$I,P$51))</f>
        <v xml:space="preserve"> </v>
      </c>
      <c r="Q261" s="971" t="e">
        <f>IF(I261=" "," ",(VLOOKUP(I261,list!$B$81:$C$111,2,FALSE)))</f>
        <v>#N/A</v>
      </c>
      <c r="R261" s="243">
        <f t="shared" si="88"/>
        <v>0</v>
      </c>
      <c r="S261" s="64">
        <v>1</v>
      </c>
      <c r="T261" s="68">
        <v>0</v>
      </c>
      <c r="U261" s="244">
        <f t="shared" si="91"/>
        <v>1</v>
      </c>
    </row>
    <row r="262" spans="3:24" ht="15" thickBot="1" x14ac:dyDescent="0.35">
      <c r="C262" s="520"/>
      <c r="D262" s="224" t="str">
        <f t="shared" si="92"/>
        <v xml:space="preserve">  </v>
      </c>
      <c r="E262" s="224"/>
      <c r="F262" s="224" t="str">
        <f t="shared" si="93"/>
        <v xml:space="preserve">  </v>
      </c>
      <c r="G262" s="224"/>
      <c r="H262" s="380"/>
      <c r="I262" s="516" t="e">
        <f>IF(VLOOKUP(C20,list!$AA$5:$AS$14,11,FALSE)=0," ",(VLOOKUP(C20,list!$AA$5:$AS$14,11,FALSE)))</f>
        <v>#N/A</v>
      </c>
      <c r="J262" s="955" t="e">
        <f t="shared" si="89"/>
        <v>#N/A</v>
      </c>
      <c r="K262" s="955" t="e">
        <f t="shared" si="90"/>
        <v>#N/A</v>
      </c>
      <c r="L262" s="969" t="e">
        <f>IF(I262=" "," ",VLOOKUP(J262,list!$J$4:$M$117,4,FALSE))</f>
        <v>#N/A</v>
      </c>
      <c r="M262" s="66"/>
      <c r="N262" s="1297" t="str">
        <f>IF(SUMIFS('Level of Efficiency Assumptions'!$J:$J,'Level of Efficiency Assumptions'!$H:$H,$I262,'Level of Efficiency Assumptions'!$I:$I,N$51)=0," ",SUMIFS('Level of Efficiency Assumptions'!$J:$J,'Level of Efficiency Assumptions'!$H:$H,$I262,'Level of Efficiency Assumptions'!$I:$I,N$51))</f>
        <v xml:space="preserve"> </v>
      </c>
      <c r="O262" s="1298" t="str">
        <f>IF(SUMIFS('Level of Efficiency Assumptions'!$J:$J,'Level of Efficiency Assumptions'!$H:$H,$I262,'Level of Efficiency Assumptions'!$I:$I,O$51)=0," ",SUMIFS('Level of Efficiency Assumptions'!$J:$J,'Level of Efficiency Assumptions'!$H:$H,$I262,'Level of Efficiency Assumptions'!$I:$I,O$51))</f>
        <v xml:space="preserve"> </v>
      </c>
      <c r="P262" s="1299" t="str">
        <f>IF(SUMIFS('Level of Efficiency Assumptions'!$J:$J,'Level of Efficiency Assumptions'!$H:$H,$I262,'Level of Efficiency Assumptions'!$I:$I,P$51)=0," ",SUMIFS('Level of Efficiency Assumptions'!$J:$J,'Level of Efficiency Assumptions'!$H:$H,$I262,'Level of Efficiency Assumptions'!$I:$I,P$51))</f>
        <v xml:space="preserve"> </v>
      </c>
      <c r="Q262" s="971" t="e">
        <f>IF(I262=" "," ",(VLOOKUP(I262,list!$B$81:$C$111,2,FALSE)))</f>
        <v>#N/A</v>
      </c>
      <c r="R262" s="243">
        <f t="shared" si="88"/>
        <v>0</v>
      </c>
      <c r="S262" s="64">
        <v>1</v>
      </c>
      <c r="T262" s="68">
        <v>0</v>
      </c>
      <c r="U262" s="244">
        <f t="shared" si="91"/>
        <v>1</v>
      </c>
    </row>
    <row r="263" spans="3:24" ht="15" thickBot="1" x14ac:dyDescent="0.35">
      <c r="C263" s="520"/>
      <c r="D263" s="224" t="str">
        <f t="shared" si="92"/>
        <v xml:space="preserve">  </v>
      </c>
      <c r="E263" s="224"/>
      <c r="F263" s="224" t="str">
        <f t="shared" si="93"/>
        <v xml:space="preserve">  </v>
      </c>
      <c r="G263" s="224"/>
      <c r="H263" s="380"/>
      <c r="I263" s="516" t="e">
        <f>IF(VLOOKUP(C20,list!$AA$5:$AS$14,12,FALSE)=0," ",(VLOOKUP(C20,list!$AA$5:$AS$14,12,FALSE)))</f>
        <v>#N/A</v>
      </c>
      <c r="J263" s="955" t="e">
        <f t="shared" si="89"/>
        <v>#N/A</v>
      </c>
      <c r="K263" s="955" t="e">
        <f t="shared" si="90"/>
        <v>#N/A</v>
      </c>
      <c r="L263" s="969" t="e">
        <f>IF(I263=" "," ",VLOOKUP(J263,list!$J$4:$M$117,4,FALSE))</f>
        <v>#N/A</v>
      </c>
      <c r="M263" s="66"/>
      <c r="N263" s="1297" t="str">
        <f>IF(SUMIFS('Level of Efficiency Assumptions'!$J:$J,'Level of Efficiency Assumptions'!$H:$H,$I263,'Level of Efficiency Assumptions'!$I:$I,N$51)=0," ",SUMIFS('Level of Efficiency Assumptions'!$J:$J,'Level of Efficiency Assumptions'!$H:$H,$I263,'Level of Efficiency Assumptions'!$I:$I,N$51))</f>
        <v xml:space="preserve"> </v>
      </c>
      <c r="O263" s="1298" t="str">
        <f>IF(SUMIFS('Level of Efficiency Assumptions'!$J:$J,'Level of Efficiency Assumptions'!$H:$H,$I263,'Level of Efficiency Assumptions'!$I:$I,O$51)=0," ",SUMIFS('Level of Efficiency Assumptions'!$J:$J,'Level of Efficiency Assumptions'!$H:$H,$I263,'Level of Efficiency Assumptions'!$I:$I,O$51))</f>
        <v xml:space="preserve"> </v>
      </c>
      <c r="P263" s="1299" t="str">
        <f>IF(SUMIFS('Level of Efficiency Assumptions'!$J:$J,'Level of Efficiency Assumptions'!$H:$H,$I263,'Level of Efficiency Assumptions'!$I:$I,P$51)=0," ",SUMIFS('Level of Efficiency Assumptions'!$J:$J,'Level of Efficiency Assumptions'!$H:$H,$I263,'Level of Efficiency Assumptions'!$I:$I,P$51))</f>
        <v xml:space="preserve"> </v>
      </c>
      <c r="Q263" s="971" t="e">
        <f>IF(I263=" "," ",(VLOOKUP(I263,list!$B$81:$C$111,2,FALSE)))</f>
        <v>#N/A</v>
      </c>
      <c r="R263" s="243">
        <f t="shared" si="88"/>
        <v>0</v>
      </c>
      <c r="S263" s="64">
        <v>1</v>
      </c>
      <c r="T263" s="68">
        <v>0</v>
      </c>
      <c r="U263" s="244">
        <f t="shared" si="91"/>
        <v>1</v>
      </c>
    </row>
    <row r="264" spans="3:24" ht="15" thickBot="1" x14ac:dyDescent="0.35">
      <c r="C264" s="520"/>
      <c r="D264" s="224" t="str">
        <f t="shared" si="92"/>
        <v xml:space="preserve">  </v>
      </c>
      <c r="E264" s="224"/>
      <c r="F264" s="224" t="str">
        <f t="shared" si="93"/>
        <v xml:space="preserve">  </v>
      </c>
      <c r="G264" s="224"/>
      <c r="H264" s="380"/>
      <c r="I264" s="516" t="e">
        <f>IF(VLOOKUP(C20,list!$AA$5:$AS$14,13,FALSE)=0," ",(VLOOKUP(C20,list!$AA$5:$AS$14,13,FALSE)))</f>
        <v>#N/A</v>
      </c>
      <c r="J264" s="955" t="e">
        <f t="shared" si="89"/>
        <v>#N/A</v>
      </c>
      <c r="K264" s="955" t="e">
        <f t="shared" si="90"/>
        <v>#N/A</v>
      </c>
      <c r="L264" s="969" t="e">
        <f>IF(I264=" "," ",VLOOKUP(J264,list!$J$4:$M$117,4,FALSE))</f>
        <v>#N/A</v>
      </c>
      <c r="M264" s="66"/>
      <c r="N264" s="1297" t="str">
        <f>IF(SUMIFS('Level of Efficiency Assumptions'!$J:$J,'Level of Efficiency Assumptions'!$H:$H,$I264,'Level of Efficiency Assumptions'!$I:$I,N$51)=0," ",SUMIFS('Level of Efficiency Assumptions'!$J:$J,'Level of Efficiency Assumptions'!$H:$H,$I264,'Level of Efficiency Assumptions'!$I:$I,N$51))</f>
        <v xml:space="preserve"> </v>
      </c>
      <c r="O264" s="1298" t="str">
        <f>IF(SUMIFS('Level of Efficiency Assumptions'!$J:$J,'Level of Efficiency Assumptions'!$H:$H,$I264,'Level of Efficiency Assumptions'!$I:$I,O$51)=0," ",SUMIFS('Level of Efficiency Assumptions'!$J:$J,'Level of Efficiency Assumptions'!$H:$H,$I264,'Level of Efficiency Assumptions'!$I:$I,O$51))</f>
        <v xml:space="preserve"> </v>
      </c>
      <c r="P264" s="1299" t="str">
        <f>IF(SUMIFS('Level of Efficiency Assumptions'!$J:$J,'Level of Efficiency Assumptions'!$H:$H,$I264,'Level of Efficiency Assumptions'!$I:$I,P$51)=0," ",SUMIFS('Level of Efficiency Assumptions'!$J:$J,'Level of Efficiency Assumptions'!$H:$H,$I264,'Level of Efficiency Assumptions'!$I:$I,P$51))</f>
        <v xml:space="preserve"> </v>
      </c>
      <c r="Q264" s="971" t="e">
        <f>IF(I264=" "," ",(VLOOKUP(I264,list!$B$81:$C$111,2,FALSE)))</f>
        <v>#N/A</v>
      </c>
      <c r="R264" s="243">
        <f t="shared" si="88"/>
        <v>0</v>
      </c>
      <c r="S264" s="64">
        <v>1</v>
      </c>
      <c r="T264" s="68">
        <v>0</v>
      </c>
      <c r="U264" s="244">
        <f t="shared" si="91"/>
        <v>1</v>
      </c>
    </row>
    <row r="265" spans="3:24" ht="15" thickBot="1" x14ac:dyDescent="0.35">
      <c r="C265" s="520"/>
      <c r="D265" s="224" t="str">
        <f t="shared" si="92"/>
        <v xml:space="preserve">  </v>
      </c>
      <c r="E265" s="224"/>
      <c r="F265" s="224" t="str">
        <f t="shared" si="93"/>
        <v xml:space="preserve">  </v>
      </c>
      <c r="G265" s="224"/>
      <c r="H265" s="380"/>
      <c r="I265" s="516" t="e">
        <f>IF(VLOOKUP(C20,list!$AA$5:$AS$14,14,FALSE)=0," ",(VLOOKUP(C20,list!$AA$5:$AS$14,14,FALSE)))</f>
        <v>#N/A</v>
      </c>
      <c r="J265" s="955" t="e">
        <f t="shared" si="89"/>
        <v>#N/A</v>
      </c>
      <c r="K265" s="955" t="e">
        <f t="shared" si="90"/>
        <v>#N/A</v>
      </c>
      <c r="L265" s="969" t="e">
        <f>IF(I265=" "," ",VLOOKUP(J265,list!$J$4:$M$117,4,FALSE))</f>
        <v>#N/A</v>
      </c>
      <c r="M265" s="66"/>
      <c r="N265" s="1297" t="str">
        <f>IF(SUMIFS('Level of Efficiency Assumptions'!$J:$J,'Level of Efficiency Assumptions'!$H:$H,$I265,'Level of Efficiency Assumptions'!$I:$I,N$51)=0," ",SUMIFS('Level of Efficiency Assumptions'!$J:$J,'Level of Efficiency Assumptions'!$H:$H,$I265,'Level of Efficiency Assumptions'!$I:$I,N$51))</f>
        <v xml:space="preserve"> </v>
      </c>
      <c r="O265" s="1298" t="str">
        <f>IF(SUMIFS('Level of Efficiency Assumptions'!$J:$J,'Level of Efficiency Assumptions'!$H:$H,$I265,'Level of Efficiency Assumptions'!$I:$I,O$51)=0," ",SUMIFS('Level of Efficiency Assumptions'!$J:$J,'Level of Efficiency Assumptions'!$H:$H,$I265,'Level of Efficiency Assumptions'!$I:$I,O$51))</f>
        <v xml:space="preserve"> </v>
      </c>
      <c r="P265" s="1299" t="str">
        <f>IF(SUMIFS('Level of Efficiency Assumptions'!$J:$J,'Level of Efficiency Assumptions'!$H:$H,$I265,'Level of Efficiency Assumptions'!$I:$I,P$51)=0," ",SUMIFS('Level of Efficiency Assumptions'!$J:$J,'Level of Efficiency Assumptions'!$H:$H,$I265,'Level of Efficiency Assumptions'!$I:$I,P$51))</f>
        <v xml:space="preserve"> </v>
      </c>
      <c r="Q265" s="971" t="e">
        <f>IF(I265=" "," ",(VLOOKUP(I265,list!$B$81:$C$111,2,FALSE)))</f>
        <v>#N/A</v>
      </c>
      <c r="R265" s="243">
        <f t="shared" si="88"/>
        <v>0</v>
      </c>
      <c r="S265" s="64">
        <v>1</v>
      </c>
      <c r="T265" s="68">
        <v>0</v>
      </c>
      <c r="U265" s="244">
        <f t="shared" si="91"/>
        <v>1</v>
      </c>
    </row>
    <row r="266" spans="3:24" ht="15" thickBot="1" x14ac:dyDescent="0.35">
      <c r="C266" s="520"/>
      <c r="D266" s="224" t="str">
        <f t="shared" si="92"/>
        <v xml:space="preserve">  </v>
      </c>
      <c r="E266" s="224"/>
      <c r="F266" s="224" t="str">
        <f t="shared" si="93"/>
        <v xml:space="preserve">  </v>
      </c>
      <c r="G266" s="224"/>
      <c r="H266" s="380"/>
      <c r="I266" s="516" t="e">
        <f>IF(VLOOKUP(C20,list!$AA$5:$AS$14,15,FALSE)=0," ",(VLOOKUP(C20,list!$AA$5:$AS$14,15,FALSE)))</f>
        <v>#N/A</v>
      </c>
      <c r="J266" s="955" t="e">
        <f t="shared" si="89"/>
        <v>#N/A</v>
      </c>
      <c r="K266" s="955" t="e">
        <f t="shared" si="90"/>
        <v>#N/A</v>
      </c>
      <c r="L266" s="969" t="e">
        <f>IF(I266=" "," ",VLOOKUP(J266,list!$J$4:$M$117,4,FALSE))</f>
        <v>#N/A</v>
      </c>
      <c r="M266" s="66"/>
      <c r="N266" s="1297" t="str">
        <f>IF(SUMIFS('Level of Efficiency Assumptions'!$J:$J,'Level of Efficiency Assumptions'!$H:$H,$I266,'Level of Efficiency Assumptions'!$I:$I,N$51)=0," ",SUMIFS('Level of Efficiency Assumptions'!$J:$J,'Level of Efficiency Assumptions'!$H:$H,$I266,'Level of Efficiency Assumptions'!$I:$I,N$51))</f>
        <v xml:space="preserve"> </v>
      </c>
      <c r="O266" s="1298" t="str">
        <f>IF(SUMIFS('Level of Efficiency Assumptions'!$J:$J,'Level of Efficiency Assumptions'!$H:$H,$I266,'Level of Efficiency Assumptions'!$I:$I,O$51)=0," ",SUMIFS('Level of Efficiency Assumptions'!$J:$J,'Level of Efficiency Assumptions'!$H:$H,$I266,'Level of Efficiency Assumptions'!$I:$I,O$51))</f>
        <v xml:space="preserve"> </v>
      </c>
      <c r="P266" s="1299" t="str">
        <f>IF(SUMIFS('Level of Efficiency Assumptions'!$J:$J,'Level of Efficiency Assumptions'!$H:$H,$I266,'Level of Efficiency Assumptions'!$I:$I,P$51)=0," ",SUMIFS('Level of Efficiency Assumptions'!$J:$J,'Level of Efficiency Assumptions'!$H:$H,$I266,'Level of Efficiency Assumptions'!$I:$I,P$51))</f>
        <v xml:space="preserve"> </v>
      </c>
      <c r="Q266" s="971" t="e">
        <f>IF(I266=" "," ",(VLOOKUP(I266,list!$B$81:$C$111,2,FALSE)))</f>
        <v>#N/A</v>
      </c>
      <c r="R266" s="243">
        <f t="shared" si="88"/>
        <v>0</v>
      </c>
      <c r="S266" s="64">
        <v>1</v>
      </c>
      <c r="T266" s="68">
        <v>0</v>
      </c>
      <c r="U266" s="244">
        <f t="shared" si="91"/>
        <v>1</v>
      </c>
    </row>
    <row r="267" spans="3:24" ht="15" thickBot="1" x14ac:dyDescent="0.35">
      <c r="C267" s="520"/>
      <c r="D267" s="224" t="str">
        <f t="shared" si="92"/>
        <v xml:space="preserve">  </v>
      </c>
      <c r="E267" s="224"/>
      <c r="F267" s="224" t="str">
        <f t="shared" si="93"/>
        <v xml:space="preserve">  </v>
      </c>
      <c r="G267" s="224"/>
      <c r="H267" s="380"/>
      <c r="I267" s="516" t="e">
        <f>IF(VLOOKUP(C20,list!$AA$5:$AS$14,16,FALSE)=0," ",(VLOOKUP(C20,list!$AA$5:$AS$14,16,FALSE)))</f>
        <v>#N/A</v>
      </c>
      <c r="J267" s="955" t="e">
        <f t="shared" si="89"/>
        <v>#N/A</v>
      </c>
      <c r="K267" s="955" t="e">
        <f t="shared" si="90"/>
        <v>#N/A</v>
      </c>
      <c r="L267" s="969" t="e">
        <f>IF(I267=" "," ",VLOOKUP(J267,list!$J$4:$M$117,4,FALSE))</f>
        <v>#N/A</v>
      </c>
      <c r="M267" s="66"/>
      <c r="N267" s="1297" t="str">
        <f>IF(SUMIFS('Level of Efficiency Assumptions'!$J:$J,'Level of Efficiency Assumptions'!$H:$H,$I267,'Level of Efficiency Assumptions'!$I:$I,N$51)=0," ",SUMIFS('Level of Efficiency Assumptions'!$J:$J,'Level of Efficiency Assumptions'!$H:$H,$I267,'Level of Efficiency Assumptions'!$I:$I,N$51))</f>
        <v xml:space="preserve"> </v>
      </c>
      <c r="O267" s="1298" t="str">
        <f>IF(SUMIFS('Level of Efficiency Assumptions'!$J:$J,'Level of Efficiency Assumptions'!$H:$H,$I267,'Level of Efficiency Assumptions'!$I:$I,O$51)=0," ",SUMIFS('Level of Efficiency Assumptions'!$J:$J,'Level of Efficiency Assumptions'!$H:$H,$I267,'Level of Efficiency Assumptions'!$I:$I,O$51))</f>
        <v xml:space="preserve"> </v>
      </c>
      <c r="P267" s="1299" t="str">
        <f>IF(SUMIFS('Level of Efficiency Assumptions'!$J:$J,'Level of Efficiency Assumptions'!$H:$H,$I267,'Level of Efficiency Assumptions'!$I:$I,P$51)=0," ",SUMIFS('Level of Efficiency Assumptions'!$J:$J,'Level of Efficiency Assumptions'!$H:$H,$I267,'Level of Efficiency Assumptions'!$I:$I,P$51))</f>
        <v xml:space="preserve"> </v>
      </c>
      <c r="Q267" s="971" t="e">
        <f>IF(I267=" "," ",(VLOOKUP(I267,list!$B$81:$C$111,2,FALSE)))</f>
        <v>#N/A</v>
      </c>
      <c r="R267" s="243">
        <f t="shared" si="88"/>
        <v>0</v>
      </c>
      <c r="S267" s="64">
        <v>1</v>
      </c>
      <c r="T267" s="68">
        <v>0</v>
      </c>
      <c r="U267" s="244">
        <f t="shared" si="91"/>
        <v>1</v>
      </c>
    </row>
    <row r="268" spans="3:24" ht="15" thickBot="1" x14ac:dyDescent="0.35">
      <c r="C268" s="520"/>
      <c r="D268" s="224" t="str">
        <f t="shared" si="92"/>
        <v xml:space="preserve">  </v>
      </c>
      <c r="E268" s="224"/>
      <c r="F268" s="224" t="str">
        <f t="shared" si="93"/>
        <v xml:space="preserve">  </v>
      </c>
      <c r="G268" s="224"/>
      <c r="H268" s="380"/>
      <c r="I268" s="516" t="e">
        <f>IF(VLOOKUP(C20,list!$AA$5:$AS$14,17,FALSE)=0," ",(VLOOKUP(C20,list!$AA$5:$AS$14,17,FALSE)))</f>
        <v>#N/A</v>
      </c>
      <c r="J268" s="955" t="e">
        <f t="shared" si="89"/>
        <v>#N/A</v>
      </c>
      <c r="K268" s="955" t="e">
        <f t="shared" si="90"/>
        <v>#N/A</v>
      </c>
      <c r="L268" s="969" t="e">
        <f>IF(I268=" "," ",VLOOKUP(J268,list!$J$4:$M$117,4,FALSE))</f>
        <v>#N/A</v>
      </c>
      <c r="M268" s="66"/>
      <c r="N268" s="1297" t="str">
        <f>IF(SUMIFS('Level of Efficiency Assumptions'!$J:$J,'Level of Efficiency Assumptions'!$H:$H,$I268,'Level of Efficiency Assumptions'!$I:$I,N$51)=0," ",SUMIFS('Level of Efficiency Assumptions'!$J:$J,'Level of Efficiency Assumptions'!$H:$H,$I268,'Level of Efficiency Assumptions'!$I:$I,N$51))</f>
        <v xml:space="preserve"> </v>
      </c>
      <c r="O268" s="1298" t="str">
        <f>IF(SUMIFS('Level of Efficiency Assumptions'!$J:$J,'Level of Efficiency Assumptions'!$H:$H,$I268,'Level of Efficiency Assumptions'!$I:$I,O$51)=0," ",SUMIFS('Level of Efficiency Assumptions'!$J:$J,'Level of Efficiency Assumptions'!$H:$H,$I268,'Level of Efficiency Assumptions'!$I:$I,O$51))</f>
        <v xml:space="preserve"> </v>
      </c>
      <c r="P268" s="1299" t="str">
        <f>IF(SUMIFS('Level of Efficiency Assumptions'!$J:$J,'Level of Efficiency Assumptions'!$H:$H,$I268,'Level of Efficiency Assumptions'!$I:$I,P$51)=0," ",SUMIFS('Level of Efficiency Assumptions'!$J:$J,'Level of Efficiency Assumptions'!$H:$H,$I268,'Level of Efficiency Assumptions'!$I:$I,P$51))</f>
        <v xml:space="preserve"> </v>
      </c>
      <c r="Q268" s="971" t="e">
        <f>IF(I268=" "," ",(VLOOKUP(I268,list!$B$81:$C$111,2,FALSE)))</f>
        <v>#N/A</v>
      </c>
      <c r="R268" s="243">
        <f t="shared" si="88"/>
        <v>0</v>
      </c>
      <c r="S268" s="64">
        <v>1</v>
      </c>
      <c r="T268" s="68">
        <v>0</v>
      </c>
      <c r="U268" s="244">
        <f t="shared" si="91"/>
        <v>1</v>
      </c>
    </row>
    <row r="269" spans="3:24" ht="15" thickBot="1" x14ac:dyDescent="0.35">
      <c r="C269" s="520"/>
      <c r="D269" s="224" t="str">
        <f t="shared" si="92"/>
        <v xml:space="preserve">  </v>
      </c>
      <c r="E269" s="224"/>
      <c r="F269" s="224" t="str">
        <f t="shared" si="93"/>
        <v xml:space="preserve">  </v>
      </c>
      <c r="G269" s="224"/>
      <c r="H269" s="380"/>
      <c r="I269" s="516" t="e">
        <f>IF(VLOOKUP(C20,list!$AA$5:$AS$14,18,FALSE)=0," ",(VLOOKUP(C20,list!$AA$5:$AS$14,18,FALSE)))</f>
        <v>#N/A</v>
      </c>
      <c r="J269" s="955" t="e">
        <f t="shared" si="89"/>
        <v>#N/A</v>
      </c>
      <c r="K269" s="955" t="e">
        <f t="shared" si="90"/>
        <v>#N/A</v>
      </c>
      <c r="L269" s="969" t="e">
        <f>IF(I269=" "," ",VLOOKUP(J269,list!$J$4:$M$117,4,FALSE))</f>
        <v>#N/A</v>
      </c>
      <c r="M269" s="66"/>
      <c r="N269" s="1297" t="str">
        <f>IF(SUMIFS('Level of Efficiency Assumptions'!$J:$J,'Level of Efficiency Assumptions'!$H:$H,$I269,'Level of Efficiency Assumptions'!$I:$I,N$51)=0," ",SUMIFS('Level of Efficiency Assumptions'!$J:$J,'Level of Efficiency Assumptions'!$H:$H,$I269,'Level of Efficiency Assumptions'!$I:$I,N$51))</f>
        <v xml:space="preserve"> </v>
      </c>
      <c r="O269" s="1298" t="str">
        <f>IF(SUMIFS('Level of Efficiency Assumptions'!$J:$J,'Level of Efficiency Assumptions'!$H:$H,$I269,'Level of Efficiency Assumptions'!$I:$I,O$51)=0," ",SUMIFS('Level of Efficiency Assumptions'!$J:$J,'Level of Efficiency Assumptions'!$H:$H,$I269,'Level of Efficiency Assumptions'!$I:$I,O$51))</f>
        <v xml:space="preserve"> </v>
      </c>
      <c r="P269" s="1299" t="str">
        <f>IF(SUMIFS('Level of Efficiency Assumptions'!$J:$J,'Level of Efficiency Assumptions'!$H:$H,$I269,'Level of Efficiency Assumptions'!$I:$I,P$51)=0," ",SUMIFS('Level of Efficiency Assumptions'!$J:$J,'Level of Efficiency Assumptions'!$H:$H,$I269,'Level of Efficiency Assumptions'!$I:$I,P$51))</f>
        <v xml:space="preserve"> </v>
      </c>
      <c r="Q269" s="971" t="e">
        <f>IF(I269=" "," ",(VLOOKUP(I269,list!$B$81:$C$111,2,FALSE)))</f>
        <v>#N/A</v>
      </c>
      <c r="R269" s="243">
        <f t="shared" si="88"/>
        <v>0</v>
      </c>
      <c r="S269" s="64">
        <v>1</v>
      </c>
      <c r="T269" s="68">
        <v>0</v>
      </c>
      <c r="U269" s="244">
        <f t="shared" si="91"/>
        <v>1</v>
      </c>
    </row>
    <row r="270" spans="3:24" ht="15" thickBot="1" x14ac:dyDescent="0.35">
      <c r="C270" s="632"/>
      <c r="D270" s="226" t="str">
        <f t="shared" si="92"/>
        <v xml:space="preserve">  </v>
      </c>
      <c r="E270" s="226"/>
      <c r="F270" s="226" t="str">
        <f t="shared" si="93"/>
        <v xml:space="preserve">  </v>
      </c>
      <c r="G270" s="226"/>
      <c r="H270" s="976"/>
      <c r="I270" s="516" t="e">
        <f>IF(VLOOKUP(C20,list!$AA$5:$AS$14,19,FALSE)=0," ",(VLOOKUP(C20,list!$AA$5:$AS$14,19,FALSE)))</f>
        <v>#N/A</v>
      </c>
      <c r="J270" s="955" t="e">
        <f>IF(I270=" "," ",(D270&amp;"-"&amp;I270))</f>
        <v>#N/A</v>
      </c>
      <c r="K270" s="955" t="e">
        <f t="shared" si="90"/>
        <v>#N/A</v>
      </c>
      <c r="L270" s="969" t="e">
        <f>IF(I270=" "," ",VLOOKUP(J270,list!$J$4:$M$117,4,FALSE))</f>
        <v>#N/A</v>
      </c>
      <c r="M270" s="67"/>
      <c r="N270" s="1303" t="str">
        <f>IF(SUMIFS('Level of Efficiency Assumptions'!$J:$J,'Level of Efficiency Assumptions'!$H:$H,$I270,'Level of Efficiency Assumptions'!$I:$I,N$51)=0," ",SUMIFS('Level of Efficiency Assumptions'!$J:$J,'Level of Efficiency Assumptions'!$H:$H,$I270,'Level of Efficiency Assumptions'!$I:$I,N$51))</f>
        <v xml:space="preserve"> </v>
      </c>
      <c r="O270" s="1304" t="str">
        <f>IF(SUMIFS('Level of Efficiency Assumptions'!$J:$J,'Level of Efficiency Assumptions'!$H:$H,$I270,'Level of Efficiency Assumptions'!$I:$I,O$51)=0," ",SUMIFS('Level of Efficiency Assumptions'!$J:$J,'Level of Efficiency Assumptions'!$H:$H,$I270,'Level of Efficiency Assumptions'!$I:$I,O$51))</f>
        <v xml:space="preserve"> </v>
      </c>
      <c r="P270" s="1305" t="str">
        <f>IF(SUMIFS('Level of Efficiency Assumptions'!$J:$J,'Level of Efficiency Assumptions'!$H:$H,$I270,'Level of Efficiency Assumptions'!$I:$I,P$51)=0," ",SUMIFS('Level of Efficiency Assumptions'!$J:$J,'Level of Efficiency Assumptions'!$H:$H,$I270,'Level of Efficiency Assumptions'!$I:$I,P$51))</f>
        <v xml:space="preserve"> </v>
      </c>
      <c r="Q270" s="977" t="e">
        <f>IF(I270=" "," ",(VLOOKUP(I270,list!$B$81:$C$111,2,FALSE)))</f>
        <v>#N/A</v>
      </c>
      <c r="R270" s="245">
        <f t="shared" si="88"/>
        <v>0</v>
      </c>
      <c r="S270" s="65">
        <v>1</v>
      </c>
      <c r="T270" s="69">
        <v>0</v>
      </c>
      <c r="U270" s="246">
        <f t="shared" si="91"/>
        <v>1</v>
      </c>
    </row>
    <row r="271" spans="3:24" x14ac:dyDescent="0.3">
      <c r="D271" s="846"/>
      <c r="F271" s="82"/>
      <c r="J271" s="846"/>
      <c r="K271" s="846"/>
      <c r="N271" s="1179"/>
      <c r="O271" s="1179"/>
      <c r="P271" s="1179"/>
      <c r="R271" s="176" t="s">
        <v>295</v>
      </c>
      <c r="S271" s="176"/>
      <c r="T271" s="176"/>
      <c r="U271" s="176"/>
    </row>
    <row r="272" spans="3:24" ht="15" thickBot="1" x14ac:dyDescent="0.35">
      <c r="D272" s="846"/>
      <c r="F272" s="82"/>
      <c r="J272" s="846"/>
      <c r="K272" s="846"/>
      <c r="N272" s="1179"/>
      <c r="O272" s="1179"/>
      <c r="P272" s="1179"/>
    </row>
    <row r="273" spans="2:24" ht="15" thickBot="1" x14ac:dyDescent="0.35">
      <c r="B273" s="814">
        <v>12</v>
      </c>
      <c r="C273" s="967" t="str">
        <f t="shared" ref="C273:H273" si="94">C21</f>
        <v xml:space="preserve">  </v>
      </c>
      <c r="D273" s="967" t="str">
        <f t="shared" si="94"/>
        <v xml:space="preserve">  </v>
      </c>
      <c r="E273" s="967" t="str">
        <f t="shared" si="94"/>
        <v xml:space="preserve">  </v>
      </c>
      <c r="F273" s="967" t="str">
        <f t="shared" si="94"/>
        <v xml:space="preserve">  </v>
      </c>
      <c r="G273" s="967">
        <f t="shared" si="94"/>
        <v>0</v>
      </c>
      <c r="H273" s="968">
        <f t="shared" si="94"/>
        <v>0</v>
      </c>
      <c r="I273" s="516" t="e">
        <f>IF(VLOOKUP(C21,list!$AA$5:$AS$14,2,FALSE)=0," ",(VLOOKUP(C21,list!$AA$5:$AS$14,2,FALSE)))</f>
        <v>#N/A</v>
      </c>
      <c r="J273" s="955" t="e">
        <f>IF(I273=" "," ",(D21&amp;"-"&amp;I273))</f>
        <v>#N/A</v>
      </c>
      <c r="K273" s="955" t="e">
        <f>IF(I273=" "," ",(F21&amp;"-"&amp;I273))</f>
        <v>#N/A</v>
      </c>
      <c r="L273" s="969" t="e">
        <f>IF(I273=" "," ",VLOOKUP(J273,list!$J$4:$M$117,4,FALSE))</f>
        <v>#N/A</v>
      </c>
      <c r="M273" s="70"/>
      <c r="N273" s="1300" t="str">
        <f>IF(SUMIFS('Level of Efficiency Assumptions'!$J:$J,'Level of Efficiency Assumptions'!$H:$H,$I273,'Level of Efficiency Assumptions'!$I:$I,N$51)=0," ",SUMIFS('Level of Efficiency Assumptions'!$J:$J,'Level of Efficiency Assumptions'!$H:$H,$I273,'Level of Efficiency Assumptions'!$I:$I,N$51))</f>
        <v xml:space="preserve"> </v>
      </c>
      <c r="O273" s="1301" t="str">
        <f>IF(SUMIFS('Level of Efficiency Assumptions'!$J:$J,'Level of Efficiency Assumptions'!$H:$H,$I273,'Level of Efficiency Assumptions'!$I:$I,O$51)=0," ",SUMIFS('Level of Efficiency Assumptions'!$J:$J,'Level of Efficiency Assumptions'!$H:$H,$I273,'Level of Efficiency Assumptions'!$I:$I,O$51))</f>
        <v xml:space="preserve"> </v>
      </c>
      <c r="P273" s="1302" t="str">
        <f>IF(SUMIFS('Level of Efficiency Assumptions'!$J:$J,'Level of Efficiency Assumptions'!$H:$H,$I273,'Level of Efficiency Assumptions'!$I:$I,P$51)=0," ",SUMIFS('Level of Efficiency Assumptions'!$J:$J,'Level of Efficiency Assumptions'!$H:$H,$I273,'Level of Efficiency Assumptions'!$I:$I,P$51))</f>
        <v xml:space="preserve"> </v>
      </c>
      <c r="Q273" s="970" t="e">
        <f>IF(I273=" "," ",(VLOOKUP(I273,list!$B$81:$C$111,2,FALSE)))</f>
        <v>#N/A</v>
      </c>
      <c r="R273" s="241">
        <f t="shared" ref="R273:R290" si="95">1-S273-T273</f>
        <v>0</v>
      </c>
      <c r="S273" s="83">
        <v>1</v>
      </c>
      <c r="T273" s="84">
        <v>0</v>
      </c>
      <c r="U273" s="242">
        <f>SUM(R273:T273)</f>
        <v>1</v>
      </c>
      <c r="W273" s="250" t="s">
        <v>367</v>
      </c>
      <c r="X273" s="251" t="s">
        <v>366</v>
      </c>
    </row>
    <row r="274" spans="2:24" ht="15" thickBot="1" x14ac:dyDescent="0.35">
      <c r="C274" s="520"/>
      <c r="D274" s="224" t="str">
        <f>D21</f>
        <v xml:space="preserve">  </v>
      </c>
      <c r="E274" s="224"/>
      <c r="F274" s="224" t="str">
        <f>F21</f>
        <v xml:space="preserve">  </v>
      </c>
      <c r="G274" s="224"/>
      <c r="H274" s="380"/>
      <c r="I274" s="516" t="e">
        <f>IF(VLOOKUP(C21,list!$AA$5:$AS$14,3,FALSE)=0," ",(VLOOKUP(C21,list!$AA$5:$AS$14,3,FALSE)))</f>
        <v>#N/A</v>
      </c>
      <c r="J274" s="955" t="e">
        <f t="shared" ref="J274:J289" si="96">IF(I274=" "," ",(D274&amp;"-"&amp;I274))</f>
        <v>#N/A</v>
      </c>
      <c r="K274" s="955" t="e">
        <f t="shared" ref="K274:K290" si="97">IF(I274=" "," ",(F274&amp;"-"&amp;I274))</f>
        <v>#N/A</v>
      </c>
      <c r="L274" s="969" t="e">
        <f>IF(I274=" "," ",VLOOKUP(J274,list!$J$4:$M$117,4,FALSE))</f>
        <v>#N/A</v>
      </c>
      <c r="M274" s="66"/>
      <c r="N274" s="1297" t="str">
        <f>IF(SUMIFS('Level of Efficiency Assumptions'!$J:$J,'Level of Efficiency Assumptions'!$H:$H,$I274,'Level of Efficiency Assumptions'!$I:$I,N$51)=0," ",SUMIFS('Level of Efficiency Assumptions'!$J:$J,'Level of Efficiency Assumptions'!$H:$H,$I274,'Level of Efficiency Assumptions'!$I:$I,N$51))</f>
        <v xml:space="preserve"> </v>
      </c>
      <c r="O274" s="1298" t="str">
        <f>IF(SUMIFS('Level of Efficiency Assumptions'!$J:$J,'Level of Efficiency Assumptions'!$H:$H,$I274,'Level of Efficiency Assumptions'!$I:$I,O$51)=0," ",SUMIFS('Level of Efficiency Assumptions'!$J:$J,'Level of Efficiency Assumptions'!$H:$H,$I274,'Level of Efficiency Assumptions'!$I:$I,O$51))</f>
        <v xml:space="preserve"> </v>
      </c>
      <c r="P274" s="1299" t="str">
        <f>IF(SUMIFS('Level of Efficiency Assumptions'!$J:$J,'Level of Efficiency Assumptions'!$H:$H,$I274,'Level of Efficiency Assumptions'!$I:$I,P$51)=0," ",SUMIFS('Level of Efficiency Assumptions'!$J:$J,'Level of Efficiency Assumptions'!$H:$H,$I274,'Level of Efficiency Assumptions'!$I:$I,P$51))</f>
        <v xml:space="preserve"> </v>
      </c>
      <c r="Q274" s="971" t="e">
        <f>IF(I274=" "," ",(VLOOKUP(I274,list!$B$81:$C$111,2,FALSE)))</f>
        <v>#N/A</v>
      </c>
      <c r="R274" s="243">
        <f t="shared" si="95"/>
        <v>0</v>
      </c>
      <c r="S274" s="64">
        <v>1</v>
      </c>
      <c r="T274" s="68">
        <v>0</v>
      </c>
      <c r="U274" s="244">
        <f t="shared" ref="U274:U290" si="98">SUM(R274:T274)</f>
        <v>1</v>
      </c>
      <c r="V274" s="82" t="e">
        <f>F274&amp;"-"&amp;W274</f>
        <v>#N/A</v>
      </c>
      <c r="W274" s="247" t="e">
        <f>HLOOKUP(D274,list!$O$34:$X$38,2,FALSE)</f>
        <v>#N/A</v>
      </c>
      <c r="X274" s="972">
        <v>1</v>
      </c>
    </row>
    <row r="275" spans="2:24" ht="15" thickBot="1" x14ac:dyDescent="0.35">
      <c r="C275" s="520"/>
      <c r="D275" s="224" t="str">
        <f>D274</f>
        <v xml:space="preserve">  </v>
      </c>
      <c r="E275" s="224"/>
      <c r="F275" s="224" t="str">
        <f>F274</f>
        <v xml:space="preserve">  </v>
      </c>
      <c r="G275" s="224"/>
      <c r="H275" s="380"/>
      <c r="I275" s="516" t="e">
        <f>IF(VLOOKUP(C21,list!$AA$5:$AS$14,4,FALSE)=0," ",(VLOOKUP(C21,list!$AA$5:$AS$14,4,FALSE)))</f>
        <v>#N/A</v>
      </c>
      <c r="J275" s="955" t="e">
        <f t="shared" si="96"/>
        <v>#N/A</v>
      </c>
      <c r="K275" s="955" t="e">
        <f t="shared" si="97"/>
        <v>#N/A</v>
      </c>
      <c r="L275" s="969" t="e">
        <f>IF(I275=" "," ",VLOOKUP(J275,list!$J$4:$M$117,4,FALSE))</f>
        <v>#N/A</v>
      </c>
      <c r="M275" s="66"/>
      <c r="N275" s="1297" t="str">
        <f>IF(SUMIFS('Level of Efficiency Assumptions'!$J:$J,'Level of Efficiency Assumptions'!$H:$H,$I275,'Level of Efficiency Assumptions'!$I:$I,N$51)=0," ",SUMIFS('Level of Efficiency Assumptions'!$J:$J,'Level of Efficiency Assumptions'!$H:$H,$I275,'Level of Efficiency Assumptions'!$I:$I,N$51))</f>
        <v xml:space="preserve"> </v>
      </c>
      <c r="O275" s="1298" t="str">
        <f>IF(SUMIFS('Level of Efficiency Assumptions'!$J:$J,'Level of Efficiency Assumptions'!$H:$H,$I275,'Level of Efficiency Assumptions'!$I:$I,O$51)=0," ",SUMIFS('Level of Efficiency Assumptions'!$J:$J,'Level of Efficiency Assumptions'!$H:$H,$I275,'Level of Efficiency Assumptions'!$I:$I,O$51))</f>
        <v xml:space="preserve"> </v>
      </c>
      <c r="P275" s="1299" t="str">
        <f>IF(SUMIFS('Level of Efficiency Assumptions'!$J:$J,'Level of Efficiency Assumptions'!$H:$H,$I275,'Level of Efficiency Assumptions'!$I:$I,P$51)=0," ",SUMIFS('Level of Efficiency Assumptions'!$J:$J,'Level of Efficiency Assumptions'!$H:$H,$I275,'Level of Efficiency Assumptions'!$I:$I,P$51))</f>
        <v xml:space="preserve"> </v>
      </c>
      <c r="Q275" s="971" t="e">
        <f>IF(I275=" "," ",(VLOOKUP(I275,list!$B$81:$C$111,2,FALSE)))</f>
        <v>#N/A</v>
      </c>
      <c r="R275" s="243">
        <f t="shared" si="95"/>
        <v>0</v>
      </c>
      <c r="S275" s="64">
        <v>1</v>
      </c>
      <c r="T275" s="68">
        <v>0</v>
      </c>
      <c r="U275" s="244">
        <f t="shared" si="98"/>
        <v>1</v>
      </c>
      <c r="V275" s="82" t="e">
        <f>F275&amp;"-"&amp;W275</f>
        <v>#N/A</v>
      </c>
      <c r="W275" s="248" t="e">
        <f>HLOOKUP(D275,list!$O$34:$X$38,3,FALSE)</f>
        <v>#N/A</v>
      </c>
      <c r="X275" s="973">
        <v>0.5</v>
      </c>
    </row>
    <row r="276" spans="2:24" ht="15" thickBot="1" x14ac:dyDescent="0.35">
      <c r="C276" s="520"/>
      <c r="D276" s="224" t="str">
        <f t="shared" ref="D276:D290" si="99">D275</f>
        <v xml:space="preserve">  </v>
      </c>
      <c r="E276" s="224"/>
      <c r="F276" s="224" t="str">
        <f t="shared" ref="F276:F290" si="100">F275</f>
        <v xml:space="preserve">  </v>
      </c>
      <c r="G276" s="224"/>
      <c r="H276" s="380"/>
      <c r="I276" s="516" t="e">
        <f>IF(VLOOKUP(C21,list!$AA$5:$AS$14,5,FALSE)=0," ",(VLOOKUP(C21,list!$AA$5:$AS$14,5,FALSE)))</f>
        <v>#N/A</v>
      </c>
      <c r="J276" s="955" t="e">
        <f t="shared" si="96"/>
        <v>#N/A</v>
      </c>
      <c r="K276" s="955" t="e">
        <f t="shared" si="97"/>
        <v>#N/A</v>
      </c>
      <c r="L276" s="969" t="e">
        <f>IF(I276=" "," ",VLOOKUP(J276,list!$J$4:$M$117,4,FALSE))</f>
        <v>#N/A</v>
      </c>
      <c r="M276" s="66"/>
      <c r="N276" s="1297" t="str">
        <f>IF(SUMIFS('Level of Efficiency Assumptions'!$J:$J,'Level of Efficiency Assumptions'!$H:$H,$I276,'Level of Efficiency Assumptions'!$I:$I,N$51)=0," ",SUMIFS('Level of Efficiency Assumptions'!$J:$J,'Level of Efficiency Assumptions'!$H:$H,$I276,'Level of Efficiency Assumptions'!$I:$I,N$51))</f>
        <v xml:space="preserve"> </v>
      </c>
      <c r="O276" s="1298" t="str">
        <f>IF(SUMIFS('Level of Efficiency Assumptions'!$J:$J,'Level of Efficiency Assumptions'!$H:$H,$I276,'Level of Efficiency Assumptions'!$I:$I,O$51)=0," ",SUMIFS('Level of Efficiency Assumptions'!$J:$J,'Level of Efficiency Assumptions'!$H:$H,$I276,'Level of Efficiency Assumptions'!$I:$I,O$51))</f>
        <v xml:space="preserve"> </v>
      </c>
      <c r="P276" s="1299" t="str">
        <f>IF(SUMIFS('Level of Efficiency Assumptions'!$J:$J,'Level of Efficiency Assumptions'!$H:$H,$I276,'Level of Efficiency Assumptions'!$I:$I,P$51)=0," ",SUMIFS('Level of Efficiency Assumptions'!$J:$J,'Level of Efficiency Assumptions'!$H:$H,$I276,'Level of Efficiency Assumptions'!$I:$I,P$51))</f>
        <v xml:space="preserve"> </v>
      </c>
      <c r="Q276" s="971" t="e">
        <f>IF(I276=" "," ",(VLOOKUP(I276,list!$B$81:$C$111,2,FALSE)))</f>
        <v>#N/A</v>
      </c>
      <c r="R276" s="243">
        <f t="shared" si="95"/>
        <v>0</v>
      </c>
      <c r="S276" s="64">
        <v>1</v>
      </c>
      <c r="T276" s="68">
        <v>0</v>
      </c>
      <c r="U276" s="244">
        <f t="shared" si="98"/>
        <v>1</v>
      </c>
      <c r="V276" s="82" t="e">
        <f>F276&amp;"-"&amp;W276</f>
        <v>#N/A</v>
      </c>
      <c r="W276" s="248" t="e">
        <f>HLOOKUP(D276,list!$O$34:$X$38,4,FALSE)</f>
        <v>#N/A</v>
      </c>
      <c r="X276" s="973">
        <v>0.5</v>
      </c>
    </row>
    <row r="277" spans="2:24" ht="15" thickBot="1" x14ac:dyDescent="0.35">
      <c r="C277" s="520"/>
      <c r="D277" s="224" t="str">
        <f t="shared" si="99"/>
        <v xml:space="preserve">  </v>
      </c>
      <c r="E277" s="224"/>
      <c r="F277" s="224" t="str">
        <f t="shared" si="100"/>
        <v xml:space="preserve">  </v>
      </c>
      <c r="G277" s="224"/>
      <c r="H277" s="380"/>
      <c r="I277" s="516" t="e">
        <f>IF(VLOOKUP(C21,list!$AA$5:$AS$14,6,FALSE)=0," ",(VLOOKUP(C21,list!$AA$5:$AS$14,6,FALSE)))</f>
        <v>#N/A</v>
      </c>
      <c r="J277" s="955" t="e">
        <f t="shared" si="96"/>
        <v>#N/A</v>
      </c>
      <c r="K277" s="955" t="e">
        <f t="shared" si="97"/>
        <v>#N/A</v>
      </c>
      <c r="L277" s="969" t="e">
        <f>IF(I277=" "," ",VLOOKUP(J277,list!$J$4:$M$117,4,FALSE))</f>
        <v>#N/A</v>
      </c>
      <c r="M277" s="66"/>
      <c r="N277" s="1297" t="str">
        <f>IF(SUMIFS('Level of Efficiency Assumptions'!$J:$J,'Level of Efficiency Assumptions'!$H:$H,$I277,'Level of Efficiency Assumptions'!$I:$I,N$51)=0," ",SUMIFS('Level of Efficiency Assumptions'!$J:$J,'Level of Efficiency Assumptions'!$H:$H,$I277,'Level of Efficiency Assumptions'!$I:$I,N$51))</f>
        <v xml:space="preserve"> </v>
      </c>
      <c r="O277" s="1298" t="str">
        <f>IF(SUMIFS('Level of Efficiency Assumptions'!$J:$J,'Level of Efficiency Assumptions'!$H:$H,$I277,'Level of Efficiency Assumptions'!$I:$I,O$51)=0," ",SUMIFS('Level of Efficiency Assumptions'!$J:$J,'Level of Efficiency Assumptions'!$H:$H,$I277,'Level of Efficiency Assumptions'!$I:$I,O$51))</f>
        <v xml:space="preserve"> </v>
      </c>
      <c r="P277" s="1299" t="str">
        <f>IF(SUMIFS('Level of Efficiency Assumptions'!$J:$J,'Level of Efficiency Assumptions'!$H:$H,$I277,'Level of Efficiency Assumptions'!$I:$I,P$51)=0," ",SUMIFS('Level of Efficiency Assumptions'!$J:$J,'Level of Efficiency Assumptions'!$H:$H,$I277,'Level of Efficiency Assumptions'!$I:$I,P$51))</f>
        <v xml:space="preserve"> </v>
      </c>
      <c r="Q277" s="971" t="e">
        <f>IF(I277=" "," ",(VLOOKUP(I277,list!$B$81:$C$111,2,FALSE)))</f>
        <v>#N/A</v>
      </c>
      <c r="R277" s="243">
        <f t="shared" si="95"/>
        <v>0</v>
      </c>
      <c r="S277" s="64">
        <v>1</v>
      </c>
      <c r="T277" s="68">
        <v>0</v>
      </c>
      <c r="U277" s="244">
        <f t="shared" si="98"/>
        <v>1</v>
      </c>
      <c r="V277" s="82" t="e">
        <f>F277&amp;"-"&amp;W277</f>
        <v>#N/A</v>
      </c>
      <c r="W277" s="249" t="e">
        <f>HLOOKUP(D277,list!$O$34:$X$38,5,FALSE)</f>
        <v>#N/A</v>
      </c>
      <c r="X277" s="974">
        <v>0.5</v>
      </c>
    </row>
    <row r="278" spans="2:24" ht="15" thickBot="1" x14ac:dyDescent="0.35">
      <c r="C278" s="520"/>
      <c r="D278" s="224" t="str">
        <f t="shared" si="99"/>
        <v xml:space="preserve">  </v>
      </c>
      <c r="E278" s="224"/>
      <c r="F278" s="224" t="str">
        <f t="shared" si="100"/>
        <v xml:space="preserve">  </v>
      </c>
      <c r="G278" s="224"/>
      <c r="H278" s="380"/>
      <c r="I278" s="516" t="e">
        <f>IF(VLOOKUP(C21,list!$AA$5:$AS$14,7,FALSE)=0," ",(VLOOKUP(C21,list!$AA$5:$AS$14,7,FALSE)))</f>
        <v>#N/A</v>
      </c>
      <c r="J278" s="955" t="e">
        <f t="shared" si="96"/>
        <v>#N/A</v>
      </c>
      <c r="K278" s="955" t="e">
        <f t="shared" si="97"/>
        <v>#N/A</v>
      </c>
      <c r="L278" s="969" t="e">
        <f>IF(I278=" "," ",VLOOKUP(J278,list!$J$4:$M$117,4,FALSE))</f>
        <v>#N/A</v>
      </c>
      <c r="M278" s="66"/>
      <c r="N278" s="1297" t="str">
        <f>IF(SUMIFS('Level of Efficiency Assumptions'!$J:$J,'Level of Efficiency Assumptions'!$H:$H,$I278,'Level of Efficiency Assumptions'!$I:$I,N$51)=0," ",SUMIFS('Level of Efficiency Assumptions'!$J:$J,'Level of Efficiency Assumptions'!$H:$H,$I278,'Level of Efficiency Assumptions'!$I:$I,N$51))</f>
        <v xml:space="preserve"> </v>
      </c>
      <c r="O278" s="1298" t="str">
        <f>IF(SUMIFS('Level of Efficiency Assumptions'!$J:$J,'Level of Efficiency Assumptions'!$H:$H,$I278,'Level of Efficiency Assumptions'!$I:$I,O$51)=0," ",SUMIFS('Level of Efficiency Assumptions'!$J:$J,'Level of Efficiency Assumptions'!$H:$H,$I278,'Level of Efficiency Assumptions'!$I:$I,O$51))</f>
        <v xml:space="preserve"> </v>
      </c>
      <c r="P278" s="1299" t="str">
        <f>IF(SUMIFS('Level of Efficiency Assumptions'!$J:$J,'Level of Efficiency Assumptions'!$H:$H,$I278,'Level of Efficiency Assumptions'!$I:$I,P$51)=0," ",SUMIFS('Level of Efficiency Assumptions'!$J:$J,'Level of Efficiency Assumptions'!$H:$H,$I278,'Level of Efficiency Assumptions'!$I:$I,P$51))</f>
        <v xml:space="preserve"> </v>
      </c>
      <c r="Q278" s="971" t="e">
        <f>IF(I278=" "," ",(VLOOKUP(I278,list!$B$81:$C$111,2,FALSE)))</f>
        <v>#N/A</v>
      </c>
      <c r="R278" s="243">
        <f t="shared" si="95"/>
        <v>0</v>
      </c>
      <c r="S278" s="64">
        <v>1</v>
      </c>
      <c r="T278" s="68">
        <v>0</v>
      </c>
      <c r="U278" s="244">
        <f t="shared" si="98"/>
        <v>1</v>
      </c>
      <c r="W278" s="182"/>
      <c r="X278" s="975"/>
    </row>
    <row r="279" spans="2:24" ht="15" thickBot="1" x14ac:dyDescent="0.35">
      <c r="C279" s="520"/>
      <c r="D279" s="224" t="str">
        <f t="shared" si="99"/>
        <v xml:space="preserve">  </v>
      </c>
      <c r="E279" s="224"/>
      <c r="F279" s="224" t="str">
        <f t="shared" si="100"/>
        <v xml:space="preserve">  </v>
      </c>
      <c r="G279" s="224"/>
      <c r="H279" s="380"/>
      <c r="I279" s="516" t="e">
        <f>IF(VLOOKUP(C21,list!$AA$5:$AS$14,8,FALSE)=0," ",(VLOOKUP(C21,list!$AA$5:$AS$14,8,FALSE)))</f>
        <v>#N/A</v>
      </c>
      <c r="J279" s="955" t="e">
        <f t="shared" si="96"/>
        <v>#N/A</v>
      </c>
      <c r="K279" s="955" t="e">
        <f t="shared" si="97"/>
        <v>#N/A</v>
      </c>
      <c r="L279" s="969" t="e">
        <f>IF(I279=" "," ",VLOOKUP(J279,list!$J$4:$M$117,4,FALSE))</f>
        <v>#N/A</v>
      </c>
      <c r="M279" s="66"/>
      <c r="N279" s="1297" t="str">
        <f>IF(SUMIFS('Level of Efficiency Assumptions'!$J:$J,'Level of Efficiency Assumptions'!$H:$H,$I279,'Level of Efficiency Assumptions'!$I:$I,N$51)=0," ",SUMIFS('Level of Efficiency Assumptions'!$J:$J,'Level of Efficiency Assumptions'!$H:$H,$I279,'Level of Efficiency Assumptions'!$I:$I,N$51))</f>
        <v xml:space="preserve"> </v>
      </c>
      <c r="O279" s="1298" t="str">
        <f>IF(SUMIFS('Level of Efficiency Assumptions'!$J:$J,'Level of Efficiency Assumptions'!$H:$H,$I279,'Level of Efficiency Assumptions'!$I:$I,O$51)=0," ",SUMIFS('Level of Efficiency Assumptions'!$J:$J,'Level of Efficiency Assumptions'!$H:$H,$I279,'Level of Efficiency Assumptions'!$I:$I,O$51))</f>
        <v xml:space="preserve"> </v>
      </c>
      <c r="P279" s="1299" t="str">
        <f>IF(SUMIFS('Level of Efficiency Assumptions'!$J:$J,'Level of Efficiency Assumptions'!$H:$H,$I279,'Level of Efficiency Assumptions'!$I:$I,P$51)=0," ",SUMIFS('Level of Efficiency Assumptions'!$J:$J,'Level of Efficiency Assumptions'!$H:$H,$I279,'Level of Efficiency Assumptions'!$I:$I,P$51))</f>
        <v xml:space="preserve"> </v>
      </c>
      <c r="Q279" s="971" t="e">
        <f>IF(I279=" "," ",(VLOOKUP(I279,list!$B$81:$C$111,2,FALSE)))</f>
        <v>#N/A</v>
      </c>
      <c r="R279" s="243">
        <f t="shared" si="95"/>
        <v>0</v>
      </c>
      <c r="S279" s="64">
        <v>1</v>
      </c>
      <c r="T279" s="68">
        <v>0</v>
      </c>
      <c r="U279" s="244">
        <f t="shared" si="98"/>
        <v>1</v>
      </c>
      <c r="W279" s="182"/>
      <c r="X279" s="975"/>
    </row>
    <row r="280" spans="2:24" ht="15" thickBot="1" x14ac:dyDescent="0.35">
      <c r="C280" s="520"/>
      <c r="D280" s="224" t="str">
        <f t="shared" si="99"/>
        <v xml:space="preserve">  </v>
      </c>
      <c r="E280" s="224"/>
      <c r="F280" s="224" t="str">
        <f t="shared" si="100"/>
        <v xml:space="preserve">  </v>
      </c>
      <c r="G280" s="224"/>
      <c r="H280" s="380"/>
      <c r="I280" s="516" t="e">
        <f>IF(VLOOKUP(C21,list!$AA$5:$AS$14,9,FALSE)=0," ",(VLOOKUP(C21,list!$AA$5:$AS$14,9,FALSE)))</f>
        <v>#N/A</v>
      </c>
      <c r="J280" s="955" t="e">
        <f t="shared" si="96"/>
        <v>#N/A</v>
      </c>
      <c r="K280" s="955" t="e">
        <f t="shared" si="97"/>
        <v>#N/A</v>
      </c>
      <c r="L280" s="969" t="e">
        <f>IF(I280=" "," ",VLOOKUP(J280,list!$J$4:$M$117,4,FALSE))</f>
        <v>#N/A</v>
      </c>
      <c r="M280" s="66"/>
      <c r="N280" s="1297" t="str">
        <f>IF(SUMIFS('Level of Efficiency Assumptions'!$J:$J,'Level of Efficiency Assumptions'!$H:$H,$I280,'Level of Efficiency Assumptions'!$I:$I,N$51)=0," ",SUMIFS('Level of Efficiency Assumptions'!$J:$J,'Level of Efficiency Assumptions'!$H:$H,$I280,'Level of Efficiency Assumptions'!$I:$I,N$51))</f>
        <v xml:space="preserve"> </v>
      </c>
      <c r="O280" s="1298" t="str">
        <f>IF(SUMIFS('Level of Efficiency Assumptions'!$J:$J,'Level of Efficiency Assumptions'!$H:$H,$I280,'Level of Efficiency Assumptions'!$I:$I,O$51)=0," ",SUMIFS('Level of Efficiency Assumptions'!$J:$J,'Level of Efficiency Assumptions'!$H:$H,$I280,'Level of Efficiency Assumptions'!$I:$I,O$51))</f>
        <v xml:space="preserve"> </v>
      </c>
      <c r="P280" s="1299" t="str">
        <f>IF(SUMIFS('Level of Efficiency Assumptions'!$J:$J,'Level of Efficiency Assumptions'!$H:$H,$I280,'Level of Efficiency Assumptions'!$I:$I,P$51)=0," ",SUMIFS('Level of Efficiency Assumptions'!$J:$J,'Level of Efficiency Assumptions'!$H:$H,$I280,'Level of Efficiency Assumptions'!$I:$I,P$51))</f>
        <v xml:space="preserve"> </v>
      </c>
      <c r="Q280" s="971" t="e">
        <f>IF(I280=" "," ",(VLOOKUP(I280,list!$B$81:$C$111,2,FALSE)))</f>
        <v>#N/A</v>
      </c>
      <c r="R280" s="243">
        <f t="shared" si="95"/>
        <v>0</v>
      </c>
      <c r="S280" s="64">
        <v>1</v>
      </c>
      <c r="T280" s="68">
        <v>0</v>
      </c>
      <c r="U280" s="244">
        <f t="shared" si="98"/>
        <v>1</v>
      </c>
    </row>
    <row r="281" spans="2:24" ht="15" thickBot="1" x14ac:dyDescent="0.35">
      <c r="C281" s="520"/>
      <c r="D281" s="224" t="str">
        <f t="shared" si="99"/>
        <v xml:space="preserve">  </v>
      </c>
      <c r="E281" s="224"/>
      <c r="F281" s="224" t="str">
        <f t="shared" si="100"/>
        <v xml:space="preserve">  </v>
      </c>
      <c r="G281" s="224"/>
      <c r="H281" s="380"/>
      <c r="I281" s="516" t="e">
        <f>IF(VLOOKUP(C21,list!$AA$5:$AS$14,10,FALSE)=0," ",(VLOOKUP(C21,list!$AA$5:$AS$14,10,FALSE)))</f>
        <v>#N/A</v>
      </c>
      <c r="J281" s="955" t="e">
        <f t="shared" si="96"/>
        <v>#N/A</v>
      </c>
      <c r="K281" s="955" t="e">
        <f t="shared" si="97"/>
        <v>#N/A</v>
      </c>
      <c r="L281" s="969" t="e">
        <f>IF(I281=" "," ",VLOOKUP(J281,list!$J$4:$M$117,4,FALSE))</f>
        <v>#N/A</v>
      </c>
      <c r="M281" s="66"/>
      <c r="N281" s="1297" t="str">
        <f>IF(SUMIFS('Level of Efficiency Assumptions'!$J:$J,'Level of Efficiency Assumptions'!$H:$H,$I281,'Level of Efficiency Assumptions'!$I:$I,N$51)=0," ",SUMIFS('Level of Efficiency Assumptions'!$J:$J,'Level of Efficiency Assumptions'!$H:$H,$I281,'Level of Efficiency Assumptions'!$I:$I,N$51))</f>
        <v xml:space="preserve"> </v>
      </c>
      <c r="O281" s="1298" t="str">
        <f>IF(SUMIFS('Level of Efficiency Assumptions'!$J:$J,'Level of Efficiency Assumptions'!$H:$H,$I281,'Level of Efficiency Assumptions'!$I:$I,O$51)=0," ",SUMIFS('Level of Efficiency Assumptions'!$J:$J,'Level of Efficiency Assumptions'!$H:$H,$I281,'Level of Efficiency Assumptions'!$I:$I,O$51))</f>
        <v xml:space="preserve"> </v>
      </c>
      <c r="P281" s="1299" t="str">
        <f>IF(SUMIFS('Level of Efficiency Assumptions'!$J:$J,'Level of Efficiency Assumptions'!$H:$H,$I281,'Level of Efficiency Assumptions'!$I:$I,P$51)=0," ",SUMIFS('Level of Efficiency Assumptions'!$J:$J,'Level of Efficiency Assumptions'!$H:$H,$I281,'Level of Efficiency Assumptions'!$I:$I,P$51))</f>
        <v xml:space="preserve"> </v>
      </c>
      <c r="Q281" s="971" t="e">
        <f>IF(I281=" "," ",(VLOOKUP(I281,list!$B$81:$C$111,2,FALSE)))</f>
        <v>#N/A</v>
      </c>
      <c r="R281" s="243">
        <f t="shared" si="95"/>
        <v>0</v>
      </c>
      <c r="S281" s="64">
        <v>1</v>
      </c>
      <c r="T281" s="68">
        <v>0</v>
      </c>
      <c r="U281" s="244">
        <f t="shared" si="98"/>
        <v>1</v>
      </c>
    </row>
    <row r="282" spans="2:24" ht="15" thickBot="1" x14ac:dyDescent="0.35">
      <c r="C282" s="520"/>
      <c r="D282" s="224" t="str">
        <f t="shared" si="99"/>
        <v xml:space="preserve">  </v>
      </c>
      <c r="E282" s="224"/>
      <c r="F282" s="224" t="str">
        <f t="shared" si="100"/>
        <v xml:space="preserve">  </v>
      </c>
      <c r="G282" s="224"/>
      <c r="H282" s="380"/>
      <c r="I282" s="516" t="e">
        <f>IF(VLOOKUP(C21,list!$AA$5:$AS$14,11,FALSE)=0," ",(VLOOKUP(C21,list!$AA$5:$AS$14,11,FALSE)))</f>
        <v>#N/A</v>
      </c>
      <c r="J282" s="955" t="e">
        <f t="shared" si="96"/>
        <v>#N/A</v>
      </c>
      <c r="K282" s="955" t="e">
        <f t="shared" si="97"/>
        <v>#N/A</v>
      </c>
      <c r="L282" s="969" t="e">
        <f>IF(I282=" "," ",VLOOKUP(J282,list!$J$4:$M$117,4,FALSE))</f>
        <v>#N/A</v>
      </c>
      <c r="M282" s="66"/>
      <c r="N282" s="1297" t="str">
        <f>IF(SUMIFS('Level of Efficiency Assumptions'!$J:$J,'Level of Efficiency Assumptions'!$H:$H,$I282,'Level of Efficiency Assumptions'!$I:$I,N$51)=0," ",SUMIFS('Level of Efficiency Assumptions'!$J:$J,'Level of Efficiency Assumptions'!$H:$H,$I282,'Level of Efficiency Assumptions'!$I:$I,N$51))</f>
        <v xml:space="preserve"> </v>
      </c>
      <c r="O282" s="1298" t="str">
        <f>IF(SUMIFS('Level of Efficiency Assumptions'!$J:$J,'Level of Efficiency Assumptions'!$H:$H,$I282,'Level of Efficiency Assumptions'!$I:$I,O$51)=0," ",SUMIFS('Level of Efficiency Assumptions'!$J:$J,'Level of Efficiency Assumptions'!$H:$H,$I282,'Level of Efficiency Assumptions'!$I:$I,O$51))</f>
        <v xml:space="preserve"> </v>
      </c>
      <c r="P282" s="1299" t="str">
        <f>IF(SUMIFS('Level of Efficiency Assumptions'!$J:$J,'Level of Efficiency Assumptions'!$H:$H,$I282,'Level of Efficiency Assumptions'!$I:$I,P$51)=0," ",SUMIFS('Level of Efficiency Assumptions'!$J:$J,'Level of Efficiency Assumptions'!$H:$H,$I282,'Level of Efficiency Assumptions'!$I:$I,P$51))</f>
        <v xml:space="preserve"> </v>
      </c>
      <c r="Q282" s="971" t="e">
        <f>IF(I282=" "," ",(VLOOKUP(I282,list!$B$81:$C$111,2,FALSE)))</f>
        <v>#N/A</v>
      </c>
      <c r="R282" s="243">
        <f t="shared" si="95"/>
        <v>0</v>
      </c>
      <c r="S282" s="64">
        <v>1</v>
      </c>
      <c r="T282" s="68">
        <v>0</v>
      </c>
      <c r="U282" s="244">
        <f t="shared" si="98"/>
        <v>1</v>
      </c>
    </row>
    <row r="283" spans="2:24" ht="15" thickBot="1" x14ac:dyDescent="0.35">
      <c r="C283" s="520"/>
      <c r="D283" s="224" t="str">
        <f t="shared" si="99"/>
        <v xml:space="preserve">  </v>
      </c>
      <c r="E283" s="224"/>
      <c r="F283" s="224" t="str">
        <f t="shared" si="100"/>
        <v xml:space="preserve">  </v>
      </c>
      <c r="G283" s="224"/>
      <c r="H283" s="380"/>
      <c r="I283" s="516" t="e">
        <f>IF(VLOOKUP(C21,list!$AA$5:$AS$14,12,FALSE)=0," ",(VLOOKUP(C21,list!$AA$5:$AS$14,12,FALSE)))</f>
        <v>#N/A</v>
      </c>
      <c r="J283" s="955" t="e">
        <f t="shared" si="96"/>
        <v>#N/A</v>
      </c>
      <c r="K283" s="955" t="e">
        <f t="shared" si="97"/>
        <v>#N/A</v>
      </c>
      <c r="L283" s="969" t="e">
        <f>IF(I283=" "," ",VLOOKUP(J283,list!$J$4:$M$117,4,FALSE))</f>
        <v>#N/A</v>
      </c>
      <c r="M283" s="66"/>
      <c r="N283" s="1297" t="str">
        <f>IF(SUMIFS('Level of Efficiency Assumptions'!$J:$J,'Level of Efficiency Assumptions'!$H:$H,$I283,'Level of Efficiency Assumptions'!$I:$I,N$51)=0," ",SUMIFS('Level of Efficiency Assumptions'!$J:$J,'Level of Efficiency Assumptions'!$H:$H,$I283,'Level of Efficiency Assumptions'!$I:$I,N$51))</f>
        <v xml:space="preserve"> </v>
      </c>
      <c r="O283" s="1298" t="str">
        <f>IF(SUMIFS('Level of Efficiency Assumptions'!$J:$J,'Level of Efficiency Assumptions'!$H:$H,$I283,'Level of Efficiency Assumptions'!$I:$I,O$51)=0," ",SUMIFS('Level of Efficiency Assumptions'!$J:$J,'Level of Efficiency Assumptions'!$H:$H,$I283,'Level of Efficiency Assumptions'!$I:$I,O$51))</f>
        <v xml:space="preserve"> </v>
      </c>
      <c r="P283" s="1299" t="str">
        <f>IF(SUMIFS('Level of Efficiency Assumptions'!$J:$J,'Level of Efficiency Assumptions'!$H:$H,$I283,'Level of Efficiency Assumptions'!$I:$I,P$51)=0," ",SUMIFS('Level of Efficiency Assumptions'!$J:$J,'Level of Efficiency Assumptions'!$H:$H,$I283,'Level of Efficiency Assumptions'!$I:$I,P$51))</f>
        <v xml:space="preserve"> </v>
      </c>
      <c r="Q283" s="971" t="e">
        <f>IF(I283=" "," ",(VLOOKUP(I283,list!$B$81:$C$111,2,FALSE)))</f>
        <v>#N/A</v>
      </c>
      <c r="R283" s="243">
        <f t="shared" si="95"/>
        <v>0</v>
      </c>
      <c r="S283" s="64">
        <v>1</v>
      </c>
      <c r="T283" s="68">
        <v>0</v>
      </c>
      <c r="U283" s="244">
        <f t="shared" si="98"/>
        <v>1</v>
      </c>
    </row>
    <row r="284" spans="2:24" ht="15" thickBot="1" x14ac:dyDescent="0.35">
      <c r="C284" s="520"/>
      <c r="D284" s="224" t="str">
        <f t="shared" si="99"/>
        <v xml:space="preserve">  </v>
      </c>
      <c r="E284" s="224"/>
      <c r="F284" s="224" t="str">
        <f t="shared" si="100"/>
        <v xml:space="preserve">  </v>
      </c>
      <c r="G284" s="224"/>
      <c r="H284" s="380"/>
      <c r="I284" s="516" t="e">
        <f>IF(VLOOKUP(C21,list!$AA$5:$AS$14,13,FALSE)=0," ",(VLOOKUP(C21,list!$AA$5:$AS$14,13,FALSE)))</f>
        <v>#N/A</v>
      </c>
      <c r="J284" s="955" t="e">
        <f t="shared" si="96"/>
        <v>#N/A</v>
      </c>
      <c r="K284" s="955" t="e">
        <f t="shared" si="97"/>
        <v>#N/A</v>
      </c>
      <c r="L284" s="969" t="e">
        <f>IF(I284=" "," ",VLOOKUP(J284,list!$J$4:$M$117,4,FALSE))</f>
        <v>#N/A</v>
      </c>
      <c r="M284" s="66"/>
      <c r="N284" s="1297" t="str">
        <f>IF(SUMIFS('Level of Efficiency Assumptions'!$J:$J,'Level of Efficiency Assumptions'!$H:$H,$I284,'Level of Efficiency Assumptions'!$I:$I,N$51)=0," ",SUMIFS('Level of Efficiency Assumptions'!$J:$J,'Level of Efficiency Assumptions'!$H:$H,$I284,'Level of Efficiency Assumptions'!$I:$I,N$51))</f>
        <v xml:space="preserve"> </v>
      </c>
      <c r="O284" s="1298" t="str">
        <f>IF(SUMIFS('Level of Efficiency Assumptions'!$J:$J,'Level of Efficiency Assumptions'!$H:$H,$I284,'Level of Efficiency Assumptions'!$I:$I,O$51)=0," ",SUMIFS('Level of Efficiency Assumptions'!$J:$J,'Level of Efficiency Assumptions'!$H:$H,$I284,'Level of Efficiency Assumptions'!$I:$I,O$51))</f>
        <v xml:space="preserve"> </v>
      </c>
      <c r="P284" s="1299" t="str">
        <f>IF(SUMIFS('Level of Efficiency Assumptions'!$J:$J,'Level of Efficiency Assumptions'!$H:$H,$I284,'Level of Efficiency Assumptions'!$I:$I,P$51)=0," ",SUMIFS('Level of Efficiency Assumptions'!$J:$J,'Level of Efficiency Assumptions'!$H:$H,$I284,'Level of Efficiency Assumptions'!$I:$I,P$51))</f>
        <v xml:space="preserve"> </v>
      </c>
      <c r="Q284" s="971" t="e">
        <f>IF(I284=" "," ",(VLOOKUP(I284,list!$B$81:$C$111,2,FALSE)))</f>
        <v>#N/A</v>
      </c>
      <c r="R284" s="243">
        <f t="shared" si="95"/>
        <v>0</v>
      </c>
      <c r="S284" s="64">
        <v>1</v>
      </c>
      <c r="T284" s="68">
        <v>0</v>
      </c>
      <c r="U284" s="244">
        <f t="shared" si="98"/>
        <v>1</v>
      </c>
    </row>
    <row r="285" spans="2:24" ht="15" thickBot="1" x14ac:dyDescent="0.35">
      <c r="C285" s="520"/>
      <c r="D285" s="224" t="str">
        <f t="shared" si="99"/>
        <v xml:space="preserve">  </v>
      </c>
      <c r="E285" s="224"/>
      <c r="F285" s="224" t="str">
        <f t="shared" si="100"/>
        <v xml:space="preserve">  </v>
      </c>
      <c r="G285" s="224"/>
      <c r="H285" s="380"/>
      <c r="I285" s="516" t="e">
        <f>IF(VLOOKUP(C21,list!$AA$5:$AS$14,14,FALSE)=0," ",(VLOOKUP(C21,list!$AA$5:$AS$14,14,FALSE)))</f>
        <v>#N/A</v>
      </c>
      <c r="J285" s="955" t="e">
        <f t="shared" si="96"/>
        <v>#N/A</v>
      </c>
      <c r="K285" s="955" t="e">
        <f t="shared" si="97"/>
        <v>#N/A</v>
      </c>
      <c r="L285" s="969" t="e">
        <f>IF(I285=" "," ",VLOOKUP(J285,list!$J$4:$M$117,4,FALSE))</f>
        <v>#N/A</v>
      </c>
      <c r="M285" s="66"/>
      <c r="N285" s="1297" t="str">
        <f>IF(SUMIFS('Level of Efficiency Assumptions'!$J:$J,'Level of Efficiency Assumptions'!$H:$H,$I285,'Level of Efficiency Assumptions'!$I:$I,N$51)=0," ",SUMIFS('Level of Efficiency Assumptions'!$J:$J,'Level of Efficiency Assumptions'!$H:$H,$I285,'Level of Efficiency Assumptions'!$I:$I,N$51))</f>
        <v xml:space="preserve"> </v>
      </c>
      <c r="O285" s="1298" t="str">
        <f>IF(SUMIFS('Level of Efficiency Assumptions'!$J:$J,'Level of Efficiency Assumptions'!$H:$H,$I285,'Level of Efficiency Assumptions'!$I:$I,O$51)=0," ",SUMIFS('Level of Efficiency Assumptions'!$J:$J,'Level of Efficiency Assumptions'!$H:$H,$I285,'Level of Efficiency Assumptions'!$I:$I,O$51))</f>
        <v xml:space="preserve"> </v>
      </c>
      <c r="P285" s="1299" t="str">
        <f>IF(SUMIFS('Level of Efficiency Assumptions'!$J:$J,'Level of Efficiency Assumptions'!$H:$H,$I285,'Level of Efficiency Assumptions'!$I:$I,P$51)=0," ",SUMIFS('Level of Efficiency Assumptions'!$J:$J,'Level of Efficiency Assumptions'!$H:$H,$I285,'Level of Efficiency Assumptions'!$I:$I,P$51))</f>
        <v xml:space="preserve"> </v>
      </c>
      <c r="Q285" s="971" t="e">
        <f>IF(I285=" "," ",(VLOOKUP(I285,list!$B$81:$C$111,2,FALSE)))</f>
        <v>#N/A</v>
      </c>
      <c r="R285" s="243">
        <f t="shared" si="95"/>
        <v>0</v>
      </c>
      <c r="S285" s="64">
        <v>1</v>
      </c>
      <c r="T285" s="68">
        <v>0</v>
      </c>
      <c r="U285" s="244">
        <f t="shared" si="98"/>
        <v>1</v>
      </c>
    </row>
    <row r="286" spans="2:24" ht="15" thickBot="1" x14ac:dyDescent="0.35">
      <c r="C286" s="520"/>
      <c r="D286" s="224" t="str">
        <f t="shared" si="99"/>
        <v xml:space="preserve">  </v>
      </c>
      <c r="E286" s="224"/>
      <c r="F286" s="224" t="str">
        <f t="shared" si="100"/>
        <v xml:space="preserve">  </v>
      </c>
      <c r="G286" s="224"/>
      <c r="H286" s="380"/>
      <c r="I286" s="516" t="e">
        <f>IF(VLOOKUP(C21,list!$AA$5:$AS$14,15,FALSE)=0," ",(VLOOKUP(C21,list!$AA$5:$AS$14,15,FALSE)))</f>
        <v>#N/A</v>
      </c>
      <c r="J286" s="955" t="e">
        <f t="shared" si="96"/>
        <v>#N/A</v>
      </c>
      <c r="K286" s="955" t="e">
        <f t="shared" si="97"/>
        <v>#N/A</v>
      </c>
      <c r="L286" s="969" t="e">
        <f>IF(I286=" "," ",VLOOKUP(J286,list!$J$4:$M$117,4,FALSE))</f>
        <v>#N/A</v>
      </c>
      <c r="M286" s="66"/>
      <c r="N286" s="1297" t="str">
        <f>IF(SUMIFS('Level of Efficiency Assumptions'!$J:$J,'Level of Efficiency Assumptions'!$H:$H,$I286,'Level of Efficiency Assumptions'!$I:$I,N$51)=0," ",SUMIFS('Level of Efficiency Assumptions'!$J:$J,'Level of Efficiency Assumptions'!$H:$H,$I286,'Level of Efficiency Assumptions'!$I:$I,N$51))</f>
        <v xml:space="preserve"> </v>
      </c>
      <c r="O286" s="1298" t="str">
        <f>IF(SUMIFS('Level of Efficiency Assumptions'!$J:$J,'Level of Efficiency Assumptions'!$H:$H,$I286,'Level of Efficiency Assumptions'!$I:$I,O$51)=0," ",SUMIFS('Level of Efficiency Assumptions'!$J:$J,'Level of Efficiency Assumptions'!$H:$H,$I286,'Level of Efficiency Assumptions'!$I:$I,O$51))</f>
        <v xml:space="preserve"> </v>
      </c>
      <c r="P286" s="1299" t="str">
        <f>IF(SUMIFS('Level of Efficiency Assumptions'!$J:$J,'Level of Efficiency Assumptions'!$H:$H,$I286,'Level of Efficiency Assumptions'!$I:$I,P$51)=0," ",SUMIFS('Level of Efficiency Assumptions'!$J:$J,'Level of Efficiency Assumptions'!$H:$H,$I286,'Level of Efficiency Assumptions'!$I:$I,P$51))</f>
        <v xml:space="preserve"> </v>
      </c>
      <c r="Q286" s="971" t="e">
        <f>IF(I286=" "," ",(VLOOKUP(I286,list!$B$81:$C$111,2,FALSE)))</f>
        <v>#N/A</v>
      </c>
      <c r="R286" s="243">
        <f t="shared" si="95"/>
        <v>0</v>
      </c>
      <c r="S286" s="64">
        <v>1</v>
      </c>
      <c r="T286" s="68">
        <v>0</v>
      </c>
      <c r="U286" s="244">
        <f t="shared" si="98"/>
        <v>1</v>
      </c>
    </row>
    <row r="287" spans="2:24" ht="15" thickBot="1" x14ac:dyDescent="0.35">
      <c r="C287" s="520"/>
      <c r="D287" s="224" t="str">
        <f t="shared" si="99"/>
        <v xml:space="preserve">  </v>
      </c>
      <c r="E287" s="224"/>
      <c r="F287" s="224" t="str">
        <f t="shared" si="100"/>
        <v xml:space="preserve">  </v>
      </c>
      <c r="G287" s="224"/>
      <c r="H287" s="380"/>
      <c r="I287" s="516" t="e">
        <f>IF(VLOOKUP(C21,list!$AA$5:$AS$14,16,FALSE)=0," ",(VLOOKUP(C21,list!$AA$5:$AS$14,16,FALSE)))</f>
        <v>#N/A</v>
      </c>
      <c r="J287" s="955" t="e">
        <f t="shared" si="96"/>
        <v>#N/A</v>
      </c>
      <c r="K287" s="955" t="e">
        <f t="shared" si="97"/>
        <v>#N/A</v>
      </c>
      <c r="L287" s="969" t="e">
        <f>IF(I287=" "," ",VLOOKUP(J287,list!$J$4:$M$117,4,FALSE))</f>
        <v>#N/A</v>
      </c>
      <c r="M287" s="66"/>
      <c r="N287" s="1297" t="str">
        <f>IF(SUMIFS('Level of Efficiency Assumptions'!$J:$J,'Level of Efficiency Assumptions'!$H:$H,$I287,'Level of Efficiency Assumptions'!$I:$I,N$51)=0," ",SUMIFS('Level of Efficiency Assumptions'!$J:$J,'Level of Efficiency Assumptions'!$H:$H,$I287,'Level of Efficiency Assumptions'!$I:$I,N$51))</f>
        <v xml:space="preserve"> </v>
      </c>
      <c r="O287" s="1298" t="str">
        <f>IF(SUMIFS('Level of Efficiency Assumptions'!$J:$J,'Level of Efficiency Assumptions'!$H:$H,$I287,'Level of Efficiency Assumptions'!$I:$I,O$51)=0," ",SUMIFS('Level of Efficiency Assumptions'!$J:$J,'Level of Efficiency Assumptions'!$H:$H,$I287,'Level of Efficiency Assumptions'!$I:$I,O$51))</f>
        <v xml:space="preserve"> </v>
      </c>
      <c r="P287" s="1299" t="str">
        <f>IF(SUMIFS('Level of Efficiency Assumptions'!$J:$J,'Level of Efficiency Assumptions'!$H:$H,$I287,'Level of Efficiency Assumptions'!$I:$I,P$51)=0," ",SUMIFS('Level of Efficiency Assumptions'!$J:$J,'Level of Efficiency Assumptions'!$H:$H,$I287,'Level of Efficiency Assumptions'!$I:$I,P$51))</f>
        <v xml:space="preserve"> </v>
      </c>
      <c r="Q287" s="971" t="e">
        <f>IF(I287=" "," ",(VLOOKUP(I287,list!$B$81:$C$111,2,FALSE)))</f>
        <v>#N/A</v>
      </c>
      <c r="R287" s="243">
        <f t="shared" si="95"/>
        <v>0</v>
      </c>
      <c r="S287" s="64">
        <v>1</v>
      </c>
      <c r="T287" s="68">
        <v>0</v>
      </c>
      <c r="U287" s="244">
        <f t="shared" si="98"/>
        <v>1</v>
      </c>
    </row>
    <row r="288" spans="2:24" ht="15" thickBot="1" x14ac:dyDescent="0.35">
      <c r="C288" s="520"/>
      <c r="D288" s="224" t="str">
        <f t="shared" si="99"/>
        <v xml:space="preserve">  </v>
      </c>
      <c r="E288" s="224"/>
      <c r="F288" s="224" t="str">
        <f t="shared" si="100"/>
        <v xml:space="preserve">  </v>
      </c>
      <c r="G288" s="224"/>
      <c r="H288" s="380"/>
      <c r="I288" s="516" t="e">
        <f>IF(VLOOKUP(C21,list!$AA$5:$AS$14,17,FALSE)=0," ",(VLOOKUP(C21,list!$AA$5:$AS$14,17,FALSE)))</f>
        <v>#N/A</v>
      </c>
      <c r="J288" s="955" t="e">
        <f t="shared" si="96"/>
        <v>#N/A</v>
      </c>
      <c r="K288" s="955" t="e">
        <f t="shared" si="97"/>
        <v>#N/A</v>
      </c>
      <c r="L288" s="969" t="e">
        <f>IF(I288=" "," ",VLOOKUP(J288,list!$J$4:$M$117,4,FALSE))</f>
        <v>#N/A</v>
      </c>
      <c r="M288" s="66"/>
      <c r="N288" s="1297" t="str">
        <f>IF(SUMIFS('Level of Efficiency Assumptions'!$J:$J,'Level of Efficiency Assumptions'!$H:$H,$I288,'Level of Efficiency Assumptions'!$I:$I,N$51)=0," ",SUMIFS('Level of Efficiency Assumptions'!$J:$J,'Level of Efficiency Assumptions'!$H:$H,$I288,'Level of Efficiency Assumptions'!$I:$I,N$51))</f>
        <v xml:space="preserve"> </v>
      </c>
      <c r="O288" s="1298" t="str">
        <f>IF(SUMIFS('Level of Efficiency Assumptions'!$J:$J,'Level of Efficiency Assumptions'!$H:$H,$I288,'Level of Efficiency Assumptions'!$I:$I,O$51)=0," ",SUMIFS('Level of Efficiency Assumptions'!$J:$J,'Level of Efficiency Assumptions'!$H:$H,$I288,'Level of Efficiency Assumptions'!$I:$I,O$51))</f>
        <v xml:space="preserve"> </v>
      </c>
      <c r="P288" s="1299" t="str">
        <f>IF(SUMIFS('Level of Efficiency Assumptions'!$J:$J,'Level of Efficiency Assumptions'!$H:$H,$I288,'Level of Efficiency Assumptions'!$I:$I,P$51)=0," ",SUMIFS('Level of Efficiency Assumptions'!$J:$J,'Level of Efficiency Assumptions'!$H:$H,$I288,'Level of Efficiency Assumptions'!$I:$I,P$51))</f>
        <v xml:space="preserve"> </v>
      </c>
      <c r="Q288" s="971" t="e">
        <f>IF(I288=" "," ",(VLOOKUP(I288,list!$B$81:$C$111,2,FALSE)))</f>
        <v>#N/A</v>
      </c>
      <c r="R288" s="243">
        <f t="shared" si="95"/>
        <v>0</v>
      </c>
      <c r="S288" s="64">
        <v>1</v>
      </c>
      <c r="T288" s="68">
        <v>0</v>
      </c>
      <c r="U288" s="244">
        <f t="shared" si="98"/>
        <v>1</v>
      </c>
    </row>
    <row r="289" spans="2:24" ht="15" thickBot="1" x14ac:dyDescent="0.35">
      <c r="C289" s="520"/>
      <c r="D289" s="224" t="str">
        <f t="shared" si="99"/>
        <v xml:space="preserve">  </v>
      </c>
      <c r="E289" s="224"/>
      <c r="F289" s="224" t="str">
        <f t="shared" si="100"/>
        <v xml:space="preserve">  </v>
      </c>
      <c r="G289" s="224"/>
      <c r="H289" s="380"/>
      <c r="I289" s="516" t="e">
        <f>IF(VLOOKUP(C21,list!$AA$5:$AS$14,18,FALSE)=0," ",(VLOOKUP(C21,list!$AA$5:$AS$14,18,FALSE)))</f>
        <v>#N/A</v>
      </c>
      <c r="J289" s="955" t="e">
        <f t="shared" si="96"/>
        <v>#N/A</v>
      </c>
      <c r="K289" s="955" t="e">
        <f t="shared" si="97"/>
        <v>#N/A</v>
      </c>
      <c r="L289" s="969" t="e">
        <f>IF(I289=" "," ",VLOOKUP(J289,list!$J$4:$M$117,4,FALSE))</f>
        <v>#N/A</v>
      </c>
      <c r="M289" s="66"/>
      <c r="N289" s="1297" t="str">
        <f>IF(SUMIFS('Level of Efficiency Assumptions'!$J:$J,'Level of Efficiency Assumptions'!$H:$H,$I289,'Level of Efficiency Assumptions'!$I:$I,N$51)=0," ",SUMIFS('Level of Efficiency Assumptions'!$J:$J,'Level of Efficiency Assumptions'!$H:$H,$I289,'Level of Efficiency Assumptions'!$I:$I,N$51))</f>
        <v xml:space="preserve"> </v>
      </c>
      <c r="O289" s="1298" t="str">
        <f>IF(SUMIFS('Level of Efficiency Assumptions'!$J:$J,'Level of Efficiency Assumptions'!$H:$H,$I289,'Level of Efficiency Assumptions'!$I:$I,O$51)=0," ",SUMIFS('Level of Efficiency Assumptions'!$J:$J,'Level of Efficiency Assumptions'!$H:$H,$I289,'Level of Efficiency Assumptions'!$I:$I,O$51))</f>
        <v xml:space="preserve"> </v>
      </c>
      <c r="P289" s="1299" t="str">
        <f>IF(SUMIFS('Level of Efficiency Assumptions'!$J:$J,'Level of Efficiency Assumptions'!$H:$H,$I289,'Level of Efficiency Assumptions'!$I:$I,P$51)=0," ",SUMIFS('Level of Efficiency Assumptions'!$J:$J,'Level of Efficiency Assumptions'!$H:$H,$I289,'Level of Efficiency Assumptions'!$I:$I,P$51))</f>
        <v xml:space="preserve"> </v>
      </c>
      <c r="Q289" s="971" t="e">
        <f>IF(I289=" "," ",(VLOOKUP(I289,list!$B$81:$C$111,2,FALSE)))</f>
        <v>#N/A</v>
      </c>
      <c r="R289" s="243">
        <f t="shared" si="95"/>
        <v>0</v>
      </c>
      <c r="S289" s="64">
        <v>1</v>
      </c>
      <c r="T289" s="68">
        <v>0</v>
      </c>
      <c r="U289" s="244">
        <f t="shared" si="98"/>
        <v>1</v>
      </c>
    </row>
    <row r="290" spans="2:24" ht="15" thickBot="1" x14ac:dyDescent="0.35">
      <c r="C290" s="632"/>
      <c r="D290" s="226" t="str">
        <f t="shared" si="99"/>
        <v xml:space="preserve">  </v>
      </c>
      <c r="E290" s="226"/>
      <c r="F290" s="226" t="str">
        <f t="shared" si="100"/>
        <v xml:space="preserve">  </v>
      </c>
      <c r="G290" s="226"/>
      <c r="H290" s="976"/>
      <c r="I290" s="516" t="e">
        <f>IF(VLOOKUP(C21,list!$AA$5:$AS$14,19,FALSE)=0," ",(VLOOKUP(C21,list!$AA$5:$AS$14,19,FALSE)))</f>
        <v>#N/A</v>
      </c>
      <c r="J290" s="955" t="e">
        <f>IF(I290=" "," ",(D290&amp;"-"&amp;I290))</f>
        <v>#N/A</v>
      </c>
      <c r="K290" s="955" t="e">
        <f t="shared" si="97"/>
        <v>#N/A</v>
      </c>
      <c r="L290" s="969" t="e">
        <f>IF(I290=" "," ",VLOOKUP(J290,list!$J$4:$M$117,4,FALSE))</f>
        <v>#N/A</v>
      </c>
      <c r="M290" s="67"/>
      <c r="N290" s="1303" t="str">
        <f>IF(SUMIFS('Level of Efficiency Assumptions'!$J:$J,'Level of Efficiency Assumptions'!$H:$H,$I290,'Level of Efficiency Assumptions'!$I:$I,N$51)=0," ",SUMIFS('Level of Efficiency Assumptions'!$J:$J,'Level of Efficiency Assumptions'!$H:$H,$I290,'Level of Efficiency Assumptions'!$I:$I,N$51))</f>
        <v xml:space="preserve"> </v>
      </c>
      <c r="O290" s="1304" t="str">
        <f>IF(SUMIFS('Level of Efficiency Assumptions'!$J:$J,'Level of Efficiency Assumptions'!$H:$H,$I290,'Level of Efficiency Assumptions'!$I:$I,O$51)=0," ",SUMIFS('Level of Efficiency Assumptions'!$J:$J,'Level of Efficiency Assumptions'!$H:$H,$I290,'Level of Efficiency Assumptions'!$I:$I,O$51))</f>
        <v xml:space="preserve"> </v>
      </c>
      <c r="P290" s="1305" t="str">
        <f>IF(SUMIFS('Level of Efficiency Assumptions'!$J:$J,'Level of Efficiency Assumptions'!$H:$H,$I290,'Level of Efficiency Assumptions'!$I:$I,P$51)=0," ",SUMIFS('Level of Efficiency Assumptions'!$J:$J,'Level of Efficiency Assumptions'!$H:$H,$I290,'Level of Efficiency Assumptions'!$I:$I,P$51))</f>
        <v xml:space="preserve"> </v>
      </c>
      <c r="Q290" s="977" t="e">
        <f>IF(I290=" "," ",(VLOOKUP(I290,list!$B$81:$C$111,2,FALSE)))</f>
        <v>#N/A</v>
      </c>
      <c r="R290" s="245">
        <f t="shared" si="95"/>
        <v>0</v>
      </c>
      <c r="S290" s="65">
        <v>1</v>
      </c>
      <c r="T290" s="69">
        <v>0</v>
      </c>
      <c r="U290" s="246">
        <f t="shared" si="98"/>
        <v>1</v>
      </c>
    </row>
    <row r="291" spans="2:24" x14ac:dyDescent="0.3">
      <c r="D291" s="846"/>
      <c r="F291" s="82"/>
      <c r="J291" s="846"/>
      <c r="K291" s="846"/>
      <c r="N291" s="1179"/>
      <c r="O291" s="1179"/>
      <c r="P291" s="1179"/>
      <c r="R291" s="176" t="s">
        <v>295</v>
      </c>
      <c r="S291" s="176"/>
      <c r="T291" s="176"/>
      <c r="U291" s="176"/>
    </row>
    <row r="292" spans="2:24" ht="15" thickBot="1" x14ac:dyDescent="0.35">
      <c r="D292" s="846"/>
      <c r="F292" s="82"/>
      <c r="J292" s="846"/>
      <c r="K292" s="846"/>
      <c r="N292" s="1179"/>
      <c r="O292" s="1179"/>
      <c r="P292" s="1179"/>
    </row>
    <row r="293" spans="2:24" ht="15" thickBot="1" x14ac:dyDescent="0.35">
      <c r="B293" s="814">
        <v>13</v>
      </c>
      <c r="C293" s="967" t="str">
        <f t="shared" ref="C293:H293" si="101">C22</f>
        <v xml:space="preserve">  </v>
      </c>
      <c r="D293" s="967" t="str">
        <f t="shared" si="101"/>
        <v xml:space="preserve">  </v>
      </c>
      <c r="E293" s="967" t="str">
        <f t="shared" si="101"/>
        <v xml:space="preserve">  </v>
      </c>
      <c r="F293" s="967" t="str">
        <f t="shared" si="101"/>
        <v xml:space="preserve">  </v>
      </c>
      <c r="G293" s="967">
        <f t="shared" si="101"/>
        <v>0</v>
      </c>
      <c r="H293" s="968">
        <f t="shared" si="101"/>
        <v>0</v>
      </c>
      <c r="I293" s="516" t="e">
        <f>IF(VLOOKUP(C22,list!$AA$5:$AS$14,2,FALSE)=0," ",(VLOOKUP(C22,list!$AA$5:$AS$14,2,FALSE)))</f>
        <v>#N/A</v>
      </c>
      <c r="J293" s="955" t="e">
        <f>IF(I293=" "," ",(D22&amp;"-"&amp;I293))</f>
        <v>#N/A</v>
      </c>
      <c r="K293" s="955" t="e">
        <f>IF(I293=" "," ",(F22&amp;"-"&amp;I293))</f>
        <v>#N/A</v>
      </c>
      <c r="L293" s="969" t="e">
        <f>IF(I293=" "," ",VLOOKUP(J293,list!$J$4:$M$117,4,FALSE))</f>
        <v>#N/A</v>
      </c>
      <c r="M293" s="70"/>
      <c r="N293" s="1300" t="str">
        <f>IF(SUMIFS('Level of Efficiency Assumptions'!$J:$J,'Level of Efficiency Assumptions'!$H:$H,$I293,'Level of Efficiency Assumptions'!$I:$I,N$51)=0," ",SUMIFS('Level of Efficiency Assumptions'!$J:$J,'Level of Efficiency Assumptions'!$H:$H,$I293,'Level of Efficiency Assumptions'!$I:$I,N$51))</f>
        <v xml:space="preserve"> </v>
      </c>
      <c r="O293" s="1301" t="str">
        <f>IF(SUMIFS('Level of Efficiency Assumptions'!$J:$J,'Level of Efficiency Assumptions'!$H:$H,$I293,'Level of Efficiency Assumptions'!$I:$I,O$51)=0," ",SUMIFS('Level of Efficiency Assumptions'!$J:$J,'Level of Efficiency Assumptions'!$H:$H,$I293,'Level of Efficiency Assumptions'!$I:$I,O$51))</f>
        <v xml:space="preserve"> </v>
      </c>
      <c r="P293" s="1302" t="str">
        <f>IF(SUMIFS('Level of Efficiency Assumptions'!$J:$J,'Level of Efficiency Assumptions'!$H:$H,$I293,'Level of Efficiency Assumptions'!$I:$I,P$51)=0," ",SUMIFS('Level of Efficiency Assumptions'!$J:$J,'Level of Efficiency Assumptions'!$H:$H,$I293,'Level of Efficiency Assumptions'!$I:$I,P$51))</f>
        <v xml:space="preserve"> </v>
      </c>
      <c r="Q293" s="970" t="e">
        <f>IF(I293=" "," ",(VLOOKUP(I293,list!$B$81:$C$111,2,FALSE)))</f>
        <v>#N/A</v>
      </c>
      <c r="R293" s="241">
        <f t="shared" ref="R293:R310" si="102">1-S293-T293</f>
        <v>0</v>
      </c>
      <c r="S293" s="83">
        <v>1</v>
      </c>
      <c r="T293" s="84">
        <v>0</v>
      </c>
      <c r="U293" s="242">
        <f>SUM(R293:T293)</f>
        <v>1</v>
      </c>
      <c r="W293" s="250" t="s">
        <v>367</v>
      </c>
      <c r="X293" s="251" t="s">
        <v>366</v>
      </c>
    </row>
    <row r="294" spans="2:24" ht="15" thickBot="1" x14ac:dyDescent="0.35">
      <c r="C294" s="520"/>
      <c r="D294" s="224" t="str">
        <f>D22</f>
        <v xml:space="preserve">  </v>
      </c>
      <c r="E294" s="224"/>
      <c r="F294" s="224" t="str">
        <f>F22</f>
        <v xml:space="preserve">  </v>
      </c>
      <c r="G294" s="224"/>
      <c r="H294" s="380"/>
      <c r="I294" s="516" t="e">
        <f>IF(VLOOKUP(C22,list!$AA$5:$AS$14,3,FALSE)=0," ",(VLOOKUP(C22,list!$AA$5:$AS$14,3,FALSE)))</f>
        <v>#N/A</v>
      </c>
      <c r="J294" s="955" t="e">
        <f t="shared" ref="J294:J309" si="103">IF(I294=" "," ",(D294&amp;"-"&amp;I294))</f>
        <v>#N/A</v>
      </c>
      <c r="K294" s="955" t="e">
        <f t="shared" ref="K294:K310" si="104">IF(I294=" "," ",(F294&amp;"-"&amp;I294))</f>
        <v>#N/A</v>
      </c>
      <c r="L294" s="969" t="e">
        <f>IF(I294=" "," ",VLOOKUP(J294,list!$J$4:$M$117,4,FALSE))</f>
        <v>#N/A</v>
      </c>
      <c r="M294" s="66"/>
      <c r="N294" s="1297" t="str">
        <f>IF(SUMIFS('Level of Efficiency Assumptions'!$J:$J,'Level of Efficiency Assumptions'!$H:$H,$I294,'Level of Efficiency Assumptions'!$I:$I,N$51)=0," ",SUMIFS('Level of Efficiency Assumptions'!$J:$J,'Level of Efficiency Assumptions'!$H:$H,$I294,'Level of Efficiency Assumptions'!$I:$I,N$51))</f>
        <v xml:space="preserve"> </v>
      </c>
      <c r="O294" s="1298" t="str">
        <f>IF(SUMIFS('Level of Efficiency Assumptions'!$J:$J,'Level of Efficiency Assumptions'!$H:$H,$I294,'Level of Efficiency Assumptions'!$I:$I,O$51)=0," ",SUMIFS('Level of Efficiency Assumptions'!$J:$J,'Level of Efficiency Assumptions'!$H:$H,$I294,'Level of Efficiency Assumptions'!$I:$I,O$51))</f>
        <v xml:space="preserve"> </v>
      </c>
      <c r="P294" s="1299" t="str">
        <f>IF(SUMIFS('Level of Efficiency Assumptions'!$J:$J,'Level of Efficiency Assumptions'!$H:$H,$I294,'Level of Efficiency Assumptions'!$I:$I,P$51)=0," ",SUMIFS('Level of Efficiency Assumptions'!$J:$J,'Level of Efficiency Assumptions'!$H:$H,$I294,'Level of Efficiency Assumptions'!$I:$I,P$51))</f>
        <v xml:space="preserve"> </v>
      </c>
      <c r="Q294" s="971" t="e">
        <f>IF(I294=" "," ",(VLOOKUP(I294,list!$B$81:$C$111,2,FALSE)))</f>
        <v>#N/A</v>
      </c>
      <c r="R294" s="243">
        <f t="shared" si="102"/>
        <v>0</v>
      </c>
      <c r="S294" s="64">
        <v>1</v>
      </c>
      <c r="T294" s="68">
        <v>0</v>
      </c>
      <c r="U294" s="244">
        <f t="shared" ref="U294:U310" si="105">SUM(R294:T294)</f>
        <v>1</v>
      </c>
      <c r="V294" s="82" t="e">
        <f>F294&amp;"-"&amp;W294</f>
        <v>#N/A</v>
      </c>
      <c r="W294" s="247" t="e">
        <f>HLOOKUP(D294,list!$O$34:$X$38,2,FALSE)</f>
        <v>#N/A</v>
      </c>
      <c r="X294" s="972">
        <v>1</v>
      </c>
    </row>
    <row r="295" spans="2:24" ht="15" thickBot="1" x14ac:dyDescent="0.35">
      <c r="C295" s="520"/>
      <c r="D295" s="224" t="str">
        <f>D294</f>
        <v xml:space="preserve">  </v>
      </c>
      <c r="E295" s="224"/>
      <c r="F295" s="224" t="str">
        <f>F294</f>
        <v xml:space="preserve">  </v>
      </c>
      <c r="G295" s="224"/>
      <c r="H295" s="380"/>
      <c r="I295" s="516" t="e">
        <f>IF(VLOOKUP(C22,list!$AA$5:$AS$14,4,FALSE)=0," ",(VLOOKUP(C22,list!$AA$5:$AS$14,4,FALSE)))</f>
        <v>#N/A</v>
      </c>
      <c r="J295" s="955" t="e">
        <f t="shared" si="103"/>
        <v>#N/A</v>
      </c>
      <c r="K295" s="955" t="e">
        <f t="shared" si="104"/>
        <v>#N/A</v>
      </c>
      <c r="L295" s="969" t="e">
        <f>IF(I295=" "," ",VLOOKUP(J295,list!$J$4:$M$117,4,FALSE))</f>
        <v>#N/A</v>
      </c>
      <c r="M295" s="66"/>
      <c r="N295" s="1297" t="str">
        <f>IF(SUMIFS('Level of Efficiency Assumptions'!$J:$J,'Level of Efficiency Assumptions'!$H:$H,$I295,'Level of Efficiency Assumptions'!$I:$I,N$51)=0," ",SUMIFS('Level of Efficiency Assumptions'!$J:$J,'Level of Efficiency Assumptions'!$H:$H,$I295,'Level of Efficiency Assumptions'!$I:$I,N$51))</f>
        <v xml:space="preserve"> </v>
      </c>
      <c r="O295" s="1298" t="str">
        <f>IF(SUMIFS('Level of Efficiency Assumptions'!$J:$J,'Level of Efficiency Assumptions'!$H:$H,$I295,'Level of Efficiency Assumptions'!$I:$I,O$51)=0," ",SUMIFS('Level of Efficiency Assumptions'!$J:$J,'Level of Efficiency Assumptions'!$H:$H,$I295,'Level of Efficiency Assumptions'!$I:$I,O$51))</f>
        <v xml:space="preserve"> </v>
      </c>
      <c r="P295" s="1299" t="str">
        <f>IF(SUMIFS('Level of Efficiency Assumptions'!$J:$J,'Level of Efficiency Assumptions'!$H:$H,$I295,'Level of Efficiency Assumptions'!$I:$I,P$51)=0," ",SUMIFS('Level of Efficiency Assumptions'!$J:$J,'Level of Efficiency Assumptions'!$H:$H,$I295,'Level of Efficiency Assumptions'!$I:$I,P$51))</f>
        <v xml:space="preserve"> </v>
      </c>
      <c r="Q295" s="971" t="e">
        <f>IF(I295=" "," ",(VLOOKUP(I295,list!$B$81:$C$111,2,FALSE)))</f>
        <v>#N/A</v>
      </c>
      <c r="R295" s="243">
        <f t="shared" si="102"/>
        <v>0</v>
      </c>
      <c r="S295" s="64">
        <v>1</v>
      </c>
      <c r="T295" s="68">
        <v>0</v>
      </c>
      <c r="U295" s="244">
        <f t="shared" si="105"/>
        <v>1</v>
      </c>
      <c r="V295" s="82" t="e">
        <f>F295&amp;"-"&amp;W295</f>
        <v>#N/A</v>
      </c>
      <c r="W295" s="248" t="e">
        <f>HLOOKUP(D295,list!$O$34:$X$38,3,FALSE)</f>
        <v>#N/A</v>
      </c>
      <c r="X295" s="973">
        <v>0.5</v>
      </c>
    </row>
    <row r="296" spans="2:24" ht="15" thickBot="1" x14ac:dyDescent="0.35">
      <c r="C296" s="520"/>
      <c r="D296" s="224" t="str">
        <f t="shared" ref="D296:D310" si="106">D295</f>
        <v xml:space="preserve">  </v>
      </c>
      <c r="E296" s="224"/>
      <c r="F296" s="224" t="str">
        <f t="shared" ref="F296:F310" si="107">F295</f>
        <v xml:space="preserve">  </v>
      </c>
      <c r="G296" s="224"/>
      <c r="H296" s="380"/>
      <c r="I296" s="516" t="e">
        <f>IF(VLOOKUP(C22,list!$AA$5:$AS$14,5,FALSE)=0," ",(VLOOKUP(C22,list!$AA$5:$AS$14,5,FALSE)))</f>
        <v>#N/A</v>
      </c>
      <c r="J296" s="955" t="e">
        <f t="shared" si="103"/>
        <v>#N/A</v>
      </c>
      <c r="K296" s="955" t="e">
        <f t="shared" si="104"/>
        <v>#N/A</v>
      </c>
      <c r="L296" s="969" t="e">
        <f>IF(I296=" "," ",VLOOKUP(J296,list!$J$4:$M$117,4,FALSE))</f>
        <v>#N/A</v>
      </c>
      <c r="M296" s="66"/>
      <c r="N296" s="1297" t="str">
        <f>IF(SUMIFS('Level of Efficiency Assumptions'!$J:$J,'Level of Efficiency Assumptions'!$H:$H,$I296,'Level of Efficiency Assumptions'!$I:$I,N$51)=0," ",SUMIFS('Level of Efficiency Assumptions'!$J:$J,'Level of Efficiency Assumptions'!$H:$H,$I296,'Level of Efficiency Assumptions'!$I:$I,N$51))</f>
        <v xml:space="preserve"> </v>
      </c>
      <c r="O296" s="1298" t="str">
        <f>IF(SUMIFS('Level of Efficiency Assumptions'!$J:$J,'Level of Efficiency Assumptions'!$H:$H,$I296,'Level of Efficiency Assumptions'!$I:$I,O$51)=0," ",SUMIFS('Level of Efficiency Assumptions'!$J:$J,'Level of Efficiency Assumptions'!$H:$H,$I296,'Level of Efficiency Assumptions'!$I:$I,O$51))</f>
        <v xml:space="preserve"> </v>
      </c>
      <c r="P296" s="1299" t="str">
        <f>IF(SUMIFS('Level of Efficiency Assumptions'!$J:$J,'Level of Efficiency Assumptions'!$H:$H,$I296,'Level of Efficiency Assumptions'!$I:$I,P$51)=0," ",SUMIFS('Level of Efficiency Assumptions'!$J:$J,'Level of Efficiency Assumptions'!$H:$H,$I296,'Level of Efficiency Assumptions'!$I:$I,P$51))</f>
        <v xml:space="preserve"> </v>
      </c>
      <c r="Q296" s="971" t="e">
        <f>IF(I296=" "," ",(VLOOKUP(I296,list!$B$81:$C$111,2,FALSE)))</f>
        <v>#N/A</v>
      </c>
      <c r="R296" s="243">
        <f t="shared" si="102"/>
        <v>0</v>
      </c>
      <c r="S296" s="64">
        <v>1</v>
      </c>
      <c r="T296" s="68">
        <v>0</v>
      </c>
      <c r="U296" s="244">
        <f t="shared" si="105"/>
        <v>1</v>
      </c>
      <c r="V296" s="82" t="e">
        <f>F296&amp;"-"&amp;W296</f>
        <v>#N/A</v>
      </c>
      <c r="W296" s="248" t="e">
        <f>HLOOKUP(D296,list!$O$34:$X$38,4,FALSE)</f>
        <v>#N/A</v>
      </c>
      <c r="X296" s="973">
        <v>0.5</v>
      </c>
    </row>
    <row r="297" spans="2:24" ht="15" thickBot="1" x14ac:dyDescent="0.35">
      <c r="C297" s="520"/>
      <c r="D297" s="224" t="str">
        <f t="shared" si="106"/>
        <v xml:space="preserve">  </v>
      </c>
      <c r="E297" s="224"/>
      <c r="F297" s="224" t="str">
        <f t="shared" si="107"/>
        <v xml:space="preserve">  </v>
      </c>
      <c r="G297" s="224"/>
      <c r="H297" s="380"/>
      <c r="I297" s="516" t="e">
        <f>IF(VLOOKUP(C22,list!$AA$5:$AS$14,6,FALSE)=0," ",(VLOOKUP(C22,list!$AA$5:$AS$14,6,FALSE)))</f>
        <v>#N/A</v>
      </c>
      <c r="J297" s="955" t="e">
        <f t="shared" si="103"/>
        <v>#N/A</v>
      </c>
      <c r="K297" s="955" t="e">
        <f t="shared" si="104"/>
        <v>#N/A</v>
      </c>
      <c r="L297" s="969" t="e">
        <f>IF(I297=" "," ",VLOOKUP(J297,list!$J$4:$M$117,4,FALSE))</f>
        <v>#N/A</v>
      </c>
      <c r="M297" s="66"/>
      <c r="N297" s="1297" t="str">
        <f>IF(SUMIFS('Level of Efficiency Assumptions'!$J:$J,'Level of Efficiency Assumptions'!$H:$H,$I297,'Level of Efficiency Assumptions'!$I:$I,N$51)=0," ",SUMIFS('Level of Efficiency Assumptions'!$J:$J,'Level of Efficiency Assumptions'!$H:$H,$I297,'Level of Efficiency Assumptions'!$I:$I,N$51))</f>
        <v xml:space="preserve"> </v>
      </c>
      <c r="O297" s="1298" t="str">
        <f>IF(SUMIFS('Level of Efficiency Assumptions'!$J:$J,'Level of Efficiency Assumptions'!$H:$H,$I297,'Level of Efficiency Assumptions'!$I:$I,O$51)=0," ",SUMIFS('Level of Efficiency Assumptions'!$J:$J,'Level of Efficiency Assumptions'!$H:$H,$I297,'Level of Efficiency Assumptions'!$I:$I,O$51))</f>
        <v xml:space="preserve"> </v>
      </c>
      <c r="P297" s="1299" t="str">
        <f>IF(SUMIFS('Level of Efficiency Assumptions'!$J:$J,'Level of Efficiency Assumptions'!$H:$H,$I297,'Level of Efficiency Assumptions'!$I:$I,P$51)=0," ",SUMIFS('Level of Efficiency Assumptions'!$J:$J,'Level of Efficiency Assumptions'!$H:$H,$I297,'Level of Efficiency Assumptions'!$I:$I,P$51))</f>
        <v xml:space="preserve"> </v>
      </c>
      <c r="Q297" s="971" t="e">
        <f>IF(I297=" "," ",(VLOOKUP(I297,list!$B$81:$C$111,2,FALSE)))</f>
        <v>#N/A</v>
      </c>
      <c r="R297" s="243">
        <f t="shared" si="102"/>
        <v>0</v>
      </c>
      <c r="S297" s="64">
        <v>1</v>
      </c>
      <c r="T297" s="68">
        <v>0</v>
      </c>
      <c r="U297" s="244">
        <f t="shared" si="105"/>
        <v>1</v>
      </c>
      <c r="V297" s="82" t="e">
        <f>F297&amp;"-"&amp;W297</f>
        <v>#N/A</v>
      </c>
      <c r="W297" s="249" t="e">
        <f>HLOOKUP(D297,list!$O$34:$X$38,5,FALSE)</f>
        <v>#N/A</v>
      </c>
      <c r="X297" s="974">
        <v>0.5</v>
      </c>
    </row>
    <row r="298" spans="2:24" ht="15" thickBot="1" x14ac:dyDescent="0.35">
      <c r="C298" s="520"/>
      <c r="D298" s="224" t="str">
        <f t="shared" si="106"/>
        <v xml:space="preserve">  </v>
      </c>
      <c r="E298" s="224"/>
      <c r="F298" s="224" t="str">
        <f t="shared" si="107"/>
        <v xml:space="preserve">  </v>
      </c>
      <c r="G298" s="224"/>
      <c r="H298" s="380"/>
      <c r="I298" s="516" t="e">
        <f>IF(VLOOKUP(C22,list!$AA$5:$AS$14,7,FALSE)=0," ",(VLOOKUP(C22,list!$AA$5:$AS$14,7,FALSE)))</f>
        <v>#N/A</v>
      </c>
      <c r="J298" s="955" t="e">
        <f t="shared" si="103"/>
        <v>#N/A</v>
      </c>
      <c r="K298" s="955" t="e">
        <f t="shared" si="104"/>
        <v>#N/A</v>
      </c>
      <c r="L298" s="969" t="e">
        <f>IF(I298=" "," ",VLOOKUP(J298,list!$J$4:$M$117,4,FALSE))</f>
        <v>#N/A</v>
      </c>
      <c r="M298" s="66"/>
      <c r="N298" s="1297" t="str">
        <f>IF(SUMIFS('Level of Efficiency Assumptions'!$J:$J,'Level of Efficiency Assumptions'!$H:$H,$I298,'Level of Efficiency Assumptions'!$I:$I,N$51)=0," ",SUMIFS('Level of Efficiency Assumptions'!$J:$J,'Level of Efficiency Assumptions'!$H:$H,$I298,'Level of Efficiency Assumptions'!$I:$I,N$51))</f>
        <v xml:space="preserve"> </v>
      </c>
      <c r="O298" s="1298" t="str">
        <f>IF(SUMIFS('Level of Efficiency Assumptions'!$J:$J,'Level of Efficiency Assumptions'!$H:$H,$I298,'Level of Efficiency Assumptions'!$I:$I,O$51)=0," ",SUMIFS('Level of Efficiency Assumptions'!$J:$J,'Level of Efficiency Assumptions'!$H:$H,$I298,'Level of Efficiency Assumptions'!$I:$I,O$51))</f>
        <v xml:space="preserve"> </v>
      </c>
      <c r="P298" s="1299" t="str">
        <f>IF(SUMIFS('Level of Efficiency Assumptions'!$J:$J,'Level of Efficiency Assumptions'!$H:$H,$I298,'Level of Efficiency Assumptions'!$I:$I,P$51)=0," ",SUMIFS('Level of Efficiency Assumptions'!$J:$J,'Level of Efficiency Assumptions'!$H:$H,$I298,'Level of Efficiency Assumptions'!$I:$I,P$51))</f>
        <v xml:space="preserve"> </v>
      </c>
      <c r="Q298" s="971" t="e">
        <f>IF(I298=" "," ",(VLOOKUP(I298,list!$B$81:$C$111,2,FALSE)))</f>
        <v>#N/A</v>
      </c>
      <c r="R298" s="243">
        <f t="shared" si="102"/>
        <v>0</v>
      </c>
      <c r="S298" s="64">
        <v>1</v>
      </c>
      <c r="T298" s="68">
        <v>0</v>
      </c>
      <c r="U298" s="244">
        <f t="shared" si="105"/>
        <v>1</v>
      </c>
      <c r="W298" s="182"/>
      <c r="X298" s="975"/>
    </row>
    <row r="299" spans="2:24" ht="15" thickBot="1" x14ac:dyDescent="0.35">
      <c r="C299" s="520"/>
      <c r="D299" s="224" t="str">
        <f t="shared" si="106"/>
        <v xml:space="preserve">  </v>
      </c>
      <c r="E299" s="224"/>
      <c r="F299" s="224" t="str">
        <f t="shared" si="107"/>
        <v xml:space="preserve">  </v>
      </c>
      <c r="G299" s="224"/>
      <c r="H299" s="380"/>
      <c r="I299" s="516" t="e">
        <f>IF(VLOOKUP(C22,list!$AA$5:$AS$14,8,FALSE)=0," ",(VLOOKUP(C22,list!$AA$5:$AS$14,8,FALSE)))</f>
        <v>#N/A</v>
      </c>
      <c r="J299" s="955" t="e">
        <f t="shared" si="103"/>
        <v>#N/A</v>
      </c>
      <c r="K299" s="955" t="e">
        <f t="shared" si="104"/>
        <v>#N/A</v>
      </c>
      <c r="L299" s="969" t="e">
        <f>IF(I299=" "," ",VLOOKUP(J299,list!$J$4:$M$117,4,FALSE))</f>
        <v>#N/A</v>
      </c>
      <c r="M299" s="66"/>
      <c r="N299" s="1297" t="str">
        <f>IF(SUMIFS('Level of Efficiency Assumptions'!$J:$J,'Level of Efficiency Assumptions'!$H:$H,$I299,'Level of Efficiency Assumptions'!$I:$I,N$51)=0," ",SUMIFS('Level of Efficiency Assumptions'!$J:$J,'Level of Efficiency Assumptions'!$H:$H,$I299,'Level of Efficiency Assumptions'!$I:$I,N$51))</f>
        <v xml:space="preserve"> </v>
      </c>
      <c r="O299" s="1298" t="str">
        <f>IF(SUMIFS('Level of Efficiency Assumptions'!$J:$J,'Level of Efficiency Assumptions'!$H:$H,$I299,'Level of Efficiency Assumptions'!$I:$I,O$51)=0," ",SUMIFS('Level of Efficiency Assumptions'!$J:$J,'Level of Efficiency Assumptions'!$H:$H,$I299,'Level of Efficiency Assumptions'!$I:$I,O$51))</f>
        <v xml:space="preserve"> </v>
      </c>
      <c r="P299" s="1299" t="str">
        <f>IF(SUMIFS('Level of Efficiency Assumptions'!$J:$J,'Level of Efficiency Assumptions'!$H:$H,$I299,'Level of Efficiency Assumptions'!$I:$I,P$51)=0," ",SUMIFS('Level of Efficiency Assumptions'!$J:$J,'Level of Efficiency Assumptions'!$H:$H,$I299,'Level of Efficiency Assumptions'!$I:$I,P$51))</f>
        <v xml:space="preserve"> </v>
      </c>
      <c r="Q299" s="971" t="e">
        <f>IF(I299=" "," ",(VLOOKUP(I299,list!$B$81:$C$111,2,FALSE)))</f>
        <v>#N/A</v>
      </c>
      <c r="R299" s="243">
        <f t="shared" si="102"/>
        <v>0</v>
      </c>
      <c r="S299" s="64">
        <v>1</v>
      </c>
      <c r="T299" s="68">
        <v>0</v>
      </c>
      <c r="U299" s="244">
        <f t="shared" si="105"/>
        <v>1</v>
      </c>
      <c r="W299" s="182"/>
      <c r="X299" s="975"/>
    </row>
    <row r="300" spans="2:24" ht="15" thickBot="1" x14ac:dyDescent="0.35">
      <c r="C300" s="520"/>
      <c r="D300" s="224" t="str">
        <f t="shared" si="106"/>
        <v xml:space="preserve">  </v>
      </c>
      <c r="E300" s="224"/>
      <c r="F300" s="224" t="str">
        <f t="shared" si="107"/>
        <v xml:space="preserve">  </v>
      </c>
      <c r="G300" s="224"/>
      <c r="H300" s="380"/>
      <c r="I300" s="516" t="e">
        <f>IF(VLOOKUP(C22,list!$AA$5:$AS$14,9,FALSE)=0," ",(VLOOKUP(C22,list!$AA$5:$AS$14,9,FALSE)))</f>
        <v>#N/A</v>
      </c>
      <c r="J300" s="955" t="e">
        <f t="shared" si="103"/>
        <v>#N/A</v>
      </c>
      <c r="K300" s="955" t="e">
        <f t="shared" si="104"/>
        <v>#N/A</v>
      </c>
      <c r="L300" s="969" t="e">
        <f>IF(I300=" "," ",VLOOKUP(J300,list!$J$4:$M$117,4,FALSE))</f>
        <v>#N/A</v>
      </c>
      <c r="M300" s="66"/>
      <c r="N300" s="1297" t="str">
        <f>IF(SUMIFS('Level of Efficiency Assumptions'!$J:$J,'Level of Efficiency Assumptions'!$H:$H,$I300,'Level of Efficiency Assumptions'!$I:$I,N$51)=0," ",SUMIFS('Level of Efficiency Assumptions'!$J:$J,'Level of Efficiency Assumptions'!$H:$H,$I300,'Level of Efficiency Assumptions'!$I:$I,N$51))</f>
        <v xml:space="preserve"> </v>
      </c>
      <c r="O300" s="1298" t="str">
        <f>IF(SUMIFS('Level of Efficiency Assumptions'!$J:$J,'Level of Efficiency Assumptions'!$H:$H,$I300,'Level of Efficiency Assumptions'!$I:$I,O$51)=0," ",SUMIFS('Level of Efficiency Assumptions'!$J:$J,'Level of Efficiency Assumptions'!$H:$H,$I300,'Level of Efficiency Assumptions'!$I:$I,O$51))</f>
        <v xml:space="preserve"> </v>
      </c>
      <c r="P300" s="1299" t="str">
        <f>IF(SUMIFS('Level of Efficiency Assumptions'!$J:$J,'Level of Efficiency Assumptions'!$H:$H,$I300,'Level of Efficiency Assumptions'!$I:$I,P$51)=0," ",SUMIFS('Level of Efficiency Assumptions'!$J:$J,'Level of Efficiency Assumptions'!$H:$H,$I300,'Level of Efficiency Assumptions'!$I:$I,P$51))</f>
        <v xml:space="preserve"> </v>
      </c>
      <c r="Q300" s="971" t="e">
        <f>IF(I300=" "," ",(VLOOKUP(I300,list!$B$81:$C$111,2,FALSE)))</f>
        <v>#N/A</v>
      </c>
      <c r="R300" s="243">
        <f t="shared" si="102"/>
        <v>0</v>
      </c>
      <c r="S300" s="64">
        <v>1</v>
      </c>
      <c r="T300" s="68">
        <v>0</v>
      </c>
      <c r="U300" s="244">
        <f t="shared" si="105"/>
        <v>1</v>
      </c>
    </row>
    <row r="301" spans="2:24" ht="15" thickBot="1" x14ac:dyDescent="0.35">
      <c r="C301" s="520"/>
      <c r="D301" s="224" t="str">
        <f t="shared" si="106"/>
        <v xml:space="preserve">  </v>
      </c>
      <c r="E301" s="224"/>
      <c r="F301" s="224" t="str">
        <f t="shared" si="107"/>
        <v xml:space="preserve">  </v>
      </c>
      <c r="G301" s="224"/>
      <c r="H301" s="380"/>
      <c r="I301" s="516" t="e">
        <f>IF(VLOOKUP(C22,list!$AA$5:$AS$14,10,FALSE)=0," ",(VLOOKUP(C22,list!$AA$5:$AS$14,10,FALSE)))</f>
        <v>#N/A</v>
      </c>
      <c r="J301" s="955" t="e">
        <f t="shared" si="103"/>
        <v>#N/A</v>
      </c>
      <c r="K301" s="955" t="e">
        <f t="shared" si="104"/>
        <v>#N/A</v>
      </c>
      <c r="L301" s="969" t="e">
        <f>IF(I301=" "," ",VLOOKUP(J301,list!$J$4:$M$117,4,FALSE))</f>
        <v>#N/A</v>
      </c>
      <c r="M301" s="66"/>
      <c r="N301" s="1297" t="str">
        <f>IF(SUMIFS('Level of Efficiency Assumptions'!$J:$J,'Level of Efficiency Assumptions'!$H:$H,$I301,'Level of Efficiency Assumptions'!$I:$I,N$51)=0," ",SUMIFS('Level of Efficiency Assumptions'!$J:$J,'Level of Efficiency Assumptions'!$H:$H,$I301,'Level of Efficiency Assumptions'!$I:$I,N$51))</f>
        <v xml:space="preserve"> </v>
      </c>
      <c r="O301" s="1298" t="str">
        <f>IF(SUMIFS('Level of Efficiency Assumptions'!$J:$J,'Level of Efficiency Assumptions'!$H:$H,$I301,'Level of Efficiency Assumptions'!$I:$I,O$51)=0," ",SUMIFS('Level of Efficiency Assumptions'!$J:$J,'Level of Efficiency Assumptions'!$H:$H,$I301,'Level of Efficiency Assumptions'!$I:$I,O$51))</f>
        <v xml:space="preserve"> </v>
      </c>
      <c r="P301" s="1299" t="str">
        <f>IF(SUMIFS('Level of Efficiency Assumptions'!$J:$J,'Level of Efficiency Assumptions'!$H:$H,$I301,'Level of Efficiency Assumptions'!$I:$I,P$51)=0," ",SUMIFS('Level of Efficiency Assumptions'!$J:$J,'Level of Efficiency Assumptions'!$H:$H,$I301,'Level of Efficiency Assumptions'!$I:$I,P$51))</f>
        <v xml:space="preserve"> </v>
      </c>
      <c r="Q301" s="971" t="e">
        <f>IF(I301=" "," ",(VLOOKUP(I301,list!$B$81:$C$111,2,FALSE)))</f>
        <v>#N/A</v>
      </c>
      <c r="R301" s="243">
        <f t="shared" si="102"/>
        <v>0</v>
      </c>
      <c r="S301" s="64">
        <v>1</v>
      </c>
      <c r="T301" s="68">
        <v>0</v>
      </c>
      <c r="U301" s="244">
        <f t="shared" si="105"/>
        <v>1</v>
      </c>
    </row>
    <row r="302" spans="2:24" ht="15" thickBot="1" x14ac:dyDescent="0.35">
      <c r="C302" s="520"/>
      <c r="D302" s="224" t="str">
        <f t="shared" si="106"/>
        <v xml:space="preserve">  </v>
      </c>
      <c r="E302" s="224"/>
      <c r="F302" s="224" t="str">
        <f t="shared" si="107"/>
        <v xml:space="preserve">  </v>
      </c>
      <c r="G302" s="224"/>
      <c r="H302" s="380"/>
      <c r="I302" s="516" t="e">
        <f>IF(VLOOKUP(C22,list!$AA$5:$AS$14,11,FALSE)=0," ",(VLOOKUP(C22,list!$AA$5:$AS$14,11,FALSE)))</f>
        <v>#N/A</v>
      </c>
      <c r="J302" s="955" t="e">
        <f t="shared" si="103"/>
        <v>#N/A</v>
      </c>
      <c r="K302" s="955" t="e">
        <f t="shared" si="104"/>
        <v>#N/A</v>
      </c>
      <c r="L302" s="969" t="e">
        <f>IF(I302=" "," ",VLOOKUP(J302,list!$J$4:$M$117,4,FALSE))</f>
        <v>#N/A</v>
      </c>
      <c r="M302" s="66"/>
      <c r="N302" s="1297" t="str">
        <f>IF(SUMIFS('Level of Efficiency Assumptions'!$J:$J,'Level of Efficiency Assumptions'!$H:$H,$I302,'Level of Efficiency Assumptions'!$I:$I,N$51)=0," ",SUMIFS('Level of Efficiency Assumptions'!$J:$J,'Level of Efficiency Assumptions'!$H:$H,$I302,'Level of Efficiency Assumptions'!$I:$I,N$51))</f>
        <v xml:space="preserve"> </v>
      </c>
      <c r="O302" s="1298" t="str">
        <f>IF(SUMIFS('Level of Efficiency Assumptions'!$J:$J,'Level of Efficiency Assumptions'!$H:$H,$I302,'Level of Efficiency Assumptions'!$I:$I,O$51)=0," ",SUMIFS('Level of Efficiency Assumptions'!$J:$J,'Level of Efficiency Assumptions'!$H:$H,$I302,'Level of Efficiency Assumptions'!$I:$I,O$51))</f>
        <v xml:space="preserve"> </v>
      </c>
      <c r="P302" s="1299" t="str">
        <f>IF(SUMIFS('Level of Efficiency Assumptions'!$J:$J,'Level of Efficiency Assumptions'!$H:$H,$I302,'Level of Efficiency Assumptions'!$I:$I,P$51)=0," ",SUMIFS('Level of Efficiency Assumptions'!$J:$J,'Level of Efficiency Assumptions'!$H:$H,$I302,'Level of Efficiency Assumptions'!$I:$I,P$51))</f>
        <v xml:space="preserve"> </v>
      </c>
      <c r="Q302" s="971" t="e">
        <f>IF(I302=" "," ",(VLOOKUP(I302,list!$B$81:$C$111,2,FALSE)))</f>
        <v>#N/A</v>
      </c>
      <c r="R302" s="243">
        <f t="shared" si="102"/>
        <v>0</v>
      </c>
      <c r="S302" s="64">
        <v>1</v>
      </c>
      <c r="T302" s="68">
        <v>0</v>
      </c>
      <c r="U302" s="244">
        <f t="shared" si="105"/>
        <v>1</v>
      </c>
    </row>
    <row r="303" spans="2:24" ht="15" thickBot="1" x14ac:dyDescent="0.35">
      <c r="C303" s="520"/>
      <c r="D303" s="224" t="str">
        <f t="shared" si="106"/>
        <v xml:space="preserve">  </v>
      </c>
      <c r="E303" s="224"/>
      <c r="F303" s="224" t="str">
        <f t="shared" si="107"/>
        <v xml:space="preserve">  </v>
      </c>
      <c r="G303" s="224"/>
      <c r="H303" s="380"/>
      <c r="I303" s="516" t="e">
        <f>IF(VLOOKUP(C22,list!$AA$5:$AS$14,12,FALSE)=0," ",(VLOOKUP(C22,list!$AA$5:$AS$14,12,FALSE)))</f>
        <v>#N/A</v>
      </c>
      <c r="J303" s="955" t="e">
        <f t="shared" si="103"/>
        <v>#N/A</v>
      </c>
      <c r="K303" s="955" t="e">
        <f t="shared" si="104"/>
        <v>#N/A</v>
      </c>
      <c r="L303" s="969" t="e">
        <f>IF(I303=" "," ",VLOOKUP(J303,list!$J$4:$M$117,4,FALSE))</f>
        <v>#N/A</v>
      </c>
      <c r="M303" s="66"/>
      <c r="N303" s="1297" t="str">
        <f>IF(SUMIFS('Level of Efficiency Assumptions'!$J:$J,'Level of Efficiency Assumptions'!$H:$H,$I303,'Level of Efficiency Assumptions'!$I:$I,N$51)=0," ",SUMIFS('Level of Efficiency Assumptions'!$J:$J,'Level of Efficiency Assumptions'!$H:$H,$I303,'Level of Efficiency Assumptions'!$I:$I,N$51))</f>
        <v xml:space="preserve"> </v>
      </c>
      <c r="O303" s="1298" t="str">
        <f>IF(SUMIFS('Level of Efficiency Assumptions'!$J:$J,'Level of Efficiency Assumptions'!$H:$H,$I303,'Level of Efficiency Assumptions'!$I:$I,O$51)=0," ",SUMIFS('Level of Efficiency Assumptions'!$J:$J,'Level of Efficiency Assumptions'!$H:$H,$I303,'Level of Efficiency Assumptions'!$I:$I,O$51))</f>
        <v xml:space="preserve"> </v>
      </c>
      <c r="P303" s="1299" t="str">
        <f>IF(SUMIFS('Level of Efficiency Assumptions'!$J:$J,'Level of Efficiency Assumptions'!$H:$H,$I303,'Level of Efficiency Assumptions'!$I:$I,P$51)=0," ",SUMIFS('Level of Efficiency Assumptions'!$J:$J,'Level of Efficiency Assumptions'!$H:$H,$I303,'Level of Efficiency Assumptions'!$I:$I,P$51))</f>
        <v xml:space="preserve"> </v>
      </c>
      <c r="Q303" s="971" t="e">
        <f>IF(I303=" "," ",(VLOOKUP(I303,list!$B$81:$C$111,2,FALSE)))</f>
        <v>#N/A</v>
      </c>
      <c r="R303" s="243">
        <f t="shared" si="102"/>
        <v>0</v>
      </c>
      <c r="S303" s="64">
        <v>1</v>
      </c>
      <c r="T303" s="68">
        <v>0</v>
      </c>
      <c r="U303" s="244">
        <f t="shared" si="105"/>
        <v>1</v>
      </c>
    </row>
    <row r="304" spans="2:24" ht="15" thickBot="1" x14ac:dyDescent="0.35">
      <c r="C304" s="520"/>
      <c r="D304" s="224" t="str">
        <f t="shared" si="106"/>
        <v xml:space="preserve">  </v>
      </c>
      <c r="E304" s="224"/>
      <c r="F304" s="224" t="str">
        <f t="shared" si="107"/>
        <v xml:space="preserve">  </v>
      </c>
      <c r="G304" s="224"/>
      <c r="H304" s="380"/>
      <c r="I304" s="516" t="e">
        <f>IF(VLOOKUP(C22,list!$AA$5:$AS$14,13,FALSE)=0," ",(VLOOKUP(C22,list!$AA$5:$AS$14,13,FALSE)))</f>
        <v>#N/A</v>
      </c>
      <c r="J304" s="955" t="e">
        <f t="shared" si="103"/>
        <v>#N/A</v>
      </c>
      <c r="K304" s="955" t="e">
        <f t="shared" si="104"/>
        <v>#N/A</v>
      </c>
      <c r="L304" s="969" t="e">
        <f>IF(I304=" "," ",VLOOKUP(J304,list!$J$4:$M$117,4,FALSE))</f>
        <v>#N/A</v>
      </c>
      <c r="M304" s="66"/>
      <c r="N304" s="1297" t="str">
        <f>IF(SUMIFS('Level of Efficiency Assumptions'!$J:$J,'Level of Efficiency Assumptions'!$H:$H,$I304,'Level of Efficiency Assumptions'!$I:$I,N$51)=0," ",SUMIFS('Level of Efficiency Assumptions'!$J:$J,'Level of Efficiency Assumptions'!$H:$H,$I304,'Level of Efficiency Assumptions'!$I:$I,N$51))</f>
        <v xml:space="preserve"> </v>
      </c>
      <c r="O304" s="1298" t="str">
        <f>IF(SUMIFS('Level of Efficiency Assumptions'!$J:$J,'Level of Efficiency Assumptions'!$H:$H,$I304,'Level of Efficiency Assumptions'!$I:$I,O$51)=0," ",SUMIFS('Level of Efficiency Assumptions'!$J:$J,'Level of Efficiency Assumptions'!$H:$H,$I304,'Level of Efficiency Assumptions'!$I:$I,O$51))</f>
        <v xml:space="preserve"> </v>
      </c>
      <c r="P304" s="1299" t="str">
        <f>IF(SUMIFS('Level of Efficiency Assumptions'!$J:$J,'Level of Efficiency Assumptions'!$H:$H,$I304,'Level of Efficiency Assumptions'!$I:$I,P$51)=0," ",SUMIFS('Level of Efficiency Assumptions'!$J:$J,'Level of Efficiency Assumptions'!$H:$H,$I304,'Level of Efficiency Assumptions'!$I:$I,P$51))</f>
        <v xml:space="preserve"> </v>
      </c>
      <c r="Q304" s="971" t="e">
        <f>IF(I304=" "," ",(VLOOKUP(I304,list!$B$81:$C$111,2,FALSE)))</f>
        <v>#N/A</v>
      </c>
      <c r="R304" s="243">
        <f t="shared" si="102"/>
        <v>0</v>
      </c>
      <c r="S304" s="64">
        <v>1</v>
      </c>
      <c r="T304" s="68">
        <v>0</v>
      </c>
      <c r="U304" s="244">
        <f t="shared" si="105"/>
        <v>1</v>
      </c>
    </row>
    <row r="305" spans="2:24" ht="15" thickBot="1" x14ac:dyDescent="0.35">
      <c r="C305" s="520"/>
      <c r="D305" s="224" t="str">
        <f t="shared" si="106"/>
        <v xml:space="preserve">  </v>
      </c>
      <c r="E305" s="224"/>
      <c r="F305" s="224" t="str">
        <f t="shared" si="107"/>
        <v xml:space="preserve">  </v>
      </c>
      <c r="G305" s="224"/>
      <c r="H305" s="380"/>
      <c r="I305" s="516" t="e">
        <f>IF(VLOOKUP(C22,list!$AA$5:$AS$14,14,FALSE)=0," ",(VLOOKUP(C22,list!$AA$5:$AS$14,14,FALSE)))</f>
        <v>#N/A</v>
      </c>
      <c r="J305" s="955" t="e">
        <f t="shared" si="103"/>
        <v>#N/A</v>
      </c>
      <c r="K305" s="955" t="e">
        <f t="shared" si="104"/>
        <v>#N/A</v>
      </c>
      <c r="L305" s="969" t="e">
        <f>IF(I305=" "," ",VLOOKUP(J305,list!$J$4:$M$117,4,FALSE))</f>
        <v>#N/A</v>
      </c>
      <c r="M305" s="66"/>
      <c r="N305" s="1297" t="str">
        <f>IF(SUMIFS('Level of Efficiency Assumptions'!$J:$J,'Level of Efficiency Assumptions'!$H:$H,$I305,'Level of Efficiency Assumptions'!$I:$I,N$51)=0," ",SUMIFS('Level of Efficiency Assumptions'!$J:$J,'Level of Efficiency Assumptions'!$H:$H,$I305,'Level of Efficiency Assumptions'!$I:$I,N$51))</f>
        <v xml:space="preserve"> </v>
      </c>
      <c r="O305" s="1298" t="str">
        <f>IF(SUMIFS('Level of Efficiency Assumptions'!$J:$J,'Level of Efficiency Assumptions'!$H:$H,$I305,'Level of Efficiency Assumptions'!$I:$I,O$51)=0," ",SUMIFS('Level of Efficiency Assumptions'!$J:$J,'Level of Efficiency Assumptions'!$H:$H,$I305,'Level of Efficiency Assumptions'!$I:$I,O$51))</f>
        <v xml:space="preserve"> </v>
      </c>
      <c r="P305" s="1299" t="str">
        <f>IF(SUMIFS('Level of Efficiency Assumptions'!$J:$J,'Level of Efficiency Assumptions'!$H:$H,$I305,'Level of Efficiency Assumptions'!$I:$I,P$51)=0," ",SUMIFS('Level of Efficiency Assumptions'!$J:$J,'Level of Efficiency Assumptions'!$H:$H,$I305,'Level of Efficiency Assumptions'!$I:$I,P$51))</f>
        <v xml:space="preserve"> </v>
      </c>
      <c r="Q305" s="971" t="e">
        <f>IF(I305=" "," ",(VLOOKUP(I305,list!$B$81:$C$111,2,FALSE)))</f>
        <v>#N/A</v>
      </c>
      <c r="R305" s="243">
        <f t="shared" si="102"/>
        <v>0</v>
      </c>
      <c r="S305" s="64">
        <v>1</v>
      </c>
      <c r="T305" s="68">
        <v>0</v>
      </c>
      <c r="U305" s="244">
        <f t="shared" si="105"/>
        <v>1</v>
      </c>
    </row>
    <row r="306" spans="2:24" ht="15" thickBot="1" x14ac:dyDescent="0.35">
      <c r="C306" s="520"/>
      <c r="D306" s="224" t="str">
        <f t="shared" si="106"/>
        <v xml:space="preserve">  </v>
      </c>
      <c r="E306" s="224"/>
      <c r="F306" s="224" t="str">
        <f t="shared" si="107"/>
        <v xml:space="preserve">  </v>
      </c>
      <c r="G306" s="224"/>
      <c r="H306" s="380"/>
      <c r="I306" s="516" t="e">
        <f>IF(VLOOKUP(C22,list!$AA$5:$AS$14,15,FALSE)=0," ",(VLOOKUP(C22,list!$AA$5:$AS$14,15,FALSE)))</f>
        <v>#N/A</v>
      </c>
      <c r="J306" s="955" t="e">
        <f t="shared" si="103"/>
        <v>#N/A</v>
      </c>
      <c r="K306" s="955" t="e">
        <f t="shared" si="104"/>
        <v>#N/A</v>
      </c>
      <c r="L306" s="969" t="e">
        <f>IF(I306=" "," ",VLOOKUP(J306,list!$J$4:$M$117,4,FALSE))</f>
        <v>#N/A</v>
      </c>
      <c r="M306" s="66"/>
      <c r="N306" s="1297" t="str">
        <f>IF(SUMIFS('Level of Efficiency Assumptions'!$J:$J,'Level of Efficiency Assumptions'!$H:$H,$I306,'Level of Efficiency Assumptions'!$I:$I,N$51)=0," ",SUMIFS('Level of Efficiency Assumptions'!$J:$J,'Level of Efficiency Assumptions'!$H:$H,$I306,'Level of Efficiency Assumptions'!$I:$I,N$51))</f>
        <v xml:space="preserve"> </v>
      </c>
      <c r="O306" s="1298" t="str">
        <f>IF(SUMIFS('Level of Efficiency Assumptions'!$J:$J,'Level of Efficiency Assumptions'!$H:$H,$I306,'Level of Efficiency Assumptions'!$I:$I,O$51)=0," ",SUMIFS('Level of Efficiency Assumptions'!$J:$J,'Level of Efficiency Assumptions'!$H:$H,$I306,'Level of Efficiency Assumptions'!$I:$I,O$51))</f>
        <v xml:space="preserve"> </v>
      </c>
      <c r="P306" s="1299" t="str">
        <f>IF(SUMIFS('Level of Efficiency Assumptions'!$J:$J,'Level of Efficiency Assumptions'!$H:$H,$I306,'Level of Efficiency Assumptions'!$I:$I,P$51)=0," ",SUMIFS('Level of Efficiency Assumptions'!$J:$J,'Level of Efficiency Assumptions'!$H:$H,$I306,'Level of Efficiency Assumptions'!$I:$I,P$51))</f>
        <v xml:space="preserve"> </v>
      </c>
      <c r="Q306" s="971" t="e">
        <f>IF(I306=" "," ",(VLOOKUP(I306,list!$B$81:$C$111,2,FALSE)))</f>
        <v>#N/A</v>
      </c>
      <c r="R306" s="243">
        <f t="shared" si="102"/>
        <v>0</v>
      </c>
      <c r="S306" s="64">
        <v>1</v>
      </c>
      <c r="T306" s="68">
        <v>0</v>
      </c>
      <c r="U306" s="244">
        <f t="shared" si="105"/>
        <v>1</v>
      </c>
    </row>
    <row r="307" spans="2:24" ht="15" thickBot="1" x14ac:dyDescent="0.35">
      <c r="C307" s="520"/>
      <c r="D307" s="224" t="str">
        <f t="shared" si="106"/>
        <v xml:space="preserve">  </v>
      </c>
      <c r="E307" s="224"/>
      <c r="F307" s="224" t="str">
        <f t="shared" si="107"/>
        <v xml:space="preserve">  </v>
      </c>
      <c r="G307" s="224"/>
      <c r="H307" s="380"/>
      <c r="I307" s="516" t="e">
        <f>IF(VLOOKUP(C22,list!$AA$5:$AS$14,16,FALSE)=0," ",(VLOOKUP(C22,list!$AA$5:$AS$14,16,FALSE)))</f>
        <v>#N/A</v>
      </c>
      <c r="J307" s="955" t="e">
        <f t="shared" si="103"/>
        <v>#N/A</v>
      </c>
      <c r="K307" s="955" t="e">
        <f t="shared" si="104"/>
        <v>#N/A</v>
      </c>
      <c r="L307" s="969" t="e">
        <f>IF(I307=" "," ",VLOOKUP(J307,list!$J$4:$M$117,4,FALSE))</f>
        <v>#N/A</v>
      </c>
      <c r="M307" s="66"/>
      <c r="N307" s="1297" t="str">
        <f>IF(SUMIFS('Level of Efficiency Assumptions'!$J:$J,'Level of Efficiency Assumptions'!$H:$H,$I307,'Level of Efficiency Assumptions'!$I:$I,N$51)=0," ",SUMIFS('Level of Efficiency Assumptions'!$J:$J,'Level of Efficiency Assumptions'!$H:$H,$I307,'Level of Efficiency Assumptions'!$I:$I,N$51))</f>
        <v xml:space="preserve"> </v>
      </c>
      <c r="O307" s="1298" t="str">
        <f>IF(SUMIFS('Level of Efficiency Assumptions'!$J:$J,'Level of Efficiency Assumptions'!$H:$H,$I307,'Level of Efficiency Assumptions'!$I:$I,O$51)=0," ",SUMIFS('Level of Efficiency Assumptions'!$J:$J,'Level of Efficiency Assumptions'!$H:$H,$I307,'Level of Efficiency Assumptions'!$I:$I,O$51))</f>
        <v xml:space="preserve"> </v>
      </c>
      <c r="P307" s="1299" t="str">
        <f>IF(SUMIFS('Level of Efficiency Assumptions'!$J:$J,'Level of Efficiency Assumptions'!$H:$H,$I307,'Level of Efficiency Assumptions'!$I:$I,P$51)=0," ",SUMIFS('Level of Efficiency Assumptions'!$J:$J,'Level of Efficiency Assumptions'!$H:$H,$I307,'Level of Efficiency Assumptions'!$I:$I,P$51))</f>
        <v xml:space="preserve"> </v>
      </c>
      <c r="Q307" s="971" t="e">
        <f>IF(I307=" "," ",(VLOOKUP(I307,list!$B$81:$C$111,2,FALSE)))</f>
        <v>#N/A</v>
      </c>
      <c r="R307" s="243">
        <f t="shared" si="102"/>
        <v>0</v>
      </c>
      <c r="S307" s="64">
        <v>1</v>
      </c>
      <c r="T307" s="68">
        <v>0</v>
      </c>
      <c r="U307" s="244">
        <f t="shared" si="105"/>
        <v>1</v>
      </c>
    </row>
    <row r="308" spans="2:24" ht="15" thickBot="1" x14ac:dyDescent="0.35">
      <c r="C308" s="520"/>
      <c r="D308" s="224" t="str">
        <f t="shared" si="106"/>
        <v xml:space="preserve">  </v>
      </c>
      <c r="E308" s="224"/>
      <c r="F308" s="224" t="str">
        <f t="shared" si="107"/>
        <v xml:space="preserve">  </v>
      </c>
      <c r="G308" s="224"/>
      <c r="H308" s="380"/>
      <c r="I308" s="516" t="e">
        <f>IF(VLOOKUP(C22,list!$AA$5:$AS$14,17,FALSE)=0," ",(VLOOKUP(C22,list!$AA$5:$AS$14,17,FALSE)))</f>
        <v>#N/A</v>
      </c>
      <c r="J308" s="955" t="e">
        <f t="shared" si="103"/>
        <v>#N/A</v>
      </c>
      <c r="K308" s="955" t="e">
        <f t="shared" si="104"/>
        <v>#N/A</v>
      </c>
      <c r="L308" s="969" t="e">
        <f>IF(I308=" "," ",VLOOKUP(J308,list!$J$4:$M$117,4,FALSE))</f>
        <v>#N/A</v>
      </c>
      <c r="M308" s="66"/>
      <c r="N308" s="1297" t="str">
        <f>IF(SUMIFS('Level of Efficiency Assumptions'!$J:$J,'Level of Efficiency Assumptions'!$H:$H,$I308,'Level of Efficiency Assumptions'!$I:$I,N$51)=0," ",SUMIFS('Level of Efficiency Assumptions'!$J:$J,'Level of Efficiency Assumptions'!$H:$H,$I308,'Level of Efficiency Assumptions'!$I:$I,N$51))</f>
        <v xml:space="preserve"> </v>
      </c>
      <c r="O308" s="1298" t="str">
        <f>IF(SUMIFS('Level of Efficiency Assumptions'!$J:$J,'Level of Efficiency Assumptions'!$H:$H,$I308,'Level of Efficiency Assumptions'!$I:$I,O$51)=0," ",SUMIFS('Level of Efficiency Assumptions'!$J:$J,'Level of Efficiency Assumptions'!$H:$H,$I308,'Level of Efficiency Assumptions'!$I:$I,O$51))</f>
        <v xml:space="preserve"> </v>
      </c>
      <c r="P308" s="1299" t="str">
        <f>IF(SUMIFS('Level of Efficiency Assumptions'!$J:$J,'Level of Efficiency Assumptions'!$H:$H,$I308,'Level of Efficiency Assumptions'!$I:$I,P$51)=0," ",SUMIFS('Level of Efficiency Assumptions'!$J:$J,'Level of Efficiency Assumptions'!$H:$H,$I308,'Level of Efficiency Assumptions'!$I:$I,P$51))</f>
        <v xml:space="preserve"> </v>
      </c>
      <c r="Q308" s="971" t="e">
        <f>IF(I308=" "," ",(VLOOKUP(I308,list!$B$81:$C$111,2,FALSE)))</f>
        <v>#N/A</v>
      </c>
      <c r="R308" s="243">
        <f t="shared" si="102"/>
        <v>0</v>
      </c>
      <c r="S308" s="64">
        <v>1</v>
      </c>
      <c r="T308" s="68">
        <v>0</v>
      </c>
      <c r="U308" s="244">
        <f t="shared" si="105"/>
        <v>1</v>
      </c>
    </row>
    <row r="309" spans="2:24" ht="15" thickBot="1" x14ac:dyDescent="0.35">
      <c r="C309" s="520"/>
      <c r="D309" s="224" t="str">
        <f t="shared" si="106"/>
        <v xml:space="preserve">  </v>
      </c>
      <c r="E309" s="224"/>
      <c r="F309" s="224" t="str">
        <f t="shared" si="107"/>
        <v xml:space="preserve">  </v>
      </c>
      <c r="G309" s="224"/>
      <c r="H309" s="380"/>
      <c r="I309" s="516" t="e">
        <f>IF(VLOOKUP(C22,list!$AA$5:$AS$14,18,FALSE)=0," ",(VLOOKUP(C22,list!$AA$5:$AS$14,18,FALSE)))</f>
        <v>#N/A</v>
      </c>
      <c r="J309" s="955" t="e">
        <f t="shared" si="103"/>
        <v>#N/A</v>
      </c>
      <c r="K309" s="955" t="e">
        <f t="shared" si="104"/>
        <v>#N/A</v>
      </c>
      <c r="L309" s="969" t="e">
        <f>IF(I309=" "," ",VLOOKUP(J309,list!$J$4:$M$117,4,FALSE))</f>
        <v>#N/A</v>
      </c>
      <c r="M309" s="66"/>
      <c r="N309" s="1297" t="str">
        <f>IF(SUMIFS('Level of Efficiency Assumptions'!$J:$J,'Level of Efficiency Assumptions'!$H:$H,$I309,'Level of Efficiency Assumptions'!$I:$I,N$51)=0," ",SUMIFS('Level of Efficiency Assumptions'!$J:$J,'Level of Efficiency Assumptions'!$H:$H,$I309,'Level of Efficiency Assumptions'!$I:$I,N$51))</f>
        <v xml:space="preserve"> </v>
      </c>
      <c r="O309" s="1298" t="str">
        <f>IF(SUMIFS('Level of Efficiency Assumptions'!$J:$J,'Level of Efficiency Assumptions'!$H:$H,$I309,'Level of Efficiency Assumptions'!$I:$I,O$51)=0," ",SUMIFS('Level of Efficiency Assumptions'!$J:$J,'Level of Efficiency Assumptions'!$H:$H,$I309,'Level of Efficiency Assumptions'!$I:$I,O$51))</f>
        <v xml:space="preserve"> </v>
      </c>
      <c r="P309" s="1299" t="str">
        <f>IF(SUMIFS('Level of Efficiency Assumptions'!$J:$J,'Level of Efficiency Assumptions'!$H:$H,$I309,'Level of Efficiency Assumptions'!$I:$I,P$51)=0," ",SUMIFS('Level of Efficiency Assumptions'!$J:$J,'Level of Efficiency Assumptions'!$H:$H,$I309,'Level of Efficiency Assumptions'!$I:$I,P$51))</f>
        <v xml:space="preserve"> </v>
      </c>
      <c r="Q309" s="971" t="e">
        <f>IF(I309=" "," ",(VLOOKUP(I309,list!$B$81:$C$111,2,FALSE)))</f>
        <v>#N/A</v>
      </c>
      <c r="R309" s="243">
        <f t="shared" si="102"/>
        <v>0</v>
      </c>
      <c r="S309" s="64">
        <v>1</v>
      </c>
      <c r="T309" s="68">
        <v>0</v>
      </c>
      <c r="U309" s="244">
        <f t="shared" si="105"/>
        <v>1</v>
      </c>
    </row>
    <row r="310" spans="2:24" ht="15" thickBot="1" x14ac:dyDescent="0.35">
      <c r="C310" s="632"/>
      <c r="D310" s="226" t="str">
        <f t="shared" si="106"/>
        <v xml:space="preserve">  </v>
      </c>
      <c r="E310" s="226"/>
      <c r="F310" s="226" t="str">
        <f t="shared" si="107"/>
        <v xml:space="preserve">  </v>
      </c>
      <c r="G310" s="226"/>
      <c r="H310" s="976"/>
      <c r="I310" s="516" t="e">
        <f>IF(VLOOKUP(C22,list!$AA$5:$AS$14,19,FALSE)=0," ",(VLOOKUP(C22,list!$AA$5:$AS$14,19,FALSE)))</f>
        <v>#N/A</v>
      </c>
      <c r="J310" s="955" t="e">
        <f>IF(I310=" "," ",(D310&amp;"-"&amp;I310))</f>
        <v>#N/A</v>
      </c>
      <c r="K310" s="955" t="e">
        <f t="shared" si="104"/>
        <v>#N/A</v>
      </c>
      <c r="L310" s="969" t="e">
        <f>IF(I310=" "," ",VLOOKUP(J310,list!$J$4:$M$117,4,FALSE))</f>
        <v>#N/A</v>
      </c>
      <c r="M310" s="67"/>
      <c r="N310" s="1303" t="str">
        <f>IF(SUMIFS('Level of Efficiency Assumptions'!$J:$J,'Level of Efficiency Assumptions'!$H:$H,$I310,'Level of Efficiency Assumptions'!$I:$I,N$51)=0," ",SUMIFS('Level of Efficiency Assumptions'!$J:$J,'Level of Efficiency Assumptions'!$H:$H,$I310,'Level of Efficiency Assumptions'!$I:$I,N$51))</f>
        <v xml:space="preserve"> </v>
      </c>
      <c r="O310" s="1304" t="str">
        <f>IF(SUMIFS('Level of Efficiency Assumptions'!$J:$J,'Level of Efficiency Assumptions'!$H:$H,$I310,'Level of Efficiency Assumptions'!$I:$I,O$51)=0," ",SUMIFS('Level of Efficiency Assumptions'!$J:$J,'Level of Efficiency Assumptions'!$H:$H,$I310,'Level of Efficiency Assumptions'!$I:$I,O$51))</f>
        <v xml:space="preserve"> </v>
      </c>
      <c r="P310" s="1305" t="str">
        <f>IF(SUMIFS('Level of Efficiency Assumptions'!$J:$J,'Level of Efficiency Assumptions'!$H:$H,$I310,'Level of Efficiency Assumptions'!$I:$I,P$51)=0," ",SUMIFS('Level of Efficiency Assumptions'!$J:$J,'Level of Efficiency Assumptions'!$H:$H,$I310,'Level of Efficiency Assumptions'!$I:$I,P$51))</f>
        <v xml:space="preserve"> </v>
      </c>
      <c r="Q310" s="977" t="e">
        <f>IF(I310=" "," ",(VLOOKUP(I310,list!$B$81:$C$111,2,FALSE)))</f>
        <v>#N/A</v>
      </c>
      <c r="R310" s="245">
        <f t="shared" si="102"/>
        <v>0</v>
      </c>
      <c r="S310" s="65">
        <v>1</v>
      </c>
      <c r="T310" s="69">
        <v>0</v>
      </c>
      <c r="U310" s="246">
        <f t="shared" si="105"/>
        <v>1</v>
      </c>
    </row>
    <row r="311" spans="2:24" x14ac:dyDescent="0.3">
      <c r="D311" s="846"/>
      <c r="F311" s="82"/>
      <c r="J311" s="846"/>
      <c r="K311" s="846"/>
      <c r="N311" s="1179"/>
      <c r="O311" s="1179"/>
      <c r="P311" s="1179"/>
      <c r="R311" s="176" t="s">
        <v>295</v>
      </c>
      <c r="S311" s="176"/>
      <c r="T311" s="176"/>
      <c r="U311" s="176"/>
    </row>
    <row r="312" spans="2:24" ht="15" thickBot="1" x14ac:dyDescent="0.35">
      <c r="D312" s="846"/>
      <c r="F312" s="82"/>
      <c r="J312" s="846"/>
      <c r="K312" s="846"/>
      <c r="N312" s="1179"/>
      <c r="O312" s="1179"/>
      <c r="P312" s="1179"/>
    </row>
    <row r="313" spans="2:24" ht="15" thickBot="1" x14ac:dyDescent="0.35">
      <c r="B313" s="814">
        <v>14</v>
      </c>
      <c r="C313" s="967" t="str">
        <f t="shared" ref="C313:H313" si="108">C23</f>
        <v xml:space="preserve">  </v>
      </c>
      <c r="D313" s="967" t="str">
        <f t="shared" si="108"/>
        <v xml:space="preserve">  </v>
      </c>
      <c r="E313" s="967" t="str">
        <f t="shared" si="108"/>
        <v xml:space="preserve">  </v>
      </c>
      <c r="F313" s="967" t="str">
        <f t="shared" si="108"/>
        <v xml:space="preserve">  </v>
      </c>
      <c r="G313" s="967">
        <f t="shared" si="108"/>
        <v>0</v>
      </c>
      <c r="H313" s="968">
        <f t="shared" si="108"/>
        <v>0</v>
      </c>
      <c r="I313" s="516" t="e">
        <f>IF(VLOOKUP(C23,list!$AA$5:$AS$14,2,FALSE)=0," ",(VLOOKUP(C23,list!$AA$5:$AS$14,2,FALSE)))</f>
        <v>#N/A</v>
      </c>
      <c r="J313" s="955" t="e">
        <f>IF(I313=" "," ",(D23&amp;"-"&amp;I313))</f>
        <v>#N/A</v>
      </c>
      <c r="K313" s="955" t="e">
        <f>IF(I313=" "," ",(F23&amp;"-"&amp;I313))</f>
        <v>#N/A</v>
      </c>
      <c r="L313" s="969" t="e">
        <f>IF(I313=" "," ",VLOOKUP(J313,list!$J$4:$M$117,4,FALSE))</f>
        <v>#N/A</v>
      </c>
      <c r="M313" s="70"/>
      <c r="N313" s="1300" t="str">
        <f>IF(SUMIFS('Level of Efficiency Assumptions'!$J:$J,'Level of Efficiency Assumptions'!$H:$H,$I313,'Level of Efficiency Assumptions'!$I:$I,N$51)=0," ",SUMIFS('Level of Efficiency Assumptions'!$J:$J,'Level of Efficiency Assumptions'!$H:$H,$I313,'Level of Efficiency Assumptions'!$I:$I,N$51))</f>
        <v xml:space="preserve"> </v>
      </c>
      <c r="O313" s="1301" t="str">
        <f>IF(SUMIFS('Level of Efficiency Assumptions'!$J:$J,'Level of Efficiency Assumptions'!$H:$H,$I313,'Level of Efficiency Assumptions'!$I:$I,O$51)=0," ",SUMIFS('Level of Efficiency Assumptions'!$J:$J,'Level of Efficiency Assumptions'!$H:$H,$I313,'Level of Efficiency Assumptions'!$I:$I,O$51))</f>
        <v xml:space="preserve"> </v>
      </c>
      <c r="P313" s="1302" t="str">
        <f>IF(SUMIFS('Level of Efficiency Assumptions'!$J:$J,'Level of Efficiency Assumptions'!$H:$H,$I313,'Level of Efficiency Assumptions'!$I:$I,P$51)=0," ",SUMIFS('Level of Efficiency Assumptions'!$J:$J,'Level of Efficiency Assumptions'!$H:$H,$I313,'Level of Efficiency Assumptions'!$I:$I,P$51))</f>
        <v xml:space="preserve"> </v>
      </c>
      <c r="Q313" s="970" t="e">
        <f>IF(I313=" "," ",(VLOOKUP(I313,list!$B$81:$C$111,2,FALSE)))</f>
        <v>#N/A</v>
      </c>
      <c r="R313" s="241">
        <f t="shared" ref="R313:R330" si="109">1-S313-T313</f>
        <v>0</v>
      </c>
      <c r="S313" s="83">
        <v>1</v>
      </c>
      <c r="T313" s="84">
        <v>0</v>
      </c>
      <c r="U313" s="242">
        <f>SUM(R313:T313)</f>
        <v>1</v>
      </c>
      <c r="W313" s="250" t="s">
        <v>367</v>
      </c>
      <c r="X313" s="251" t="s">
        <v>366</v>
      </c>
    </row>
    <row r="314" spans="2:24" ht="15" thickBot="1" x14ac:dyDescent="0.35">
      <c r="C314" s="520"/>
      <c r="D314" s="224" t="str">
        <f>D23</f>
        <v xml:space="preserve">  </v>
      </c>
      <c r="E314" s="224"/>
      <c r="F314" s="224" t="str">
        <f>F23</f>
        <v xml:space="preserve">  </v>
      </c>
      <c r="G314" s="224"/>
      <c r="H314" s="380"/>
      <c r="I314" s="516" t="e">
        <f>IF(VLOOKUP(C23,list!$AA$5:$AS$14,3,FALSE)=0," ",(VLOOKUP(C23,list!$AA$5:$AS$14,3,FALSE)))</f>
        <v>#N/A</v>
      </c>
      <c r="J314" s="955" t="e">
        <f t="shared" ref="J314:J329" si="110">IF(I314=" "," ",(D314&amp;"-"&amp;I314))</f>
        <v>#N/A</v>
      </c>
      <c r="K314" s="955" t="e">
        <f t="shared" ref="K314:K330" si="111">IF(I314=" "," ",(F314&amp;"-"&amp;I314))</f>
        <v>#N/A</v>
      </c>
      <c r="L314" s="969" t="e">
        <f>IF(I314=" "," ",VLOOKUP(J314,list!$J$4:$M$117,4,FALSE))</f>
        <v>#N/A</v>
      </c>
      <c r="M314" s="66"/>
      <c r="N314" s="1297" t="str">
        <f>IF(SUMIFS('Level of Efficiency Assumptions'!$J:$J,'Level of Efficiency Assumptions'!$H:$H,$I314,'Level of Efficiency Assumptions'!$I:$I,N$51)=0," ",SUMIFS('Level of Efficiency Assumptions'!$J:$J,'Level of Efficiency Assumptions'!$H:$H,$I314,'Level of Efficiency Assumptions'!$I:$I,N$51))</f>
        <v xml:space="preserve"> </v>
      </c>
      <c r="O314" s="1298" t="str">
        <f>IF(SUMIFS('Level of Efficiency Assumptions'!$J:$J,'Level of Efficiency Assumptions'!$H:$H,$I314,'Level of Efficiency Assumptions'!$I:$I,O$51)=0," ",SUMIFS('Level of Efficiency Assumptions'!$J:$J,'Level of Efficiency Assumptions'!$H:$H,$I314,'Level of Efficiency Assumptions'!$I:$I,O$51))</f>
        <v xml:space="preserve"> </v>
      </c>
      <c r="P314" s="1299" t="str">
        <f>IF(SUMIFS('Level of Efficiency Assumptions'!$J:$J,'Level of Efficiency Assumptions'!$H:$H,$I314,'Level of Efficiency Assumptions'!$I:$I,P$51)=0," ",SUMIFS('Level of Efficiency Assumptions'!$J:$J,'Level of Efficiency Assumptions'!$H:$H,$I314,'Level of Efficiency Assumptions'!$I:$I,P$51))</f>
        <v xml:space="preserve"> </v>
      </c>
      <c r="Q314" s="971" t="e">
        <f>IF(I314=" "," ",(VLOOKUP(I314,list!$B$81:$C$111,2,FALSE)))</f>
        <v>#N/A</v>
      </c>
      <c r="R314" s="243">
        <f t="shared" si="109"/>
        <v>0</v>
      </c>
      <c r="S314" s="64">
        <v>1</v>
      </c>
      <c r="T314" s="68">
        <v>0</v>
      </c>
      <c r="U314" s="244">
        <f t="shared" ref="U314:U330" si="112">SUM(R314:T314)</f>
        <v>1</v>
      </c>
      <c r="V314" s="82" t="e">
        <f>F314&amp;"-"&amp;W314</f>
        <v>#N/A</v>
      </c>
      <c r="W314" s="247" t="e">
        <f>HLOOKUP(D314,list!$O$34:$X$38,2,FALSE)</f>
        <v>#N/A</v>
      </c>
      <c r="X314" s="972">
        <v>1</v>
      </c>
    </row>
    <row r="315" spans="2:24" ht="15" thickBot="1" x14ac:dyDescent="0.35">
      <c r="C315" s="520"/>
      <c r="D315" s="224" t="str">
        <f>D314</f>
        <v xml:space="preserve">  </v>
      </c>
      <c r="E315" s="224"/>
      <c r="F315" s="224" t="str">
        <f>F314</f>
        <v xml:space="preserve">  </v>
      </c>
      <c r="G315" s="224"/>
      <c r="H315" s="380"/>
      <c r="I315" s="516" t="e">
        <f>IF(VLOOKUP(C23,list!$AA$5:$AS$14,4,FALSE)=0," ",(VLOOKUP(C23,list!$AA$5:$AS$14,4,FALSE)))</f>
        <v>#N/A</v>
      </c>
      <c r="J315" s="955" t="e">
        <f t="shared" si="110"/>
        <v>#N/A</v>
      </c>
      <c r="K315" s="955" t="e">
        <f t="shared" si="111"/>
        <v>#N/A</v>
      </c>
      <c r="L315" s="969" t="e">
        <f>IF(I315=" "," ",VLOOKUP(J315,list!$J$4:$M$117,4,FALSE))</f>
        <v>#N/A</v>
      </c>
      <c r="M315" s="66"/>
      <c r="N315" s="1297" t="str">
        <f>IF(SUMIFS('Level of Efficiency Assumptions'!$J:$J,'Level of Efficiency Assumptions'!$H:$H,$I315,'Level of Efficiency Assumptions'!$I:$I,N$51)=0," ",SUMIFS('Level of Efficiency Assumptions'!$J:$J,'Level of Efficiency Assumptions'!$H:$H,$I315,'Level of Efficiency Assumptions'!$I:$I,N$51))</f>
        <v xml:space="preserve"> </v>
      </c>
      <c r="O315" s="1298" t="str">
        <f>IF(SUMIFS('Level of Efficiency Assumptions'!$J:$J,'Level of Efficiency Assumptions'!$H:$H,$I315,'Level of Efficiency Assumptions'!$I:$I,O$51)=0," ",SUMIFS('Level of Efficiency Assumptions'!$J:$J,'Level of Efficiency Assumptions'!$H:$H,$I315,'Level of Efficiency Assumptions'!$I:$I,O$51))</f>
        <v xml:space="preserve"> </v>
      </c>
      <c r="P315" s="1299" t="str">
        <f>IF(SUMIFS('Level of Efficiency Assumptions'!$J:$J,'Level of Efficiency Assumptions'!$H:$H,$I315,'Level of Efficiency Assumptions'!$I:$I,P$51)=0," ",SUMIFS('Level of Efficiency Assumptions'!$J:$J,'Level of Efficiency Assumptions'!$H:$H,$I315,'Level of Efficiency Assumptions'!$I:$I,P$51))</f>
        <v xml:space="preserve"> </v>
      </c>
      <c r="Q315" s="971" t="e">
        <f>IF(I315=" "," ",(VLOOKUP(I315,list!$B$81:$C$111,2,FALSE)))</f>
        <v>#N/A</v>
      </c>
      <c r="R315" s="243">
        <f t="shared" si="109"/>
        <v>0</v>
      </c>
      <c r="S315" s="64">
        <v>1</v>
      </c>
      <c r="T315" s="68">
        <v>0</v>
      </c>
      <c r="U315" s="244">
        <f t="shared" si="112"/>
        <v>1</v>
      </c>
      <c r="V315" s="82" t="e">
        <f>F315&amp;"-"&amp;W315</f>
        <v>#N/A</v>
      </c>
      <c r="W315" s="248" t="e">
        <f>HLOOKUP(D315,list!$O$34:$X$38,3,FALSE)</f>
        <v>#N/A</v>
      </c>
      <c r="X315" s="973">
        <v>0.5</v>
      </c>
    </row>
    <row r="316" spans="2:24" ht="15" thickBot="1" x14ac:dyDescent="0.35">
      <c r="C316" s="520"/>
      <c r="D316" s="224" t="str">
        <f t="shared" ref="D316:D330" si="113">D315</f>
        <v xml:space="preserve">  </v>
      </c>
      <c r="E316" s="224"/>
      <c r="F316" s="224" t="str">
        <f t="shared" ref="F316:F330" si="114">F315</f>
        <v xml:space="preserve">  </v>
      </c>
      <c r="G316" s="224"/>
      <c r="H316" s="380"/>
      <c r="I316" s="516" t="e">
        <f>IF(VLOOKUP(C23,list!$AA$5:$AS$14,5,FALSE)=0," ",(VLOOKUP(C23,list!$AA$5:$AS$14,5,FALSE)))</f>
        <v>#N/A</v>
      </c>
      <c r="J316" s="955" t="e">
        <f t="shared" si="110"/>
        <v>#N/A</v>
      </c>
      <c r="K316" s="955" t="e">
        <f t="shared" si="111"/>
        <v>#N/A</v>
      </c>
      <c r="L316" s="969" t="e">
        <f>IF(I316=" "," ",VLOOKUP(J316,list!$J$4:$M$117,4,FALSE))</f>
        <v>#N/A</v>
      </c>
      <c r="M316" s="66"/>
      <c r="N316" s="1297" t="str">
        <f>IF(SUMIFS('Level of Efficiency Assumptions'!$J:$J,'Level of Efficiency Assumptions'!$H:$H,$I316,'Level of Efficiency Assumptions'!$I:$I,N$51)=0," ",SUMIFS('Level of Efficiency Assumptions'!$J:$J,'Level of Efficiency Assumptions'!$H:$H,$I316,'Level of Efficiency Assumptions'!$I:$I,N$51))</f>
        <v xml:space="preserve"> </v>
      </c>
      <c r="O316" s="1298" t="str">
        <f>IF(SUMIFS('Level of Efficiency Assumptions'!$J:$J,'Level of Efficiency Assumptions'!$H:$H,$I316,'Level of Efficiency Assumptions'!$I:$I,O$51)=0," ",SUMIFS('Level of Efficiency Assumptions'!$J:$J,'Level of Efficiency Assumptions'!$H:$H,$I316,'Level of Efficiency Assumptions'!$I:$I,O$51))</f>
        <v xml:space="preserve"> </v>
      </c>
      <c r="P316" s="1299" t="str">
        <f>IF(SUMIFS('Level of Efficiency Assumptions'!$J:$J,'Level of Efficiency Assumptions'!$H:$H,$I316,'Level of Efficiency Assumptions'!$I:$I,P$51)=0," ",SUMIFS('Level of Efficiency Assumptions'!$J:$J,'Level of Efficiency Assumptions'!$H:$H,$I316,'Level of Efficiency Assumptions'!$I:$I,P$51))</f>
        <v xml:space="preserve"> </v>
      </c>
      <c r="Q316" s="971" t="e">
        <f>IF(I316=" "," ",(VLOOKUP(I316,list!$B$81:$C$111,2,FALSE)))</f>
        <v>#N/A</v>
      </c>
      <c r="R316" s="243">
        <f t="shared" si="109"/>
        <v>0</v>
      </c>
      <c r="S316" s="64">
        <v>1</v>
      </c>
      <c r="T316" s="68">
        <v>0</v>
      </c>
      <c r="U316" s="244">
        <f t="shared" si="112"/>
        <v>1</v>
      </c>
      <c r="V316" s="82" t="e">
        <f>F316&amp;"-"&amp;W316</f>
        <v>#N/A</v>
      </c>
      <c r="W316" s="248" t="e">
        <f>HLOOKUP(D316,list!$O$34:$X$38,4,FALSE)</f>
        <v>#N/A</v>
      </c>
      <c r="X316" s="973">
        <v>0.5</v>
      </c>
    </row>
    <row r="317" spans="2:24" ht="15" thickBot="1" x14ac:dyDescent="0.35">
      <c r="C317" s="520"/>
      <c r="D317" s="224" t="str">
        <f t="shared" si="113"/>
        <v xml:space="preserve">  </v>
      </c>
      <c r="E317" s="224"/>
      <c r="F317" s="224" t="str">
        <f t="shared" si="114"/>
        <v xml:space="preserve">  </v>
      </c>
      <c r="G317" s="224"/>
      <c r="H317" s="380"/>
      <c r="I317" s="516" t="e">
        <f>IF(VLOOKUP(C23,list!$AA$5:$AS$14,6,FALSE)=0," ",(VLOOKUP(C23,list!$AA$5:$AS$14,6,FALSE)))</f>
        <v>#N/A</v>
      </c>
      <c r="J317" s="955" t="e">
        <f t="shared" si="110"/>
        <v>#N/A</v>
      </c>
      <c r="K317" s="955" t="e">
        <f t="shared" si="111"/>
        <v>#N/A</v>
      </c>
      <c r="L317" s="969" t="e">
        <f>IF(I317=" "," ",VLOOKUP(J317,list!$J$4:$M$117,4,FALSE))</f>
        <v>#N/A</v>
      </c>
      <c r="M317" s="66"/>
      <c r="N317" s="1297" t="str">
        <f>IF(SUMIFS('Level of Efficiency Assumptions'!$J:$J,'Level of Efficiency Assumptions'!$H:$H,$I317,'Level of Efficiency Assumptions'!$I:$I,N$51)=0," ",SUMIFS('Level of Efficiency Assumptions'!$J:$J,'Level of Efficiency Assumptions'!$H:$H,$I317,'Level of Efficiency Assumptions'!$I:$I,N$51))</f>
        <v xml:space="preserve"> </v>
      </c>
      <c r="O317" s="1298" t="str">
        <f>IF(SUMIFS('Level of Efficiency Assumptions'!$J:$J,'Level of Efficiency Assumptions'!$H:$H,$I317,'Level of Efficiency Assumptions'!$I:$I,O$51)=0," ",SUMIFS('Level of Efficiency Assumptions'!$J:$J,'Level of Efficiency Assumptions'!$H:$H,$I317,'Level of Efficiency Assumptions'!$I:$I,O$51))</f>
        <v xml:space="preserve"> </v>
      </c>
      <c r="P317" s="1299" t="str">
        <f>IF(SUMIFS('Level of Efficiency Assumptions'!$J:$J,'Level of Efficiency Assumptions'!$H:$H,$I317,'Level of Efficiency Assumptions'!$I:$I,P$51)=0," ",SUMIFS('Level of Efficiency Assumptions'!$J:$J,'Level of Efficiency Assumptions'!$H:$H,$I317,'Level of Efficiency Assumptions'!$I:$I,P$51))</f>
        <v xml:space="preserve"> </v>
      </c>
      <c r="Q317" s="971" t="e">
        <f>IF(I317=" "," ",(VLOOKUP(I317,list!$B$81:$C$111,2,FALSE)))</f>
        <v>#N/A</v>
      </c>
      <c r="R317" s="243">
        <f t="shared" si="109"/>
        <v>0</v>
      </c>
      <c r="S317" s="64">
        <v>1</v>
      </c>
      <c r="T317" s="68">
        <v>0</v>
      </c>
      <c r="U317" s="244">
        <f t="shared" si="112"/>
        <v>1</v>
      </c>
      <c r="V317" s="82" t="e">
        <f>F317&amp;"-"&amp;W317</f>
        <v>#N/A</v>
      </c>
      <c r="W317" s="249" t="e">
        <f>HLOOKUP(D317,list!$O$34:$X$38,5,FALSE)</f>
        <v>#N/A</v>
      </c>
      <c r="X317" s="974">
        <v>0.5</v>
      </c>
    </row>
    <row r="318" spans="2:24" ht="15" thickBot="1" x14ac:dyDescent="0.35">
      <c r="C318" s="520"/>
      <c r="D318" s="224" t="str">
        <f t="shared" si="113"/>
        <v xml:space="preserve">  </v>
      </c>
      <c r="E318" s="224"/>
      <c r="F318" s="224" t="str">
        <f t="shared" si="114"/>
        <v xml:space="preserve">  </v>
      </c>
      <c r="G318" s="224"/>
      <c r="H318" s="380"/>
      <c r="I318" s="516" t="e">
        <f>IF(VLOOKUP(C23,list!$AA$5:$AS$14,7,FALSE)=0," ",(VLOOKUP(C23,list!$AA$5:$AS$14,7,FALSE)))</f>
        <v>#N/A</v>
      </c>
      <c r="J318" s="955" t="e">
        <f t="shared" si="110"/>
        <v>#N/A</v>
      </c>
      <c r="K318" s="955" t="e">
        <f t="shared" si="111"/>
        <v>#N/A</v>
      </c>
      <c r="L318" s="969" t="e">
        <f>IF(I318=" "," ",VLOOKUP(J318,list!$J$4:$M$117,4,FALSE))</f>
        <v>#N/A</v>
      </c>
      <c r="M318" s="66"/>
      <c r="N318" s="1297" t="str">
        <f>IF(SUMIFS('Level of Efficiency Assumptions'!$J:$J,'Level of Efficiency Assumptions'!$H:$H,$I318,'Level of Efficiency Assumptions'!$I:$I,N$51)=0," ",SUMIFS('Level of Efficiency Assumptions'!$J:$J,'Level of Efficiency Assumptions'!$H:$H,$I318,'Level of Efficiency Assumptions'!$I:$I,N$51))</f>
        <v xml:space="preserve"> </v>
      </c>
      <c r="O318" s="1298" t="str">
        <f>IF(SUMIFS('Level of Efficiency Assumptions'!$J:$J,'Level of Efficiency Assumptions'!$H:$H,$I318,'Level of Efficiency Assumptions'!$I:$I,O$51)=0," ",SUMIFS('Level of Efficiency Assumptions'!$J:$J,'Level of Efficiency Assumptions'!$H:$H,$I318,'Level of Efficiency Assumptions'!$I:$I,O$51))</f>
        <v xml:space="preserve"> </v>
      </c>
      <c r="P318" s="1299" t="str">
        <f>IF(SUMIFS('Level of Efficiency Assumptions'!$J:$J,'Level of Efficiency Assumptions'!$H:$H,$I318,'Level of Efficiency Assumptions'!$I:$I,P$51)=0," ",SUMIFS('Level of Efficiency Assumptions'!$J:$J,'Level of Efficiency Assumptions'!$H:$H,$I318,'Level of Efficiency Assumptions'!$I:$I,P$51))</f>
        <v xml:space="preserve"> </v>
      </c>
      <c r="Q318" s="971" t="e">
        <f>IF(I318=" "," ",(VLOOKUP(I318,list!$B$81:$C$111,2,FALSE)))</f>
        <v>#N/A</v>
      </c>
      <c r="R318" s="243">
        <f t="shared" si="109"/>
        <v>0</v>
      </c>
      <c r="S318" s="64">
        <v>1</v>
      </c>
      <c r="T318" s="68">
        <v>0</v>
      </c>
      <c r="U318" s="244">
        <f t="shared" si="112"/>
        <v>1</v>
      </c>
      <c r="W318" s="182"/>
      <c r="X318" s="975"/>
    </row>
    <row r="319" spans="2:24" ht="15" thickBot="1" x14ac:dyDescent="0.35">
      <c r="C319" s="520"/>
      <c r="D319" s="224" t="str">
        <f t="shared" si="113"/>
        <v xml:space="preserve">  </v>
      </c>
      <c r="E319" s="224"/>
      <c r="F319" s="224" t="str">
        <f t="shared" si="114"/>
        <v xml:space="preserve">  </v>
      </c>
      <c r="G319" s="224"/>
      <c r="H319" s="380"/>
      <c r="I319" s="516" t="e">
        <f>IF(VLOOKUP(C23,list!$AA$5:$AS$14,8,FALSE)=0," ",(VLOOKUP(C23,list!$AA$5:$AS$14,8,FALSE)))</f>
        <v>#N/A</v>
      </c>
      <c r="J319" s="955" t="e">
        <f t="shared" si="110"/>
        <v>#N/A</v>
      </c>
      <c r="K319" s="955" t="e">
        <f t="shared" si="111"/>
        <v>#N/A</v>
      </c>
      <c r="L319" s="969" t="e">
        <f>IF(I319=" "," ",VLOOKUP(J319,list!$J$4:$M$117,4,FALSE))</f>
        <v>#N/A</v>
      </c>
      <c r="M319" s="66"/>
      <c r="N319" s="1297" t="str">
        <f>IF(SUMIFS('Level of Efficiency Assumptions'!$J:$J,'Level of Efficiency Assumptions'!$H:$H,$I319,'Level of Efficiency Assumptions'!$I:$I,N$51)=0," ",SUMIFS('Level of Efficiency Assumptions'!$J:$J,'Level of Efficiency Assumptions'!$H:$H,$I319,'Level of Efficiency Assumptions'!$I:$I,N$51))</f>
        <v xml:space="preserve"> </v>
      </c>
      <c r="O319" s="1298" t="str">
        <f>IF(SUMIFS('Level of Efficiency Assumptions'!$J:$J,'Level of Efficiency Assumptions'!$H:$H,$I319,'Level of Efficiency Assumptions'!$I:$I,O$51)=0," ",SUMIFS('Level of Efficiency Assumptions'!$J:$J,'Level of Efficiency Assumptions'!$H:$H,$I319,'Level of Efficiency Assumptions'!$I:$I,O$51))</f>
        <v xml:space="preserve"> </v>
      </c>
      <c r="P319" s="1299" t="str">
        <f>IF(SUMIFS('Level of Efficiency Assumptions'!$J:$J,'Level of Efficiency Assumptions'!$H:$H,$I319,'Level of Efficiency Assumptions'!$I:$I,P$51)=0," ",SUMIFS('Level of Efficiency Assumptions'!$J:$J,'Level of Efficiency Assumptions'!$H:$H,$I319,'Level of Efficiency Assumptions'!$I:$I,P$51))</f>
        <v xml:space="preserve"> </v>
      </c>
      <c r="Q319" s="971" t="e">
        <f>IF(I319=" "," ",(VLOOKUP(I319,list!$B$81:$C$111,2,FALSE)))</f>
        <v>#N/A</v>
      </c>
      <c r="R319" s="243">
        <f t="shared" si="109"/>
        <v>0</v>
      </c>
      <c r="S319" s="64">
        <v>1</v>
      </c>
      <c r="T319" s="68">
        <v>0</v>
      </c>
      <c r="U319" s="244">
        <f t="shared" si="112"/>
        <v>1</v>
      </c>
      <c r="W319" s="182"/>
      <c r="X319" s="975"/>
    </row>
    <row r="320" spans="2:24" ht="15" thickBot="1" x14ac:dyDescent="0.35">
      <c r="C320" s="520"/>
      <c r="D320" s="224" t="str">
        <f t="shared" si="113"/>
        <v xml:space="preserve">  </v>
      </c>
      <c r="E320" s="224"/>
      <c r="F320" s="224" t="str">
        <f t="shared" si="114"/>
        <v xml:space="preserve">  </v>
      </c>
      <c r="G320" s="224"/>
      <c r="H320" s="380"/>
      <c r="I320" s="516" t="e">
        <f>IF(VLOOKUP(C23,list!$AA$5:$AS$14,9,FALSE)=0," ",(VLOOKUP(C23,list!$AA$5:$AS$14,9,FALSE)))</f>
        <v>#N/A</v>
      </c>
      <c r="J320" s="955" t="e">
        <f t="shared" si="110"/>
        <v>#N/A</v>
      </c>
      <c r="K320" s="955" t="e">
        <f t="shared" si="111"/>
        <v>#N/A</v>
      </c>
      <c r="L320" s="969" t="e">
        <f>IF(I320=" "," ",VLOOKUP(J320,list!$J$4:$M$117,4,FALSE))</f>
        <v>#N/A</v>
      </c>
      <c r="M320" s="66"/>
      <c r="N320" s="1297" t="str">
        <f>IF(SUMIFS('Level of Efficiency Assumptions'!$J:$J,'Level of Efficiency Assumptions'!$H:$H,$I320,'Level of Efficiency Assumptions'!$I:$I,N$51)=0," ",SUMIFS('Level of Efficiency Assumptions'!$J:$J,'Level of Efficiency Assumptions'!$H:$H,$I320,'Level of Efficiency Assumptions'!$I:$I,N$51))</f>
        <v xml:space="preserve"> </v>
      </c>
      <c r="O320" s="1298" t="str">
        <f>IF(SUMIFS('Level of Efficiency Assumptions'!$J:$J,'Level of Efficiency Assumptions'!$H:$H,$I320,'Level of Efficiency Assumptions'!$I:$I,O$51)=0," ",SUMIFS('Level of Efficiency Assumptions'!$J:$J,'Level of Efficiency Assumptions'!$H:$H,$I320,'Level of Efficiency Assumptions'!$I:$I,O$51))</f>
        <v xml:space="preserve"> </v>
      </c>
      <c r="P320" s="1299" t="str">
        <f>IF(SUMIFS('Level of Efficiency Assumptions'!$J:$J,'Level of Efficiency Assumptions'!$H:$H,$I320,'Level of Efficiency Assumptions'!$I:$I,P$51)=0," ",SUMIFS('Level of Efficiency Assumptions'!$J:$J,'Level of Efficiency Assumptions'!$H:$H,$I320,'Level of Efficiency Assumptions'!$I:$I,P$51))</f>
        <v xml:space="preserve"> </v>
      </c>
      <c r="Q320" s="971" t="e">
        <f>IF(I320=" "," ",(VLOOKUP(I320,list!$B$81:$C$111,2,FALSE)))</f>
        <v>#N/A</v>
      </c>
      <c r="R320" s="243">
        <f t="shared" si="109"/>
        <v>0</v>
      </c>
      <c r="S320" s="64">
        <v>1</v>
      </c>
      <c r="T320" s="68">
        <v>0</v>
      </c>
      <c r="U320" s="244">
        <f t="shared" si="112"/>
        <v>1</v>
      </c>
    </row>
    <row r="321" spans="2:24" ht="15" thickBot="1" x14ac:dyDescent="0.35">
      <c r="C321" s="520"/>
      <c r="D321" s="224" t="str">
        <f t="shared" si="113"/>
        <v xml:space="preserve">  </v>
      </c>
      <c r="E321" s="224"/>
      <c r="F321" s="224" t="str">
        <f t="shared" si="114"/>
        <v xml:space="preserve">  </v>
      </c>
      <c r="G321" s="224"/>
      <c r="H321" s="380"/>
      <c r="I321" s="516" t="e">
        <f>IF(VLOOKUP(C23,list!$AA$5:$AS$14,10,FALSE)=0," ",(VLOOKUP(C23,list!$AA$5:$AS$14,10,FALSE)))</f>
        <v>#N/A</v>
      </c>
      <c r="J321" s="955" t="e">
        <f t="shared" si="110"/>
        <v>#N/A</v>
      </c>
      <c r="K321" s="955" t="e">
        <f t="shared" si="111"/>
        <v>#N/A</v>
      </c>
      <c r="L321" s="969" t="e">
        <f>IF(I321=" "," ",VLOOKUP(J321,list!$J$4:$M$117,4,FALSE))</f>
        <v>#N/A</v>
      </c>
      <c r="M321" s="66"/>
      <c r="N321" s="1297" t="str">
        <f>IF(SUMIFS('Level of Efficiency Assumptions'!$J:$J,'Level of Efficiency Assumptions'!$H:$H,$I321,'Level of Efficiency Assumptions'!$I:$I,N$51)=0," ",SUMIFS('Level of Efficiency Assumptions'!$J:$J,'Level of Efficiency Assumptions'!$H:$H,$I321,'Level of Efficiency Assumptions'!$I:$I,N$51))</f>
        <v xml:space="preserve"> </v>
      </c>
      <c r="O321" s="1298" t="str">
        <f>IF(SUMIFS('Level of Efficiency Assumptions'!$J:$J,'Level of Efficiency Assumptions'!$H:$H,$I321,'Level of Efficiency Assumptions'!$I:$I,O$51)=0," ",SUMIFS('Level of Efficiency Assumptions'!$J:$J,'Level of Efficiency Assumptions'!$H:$H,$I321,'Level of Efficiency Assumptions'!$I:$I,O$51))</f>
        <v xml:space="preserve"> </v>
      </c>
      <c r="P321" s="1299" t="str">
        <f>IF(SUMIFS('Level of Efficiency Assumptions'!$J:$J,'Level of Efficiency Assumptions'!$H:$H,$I321,'Level of Efficiency Assumptions'!$I:$I,P$51)=0," ",SUMIFS('Level of Efficiency Assumptions'!$J:$J,'Level of Efficiency Assumptions'!$H:$H,$I321,'Level of Efficiency Assumptions'!$I:$I,P$51))</f>
        <v xml:space="preserve"> </v>
      </c>
      <c r="Q321" s="971" t="e">
        <f>IF(I321=" "," ",(VLOOKUP(I321,list!$B$81:$C$111,2,FALSE)))</f>
        <v>#N/A</v>
      </c>
      <c r="R321" s="243">
        <f t="shared" si="109"/>
        <v>0</v>
      </c>
      <c r="S321" s="64">
        <v>1</v>
      </c>
      <c r="T321" s="68">
        <v>0</v>
      </c>
      <c r="U321" s="244">
        <f t="shared" si="112"/>
        <v>1</v>
      </c>
    </row>
    <row r="322" spans="2:24" ht="15" thickBot="1" x14ac:dyDescent="0.35">
      <c r="C322" s="520"/>
      <c r="D322" s="224" t="str">
        <f t="shared" si="113"/>
        <v xml:space="preserve">  </v>
      </c>
      <c r="E322" s="224"/>
      <c r="F322" s="224" t="str">
        <f t="shared" si="114"/>
        <v xml:space="preserve">  </v>
      </c>
      <c r="G322" s="224"/>
      <c r="H322" s="380"/>
      <c r="I322" s="516" t="e">
        <f>IF(VLOOKUP(C23,list!$AA$5:$AS$14,11,FALSE)=0," ",(VLOOKUP(C23,list!$AA$5:$AS$14,11,FALSE)))</f>
        <v>#N/A</v>
      </c>
      <c r="J322" s="955" t="e">
        <f t="shared" si="110"/>
        <v>#N/A</v>
      </c>
      <c r="K322" s="955" t="e">
        <f t="shared" si="111"/>
        <v>#N/A</v>
      </c>
      <c r="L322" s="969" t="e">
        <f>IF(I322=" "," ",VLOOKUP(J322,list!$J$4:$M$117,4,FALSE))</f>
        <v>#N/A</v>
      </c>
      <c r="M322" s="66"/>
      <c r="N322" s="1297" t="str">
        <f>IF(SUMIFS('Level of Efficiency Assumptions'!$J:$J,'Level of Efficiency Assumptions'!$H:$H,$I322,'Level of Efficiency Assumptions'!$I:$I,N$51)=0," ",SUMIFS('Level of Efficiency Assumptions'!$J:$J,'Level of Efficiency Assumptions'!$H:$H,$I322,'Level of Efficiency Assumptions'!$I:$I,N$51))</f>
        <v xml:space="preserve"> </v>
      </c>
      <c r="O322" s="1298" t="str">
        <f>IF(SUMIFS('Level of Efficiency Assumptions'!$J:$J,'Level of Efficiency Assumptions'!$H:$H,$I322,'Level of Efficiency Assumptions'!$I:$I,O$51)=0," ",SUMIFS('Level of Efficiency Assumptions'!$J:$J,'Level of Efficiency Assumptions'!$H:$H,$I322,'Level of Efficiency Assumptions'!$I:$I,O$51))</f>
        <v xml:space="preserve"> </v>
      </c>
      <c r="P322" s="1299" t="str">
        <f>IF(SUMIFS('Level of Efficiency Assumptions'!$J:$J,'Level of Efficiency Assumptions'!$H:$H,$I322,'Level of Efficiency Assumptions'!$I:$I,P$51)=0," ",SUMIFS('Level of Efficiency Assumptions'!$J:$J,'Level of Efficiency Assumptions'!$H:$H,$I322,'Level of Efficiency Assumptions'!$I:$I,P$51))</f>
        <v xml:space="preserve"> </v>
      </c>
      <c r="Q322" s="971" t="e">
        <f>IF(I322=" "," ",(VLOOKUP(I322,list!$B$81:$C$111,2,FALSE)))</f>
        <v>#N/A</v>
      </c>
      <c r="R322" s="243">
        <f t="shared" si="109"/>
        <v>0</v>
      </c>
      <c r="S322" s="64">
        <v>1</v>
      </c>
      <c r="T322" s="68">
        <v>0</v>
      </c>
      <c r="U322" s="244">
        <f t="shared" si="112"/>
        <v>1</v>
      </c>
    </row>
    <row r="323" spans="2:24" ht="15" thickBot="1" x14ac:dyDescent="0.35">
      <c r="C323" s="520"/>
      <c r="D323" s="224" t="str">
        <f t="shared" si="113"/>
        <v xml:space="preserve">  </v>
      </c>
      <c r="E323" s="224"/>
      <c r="F323" s="224" t="str">
        <f t="shared" si="114"/>
        <v xml:space="preserve">  </v>
      </c>
      <c r="G323" s="224"/>
      <c r="H323" s="380"/>
      <c r="I323" s="516" t="e">
        <f>IF(VLOOKUP(C23,list!$AA$5:$AS$14,12,FALSE)=0," ",(VLOOKUP(C23,list!$AA$5:$AS$14,12,FALSE)))</f>
        <v>#N/A</v>
      </c>
      <c r="J323" s="955" t="e">
        <f t="shared" si="110"/>
        <v>#N/A</v>
      </c>
      <c r="K323" s="955" t="e">
        <f t="shared" si="111"/>
        <v>#N/A</v>
      </c>
      <c r="L323" s="969" t="e">
        <f>IF(I323=" "," ",VLOOKUP(J323,list!$J$4:$M$117,4,FALSE))</f>
        <v>#N/A</v>
      </c>
      <c r="M323" s="66"/>
      <c r="N323" s="1297" t="str">
        <f>IF(SUMIFS('Level of Efficiency Assumptions'!$J:$J,'Level of Efficiency Assumptions'!$H:$H,$I323,'Level of Efficiency Assumptions'!$I:$I,N$51)=0," ",SUMIFS('Level of Efficiency Assumptions'!$J:$J,'Level of Efficiency Assumptions'!$H:$H,$I323,'Level of Efficiency Assumptions'!$I:$I,N$51))</f>
        <v xml:space="preserve"> </v>
      </c>
      <c r="O323" s="1298" t="str">
        <f>IF(SUMIFS('Level of Efficiency Assumptions'!$J:$J,'Level of Efficiency Assumptions'!$H:$H,$I323,'Level of Efficiency Assumptions'!$I:$I,O$51)=0," ",SUMIFS('Level of Efficiency Assumptions'!$J:$J,'Level of Efficiency Assumptions'!$H:$H,$I323,'Level of Efficiency Assumptions'!$I:$I,O$51))</f>
        <v xml:space="preserve"> </v>
      </c>
      <c r="P323" s="1299" t="str">
        <f>IF(SUMIFS('Level of Efficiency Assumptions'!$J:$J,'Level of Efficiency Assumptions'!$H:$H,$I323,'Level of Efficiency Assumptions'!$I:$I,P$51)=0," ",SUMIFS('Level of Efficiency Assumptions'!$J:$J,'Level of Efficiency Assumptions'!$H:$H,$I323,'Level of Efficiency Assumptions'!$I:$I,P$51))</f>
        <v xml:space="preserve"> </v>
      </c>
      <c r="Q323" s="971" t="e">
        <f>IF(I323=" "," ",(VLOOKUP(I323,list!$B$81:$C$111,2,FALSE)))</f>
        <v>#N/A</v>
      </c>
      <c r="R323" s="243">
        <f t="shared" si="109"/>
        <v>0</v>
      </c>
      <c r="S323" s="64">
        <v>1</v>
      </c>
      <c r="T323" s="68">
        <v>0</v>
      </c>
      <c r="U323" s="244">
        <f t="shared" si="112"/>
        <v>1</v>
      </c>
    </row>
    <row r="324" spans="2:24" ht="15" thickBot="1" x14ac:dyDescent="0.35">
      <c r="C324" s="520"/>
      <c r="D324" s="224" t="str">
        <f t="shared" si="113"/>
        <v xml:space="preserve">  </v>
      </c>
      <c r="E324" s="224"/>
      <c r="F324" s="224" t="str">
        <f t="shared" si="114"/>
        <v xml:space="preserve">  </v>
      </c>
      <c r="G324" s="224"/>
      <c r="H324" s="380"/>
      <c r="I324" s="516" t="e">
        <f>IF(VLOOKUP(C23,list!$AA$5:$AS$14,13,FALSE)=0," ",(VLOOKUP(C23,list!$AA$5:$AS$14,13,FALSE)))</f>
        <v>#N/A</v>
      </c>
      <c r="J324" s="955" t="e">
        <f t="shared" si="110"/>
        <v>#N/A</v>
      </c>
      <c r="K324" s="955" t="e">
        <f t="shared" si="111"/>
        <v>#N/A</v>
      </c>
      <c r="L324" s="969" t="e">
        <f>IF(I324=" "," ",VLOOKUP(J324,list!$J$4:$M$117,4,FALSE))</f>
        <v>#N/A</v>
      </c>
      <c r="M324" s="66"/>
      <c r="N324" s="1297" t="str">
        <f>IF(SUMIFS('Level of Efficiency Assumptions'!$J:$J,'Level of Efficiency Assumptions'!$H:$H,$I324,'Level of Efficiency Assumptions'!$I:$I,N$51)=0," ",SUMIFS('Level of Efficiency Assumptions'!$J:$J,'Level of Efficiency Assumptions'!$H:$H,$I324,'Level of Efficiency Assumptions'!$I:$I,N$51))</f>
        <v xml:space="preserve"> </v>
      </c>
      <c r="O324" s="1298" t="str">
        <f>IF(SUMIFS('Level of Efficiency Assumptions'!$J:$J,'Level of Efficiency Assumptions'!$H:$H,$I324,'Level of Efficiency Assumptions'!$I:$I,O$51)=0," ",SUMIFS('Level of Efficiency Assumptions'!$J:$J,'Level of Efficiency Assumptions'!$H:$H,$I324,'Level of Efficiency Assumptions'!$I:$I,O$51))</f>
        <v xml:space="preserve"> </v>
      </c>
      <c r="P324" s="1299" t="str">
        <f>IF(SUMIFS('Level of Efficiency Assumptions'!$J:$J,'Level of Efficiency Assumptions'!$H:$H,$I324,'Level of Efficiency Assumptions'!$I:$I,P$51)=0," ",SUMIFS('Level of Efficiency Assumptions'!$J:$J,'Level of Efficiency Assumptions'!$H:$H,$I324,'Level of Efficiency Assumptions'!$I:$I,P$51))</f>
        <v xml:space="preserve"> </v>
      </c>
      <c r="Q324" s="971" t="e">
        <f>IF(I324=" "," ",(VLOOKUP(I324,list!$B$81:$C$111,2,FALSE)))</f>
        <v>#N/A</v>
      </c>
      <c r="R324" s="243">
        <f t="shared" si="109"/>
        <v>0</v>
      </c>
      <c r="S324" s="64">
        <v>1</v>
      </c>
      <c r="T324" s="68">
        <v>0</v>
      </c>
      <c r="U324" s="244">
        <f t="shared" si="112"/>
        <v>1</v>
      </c>
    </row>
    <row r="325" spans="2:24" ht="15" thickBot="1" x14ac:dyDescent="0.35">
      <c r="C325" s="520"/>
      <c r="D325" s="224" t="str">
        <f t="shared" si="113"/>
        <v xml:space="preserve">  </v>
      </c>
      <c r="E325" s="224"/>
      <c r="F325" s="224" t="str">
        <f t="shared" si="114"/>
        <v xml:space="preserve">  </v>
      </c>
      <c r="G325" s="224"/>
      <c r="H325" s="380"/>
      <c r="I325" s="516" t="e">
        <f>IF(VLOOKUP(C23,list!$AA$5:$AS$14,14,FALSE)=0," ",(VLOOKUP(C23,list!$AA$5:$AS$14,14,FALSE)))</f>
        <v>#N/A</v>
      </c>
      <c r="J325" s="955" t="e">
        <f t="shared" si="110"/>
        <v>#N/A</v>
      </c>
      <c r="K325" s="955" t="e">
        <f t="shared" si="111"/>
        <v>#N/A</v>
      </c>
      <c r="L325" s="969" t="e">
        <f>IF(I325=" "," ",VLOOKUP(J325,list!$J$4:$M$117,4,FALSE))</f>
        <v>#N/A</v>
      </c>
      <c r="M325" s="66"/>
      <c r="N325" s="1297" t="str">
        <f>IF(SUMIFS('Level of Efficiency Assumptions'!$J:$J,'Level of Efficiency Assumptions'!$H:$H,$I325,'Level of Efficiency Assumptions'!$I:$I,N$51)=0," ",SUMIFS('Level of Efficiency Assumptions'!$J:$J,'Level of Efficiency Assumptions'!$H:$H,$I325,'Level of Efficiency Assumptions'!$I:$I,N$51))</f>
        <v xml:space="preserve"> </v>
      </c>
      <c r="O325" s="1298" t="str">
        <f>IF(SUMIFS('Level of Efficiency Assumptions'!$J:$J,'Level of Efficiency Assumptions'!$H:$H,$I325,'Level of Efficiency Assumptions'!$I:$I,O$51)=0," ",SUMIFS('Level of Efficiency Assumptions'!$J:$J,'Level of Efficiency Assumptions'!$H:$H,$I325,'Level of Efficiency Assumptions'!$I:$I,O$51))</f>
        <v xml:space="preserve"> </v>
      </c>
      <c r="P325" s="1299" t="str">
        <f>IF(SUMIFS('Level of Efficiency Assumptions'!$J:$J,'Level of Efficiency Assumptions'!$H:$H,$I325,'Level of Efficiency Assumptions'!$I:$I,P$51)=0," ",SUMIFS('Level of Efficiency Assumptions'!$J:$J,'Level of Efficiency Assumptions'!$H:$H,$I325,'Level of Efficiency Assumptions'!$I:$I,P$51))</f>
        <v xml:space="preserve"> </v>
      </c>
      <c r="Q325" s="971" t="e">
        <f>IF(I325=" "," ",(VLOOKUP(I325,list!$B$81:$C$111,2,FALSE)))</f>
        <v>#N/A</v>
      </c>
      <c r="R325" s="243">
        <f t="shared" si="109"/>
        <v>0</v>
      </c>
      <c r="S325" s="64">
        <v>1</v>
      </c>
      <c r="T325" s="68">
        <v>0</v>
      </c>
      <c r="U325" s="244">
        <f t="shared" si="112"/>
        <v>1</v>
      </c>
    </row>
    <row r="326" spans="2:24" ht="15" thickBot="1" x14ac:dyDescent="0.35">
      <c r="C326" s="520"/>
      <c r="D326" s="224" t="str">
        <f t="shared" si="113"/>
        <v xml:space="preserve">  </v>
      </c>
      <c r="E326" s="224"/>
      <c r="F326" s="224" t="str">
        <f t="shared" si="114"/>
        <v xml:space="preserve">  </v>
      </c>
      <c r="G326" s="224"/>
      <c r="H326" s="380"/>
      <c r="I326" s="516" t="e">
        <f>IF(VLOOKUP(C23,list!$AA$5:$AS$14,15,FALSE)=0," ",(VLOOKUP(C23,list!$AA$5:$AS$14,15,FALSE)))</f>
        <v>#N/A</v>
      </c>
      <c r="J326" s="955" t="e">
        <f t="shared" si="110"/>
        <v>#N/A</v>
      </c>
      <c r="K326" s="955" t="e">
        <f t="shared" si="111"/>
        <v>#N/A</v>
      </c>
      <c r="L326" s="969" t="e">
        <f>IF(I326=" "," ",VLOOKUP(J326,list!$J$4:$M$117,4,FALSE))</f>
        <v>#N/A</v>
      </c>
      <c r="M326" s="66"/>
      <c r="N326" s="1297" t="str">
        <f>IF(SUMIFS('Level of Efficiency Assumptions'!$J:$J,'Level of Efficiency Assumptions'!$H:$H,$I326,'Level of Efficiency Assumptions'!$I:$I,N$51)=0," ",SUMIFS('Level of Efficiency Assumptions'!$J:$J,'Level of Efficiency Assumptions'!$H:$H,$I326,'Level of Efficiency Assumptions'!$I:$I,N$51))</f>
        <v xml:space="preserve"> </v>
      </c>
      <c r="O326" s="1298" t="str">
        <f>IF(SUMIFS('Level of Efficiency Assumptions'!$J:$J,'Level of Efficiency Assumptions'!$H:$H,$I326,'Level of Efficiency Assumptions'!$I:$I,O$51)=0," ",SUMIFS('Level of Efficiency Assumptions'!$J:$J,'Level of Efficiency Assumptions'!$H:$H,$I326,'Level of Efficiency Assumptions'!$I:$I,O$51))</f>
        <v xml:space="preserve"> </v>
      </c>
      <c r="P326" s="1299" t="str">
        <f>IF(SUMIFS('Level of Efficiency Assumptions'!$J:$J,'Level of Efficiency Assumptions'!$H:$H,$I326,'Level of Efficiency Assumptions'!$I:$I,P$51)=0," ",SUMIFS('Level of Efficiency Assumptions'!$J:$J,'Level of Efficiency Assumptions'!$H:$H,$I326,'Level of Efficiency Assumptions'!$I:$I,P$51))</f>
        <v xml:space="preserve"> </v>
      </c>
      <c r="Q326" s="971" t="e">
        <f>IF(I326=" "," ",(VLOOKUP(I326,list!$B$81:$C$111,2,FALSE)))</f>
        <v>#N/A</v>
      </c>
      <c r="R326" s="243">
        <f t="shared" si="109"/>
        <v>0</v>
      </c>
      <c r="S326" s="64">
        <v>1</v>
      </c>
      <c r="T326" s="68">
        <v>0</v>
      </c>
      <c r="U326" s="244">
        <f t="shared" si="112"/>
        <v>1</v>
      </c>
    </row>
    <row r="327" spans="2:24" ht="15" thickBot="1" x14ac:dyDescent="0.35">
      <c r="C327" s="520"/>
      <c r="D327" s="224" t="str">
        <f t="shared" si="113"/>
        <v xml:space="preserve">  </v>
      </c>
      <c r="E327" s="224"/>
      <c r="F327" s="224" t="str">
        <f t="shared" si="114"/>
        <v xml:space="preserve">  </v>
      </c>
      <c r="G327" s="224"/>
      <c r="H327" s="380"/>
      <c r="I327" s="516" t="e">
        <f>IF(VLOOKUP(C23,list!$AA$5:$AS$14,16,FALSE)=0," ",(VLOOKUP(C23,list!$AA$5:$AS$14,16,FALSE)))</f>
        <v>#N/A</v>
      </c>
      <c r="J327" s="955" t="e">
        <f t="shared" si="110"/>
        <v>#N/A</v>
      </c>
      <c r="K327" s="955" t="e">
        <f t="shared" si="111"/>
        <v>#N/A</v>
      </c>
      <c r="L327" s="969" t="e">
        <f>IF(I327=" "," ",VLOOKUP(J327,list!$J$4:$M$117,4,FALSE))</f>
        <v>#N/A</v>
      </c>
      <c r="M327" s="66"/>
      <c r="N327" s="1297" t="str">
        <f>IF(SUMIFS('Level of Efficiency Assumptions'!$J:$J,'Level of Efficiency Assumptions'!$H:$H,$I327,'Level of Efficiency Assumptions'!$I:$I,N$51)=0," ",SUMIFS('Level of Efficiency Assumptions'!$J:$J,'Level of Efficiency Assumptions'!$H:$H,$I327,'Level of Efficiency Assumptions'!$I:$I,N$51))</f>
        <v xml:space="preserve"> </v>
      </c>
      <c r="O327" s="1298" t="str">
        <f>IF(SUMIFS('Level of Efficiency Assumptions'!$J:$J,'Level of Efficiency Assumptions'!$H:$H,$I327,'Level of Efficiency Assumptions'!$I:$I,O$51)=0," ",SUMIFS('Level of Efficiency Assumptions'!$J:$J,'Level of Efficiency Assumptions'!$H:$H,$I327,'Level of Efficiency Assumptions'!$I:$I,O$51))</f>
        <v xml:space="preserve"> </v>
      </c>
      <c r="P327" s="1299" t="str">
        <f>IF(SUMIFS('Level of Efficiency Assumptions'!$J:$J,'Level of Efficiency Assumptions'!$H:$H,$I327,'Level of Efficiency Assumptions'!$I:$I,P$51)=0," ",SUMIFS('Level of Efficiency Assumptions'!$J:$J,'Level of Efficiency Assumptions'!$H:$H,$I327,'Level of Efficiency Assumptions'!$I:$I,P$51))</f>
        <v xml:space="preserve"> </v>
      </c>
      <c r="Q327" s="971" t="e">
        <f>IF(I327=" "," ",(VLOOKUP(I327,list!$B$81:$C$111,2,FALSE)))</f>
        <v>#N/A</v>
      </c>
      <c r="R327" s="243">
        <f t="shared" si="109"/>
        <v>0</v>
      </c>
      <c r="S327" s="64">
        <v>1</v>
      </c>
      <c r="T327" s="68">
        <v>0</v>
      </c>
      <c r="U327" s="244">
        <f t="shared" si="112"/>
        <v>1</v>
      </c>
    </row>
    <row r="328" spans="2:24" ht="15" thickBot="1" x14ac:dyDescent="0.35">
      <c r="C328" s="520"/>
      <c r="D328" s="224" t="str">
        <f t="shared" si="113"/>
        <v xml:space="preserve">  </v>
      </c>
      <c r="E328" s="224"/>
      <c r="F328" s="224" t="str">
        <f t="shared" si="114"/>
        <v xml:space="preserve">  </v>
      </c>
      <c r="G328" s="224"/>
      <c r="H328" s="380"/>
      <c r="I328" s="516" t="e">
        <f>IF(VLOOKUP(C23,list!$AA$5:$AS$14,17,FALSE)=0," ",(VLOOKUP(C23,list!$AA$5:$AS$14,17,FALSE)))</f>
        <v>#N/A</v>
      </c>
      <c r="J328" s="955" t="e">
        <f t="shared" si="110"/>
        <v>#N/A</v>
      </c>
      <c r="K328" s="955" t="e">
        <f t="shared" si="111"/>
        <v>#N/A</v>
      </c>
      <c r="L328" s="969" t="e">
        <f>IF(I328=" "," ",VLOOKUP(J328,list!$J$4:$M$117,4,FALSE))</f>
        <v>#N/A</v>
      </c>
      <c r="M328" s="66"/>
      <c r="N328" s="1297" t="str">
        <f>IF(SUMIFS('Level of Efficiency Assumptions'!$J:$J,'Level of Efficiency Assumptions'!$H:$H,$I328,'Level of Efficiency Assumptions'!$I:$I,N$51)=0," ",SUMIFS('Level of Efficiency Assumptions'!$J:$J,'Level of Efficiency Assumptions'!$H:$H,$I328,'Level of Efficiency Assumptions'!$I:$I,N$51))</f>
        <v xml:space="preserve"> </v>
      </c>
      <c r="O328" s="1298" t="str">
        <f>IF(SUMIFS('Level of Efficiency Assumptions'!$J:$J,'Level of Efficiency Assumptions'!$H:$H,$I328,'Level of Efficiency Assumptions'!$I:$I,O$51)=0," ",SUMIFS('Level of Efficiency Assumptions'!$J:$J,'Level of Efficiency Assumptions'!$H:$H,$I328,'Level of Efficiency Assumptions'!$I:$I,O$51))</f>
        <v xml:space="preserve"> </v>
      </c>
      <c r="P328" s="1299" t="str">
        <f>IF(SUMIFS('Level of Efficiency Assumptions'!$J:$J,'Level of Efficiency Assumptions'!$H:$H,$I328,'Level of Efficiency Assumptions'!$I:$I,P$51)=0," ",SUMIFS('Level of Efficiency Assumptions'!$J:$J,'Level of Efficiency Assumptions'!$H:$H,$I328,'Level of Efficiency Assumptions'!$I:$I,P$51))</f>
        <v xml:space="preserve"> </v>
      </c>
      <c r="Q328" s="971" t="e">
        <f>IF(I328=" "," ",(VLOOKUP(I328,list!$B$81:$C$111,2,FALSE)))</f>
        <v>#N/A</v>
      </c>
      <c r="R328" s="243">
        <f t="shared" si="109"/>
        <v>0</v>
      </c>
      <c r="S328" s="64">
        <v>1</v>
      </c>
      <c r="T328" s="68">
        <v>0</v>
      </c>
      <c r="U328" s="244">
        <f t="shared" si="112"/>
        <v>1</v>
      </c>
    </row>
    <row r="329" spans="2:24" ht="15" thickBot="1" x14ac:dyDescent="0.35">
      <c r="C329" s="520"/>
      <c r="D329" s="224" t="str">
        <f t="shared" si="113"/>
        <v xml:space="preserve">  </v>
      </c>
      <c r="E329" s="224"/>
      <c r="F329" s="224" t="str">
        <f t="shared" si="114"/>
        <v xml:space="preserve">  </v>
      </c>
      <c r="G329" s="224"/>
      <c r="H329" s="380"/>
      <c r="I329" s="516" t="e">
        <f>IF(VLOOKUP(C23,list!$AA$5:$AS$14,18,FALSE)=0," ",(VLOOKUP(C23,list!$AA$5:$AS$14,18,FALSE)))</f>
        <v>#N/A</v>
      </c>
      <c r="J329" s="955" t="e">
        <f t="shared" si="110"/>
        <v>#N/A</v>
      </c>
      <c r="K329" s="955" t="e">
        <f t="shared" si="111"/>
        <v>#N/A</v>
      </c>
      <c r="L329" s="969" t="e">
        <f>IF(I329=" "," ",VLOOKUP(J329,list!$J$4:$M$117,4,FALSE))</f>
        <v>#N/A</v>
      </c>
      <c r="M329" s="66"/>
      <c r="N329" s="1297" t="str">
        <f>IF(SUMIFS('Level of Efficiency Assumptions'!$J:$J,'Level of Efficiency Assumptions'!$H:$H,$I329,'Level of Efficiency Assumptions'!$I:$I,N$51)=0," ",SUMIFS('Level of Efficiency Assumptions'!$J:$J,'Level of Efficiency Assumptions'!$H:$H,$I329,'Level of Efficiency Assumptions'!$I:$I,N$51))</f>
        <v xml:space="preserve"> </v>
      </c>
      <c r="O329" s="1298" t="str">
        <f>IF(SUMIFS('Level of Efficiency Assumptions'!$J:$J,'Level of Efficiency Assumptions'!$H:$H,$I329,'Level of Efficiency Assumptions'!$I:$I,O$51)=0," ",SUMIFS('Level of Efficiency Assumptions'!$J:$J,'Level of Efficiency Assumptions'!$H:$H,$I329,'Level of Efficiency Assumptions'!$I:$I,O$51))</f>
        <v xml:space="preserve"> </v>
      </c>
      <c r="P329" s="1299" t="str">
        <f>IF(SUMIFS('Level of Efficiency Assumptions'!$J:$J,'Level of Efficiency Assumptions'!$H:$H,$I329,'Level of Efficiency Assumptions'!$I:$I,P$51)=0," ",SUMIFS('Level of Efficiency Assumptions'!$J:$J,'Level of Efficiency Assumptions'!$H:$H,$I329,'Level of Efficiency Assumptions'!$I:$I,P$51))</f>
        <v xml:space="preserve"> </v>
      </c>
      <c r="Q329" s="971" t="e">
        <f>IF(I329=" "," ",(VLOOKUP(I329,list!$B$81:$C$111,2,FALSE)))</f>
        <v>#N/A</v>
      </c>
      <c r="R329" s="243">
        <f t="shared" si="109"/>
        <v>0</v>
      </c>
      <c r="S329" s="64">
        <v>1</v>
      </c>
      <c r="T329" s="68">
        <v>0</v>
      </c>
      <c r="U329" s="244">
        <f t="shared" si="112"/>
        <v>1</v>
      </c>
    </row>
    <row r="330" spans="2:24" ht="15" thickBot="1" x14ac:dyDescent="0.35">
      <c r="C330" s="632"/>
      <c r="D330" s="226" t="str">
        <f t="shared" si="113"/>
        <v xml:space="preserve">  </v>
      </c>
      <c r="E330" s="226"/>
      <c r="F330" s="226" t="str">
        <f t="shared" si="114"/>
        <v xml:space="preserve">  </v>
      </c>
      <c r="G330" s="226"/>
      <c r="H330" s="976"/>
      <c r="I330" s="516" t="e">
        <f>IF(VLOOKUP(C23,list!$AA$5:$AS$14,19,FALSE)=0," ",(VLOOKUP(C23,list!$AA$5:$AS$14,19,FALSE)))</f>
        <v>#N/A</v>
      </c>
      <c r="J330" s="955" t="e">
        <f>IF(I330=" "," ",(D330&amp;"-"&amp;I330))</f>
        <v>#N/A</v>
      </c>
      <c r="K330" s="955" t="e">
        <f t="shared" si="111"/>
        <v>#N/A</v>
      </c>
      <c r="L330" s="969" t="e">
        <f>IF(I330=" "," ",VLOOKUP(J330,list!$J$4:$M$117,4,FALSE))</f>
        <v>#N/A</v>
      </c>
      <c r="M330" s="67"/>
      <c r="N330" s="1303" t="str">
        <f>IF(SUMIFS('Level of Efficiency Assumptions'!$J:$J,'Level of Efficiency Assumptions'!$H:$H,$I330,'Level of Efficiency Assumptions'!$I:$I,N$51)=0," ",SUMIFS('Level of Efficiency Assumptions'!$J:$J,'Level of Efficiency Assumptions'!$H:$H,$I330,'Level of Efficiency Assumptions'!$I:$I,N$51))</f>
        <v xml:space="preserve"> </v>
      </c>
      <c r="O330" s="1304" t="str">
        <f>IF(SUMIFS('Level of Efficiency Assumptions'!$J:$J,'Level of Efficiency Assumptions'!$H:$H,$I330,'Level of Efficiency Assumptions'!$I:$I,O$51)=0," ",SUMIFS('Level of Efficiency Assumptions'!$J:$J,'Level of Efficiency Assumptions'!$H:$H,$I330,'Level of Efficiency Assumptions'!$I:$I,O$51))</f>
        <v xml:space="preserve"> </v>
      </c>
      <c r="P330" s="1305" t="str">
        <f>IF(SUMIFS('Level of Efficiency Assumptions'!$J:$J,'Level of Efficiency Assumptions'!$H:$H,$I330,'Level of Efficiency Assumptions'!$I:$I,P$51)=0," ",SUMIFS('Level of Efficiency Assumptions'!$J:$J,'Level of Efficiency Assumptions'!$H:$H,$I330,'Level of Efficiency Assumptions'!$I:$I,P$51))</f>
        <v xml:space="preserve"> </v>
      </c>
      <c r="Q330" s="977" t="e">
        <f>IF(I330=" "," ",(VLOOKUP(I330,list!$B$81:$C$111,2,FALSE)))</f>
        <v>#N/A</v>
      </c>
      <c r="R330" s="245">
        <f t="shared" si="109"/>
        <v>0</v>
      </c>
      <c r="S330" s="65">
        <v>1</v>
      </c>
      <c r="T330" s="69">
        <v>0</v>
      </c>
      <c r="U330" s="246">
        <f t="shared" si="112"/>
        <v>1</v>
      </c>
    </row>
    <row r="331" spans="2:24" x14ac:dyDescent="0.3">
      <c r="D331" s="846"/>
      <c r="F331" s="82"/>
      <c r="J331" s="846"/>
      <c r="K331" s="846"/>
      <c r="N331" s="1179"/>
      <c r="O331" s="1179"/>
      <c r="P331" s="1179"/>
      <c r="R331" s="176" t="s">
        <v>295</v>
      </c>
      <c r="S331" s="176"/>
      <c r="T331" s="176"/>
      <c r="U331" s="176"/>
    </row>
    <row r="332" spans="2:24" ht="15" thickBot="1" x14ac:dyDescent="0.35">
      <c r="D332" s="846"/>
      <c r="F332" s="82"/>
      <c r="J332" s="846"/>
      <c r="K332" s="846"/>
      <c r="N332" s="1179"/>
      <c r="O332" s="1179"/>
      <c r="P332" s="1179"/>
    </row>
    <row r="333" spans="2:24" ht="15" thickBot="1" x14ac:dyDescent="0.35">
      <c r="B333" s="814">
        <v>15</v>
      </c>
      <c r="C333" s="967" t="str">
        <f t="shared" ref="C333:H333" si="115">C24</f>
        <v xml:space="preserve">  </v>
      </c>
      <c r="D333" s="967" t="str">
        <f t="shared" si="115"/>
        <v xml:space="preserve">  </v>
      </c>
      <c r="E333" s="967" t="str">
        <f t="shared" si="115"/>
        <v xml:space="preserve">  </v>
      </c>
      <c r="F333" s="967" t="str">
        <f t="shared" si="115"/>
        <v xml:space="preserve">  </v>
      </c>
      <c r="G333" s="967">
        <f t="shared" si="115"/>
        <v>0</v>
      </c>
      <c r="H333" s="968">
        <f t="shared" si="115"/>
        <v>0</v>
      </c>
      <c r="I333" s="516" t="e">
        <f>IF(VLOOKUP(C24,list!$AA$5:$AS$14,2,FALSE)=0," ",(VLOOKUP(C24,list!$AA$5:$AS$14,2,FALSE)))</f>
        <v>#N/A</v>
      </c>
      <c r="J333" s="955" t="e">
        <f>IF(I333=" "," ",(D24&amp;"-"&amp;I333))</f>
        <v>#N/A</v>
      </c>
      <c r="K333" s="955" t="e">
        <f>IF(I333=" "," ",(F24&amp;"-"&amp;I333))</f>
        <v>#N/A</v>
      </c>
      <c r="L333" s="969" t="e">
        <f>IF(I333=" "," ",VLOOKUP(J333,list!$J$4:$M$117,4,FALSE))</f>
        <v>#N/A</v>
      </c>
      <c r="M333" s="70"/>
      <c r="N333" s="1300" t="str">
        <f>IF(SUMIFS('Level of Efficiency Assumptions'!$J:$J,'Level of Efficiency Assumptions'!$H:$H,$I333,'Level of Efficiency Assumptions'!$I:$I,N$51)=0," ",SUMIFS('Level of Efficiency Assumptions'!$J:$J,'Level of Efficiency Assumptions'!$H:$H,$I333,'Level of Efficiency Assumptions'!$I:$I,N$51))</f>
        <v xml:space="preserve"> </v>
      </c>
      <c r="O333" s="1301" t="str">
        <f>IF(SUMIFS('Level of Efficiency Assumptions'!$J:$J,'Level of Efficiency Assumptions'!$H:$H,$I333,'Level of Efficiency Assumptions'!$I:$I,O$51)=0," ",SUMIFS('Level of Efficiency Assumptions'!$J:$J,'Level of Efficiency Assumptions'!$H:$H,$I333,'Level of Efficiency Assumptions'!$I:$I,O$51))</f>
        <v xml:space="preserve"> </v>
      </c>
      <c r="P333" s="1302" t="str">
        <f>IF(SUMIFS('Level of Efficiency Assumptions'!$J:$J,'Level of Efficiency Assumptions'!$H:$H,$I333,'Level of Efficiency Assumptions'!$I:$I,P$51)=0," ",SUMIFS('Level of Efficiency Assumptions'!$J:$J,'Level of Efficiency Assumptions'!$H:$H,$I333,'Level of Efficiency Assumptions'!$I:$I,P$51))</f>
        <v xml:space="preserve"> </v>
      </c>
      <c r="Q333" s="970" t="e">
        <f>IF(I333=" "," ",(VLOOKUP(I333,list!$B$81:$C$111,2,FALSE)))</f>
        <v>#N/A</v>
      </c>
      <c r="R333" s="241">
        <f t="shared" ref="R333:R350" si="116">1-S333-T333</f>
        <v>0</v>
      </c>
      <c r="S333" s="83">
        <v>1</v>
      </c>
      <c r="T333" s="84">
        <v>0</v>
      </c>
      <c r="U333" s="242">
        <f>SUM(R333:T333)</f>
        <v>1</v>
      </c>
      <c r="W333" s="250" t="s">
        <v>367</v>
      </c>
      <c r="X333" s="251" t="s">
        <v>366</v>
      </c>
    </row>
    <row r="334" spans="2:24" ht="15" thickBot="1" x14ac:dyDescent="0.35">
      <c r="C334" s="520"/>
      <c r="D334" s="224" t="str">
        <f>D24</f>
        <v xml:space="preserve">  </v>
      </c>
      <c r="E334" s="224"/>
      <c r="F334" s="224" t="str">
        <f>F24</f>
        <v xml:space="preserve">  </v>
      </c>
      <c r="G334" s="224"/>
      <c r="H334" s="380"/>
      <c r="I334" s="516" t="e">
        <f>IF(VLOOKUP(C24,list!$AA$5:$AS$14,3,FALSE)=0," ",(VLOOKUP(C24,list!$AA$5:$AS$14,3,FALSE)))</f>
        <v>#N/A</v>
      </c>
      <c r="J334" s="955" t="e">
        <f t="shared" ref="J334:J349" si="117">IF(I334=" "," ",(D334&amp;"-"&amp;I334))</f>
        <v>#N/A</v>
      </c>
      <c r="K334" s="955" t="e">
        <f t="shared" ref="K334:K350" si="118">IF(I334=" "," ",(F334&amp;"-"&amp;I334))</f>
        <v>#N/A</v>
      </c>
      <c r="L334" s="969" t="e">
        <f>IF(I334=" "," ",VLOOKUP(J334,list!$J$4:$M$117,4,FALSE))</f>
        <v>#N/A</v>
      </c>
      <c r="M334" s="66"/>
      <c r="N334" s="1297" t="str">
        <f>IF(SUMIFS('Level of Efficiency Assumptions'!$J:$J,'Level of Efficiency Assumptions'!$H:$H,$I334,'Level of Efficiency Assumptions'!$I:$I,N$51)=0," ",SUMIFS('Level of Efficiency Assumptions'!$J:$J,'Level of Efficiency Assumptions'!$H:$H,$I334,'Level of Efficiency Assumptions'!$I:$I,N$51))</f>
        <v xml:space="preserve"> </v>
      </c>
      <c r="O334" s="1298" t="str">
        <f>IF(SUMIFS('Level of Efficiency Assumptions'!$J:$J,'Level of Efficiency Assumptions'!$H:$H,$I334,'Level of Efficiency Assumptions'!$I:$I,O$51)=0," ",SUMIFS('Level of Efficiency Assumptions'!$J:$J,'Level of Efficiency Assumptions'!$H:$H,$I334,'Level of Efficiency Assumptions'!$I:$I,O$51))</f>
        <v xml:space="preserve"> </v>
      </c>
      <c r="P334" s="1299" t="str">
        <f>IF(SUMIFS('Level of Efficiency Assumptions'!$J:$J,'Level of Efficiency Assumptions'!$H:$H,$I334,'Level of Efficiency Assumptions'!$I:$I,P$51)=0," ",SUMIFS('Level of Efficiency Assumptions'!$J:$J,'Level of Efficiency Assumptions'!$H:$H,$I334,'Level of Efficiency Assumptions'!$I:$I,P$51))</f>
        <v xml:space="preserve"> </v>
      </c>
      <c r="Q334" s="971" t="e">
        <f>IF(I334=" "," ",(VLOOKUP(I334,list!$B$81:$C$111,2,FALSE)))</f>
        <v>#N/A</v>
      </c>
      <c r="R334" s="243">
        <f t="shared" si="116"/>
        <v>0</v>
      </c>
      <c r="S334" s="64">
        <v>1</v>
      </c>
      <c r="T334" s="68">
        <v>0</v>
      </c>
      <c r="U334" s="244">
        <f t="shared" ref="U334:U350" si="119">SUM(R334:T334)</f>
        <v>1</v>
      </c>
      <c r="V334" s="82" t="e">
        <f>F334&amp;"-"&amp;W334</f>
        <v>#N/A</v>
      </c>
      <c r="W334" s="247" t="e">
        <f>HLOOKUP(D334,list!$O$34:$X$38,2,FALSE)</f>
        <v>#N/A</v>
      </c>
      <c r="X334" s="972">
        <v>1</v>
      </c>
    </row>
    <row r="335" spans="2:24" ht="15" thickBot="1" x14ac:dyDescent="0.35">
      <c r="C335" s="520"/>
      <c r="D335" s="224" t="str">
        <f>D334</f>
        <v xml:space="preserve">  </v>
      </c>
      <c r="E335" s="224"/>
      <c r="F335" s="224" t="str">
        <f>F334</f>
        <v xml:space="preserve">  </v>
      </c>
      <c r="G335" s="224"/>
      <c r="H335" s="380"/>
      <c r="I335" s="516" t="e">
        <f>IF(VLOOKUP(C24,list!$AA$5:$AS$14,4,FALSE)=0," ",(VLOOKUP(C24,list!$AA$5:$AS$14,4,FALSE)))</f>
        <v>#N/A</v>
      </c>
      <c r="J335" s="955" t="e">
        <f t="shared" si="117"/>
        <v>#N/A</v>
      </c>
      <c r="K335" s="955" t="e">
        <f t="shared" si="118"/>
        <v>#N/A</v>
      </c>
      <c r="L335" s="969" t="e">
        <f>IF(I335=" "," ",VLOOKUP(J335,list!$J$4:$M$117,4,FALSE))</f>
        <v>#N/A</v>
      </c>
      <c r="M335" s="66"/>
      <c r="N335" s="1297" t="str">
        <f>IF(SUMIFS('Level of Efficiency Assumptions'!$J:$J,'Level of Efficiency Assumptions'!$H:$H,$I335,'Level of Efficiency Assumptions'!$I:$I,N$51)=0," ",SUMIFS('Level of Efficiency Assumptions'!$J:$J,'Level of Efficiency Assumptions'!$H:$H,$I335,'Level of Efficiency Assumptions'!$I:$I,N$51))</f>
        <v xml:space="preserve"> </v>
      </c>
      <c r="O335" s="1298" t="str">
        <f>IF(SUMIFS('Level of Efficiency Assumptions'!$J:$J,'Level of Efficiency Assumptions'!$H:$H,$I335,'Level of Efficiency Assumptions'!$I:$I,O$51)=0," ",SUMIFS('Level of Efficiency Assumptions'!$J:$J,'Level of Efficiency Assumptions'!$H:$H,$I335,'Level of Efficiency Assumptions'!$I:$I,O$51))</f>
        <v xml:space="preserve"> </v>
      </c>
      <c r="P335" s="1299" t="str">
        <f>IF(SUMIFS('Level of Efficiency Assumptions'!$J:$J,'Level of Efficiency Assumptions'!$H:$H,$I335,'Level of Efficiency Assumptions'!$I:$I,P$51)=0," ",SUMIFS('Level of Efficiency Assumptions'!$J:$J,'Level of Efficiency Assumptions'!$H:$H,$I335,'Level of Efficiency Assumptions'!$I:$I,P$51))</f>
        <v xml:space="preserve"> </v>
      </c>
      <c r="Q335" s="971" t="e">
        <f>IF(I335=" "," ",(VLOOKUP(I335,list!$B$81:$C$111,2,FALSE)))</f>
        <v>#N/A</v>
      </c>
      <c r="R335" s="243">
        <f t="shared" si="116"/>
        <v>0</v>
      </c>
      <c r="S335" s="64">
        <v>1</v>
      </c>
      <c r="T335" s="68">
        <v>0</v>
      </c>
      <c r="U335" s="244">
        <f t="shared" si="119"/>
        <v>1</v>
      </c>
      <c r="V335" s="82" t="e">
        <f>F335&amp;"-"&amp;W335</f>
        <v>#N/A</v>
      </c>
      <c r="W335" s="248" t="e">
        <f>HLOOKUP(D335,list!$O$34:$X$38,3,FALSE)</f>
        <v>#N/A</v>
      </c>
      <c r="X335" s="973">
        <v>0.5</v>
      </c>
    </row>
    <row r="336" spans="2:24" ht="15" thickBot="1" x14ac:dyDescent="0.35">
      <c r="C336" s="520"/>
      <c r="D336" s="224" t="str">
        <f t="shared" ref="D336:D350" si="120">D335</f>
        <v xml:space="preserve">  </v>
      </c>
      <c r="E336" s="224"/>
      <c r="F336" s="224" t="str">
        <f t="shared" ref="F336:F350" si="121">F335</f>
        <v xml:space="preserve">  </v>
      </c>
      <c r="G336" s="224"/>
      <c r="H336" s="380"/>
      <c r="I336" s="516" t="e">
        <f>IF(VLOOKUP(C24,list!$AA$5:$AS$14,5,FALSE)=0," ",(VLOOKUP(C24,list!$AA$5:$AS$14,5,FALSE)))</f>
        <v>#N/A</v>
      </c>
      <c r="J336" s="955" t="e">
        <f t="shared" si="117"/>
        <v>#N/A</v>
      </c>
      <c r="K336" s="955" t="e">
        <f t="shared" si="118"/>
        <v>#N/A</v>
      </c>
      <c r="L336" s="969" t="e">
        <f>IF(I336=" "," ",VLOOKUP(J336,list!$J$4:$M$117,4,FALSE))</f>
        <v>#N/A</v>
      </c>
      <c r="M336" s="66"/>
      <c r="N336" s="1297" t="str">
        <f>IF(SUMIFS('Level of Efficiency Assumptions'!$J:$J,'Level of Efficiency Assumptions'!$H:$H,$I336,'Level of Efficiency Assumptions'!$I:$I,N$51)=0," ",SUMIFS('Level of Efficiency Assumptions'!$J:$J,'Level of Efficiency Assumptions'!$H:$H,$I336,'Level of Efficiency Assumptions'!$I:$I,N$51))</f>
        <v xml:space="preserve"> </v>
      </c>
      <c r="O336" s="1298" t="str">
        <f>IF(SUMIFS('Level of Efficiency Assumptions'!$J:$J,'Level of Efficiency Assumptions'!$H:$H,$I336,'Level of Efficiency Assumptions'!$I:$I,O$51)=0," ",SUMIFS('Level of Efficiency Assumptions'!$J:$J,'Level of Efficiency Assumptions'!$H:$H,$I336,'Level of Efficiency Assumptions'!$I:$I,O$51))</f>
        <v xml:space="preserve"> </v>
      </c>
      <c r="P336" s="1299" t="str">
        <f>IF(SUMIFS('Level of Efficiency Assumptions'!$J:$J,'Level of Efficiency Assumptions'!$H:$H,$I336,'Level of Efficiency Assumptions'!$I:$I,P$51)=0," ",SUMIFS('Level of Efficiency Assumptions'!$J:$J,'Level of Efficiency Assumptions'!$H:$H,$I336,'Level of Efficiency Assumptions'!$I:$I,P$51))</f>
        <v xml:space="preserve"> </v>
      </c>
      <c r="Q336" s="971" t="e">
        <f>IF(I336=" "," ",(VLOOKUP(I336,list!$B$81:$C$111,2,FALSE)))</f>
        <v>#N/A</v>
      </c>
      <c r="R336" s="243">
        <f t="shared" si="116"/>
        <v>0</v>
      </c>
      <c r="S336" s="64">
        <v>1</v>
      </c>
      <c r="T336" s="68">
        <v>0</v>
      </c>
      <c r="U336" s="244">
        <f t="shared" si="119"/>
        <v>1</v>
      </c>
      <c r="V336" s="82" t="e">
        <f>F336&amp;"-"&amp;W336</f>
        <v>#N/A</v>
      </c>
      <c r="W336" s="248" t="e">
        <f>HLOOKUP(D336,list!$O$34:$X$38,4,FALSE)</f>
        <v>#N/A</v>
      </c>
      <c r="X336" s="973">
        <v>0.5</v>
      </c>
    </row>
    <row r="337" spans="3:24" ht="15" thickBot="1" x14ac:dyDescent="0.35">
      <c r="C337" s="520"/>
      <c r="D337" s="224" t="str">
        <f t="shared" si="120"/>
        <v xml:space="preserve">  </v>
      </c>
      <c r="E337" s="224"/>
      <c r="F337" s="224" t="str">
        <f t="shared" si="121"/>
        <v xml:space="preserve">  </v>
      </c>
      <c r="G337" s="224"/>
      <c r="H337" s="380"/>
      <c r="I337" s="516" t="e">
        <f>IF(VLOOKUP(C24,list!$AA$5:$AS$14,6,FALSE)=0," ",(VLOOKUP(C24,list!$AA$5:$AS$14,6,FALSE)))</f>
        <v>#N/A</v>
      </c>
      <c r="J337" s="955" t="e">
        <f t="shared" si="117"/>
        <v>#N/A</v>
      </c>
      <c r="K337" s="955" t="e">
        <f t="shared" si="118"/>
        <v>#N/A</v>
      </c>
      <c r="L337" s="969" t="e">
        <f>IF(I337=" "," ",VLOOKUP(J337,list!$J$4:$M$117,4,FALSE))</f>
        <v>#N/A</v>
      </c>
      <c r="M337" s="66"/>
      <c r="N337" s="1297" t="str">
        <f>IF(SUMIFS('Level of Efficiency Assumptions'!$J:$J,'Level of Efficiency Assumptions'!$H:$H,$I337,'Level of Efficiency Assumptions'!$I:$I,N$51)=0," ",SUMIFS('Level of Efficiency Assumptions'!$J:$J,'Level of Efficiency Assumptions'!$H:$H,$I337,'Level of Efficiency Assumptions'!$I:$I,N$51))</f>
        <v xml:space="preserve"> </v>
      </c>
      <c r="O337" s="1298" t="str">
        <f>IF(SUMIFS('Level of Efficiency Assumptions'!$J:$J,'Level of Efficiency Assumptions'!$H:$H,$I337,'Level of Efficiency Assumptions'!$I:$I,O$51)=0," ",SUMIFS('Level of Efficiency Assumptions'!$J:$J,'Level of Efficiency Assumptions'!$H:$H,$I337,'Level of Efficiency Assumptions'!$I:$I,O$51))</f>
        <v xml:space="preserve"> </v>
      </c>
      <c r="P337" s="1299" t="str">
        <f>IF(SUMIFS('Level of Efficiency Assumptions'!$J:$J,'Level of Efficiency Assumptions'!$H:$H,$I337,'Level of Efficiency Assumptions'!$I:$I,P$51)=0," ",SUMIFS('Level of Efficiency Assumptions'!$J:$J,'Level of Efficiency Assumptions'!$H:$H,$I337,'Level of Efficiency Assumptions'!$I:$I,P$51))</f>
        <v xml:space="preserve"> </v>
      </c>
      <c r="Q337" s="971" t="e">
        <f>IF(I337=" "," ",(VLOOKUP(I337,list!$B$81:$C$111,2,FALSE)))</f>
        <v>#N/A</v>
      </c>
      <c r="R337" s="243">
        <f t="shared" si="116"/>
        <v>0</v>
      </c>
      <c r="S337" s="64">
        <v>1</v>
      </c>
      <c r="T337" s="68">
        <v>0</v>
      </c>
      <c r="U337" s="244">
        <f t="shared" si="119"/>
        <v>1</v>
      </c>
      <c r="V337" s="82" t="e">
        <f>F337&amp;"-"&amp;W337</f>
        <v>#N/A</v>
      </c>
      <c r="W337" s="249" t="e">
        <f>HLOOKUP(D337,list!$O$34:$X$38,5,FALSE)</f>
        <v>#N/A</v>
      </c>
      <c r="X337" s="974">
        <v>0.5</v>
      </c>
    </row>
    <row r="338" spans="3:24" ht="15" thickBot="1" x14ac:dyDescent="0.35">
      <c r="C338" s="520"/>
      <c r="D338" s="224" t="str">
        <f t="shared" si="120"/>
        <v xml:space="preserve">  </v>
      </c>
      <c r="E338" s="224"/>
      <c r="F338" s="224" t="str">
        <f t="shared" si="121"/>
        <v xml:space="preserve">  </v>
      </c>
      <c r="G338" s="224"/>
      <c r="H338" s="380"/>
      <c r="I338" s="516" t="e">
        <f>IF(VLOOKUP(C24,list!$AA$5:$AS$14,7,FALSE)=0," ",(VLOOKUP(C24,list!$AA$5:$AS$14,7,FALSE)))</f>
        <v>#N/A</v>
      </c>
      <c r="J338" s="955" t="e">
        <f t="shared" si="117"/>
        <v>#N/A</v>
      </c>
      <c r="K338" s="955" t="e">
        <f t="shared" si="118"/>
        <v>#N/A</v>
      </c>
      <c r="L338" s="969" t="e">
        <f>IF(I338=" "," ",VLOOKUP(J338,list!$J$4:$M$117,4,FALSE))</f>
        <v>#N/A</v>
      </c>
      <c r="M338" s="66"/>
      <c r="N338" s="1297" t="str">
        <f>IF(SUMIFS('Level of Efficiency Assumptions'!$J:$J,'Level of Efficiency Assumptions'!$H:$H,$I338,'Level of Efficiency Assumptions'!$I:$I,N$51)=0," ",SUMIFS('Level of Efficiency Assumptions'!$J:$J,'Level of Efficiency Assumptions'!$H:$H,$I338,'Level of Efficiency Assumptions'!$I:$I,N$51))</f>
        <v xml:space="preserve"> </v>
      </c>
      <c r="O338" s="1298" t="str">
        <f>IF(SUMIFS('Level of Efficiency Assumptions'!$J:$J,'Level of Efficiency Assumptions'!$H:$H,$I338,'Level of Efficiency Assumptions'!$I:$I,O$51)=0," ",SUMIFS('Level of Efficiency Assumptions'!$J:$J,'Level of Efficiency Assumptions'!$H:$H,$I338,'Level of Efficiency Assumptions'!$I:$I,O$51))</f>
        <v xml:space="preserve"> </v>
      </c>
      <c r="P338" s="1299" t="str">
        <f>IF(SUMIFS('Level of Efficiency Assumptions'!$J:$J,'Level of Efficiency Assumptions'!$H:$H,$I338,'Level of Efficiency Assumptions'!$I:$I,P$51)=0," ",SUMIFS('Level of Efficiency Assumptions'!$J:$J,'Level of Efficiency Assumptions'!$H:$H,$I338,'Level of Efficiency Assumptions'!$I:$I,P$51))</f>
        <v xml:space="preserve"> </v>
      </c>
      <c r="Q338" s="971" t="e">
        <f>IF(I338=" "," ",(VLOOKUP(I338,list!$B$81:$C$111,2,FALSE)))</f>
        <v>#N/A</v>
      </c>
      <c r="R338" s="243">
        <f t="shared" si="116"/>
        <v>0</v>
      </c>
      <c r="S338" s="64">
        <v>1</v>
      </c>
      <c r="T338" s="68">
        <v>0</v>
      </c>
      <c r="U338" s="244">
        <f t="shared" si="119"/>
        <v>1</v>
      </c>
      <c r="W338" s="182"/>
      <c r="X338" s="975"/>
    </row>
    <row r="339" spans="3:24" ht="15" thickBot="1" x14ac:dyDescent="0.35">
      <c r="C339" s="520"/>
      <c r="D339" s="224" t="str">
        <f t="shared" si="120"/>
        <v xml:space="preserve">  </v>
      </c>
      <c r="E339" s="224"/>
      <c r="F339" s="224" t="str">
        <f t="shared" si="121"/>
        <v xml:space="preserve">  </v>
      </c>
      <c r="G339" s="224"/>
      <c r="H339" s="380"/>
      <c r="I339" s="516" t="e">
        <f>IF(VLOOKUP(C24,list!$AA$5:$AS$14,8,FALSE)=0," ",(VLOOKUP(C24,list!$AA$5:$AS$14,8,FALSE)))</f>
        <v>#N/A</v>
      </c>
      <c r="J339" s="955" t="e">
        <f t="shared" si="117"/>
        <v>#N/A</v>
      </c>
      <c r="K339" s="955" t="e">
        <f t="shared" si="118"/>
        <v>#N/A</v>
      </c>
      <c r="L339" s="969" t="e">
        <f>IF(I339=" "," ",VLOOKUP(J339,list!$J$4:$M$117,4,FALSE))</f>
        <v>#N/A</v>
      </c>
      <c r="M339" s="66"/>
      <c r="N339" s="1297" t="str">
        <f>IF(SUMIFS('Level of Efficiency Assumptions'!$J:$J,'Level of Efficiency Assumptions'!$H:$H,$I339,'Level of Efficiency Assumptions'!$I:$I,N$51)=0," ",SUMIFS('Level of Efficiency Assumptions'!$J:$J,'Level of Efficiency Assumptions'!$H:$H,$I339,'Level of Efficiency Assumptions'!$I:$I,N$51))</f>
        <v xml:space="preserve"> </v>
      </c>
      <c r="O339" s="1298" t="str">
        <f>IF(SUMIFS('Level of Efficiency Assumptions'!$J:$J,'Level of Efficiency Assumptions'!$H:$H,$I339,'Level of Efficiency Assumptions'!$I:$I,O$51)=0," ",SUMIFS('Level of Efficiency Assumptions'!$J:$J,'Level of Efficiency Assumptions'!$H:$H,$I339,'Level of Efficiency Assumptions'!$I:$I,O$51))</f>
        <v xml:space="preserve"> </v>
      </c>
      <c r="P339" s="1299" t="str">
        <f>IF(SUMIFS('Level of Efficiency Assumptions'!$J:$J,'Level of Efficiency Assumptions'!$H:$H,$I339,'Level of Efficiency Assumptions'!$I:$I,P$51)=0," ",SUMIFS('Level of Efficiency Assumptions'!$J:$J,'Level of Efficiency Assumptions'!$H:$H,$I339,'Level of Efficiency Assumptions'!$I:$I,P$51))</f>
        <v xml:space="preserve"> </v>
      </c>
      <c r="Q339" s="971" t="e">
        <f>IF(I339=" "," ",(VLOOKUP(I339,list!$B$81:$C$111,2,FALSE)))</f>
        <v>#N/A</v>
      </c>
      <c r="R339" s="243">
        <f t="shared" si="116"/>
        <v>0</v>
      </c>
      <c r="S339" s="64">
        <v>1</v>
      </c>
      <c r="T339" s="68">
        <v>0</v>
      </c>
      <c r="U339" s="244">
        <f t="shared" si="119"/>
        <v>1</v>
      </c>
      <c r="W339" s="182"/>
      <c r="X339" s="975"/>
    </row>
    <row r="340" spans="3:24" ht="15" thickBot="1" x14ac:dyDescent="0.35">
      <c r="C340" s="520"/>
      <c r="D340" s="224" t="str">
        <f t="shared" si="120"/>
        <v xml:space="preserve">  </v>
      </c>
      <c r="E340" s="224"/>
      <c r="F340" s="224" t="str">
        <f t="shared" si="121"/>
        <v xml:space="preserve">  </v>
      </c>
      <c r="G340" s="224"/>
      <c r="H340" s="380"/>
      <c r="I340" s="516" t="e">
        <f>IF(VLOOKUP(C24,list!$AA$5:$AS$14,9,FALSE)=0," ",(VLOOKUP(C24,list!$AA$5:$AS$14,9,FALSE)))</f>
        <v>#N/A</v>
      </c>
      <c r="J340" s="955" t="e">
        <f t="shared" si="117"/>
        <v>#N/A</v>
      </c>
      <c r="K340" s="955" t="e">
        <f t="shared" si="118"/>
        <v>#N/A</v>
      </c>
      <c r="L340" s="969" t="e">
        <f>IF(I340=" "," ",VLOOKUP(J340,list!$J$4:$M$117,4,FALSE))</f>
        <v>#N/A</v>
      </c>
      <c r="M340" s="66"/>
      <c r="N340" s="1297" t="str">
        <f>IF(SUMIFS('Level of Efficiency Assumptions'!$J:$J,'Level of Efficiency Assumptions'!$H:$H,$I340,'Level of Efficiency Assumptions'!$I:$I,N$51)=0," ",SUMIFS('Level of Efficiency Assumptions'!$J:$J,'Level of Efficiency Assumptions'!$H:$H,$I340,'Level of Efficiency Assumptions'!$I:$I,N$51))</f>
        <v xml:space="preserve"> </v>
      </c>
      <c r="O340" s="1298" t="str">
        <f>IF(SUMIFS('Level of Efficiency Assumptions'!$J:$J,'Level of Efficiency Assumptions'!$H:$H,$I340,'Level of Efficiency Assumptions'!$I:$I,O$51)=0," ",SUMIFS('Level of Efficiency Assumptions'!$J:$J,'Level of Efficiency Assumptions'!$H:$H,$I340,'Level of Efficiency Assumptions'!$I:$I,O$51))</f>
        <v xml:space="preserve"> </v>
      </c>
      <c r="P340" s="1299" t="str">
        <f>IF(SUMIFS('Level of Efficiency Assumptions'!$J:$J,'Level of Efficiency Assumptions'!$H:$H,$I340,'Level of Efficiency Assumptions'!$I:$I,P$51)=0," ",SUMIFS('Level of Efficiency Assumptions'!$J:$J,'Level of Efficiency Assumptions'!$H:$H,$I340,'Level of Efficiency Assumptions'!$I:$I,P$51))</f>
        <v xml:space="preserve"> </v>
      </c>
      <c r="Q340" s="971" t="e">
        <f>IF(I340=" "," ",(VLOOKUP(I340,list!$B$81:$C$111,2,FALSE)))</f>
        <v>#N/A</v>
      </c>
      <c r="R340" s="243">
        <f t="shared" si="116"/>
        <v>0</v>
      </c>
      <c r="S340" s="64">
        <v>1</v>
      </c>
      <c r="T340" s="68">
        <v>0</v>
      </c>
      <c r="U340" s="244">
        <f t="shared" si="119"/>
        <v>1</v>
      </c>
    </row>
    <row r="341" spans="3:24" ht="15" thickBot="1" x14ac:dyDescent="0.35">
      <c r="C341" s="520"/>
      <c r="D341" s="224" t="str">
        <f t="shared" si="120"/>
        <v xml:space="preserve">  </v>
      </c>
      <c r="E341" s="224"/>
      <c r="F341" s="224" t="str">
        <f t="shared" si="121"/>
        <v xml:space="preserve">  </v>
      </c>
      <c r="G341" s="224"/>
      <c r="H341" s="380"/>
      <c r="I341" s="516" t="e">
        <f>IF(VLOOKUP(C24,list!$AA$5:$AS$14,10,FALSE)=0," ",(VLOOKUP(C24,list!$AA$5:$AS$14,10,FALSE)))</f>
        <v>#N/A</v>
      </c>
      <c r="J341" s="955" t="e">
        <f t="shared" si="117"/>
        <v>#N/A</v>
      </c>
      <c r="K341" s="955" t="e">
        <f t="shared" si="118"/>
        <v>#N/A</v>
      </c>
      <c r="L341" s="969" t="e">
        <f>IF(I341=" "," ",VLOOKUP(J341,list!$J$4:$M$117,4,FALSE))</f>
        <v>#N/A</v>
      </c>
      <c r="M341" s="66"/>
      <c r="N341" s="1297" t="str">
        <f>IF(SUMIFS('Level of Efficiency Assumptions'!$J:$J,'Level of Efficiency Assumptions'!$H:$H,$I341,'Level of Efficiency Assumptions'!$I:$I,N$51)=0," ",SUMIFS('Level of Efficiency Assumptions'!$J:$J,'Level of Efficiency Assumptions'!$H:$H,$I341,'Level of Efficiency Assumptions'!$I:$I,N$51))</f>
        <v xml:space="preserve"> </v>
      </c>
      <c r="O341" s="1298" t="str">
        <f>IF(SUMIFS('Level of Efficiency Assumptions'!$J:$J,'Level of Efficiency Assumptions'!$H:$H,$I341,'Level of Efficiency Assumptions'!$I:$I,O$51)=0," ",SUMIFS('Level of Efficiency Assumptions'!$J:$J,'Level of Efficiency Assumptions'!$H:$H,$I341,'Level of Efficiency Assumptions'!$I:$I,O$51))</f>
        <v xml:space="preserve"> </v>
      </c>
      <c r="P341" s="1299" t="str">
        <f>IF(SUMIFS('Level of Efficiency Assumptions'!$J:$J,'Level of Efficiency Assumptions'!$H:$H,$I341,'Level of Efficiency Assumptions'!$I:$I,P$51)=0," ",SUMIFS('Level of Efficiency Assumptions'!$J:$J,'Level of Efficiency Assumptions'!$H:$H,$I341,'Level of Efficiency Assumptions'!$I:$I,P$51))</f>
        <v xml:space="preserve"> </v>
      </c>
      <c r="Q341" s="971" t="e">
        <f>IF(I341=" "," ",(VLOOKUP(I341,list!$B$81:$C$111,2,FALSE)))</f>
        <v>#N/A</v>
      </c>
      <c r="R341" s="243">
        <f t="shared" si="116"/>
        <v>0</v>
      </c>
      <c r="S341" s="64">
        <v>1</v>
      </c>
      <c r="T341" s="68">
        <v>0</v>
      </c>
      <c r="U341" s="244">
        <f t="shared" si="119"/>
        <v>1</v>
      </c>
    </row>
    <row r="342" spans="3:24" ht="15" thickBot="1" x14ac:dyDescent="0.35">
      <c r="C342" s="520"/>
      <c r="D342" s="224" t="str">
        <f t="shared" si="120"/>
        <v xml:space="preserve">  </v>
      </c>
      <c r="E342" s="224"/>
      <c r="F342" s="224" t="str">
        <f t="shared" si="121"/>
        <v xml:space="preserve">  </v>
      </c>
      <c r="G342" s="224"/>
      <c r="H342" s="380"/>
      <c r="I342" s="516" t="e">
        <f>IF(VLOOKUP(C24,list!$AA$5:$AS$14,11,FALSE)=0," ",(VLOOKUP(C24,list!$AA$5:$AS$14,11,FALSE)))</f>
        <v>#N/A</v>
      </c>
      <c r="J342" s="955" t="e">
        <f t="shared" si="117"/>
        <v>#N/A</v>
      </c>
      <c r="K342" s="955" t="e">
        <f t="shared" si="118"/>
        <v>#N/A</v>
      </c>
      <c r="L342" s="969" t="e">
        <f>IF(I342=" "," ",VLOOKUP(J342,list!$J$4:$M$117,4,FALSE))</f>
        <v>#N/A</v>
      </c>
      <c r="M342" s="66"/>
      <c r="N342" s="1297" t="str">
        <f>IF(SUMIFS('Level of Efficiency Assumptions'!$J:$J,'Level of Efficiency Assumptions'!$H:$H,$I342,'Level of Efficiency Assumptions'!$I:$I,N$51)=0," ",SUMIFS('Level of Efficiency Assumptions'!$J:$J,'Level of Efficiency Assumptions'!$H:$H,$I342,'Level of Efficiency Assumptions'!$I:$I,N$51))</f>
        <v xml:space="preserve"> </v>
      </c>
      <c r="O342" s="1298" t="str">
        <f>IF(SUMIFS('Level of Efficiency Assumptions'!$J:$J,'Level of Efficiency Assumptions'!$H:$H,$I342,'Level of Efficiency Assumptions'!$I:$I,O$51)=0," ",SUMIFS('Level of Efficiency Assumptions'!$J:$J,'Level of Efficiency Assumptions'!$H:$H,$I342,'Level of Efficiency Assumptions'!$I:$I,O$51))</f>
        <v xml:space="preserve"> </v>
      </c>
      <c r="P342" s="1299" t="str">
        <f>IF(SUMIFS('Level of Efficiency Assumptions'!$J:$J,'Level of Efficiency Assumptions'!$H:$H,$I342,'Level of Efficiency Assumptions'!$I:$I,P$51)=0," ",SUMIFS('Level of Efficiency Assumptions'!$J:$J,'Level of Efficiency Assumptions'!$H:$H,$I342,'Level of Efficiency Assumptions'!$I:$I,P$51))</f>
        <v xml:space="preserve"> </v>
      </c>
      <c r="Q342" s="971" t="e">
        <f>IF(I342=" "," ",(VLOOKUP(I342,list!$B$81:$C$111,2,FALSE)))</f>
        <v>#N/A</v>
      </c>
      <c r="R342" s="243">
        <f t="shared" si="116"/>
        <v>0</v>
      </c>
      <c r="S342" s="64">
        <v>1</v>
      </c>
      <c r="T342" s="68">
        <v>0</v>
      </c>
      <c r="U342" s="244">
        <f t="shared" si="119"/>
        <v>1</v>
      </c>
    </row>
    <row r="343" spans="3:24" ht="15" thickBot="1" x14ac:dyDescent="0.35">
      <c r="C343" s="520"/>
      <c r="D343" s="224" t="str">
        <f t="shared" si="120"/>
        <v xml:space="preserve">  </v>
      </c>
      <c r="E343" s="224"/>
      <c r="F343" s="224" t="str">
        <f t="shared" si="121"/>
        <v xml:space="preserve">  </v>
      </c>
      <c r="G343" s="224"/>
      <c r="H343" s="380"/>
      <c r="I343" s="516" t="e">
        <f>IF(VLOOKUP(C24,list!$AA$5:$AS$14,12,FALSE)=0," ",(VLOOKUP(C24,list!$AA$5:$AS$14,12,FALSE)))</f>
        <v>#N/A</v>
      </c>
      <c r="J343" s="955" t="e">
        <f t="shared" si="117"/>
        <v>#N/A</v>
      </c>
      <c r="K343" s="955" t="e">
        <f t="shared" si="118"/>
        <v>#N/A</v>
      </c>
      <c r="L343" s="969" t="e">
        <f>IF(I343=" "," ",VLOOKUP(J343,list!$J$4:$M$117,4,FALSE))</f>
        <v>#N/A</v>
      </c>
      <c r="M343" s="66"/>
      <c r="N343" s="1297" t="str">
        <f>IF(SUMIFS('Level of Efficiency Assumptions'!$J:$J,'Level of Efficiency Assumptions'!$H:$H,$I343,'Level of Efficiency Assumptions'!$I:$I,N$51)=0," ",SUMIFS('Level of Efficiency Assumptions'!$J:$J,'Level of Efficiency Assumptions'!$H:$H,$I343,'Level of Efficiency Assumptions'!$I:$I,N$51))</f>
        <v xml:space="preserve"> </v>
      </c>
      <c r="O343" s="1298" t="str">
        <f>IF(SUMIFS('Level of Efficiency Assumptions'!$J:$J,'Level of Efficiency Assumptions'!$H:$H,$I343,'Level of Efficiency Assumptions'!$I:$I,O$51)=0," ",SUMIFS('Level of Efficiency Assumptions'!$J:$J,'Level of Efficiency Assumptions'!$H:$H,$I343,'Level of Efficiency Assumptions'!$I:$I,O$51))</f>
        <v xml:space="preserve"> </v>
      </c>
      <c r="P343" s="1299" t="str">
        <f>IF(SUMIFS('Level of Efficiency Assumptions'!$J:$J,'Level of Efficiency Assumptions'!$H:$H,$I343,'Level of Efficiency Assumptions'!$I:$I,P$51)=0," ",SUMIFS('Level of Efficiency Assumptions'!$J:$J,'Level of Efficiency Assumptions'!$H:$H,$I343,'Level of Efficiency Assumptions'!$I:$I,P$51))</f>
        <v xml:space="preserve"> </v>
      </c>
      <c r="Q343" s="971" t="e">
        <f>IF(I343=" "," ",(VLOOKUP(I343,list!$B$81:$C$111,2,FALSE)))</f>
        <v>#N/A</v>
      </c>
      <c r="R343" s="243">
        <f t="shared" si="116"/>
        <v>0</v>
      </c>
      <c r="S343" s="64">
        <v>1</v>
      </c>
      <c r="T343" s="68">
        <v>0</v>
      </c>
      <c r="U343" s="244">
        <f t="shared" si="119"/>
        <v>1</v>
      </c>
    </row>
    <row r="344" spans="3:24" ht="15" thickBot="1" x14ac:dyDescent="0.35">
      <c r="C344" s="520"/>
      <c r="D344" s="224" t="str">
        <f t="shared" si="120"/>
        <v xml:space="preserve">  </v>
      </c>
      <c r="E344" s="224"/>
      <c r="F344" s="224" t="str">
        <f t="shared" si="121"/>
        <v xml:space="preserve">  </v>
      </c>
      <c r="G344" s="224"/>
      <c r="H344" s="380"/>
      <c r="I344" s="516" t="e">
        <f>IF(VLOOKUP(C24,list!$AA$5:$AS$14,13,FALSE)=0," ",(VLOOKUP(C24,list!$AA$5:$AS$14,13,FALSE)))</f>
        <v>#N/A</v>
      </c>
      <c r="J344" s="955" t="e">
        <f t="shared" si="117"/>
        <v>#N/A</v>
      </c>
      <c r="K344" s="955" t="e">
        <f t="shared" si="118"/>
        <v>#N/A</v>
      </c>
      <c r="L344" s="969" t="e">
        <f>IF(I344=" "," ",VLOOKUP(J344,list!$J$4:$M$117,4,FALSE))</f>
        <v>#N/A</v>
      </c>
      <c r="M344" s="66"/>
      <c r="N344" s="1297" t="str">
        <f>IF(SUMIFS('Level of Efficiency Assumptions'!$J:$J,'Level of Efficiency Assumptions'!$H:$H,$I344,'Level of Efficiency Assumptions'!$I:$I,N$51)=0," ",SUMIFS('Level of Efficiency Assumptions'!$J:$J,'Level of Efficiency Assumptions'!$H:$H,$I344,'Level of Efficiency Assumptions'!$I:$I,N$51))</f>
        <v xml:space="preserve"> </v>
      </c>
      <c r="O344" s="1298" t="str">
        <f>IF(SUMIFS('Level of Efficiency Assumptions'!$J:$J,'Level of Efficiency Assumptions'!$H:$H,$I344,'Level of Efficiency Assumptions'!$I:$I,O$51)=0," ",SUMIFS('Level of Efficiency Assumptions'!$J:$J,'Level of Efficiency Assumptions'!$H:$H,$I344,'Level of Efficiency Assumptions'!$I:$I,O$51))</f>
        <v xml:space="preserve"> </v>
      </c>
      <c r="P344" s="1299" t="str">
        <f>IF(SUMIFS('Level of Efficiency Assumptions'!$J:$J,'Level of Efficiency Assumptions'!$H:$H,$I344,'Level of Efficiency Assumptions'!$I:$I,P$51)=0," ",SUMIFS('Level of Efficiency Assumptions'!$J:$J,'Level of Efficiency Assumptions'!$H:$H,$I344,'Level of Efficiency Assumptions'!$I:$I,P$51))</f>
        <v xml:space="preserve"> </v>
      </c>
      <c r="Q344" s="971" t="e">
        <f>IF(I344=" "," ",(VLOOKUP(I344,list!$B$81:$C$111,2,FALSE)))</f>
        <v>#N/A</v>
      </c>
      <c r="R344" s="243">
        <f t="shared" si="116"/>
        <v>0</v>
      </c>
      <c r="S344" s="64">
        <v>1</v>
      </c>
      <c r="T344" s="68">
        <v>0</v>
      </c>
      <c r="U344" s="244">
        <f t="shared" si="119"/>
        <v>1</v>
      </c>
    </row>
    <row r="345" spans="3:24" ht="15" thickBot="1" x14ac:dyDescent="0.35">
      <c r="C345" s="520"/>
      <c r="D345" s="224" t="str">
        <f t="shared" si="120"/>
        <v xml:space="preserve">  </v>
      </c>
      <c r="E345" s="224"/>
      <c r="F345" s="224" t="str">
        <f t="shared" si="121"/>
        <v xml:space="preserve">  </v>
      </c>
      <c r="G345" s="224"/>
      <c r="H345" s="380"/>
      <c r="I345" s="516" t="e">
        <f>IF(VLOOKUP(C24,list!$AA$5:$AS$14,14,FALSE)=0," ",(VLOOKUP(C24,list!$AA$5:$AS$14,14,FALSE)))</f>
        <v>#N/A</v>
      </c>
      <c r="J345" s="955" t="e">
        <f t="shared" si="117"/>
        <v>#N/A</v>
      </c>
      <c r="K345" s="955" t="e">
        <f t="shared" si="118"/>
        <v>#N/A</v>
      </c>
      <c r="L345" s="969" t="e">
        <f>IF(I345=" "," ",VLOOKUP(J345,list!$J$4:$M$117,4,FALSE))</f>
        <v>#N/A</v>
      </c>
      <c r="M345" s="66"/>
      <c r="N345" s="1297" t="str">
        <f>IF(SUMIFS('Level of Efficiency Assumptions'!$J:$J,'Level of Efficiency Assumptions'!$H:$H,$I345,'Level of Efficiency Assumptions'!$I:$I,N$51)=0," ",SUMIFS('Level of Efficiency Assumptions'!$J:$J,'Level of Efficiency Assumptions'!$H:$H,$I345,'Level of Efficiency Assumptions'!$I:$I,N$51))</f>
        <v xml:space="preserve"> </v>
      </c>
      <c r="O345" s="1298" t="str">
        <f>IF(SUMIFS('Level of Efficiency Assumptions'!$J:$J,'Level of Efficiency Assumptions'!$H:$H,$I345,'Level of Efficiency Assumptions'!$I:$I,O$51)=0," ",SUMIFS('Level of Efficiency Assumptions'!$J:$J,'Level of Efficiency Assumptions'!$H:$H,$I345,'Level of Efficiency Assumptions'!$I:$I,O$51))</f>
        <v xml:space="preserve"> </v>
      </c>
      <c r="P345" s="1299" t="str">
        <f>IF(SUMIFS('Level of Efficiency Assumptions'!$J:$J,'Level of Efficiency Assumptions'!$H:$H,$I345,'Level of Efficiency Assumptions'!$I:$I,P$51)=0," ",SUMIFS('Level of Efficiency Assumptions'!$J:$J,'Level of Efficiency Assumptions'!$H:$H,$I345,'Level of Efficiency Assumptions'!$I:$I,P$51))</f>
        <v xml:space="preserve"> </v>
      </c>
      <c r="Q345" s="971" t="e">
        <f>IF(I345=" "," ",(VLOOKUP(I345,list!$B$81:$C$111,2,FALSE)))</f>
        <v>#N/A</v>
      </c>
      <c r="R345" s="243">
        <f t="shared" si="116"/>
        <v>0</v>
      </c>
      <c r="S345" s="64">
        <v>1</v>
      </c>
      <c r="T345" s="68">
        <v>0</v>
      </c>
      <c r="U345" s="244">
        <f t="shared" si="119"/>
        <v>1</v>
      </c>
    </row>
    <row r="346" spans="3:24" ht="15" thickBot="1" x14ac:dyDescent="0.35">
      <c r="C346" s="520"/>
      <c r="D346" s="224" t="str">
        <f t="shared" si="120"/>
        <v xml:space="preserve">  </v>
      </c>
      <c r="E346" s="224"/>
      <c r="F346" s="224" t="str">
        <f t="shared" si="121"/>
        <v xml:space="preserve">  </v>
      </c>
      <c r="G346" s="224"/>
      <c r="H346" s="380"/>
      <c r="I346" s="516" t="e">
        <f>IF(VLOOKUP(C24,list!$AA$5:$AS$14,15,FALSE)=0," ",(VLOOKUP(C24,list!$AA$5:$AS$14,15,FALSE)))</f>
        <v>#N/A</v>
      </c>
      <c r="J346" s="955" t="e">
        <f t="shared" si="117"/>
        <v>#N/A</v>
      </c>
      <c r="K346" s="955" t="e">
        <f t="shared" si="118"/>
        <v>#N/A</v>
      </c>
      <c r="L346" s="969" t="e">
        <f>IF(I346=" "," ",VLOOKUP(J346,list!$J$4:$M$117,4,FALSE))</f>
        <v>#N/A</v>
      </c>
      <c r="M346" s="66"/>
      <c r="N346" s="1297" t="str">
        <f>IF(SUMIFS('Level of Efficiency Assumptions'!$J:$J,'Level of Efficiency Assumptions'!$H:$H,$I346,'Level of Efficiency Assumptions'!$I:$I,N$51)=0," ",SUMIFS('Level of Efficiency Assumptions'!$J:$J,'Level of Efficiency Assumptions'!$H:$H,$I346,'Level of Efficiency Assumptions'!$I:$I,N$51))</f>
        <v xml:space="preserve"> </v>
      </c>
      <c r="O346" s="1298" t="str">
        <f>IF(SUMIFS('Level of Efficiency Assumptions'!$J:$J,'Level of Efficiency Assumptions'!$H:$H,$I346,'Level of Efficiency Assumptions'!$I:$I,O$51)=0," ",SUMIFS('Level of Efficiency Assumptions'!$J:$J,'Level of Efficiency Assumptions'!$H:$H,$I346,'Level of Efficiency Assumptions'!$I:$I,O$51))</f>
        <v xml:space="preserve"> </v>
      </c>
      <c r="P346" s="1299" t="str">
        <f>IF(SUMIFS('Level of Efficiency Assumptions'!$J:$J,'Level of Efficiency Assumptions'!$H:$H,$I346,'Level of Efficiency Assumptions'!$I:$I,P$51)=0," ",SUMIFS('Level of Efficiency Assumptions'!$J:$J,'Level of Efficiency Assumptions'!$H:$H,$I346,'Level of Efficiency Assumptions'!$I:$I,P$51))</f>
        <v xml:space="preserve"> </v>
      </c>
      <c r="Q346" s="971" t="e">
        <f>IF(I346=" "," ",(VLOOKUP(I346,list!$B$81:$C$111,2,FALSE)))</f>
        <v>#N/A</v>
      </c>
      <c r="R346" s="243">
        <f t="shared" si="116"/>
        <v>0</v>
      </c>
      <c r="S346" s="64">
        <v>1</v>
      </c>
      <c r="T346" s="68">
        <v>0</v>
      </c>
      <c r="U346" s="244">
        <f t="shared" si="119"/>
        <v>1</v>
      </c>
    </row>
    <row r="347" spans="3:24" ht="15" thickBot="1" x14ac:dyDescent="0.35">
      <c r="C347" s="520"/>
      <c r="D347" s="224" t="str">
        <f t="shared" si="120"/>
        <v xml:space="preserve">  </v>
      </c>
      <c r="E347" s="224"/>
      <c r="F347" s="224" t="str">
        <f t="shared" si="121"/>
        <v xml:space="preserve">  </v>
      </c>
      <c r="G347" s="224"/>
      <c r="H347" s="380"/>
      <c r="I347" s="516" t="e">
        <f>IF(VLOOKUP(C24,list!$AA$5:$AS$14,16,FALSE)=0," ",(VLOOKUP(C24,list!$AA$5:$AS$14,16,FALSE)))</f>
        <v>#N/A</v>
      </c>
      <c r="J347" s="955" t="e">
        <f t="shared" si="117"/>
        <v>#N/A</v>
      </c>
      <c r="K347" s="955" t="e">
        <f t="shared" si="118"/>
        <v>#N/A</v>
      </c>
      <c r="L347" s="969" t="e">
        <f>IF(I347=" "," ",VLOOKUP(J347,list!$J$4:$M$117,4,FALSE))</f>
        <v>#N/A</v>
      </c>
      <c r="M347" s="66"/>
      <c r="N347" s="1297" t="str">
        <f>IF(SUMIFS('Level of Efficiency Assumptions'!$J:$J,'Level of Efficiency Assumptions'!$H:$H,$I347,'Level of Efficiency Assumptions'!$I:$I,N$51)=0," ",SUMIFS('Level of Efficiency Assumptions'!$J:$J,'Level of Efficiency Assumptions'!$H:$H,$I347,'Level of Efficiency Assumptions'!$I:$I,N$51))</f>
        <v xml:space="preserve"> </v>
      </c>
      <c r="O347" s="1298" t="str">
        <f>IF(SUMIFS('Level of Efficiency Assumptions'!$J:$J,'Level of Efficiency Assumptions'!$H:$H,$I347,'Level of Efficiency Assumptions'!$I:$I,O$51)=0," ",SUMIFS('Level of Efficiency Assumptions'!$J:$J,'Level of Efficiency Assumptions'!$H:$H,$I347,'Level of Efficiency Assumptions'!$I:$I,O$51))</f>
        <v xml:space="preserve"> </v>
      </c>
      <c r="P347" s="1299" t="str">
        <f>IF(SUMIFS('Level of Efficiency Assumptions'!$J:$J,'Level of Efficiency Assumptions'!$H:$H,$I347,'Level of Efficiency Assumptions'!$I:$I,P$51)=0," ",SUMIFS('Level of Efficiency Assumptions'!$J:$J,'Level of Efficiency Assumptions'!$H:$H,$I347,'Level of Efficiency Assumptions'!$I:$I,P$51))</f>
        <v xml:space="preserve"> </v>
      </c>
      <c r="Q347" s="971" t="e">
        <f>IF(I347=" "," ",(VLOOKUP(I347,list!$B$81:$C$111,2,FALSE)))</f>
        <v>#N/A</v>
      </c>
      <c r="R347" s="243">
        <f t="shared" si="116"/>
        <v>0</v>
      </c>
      <c r="S347" s="64">
        <v>1</v>
      </c>
      <c r="T347" s="68">
        <v>0</v>
      </c>
      <c r="U347" s="244">
        <f t="shared" si="119"/>
        <v>1</v>
      </c>
    </row>
    <row r="348" spans="3:24" ht="15" thickBot="1" x14ac:dyDescent="0.35">
      <c r="C348" s="520"/>
      <c r="D348" s="224" t="str">
        <f t="shared" si="120"/>
        <v xml:space="preserve">  </v>
      </c>
      <c r="E348" s="224"/>
      <c r="F348" s="224" t="str">
        <f t="shared" si="121"/>
        <v xml:space="preserve">  </v>
      </c>
      <c r="G348" s="224"/>
      <c r="H348" s="380"/>
      <c r="I348" s="516" t="e">
        <f>IF(VLOOKUP(C24,list!$AA$5:$AS$14,17,FALSE)=0," ",(VLOOKUP(C24,list!$AA$5:$AS$14,17,FALSE)))</f>
        <v>#N/A</v>
      </c>
      <c r="J348" s="955" t="e">
        <f t="shared" si="117"/>
        <v>#N/A</v>
      </c>
      <c r="K348" s="955" t="e">
        <f t="shared" si="118"/>
        <v>#N/A</v>
      </c>
      <c r="L348" s="969" t="e">
        <f>IF(I348=" "," ",VLOOKUP(J348,list!$J$4:$M$117,4,FALSE))</f>
        <v>#N/A</v>
      </c>
      <c r="M348" s="66"/>
      <c r="N348" s="1297" t="str">
        <f>IF(SUMIFS('Level of Efficiency Assumptions'!$J:$J,'Level of Efficiency Assumptions'!$H:$H,$I348,'Level of Efficiency Assumptions'!$I:$I,N$51)=0," ",SUMIFS('Level of Efficiency Assumptions'!$J:$J,'Level of Efficiency Assumptions'!$H:$H,$I348,'Level of Efficiency Assumptions'!$I:$I,N$51))</f>
        <v xml:space="preserve"> </v>
      </c>
      <c r="O348" s="1298" t="str">
        <f>IF(SUMIFS('Level of Efficiency Assumptions'!$J:$J,'Level of Efficiency Assumptions'!$H:$H,$I348,'Level of Efficiency Assumptions'!$I:$I,O$51)=0," ",SUMIFS('Level of Efficiency Assumptions'!$J:$J,'Level of Efficiency Assumptions'!$H:$H,$I348,'Level of Efficiency Assumptions'!$I:$I,O$51))</f>
        <v xml:space="preserve"> </v>
      </c>
      <c r="P348" s="1299" t="str">
        <f>IF(SUMIFS('Level of Efficiency Assumptions'!$J:$J,'Level of Efficiency Assumptions'!$H:$H,$I348,'Level of Efficiency Assumptions'!$I:$I,P$51)=0," ",SUMIFS('Level of Efficiency Assumptions'!$J:$J,'Level of Efficiency Assumptions'!$H:$H,$I348,'Level of Efficiency Assumptions'!$I:$I,P$51))</f>
        <v xml:space="preserve"> </v>
      </c>
      <c r="Q348" s="971" t="e">
        <f>IF(I348=" "," ",(VLOOKUP(I348,list!$B$81:$C$111,2,FALSE)))</f>
        <v>#N/A</v>
      </c>
      <c r="R348" s="243">
        <f t="shared" si="116"/>
        <v>0</v>
      </c>
      <c r="S348" s="64">
        <v>1</v>
      </c>
      <c r="T348" s="68">
        <v>0</v>
      </c>
      <c r="U348" s="244">
        <f t="shared" si="119"/>
        <v>1</v>
      </c>
    </row>
    <row r="349" spans="3:24" ht="15" thickBot="1" x14ac:dyDescent="0.35">
      <c r="C349" s="520"/>
      <c r="D349" s="224" t="str">
        <f t="shared" si="120"/>
        <v xml:space="preserve">  </v>
      </c>
      <c r="E349" s="224"/>
      <c r="F349" s="224" t="str">
        <f t="shared" si="121"/>
        <v xml:space="preserve">  </v>
      </c>
      <c r="G349" s="224"/>
      <c r="H349" s="380"/>
      <c r="I349" s="516" t="e">
        <f>IF(VLOOKUP(C24,list!$AA$5:$AS$14,18,FALSE)=0," ",(VLOOKUP(C24,list!$AA$5:$AS$14,18,FALSE)))</f>
        <v>#N/A</v>
      </c>
      <c r="J349" s="955" t="e">
        <f t="shared" si="117"/>
        <v>#N/A</v>
      </c>
      <c r="K349" s="955" t="e">
        <f t="shared" si="118"/>
        <v>#N/A</v>
      </c>
      <c r="L349" s="969" t="e">
        <f>IF(I349=" "," ",VLOOKUP(J349,list!$J$4:$M$117,4,FALSE))</f>
        <v>#N/A</v>
      </c>
      <c r="M349" s="66"/>
      <c r="N349" s="1297" t="str">
        <f>IF(SUMIFS('Level of Efficiency Assumptions'!$J:$J,'Level of Efficiency Assumptions'!$H:$H,$I349,'Level of Efficiency Assumptions'!$I:$I,N$51)=0," ",SUMIFS('Level of Efficiency Assumptions'!$J:$J,'Level of Efficiency Assumptions'!$H:$H,$I349,'Level of Efficiency Assumptions'!$I:$I,N$51))</f>
        <v xml:space="preserve"> </v>
      </c>
      <c r="O349" s="1298" t="str">
        <f>IF(SUMIFS('Level of Efficiency Assumptions'!$J:$J,'Level of Efficiency Assumptions'!$H:$H,$I349,'Level of Efficiency Assumptions'!$I:$I,O$51)=0," ",SUMIFS('Level of Efficiency Assumptions'!$J:$J,'Level of Efficiency Assumptions'!$H:$H,$I349,'Level of Efficiency Assumptions'!$I:$I,O$51))</f>
        <v xml:space="preserve"> </v>
      </c>
      <c r="P349" s="1299" t="str">
        <f>IF(SUMIFS('Level of Efficiency Assumptions'!$J:$J,'Level of Efficiency Assumptions'!$H:$H,$I349,'Level of Efficiency Assumptions'!$I:$I,P$51)=0," ",SUMIFS('Level of Efficiency Assumptions'!$J:$J,'Level of Efficiency Assumptions'!$H:$H,$I349,'Level of Efficiency Assumptions'!$I:$I,P$51))</f>
        <v xml:space="preserve"> </v>
      </c>
      <c r="Q349" s="971" t="e">
        <f>IF(I349=" "," ",(VLOOKUP(I349,list!$B$81:$C$111,2,FALSE)))</f>
        <v>#N/A</v>
      </c>
      <c r="R349" s="243">
        <f t="shared" si="116"/>
        <v>0</v>
      </c>
      <c r="S349" s="64">
        <v>1</v>
      </c>
      <c r="T349" s="68">
        <v>0</v>
      </c>
      <c r="U349" s="244">
        <f t="shared" si="119"/>
        <v>1</v>
      </c>
    </row>
    <row r="350" spans="3:24" ht="15" thickBot="1" x14ac:dyDescent="0.35">
      <c r="C350" s="632"/>
      <c r="D350" s="226" t="str">
        <f t="shared" si="120"/>
        <v xml:space="preserve">  </v>
      </c>
      <c r="E350" s="226"/>
      <c r="F350" s="226" t="str">
        <f t="shared" si="121"/>
        <v xml:space="preserve">  </v>
      </c>
      <c r="G350" s="226"/>
      <c r="H350" s="976"/>
      <c r="I350" s="516" t="e">
        <f>IF(VLOOKUP(C24,list!$AA$5:$AS$14,19,FALSE)=0," ",(VLOOKUP(C24,list!$AA$5:$AS$14,19,FALSE)))</f>
        <v>#N/A</v>
      </c>
      <c r="J350" s="955" t="e">
        <f>IF(I350=" "," ",(D350&amp;"-"&amp;I350))</f>
        <v>#N/A</v>
      </c>
      <c r="K350" s="955" t="e">
        <f t="shared" si="118"/>
        <v>#N/A</v>
      </c>
      <c r="L350" s="969" t="e">
        <f>IF(I350=" "," ",VLOOKUP(J350,list!$J$4:$M$117,4,FALSE))</f>
        <v>#N/A</v>
      </c>
      <c r="M350" s="67"/>
      <c r="N350" s="1303" t="str">
        <f>IF(SUMIFS('Level of Efficiency Assumptions'!$J:$J,'Level of Efficiency Assumptions'!$H:$H,$I350,'Level of Efficiency Assumptions'!$I:$I,N$51)=0," ",SUMIFS('Level of Efficiency Assumptions'!$J:$J,'Level of Efficiency Assumptions'!$H:$H,$I350,'Level of Efficiency Assumptions'!$I:$I,N$51))</f>
        <v xml:space="preserve"> </v>
      </c>
      <c r="O350" s="1304" t="str">
        <f>IF(SUMIFS('Level of Efficiency Assumptions'!$J:$J,'Level of Efficiency Assumptions'!$H:$H,$I350,'Level of Efficiency Assumptions'!$I:$I,O$51)=0," ",SUMIFS('Level of Efficiency Assumptions'!$J:$J,'Level of Efficiency Assumptions'!$H:$H,$I350,'Level of Efficiency Assumptions'!$I:$I,O$51))</f>
        <v xml:space="preserve"> </v>
      </c>
      <c r="P350" s="1305" t="str">
        <f>IF(SUMIFS('Level of Efficiency Assumptions'!$J:$J,'Level of Efficiency Assumptions'!$H:$H,$I350,'Level of Efficiency Assumptions'!$I:$I,P$51)=0," ",SUMIFS('Level of Efficiency Assumptions'!$J:$J,'Level of Efficiency Assumptions'!$H:$H,$I350,'Level of Efficiency Assumptions'!$I:$I,P$51))</f>
        <v xml:space="preserve"> </v>
      </c>
      <c r="Q350" s="977" t="e">
        <f>IF(I350=" "," ",(VLOOKUP(I350,list!$B$81:$C$111,2,FALSE)))</f>
        <v>#N/A</v>
      </c>
      <c r="R350" s="245">
        <f t="shared" si="116"/>
        <v>0</v>
      </c>
      <c r="S350" s="65">
        <v>1</v>
      </c>
      <c r="T350" s="69">
        <v>0</v>
      </c>
      <c r="U350" s="246">
        <f t="shared" si="119"/>
        <v>1</v>
      </c>
    </row>
    <row r="351" spans="3:24" x14ac:dyDescent="0.3">
      <c r="D351" s="846"/>
      <c r="F351" s="82"/>
      <c r="J351" s="846"/>
      <c r="K351" s="846"/>
      <c r="N351" s="1179"/>
      <c r="O351" s="1179"/>
      <c r="P351" s="1179"/>
      <c r="R351" s="176" t="s">
        <v>295</v>
      </c>
      <c r="S351" s="176"/>
      <c r="T351" s="176"/>
      <c r="U351" s="176"/>
    </row>
    <row r="352" spans="3:24" ht="15" thickBot="1" x14ac:dyDescent="0.35">
      <c r="D352" s="846"/>
      <c r="F352" s="82"/>
      <c r="J352" s="846"/>
      <c r="K352" s="846"/>
      <c r="N352" s="1179"/>
      <c r="O352" s="1179"/>
      <c r="P352" s="1179"/>
    </row>
    <row r="353" spans="2:24" ht="15" thickBot="1" x14ac:dyDescent="0.35">
      <c r="B353" s="814">
        <v>16</v>
      </c>
      <c r="C353" s="967" t="str">
        <f t="shared" ref="C353:H353" si="122">C25</f>
        <v xml:space="preserve">  </v>
      </c>
      <c r="D353" s="967" t="str">
        <f t="shared" si="122"/>
        <v xml:space="preserve">  </v>
      </c>
      <c r="E353" s="967" t="str">
        <f t="shared" si="122"/>
        <v xml:space="preserve">  </v>
      </c>
      <c r="F353" s="967" t="str">
        <f t="shared" si="122"/>
        <v xml:space="preserve">  </v>
      </c>
      <c r="G353" s="967">
        <f t="shared" si="122"/>
        <v>0</v>
      </c>
      <c r="H353" s="968">
        <f t="shared" si="122"/>
        <v>0</v>
      </c>
      <c r="I353" s="516" t="e">
        <f>IF(VLOOKUP(C25,list!$AA$5:$AS$14,2,FALSE)=0," ",(VLOOKUP(C25,list!$AA$5:$AS$14,2,FALSE)))</f>
        <v>#N/A</v>
      </c>
      <c r="J353" s="955" t="e">
        <f>IF(I353=" "," ",(D25&amp;"-"&amp;I353))</f>
        <v>#N/A</v>
      </c>
      <c r="K353" s="955" t="e">
        <f>IF(I353=" "," ",(F25&amp;"-"&amp;I353))</f>
        <v>#N/A</v>
      </c>
      <c r="L353" s="969" t="e">
        <f>IF(I353=" "," ",VLOOKUP(J353,list!$J$4:$M$117,4,FALSE))</f>
        <v>#N/A</v>
      </c>
      <c r="M353" s="70"/>
      <c r="N353" s="1300" t="str">
        <f>IF(SUMIFS('Level of Efficiency Assumptions'!$J:$J,'Level of Efficiency Assumptions'!$H:$H,$I353,'Level of Efficiency Assumptions'!$I:$I,N$51)=0," ",SUMIFS('Level of Efficiency Assumptions'!$J:$J,'Level of Efficiency Assumptions'!$H:$H,$I353,'Level of Efficiency Assumptions'!$I:$I,N$51))</f>
        <v xml:space="preserve"> </v>
      </c>
      <c r="O353" s="1301" t="str">
        <f>IF(SUMIFS('Level of Efficiency Assumptions'!$J:$J,'Level of Efficiency Assumptions'!$H:$H,$I353,'Level of Efficiency Assumptions'!$I:$I,O$51)=0," ",SUMIFS('Level of Efficiency Assumptions'!$J:$J,'Level of Efficiency Assumptions'!$H:$H,$I353,'Level of Efficiency Assumptions'!$I:$I,O$51))</f>
        <v xml:space="preserve"> </v>
      </c>
      <c r="P353" s="1302" t="str">
        <f>IF(SUMIFS('Level of Efficiency Assumptions'!$J:$J,'Level of Efficiency Assumptions'!$H:$H,$I353,'Level of Efficiency Assumptions'!$I:$I,P$51)=0," ",SUMIFS('Level of Efficiency Assumptions'!$J:$J,'Level of Efficiency Assumptions'!$H:$H,$I353,'Level of Efficiency Assumptions'!$I:$I,P$51))</f>
        <v xml:space="preserve"> </v>
      </c>
      <c r="Q353" s="970" t="e">
        <f>IF(I353=" "," ",(VLOOKUP(I353,list!$B$81:$C$111,2,FALSE)))</f>
        <v>#N/A</v>
      </c>
      <c r="R353" s="241">
        <f t="shared" ref="R353:R370" si="123">1-S353-T353</f>
        <v>0</v>
      </c>
      <c r="S353" s="83">
        <v>1</v>
      </c>
      <c r="T353" s="84">
        <v>0</v>
      </c>
      <c r="U353" s="242">
        <f>SUM(R353:T353)</f>
        <v>1</v>
      </c>
      <c r="W353" s="250" t="s">
        <v>367</v>
      </c>
      <c r="X353" s="251" t="s">
        <v>366</v>
      </c>
    </row>
    <row r="354" spans="2:24" ht="15" thickBot="1" x14ac:dyDescent="0.35">
      <c r="C354" s="520"/>
      <c r="D354" s="224" t="str">
        <f>D25</f>
        <v xml:space="preserve">  </v>
      </c>
      <c r="E354" s="224"/>
      <c r="F354" s="224" t="str">
        <f>F25</f>
        <v xml:space="preserve">  </v>
      </c>
      <c r="G354" s="224"/>
      <c r="H354" s="380"/>
      <c r="I354" s="516" t="e">
        <f>IF(VLOOKUP(C25,list!$AA$5:$AS$14,3,FALSE)=0," ",(VLOOKUP(C25,list!$AA$5:$AS$14,3,FALSE)))</f>
        <v>#N/A</v>
      </c>
      <c r="J354" s="955" t="e">
        <f t="shared" ref="J354:J369" si="124">IF(I354=" "," ",(D354&amp;"-"&amp;I354))</f>
        <v>#N/A</v>
      </c>
      <c r="K354" s="955" t="e">
        <f t="shared" ref="K354:K370" si="125">IF(I354=" "," ",(F354&amp;"-"&amp;I354))</f>
        <v>#N/A</v>
      </c>
      <c r="L354" s="969" t="e">
        <f>IF(I354=" "," ",VLOOKUP(J354,list!$J$4:$M$117,4,FALSE))</f>
        <v>#N/A</v>
      </c>
      <c r="M354" s="66"/>
      <c r="N354" s="1297" t="str">
        <f>IF(SUMIFS('Level of Efficiency Assumptions'!$J:$J,'Level of Efficiency Assumptions'!$H:$H,$I354,'Level of Efficiency Assumptions'!$I:$I,N$51)=0," ",SUMIFS('Level of Efficiency Assumptions'!$J:$J,'Level of Efficiency Assumptions'!$H:$H,$I354,'Level of Efficiency Assumptions'!$I:$I,N$51))</f>
        <v xml:space="preserve"> </v>
      </c>
      <c r="O354" s="1298" t="str">
        <f>IF(SUMIFS('Level of Efficiency Assumptions'!$J:$J,'Level of Efficiency Assumptions'!$H:$H,$I354,'Level of Efficiency Assumptions'!$I:$I,O$51)=0," ",SUMIFS('Level of Efficiency Assumptions'!$J:$J,'Level of Efficiency Assumptions'!$H:$H,$I354,'Level of Efficiency Assumptions'!$I:$I,O$51))</f>
        <v xml:space="preserve"> </v>
      </c>
      <c r="P354" s="1299" t="str">
        <f>IF(SUMIFS('Level of Efficiency Assumptions'!$J:$J,'Level of Efficiency Assumptions'!$H:$H,$I354,'Level of Efficiency Assumptions'!$I:$I,P$51)=0," ",SUMIFS('Level of Efficiency Assumptions'!$J:$J,'Level of Efficiency Assumptions'!$H:$H,$I354,'Level of Efficiency Assumptions'!$I:$I,P$51))</f>
        <v xml:space="preserve"> </v>
      </c>
      <c r="Q354" s="971" t="e">
        <f>IF(I354=" "," ",(VLOOKUP(I354,list!$B$81:$C$111,2,FALSE)))</f>
        <v>#N/A</v>
      </c>
      <c r="R354" s="243">
        <f t="shared" si="123"/>
        <v>0</v>
      </c>
      <c r="S354" s="64">
        <v>1</v>
      </c>
      <c r="T354" s="68">
        <v>0</v>
      </c>
      <c r="U354" s="244">
        <f t="shared" ref="U354:U370" si="126">SUM(R354:T354)</f>
        <v>1</v>
      </c>
      <c r="V354" s="82" t="e">
        <f>F354&amp;"-"&amp;W354</f>
        <v>#N/A</v>
      </c>
      <c r="W354" s="247" t="e">
        <f>HLOOKUP(D354,list!$O$34:$X$38,2,FALSE)</f>
        <v>#N/A</v>
      </c>
      <c r="X354" s="972">
        <v>1</v>
      </c>
    </row>
    <row r="355" spans="2:24" ht="15" thickBot="1" x14ac:dyDescent="0.35">
      <c r="C355" s="520"/>
      <c r="D355" s="224" t="str">
        <f>D354</f>
        <v xml:space="preserve">  </v>
      </c>
      <c r="E355" s="224"/>
      <c r="F355" s="224" t="str">
        <f>F354</f>
        <v xml:space="preserve">  </v>
      </c>
      <c r="G355" s="224"/>
      <c r="H355" s="380"/>
      <c r="I355" s="516" t="e">
        <f>IF(VLOOKUP(C25,list!$AA$5:$AS$14,4,FALSE)=0," ",(VLOOKUP(C25,list!$AA$5:$AS$14,4,FALSE)))</f>
        <v>#N/A</v>
      </c>
      <c r="J355" s="955" t="e">
        <f t="shared" si="124"/>
        <v>#N/A</v>
      </c>
      <c r="K355" s="955" t="e">
        <f t="shared" si="125"/>
        <v>#N/A</v>
      </c>
      <c r="L355" s="969" t="e">
        <f>IF(I355=" "," ",VLOOKUP(J355,list!$J$4:$M$117,4,FALSE))</f>
        <v>#N/A</v>
      </c>
      <c r="M355" s="66"/>
      <c r="N355" s="1297" t="str">
        <f>IF(SUMIFS('Level of Efficiency Assumptions'!$J:$J,'Level of Efficiency Assumptions'!$H:$H,$I355,'Level of Efficiency Assumptions'!$I:$I,N$51)=0," ",SUMIFS('Level of Efficiency Assumptions'!$J:$J,'Level of Efficiency Assumptions'!$H:$H,$I355,'Level of Efficiency Assumptions'!$I:$I,N$51))</f>
        <v xml:space="preserve"> </v>
      </c>
      <c r="O355" s="1298" t="str">
        <f>IF(SUMIFS('Level of Efficiency Assumptions'!$J:$J,'Level of Efficiency Assumptions'!$H:$H,$I355,'Level of Efficiency Assumptions'!$I:$I,O$51)=0," ",SUMIFS('Level of Efficiency Assumptions'!$J:$J,'Level of Efficiency Assumptions'!$H:$H,$I355,'Level of Efficiency Assumptions'!$I:$I,O$51))</f>
        <v xml:space="preserve"> </v>
      </c>
      <c r="P355" s="1299" t="str">
        <f>IF(SUMIFS('Level of Efficiency Assumptions'!$J:$J,'Level of Efficiency Assumptions'!$H:$H,$I355,'Level of Efficiency Assumptions'!$I:$I,P$51)=0," ",SUMIFS('Level of Efficiency Assumptions'!$J:$J,'Level of Efficiency Assumptions'!$H:$H,$I355,'Level of Efficiency Assumptions'!$I:$I,P$51))</f>
        <v xml:space="preserve"> </v>
      </c>
      <c r="Q355" s="971" t="e">
        <f>IF(I355=" "," ",(VLOOKUP(I355,list!$B$81:$C$111,2,FALSE)))</f>
        <v>#N/A</v>
      </c>
      <c r="R355" s="243">
        <f t="shared" si="123"/>
        <v>0</v>
      </c>
      <c r="S355" s="64">
        <v>1</v>
      </c>
      <c r="T355" s="68">
        <v>0</v>
      </c>
      <c r="U355" s="244">
        <f t="shared" si="126"/>
        <v>1</v>
      </c>
      <c r="V355" s="82" t="e">
        <f>F355&amp;"-"&amp;W355</f>
        <v>#N/A</v>
      </c>
      <c r="W355" s="248" t="e">
        <f>HLOOKUP(D355,list!$O$34:$X$38,3,FALSE)</f>
        <v>#N/A</v>
      </c>
      <c r="X355" s="973">
        <v>0.5</v>
      </c>
    </row>
    <row r="356" spans="2:24" ht="15" thickBot="1" x14ac:dyDescent="0.35">
      <c r="C356" s="520"/>
      <c r="D356" s="224" t="str">
        <f t="shared" ref="D356:D370" si="127">D355</f>
        <v xml:space="preserve">  </v>
      </c>
      <c r="E356" s="224"/>
      <c r="F356" s="224" t="str">
        <f t="shared" ref="F356:F370" si="128">F355</f>
        <v xml:space="preserve">  </v>
      </c>
      <c r="G356" s="224"/>
      <c r="H356" s="380"/>
      <c r="I356" s="516" t="e">
        <f>IF(VLOOKUP(C25,list!$AA$5:$AS$14,5,FALSE)=0," ",(VLOOKUP(C25,list!$AA$5:$AS$14,5,FALSE)))</f>
        <v>#N/A</v>
      </c>
      <c r="J356" s="955" t="e">
        <f t="shared" si="124"/>
        <v>#N/A</v>
      </c>
      <c r="K356" s="955" t="e">
        <f t="shared" si="125"/>
        <v>#N/A</v>
      </c>
      <c r="L356" s="969" t="e">
        <f>IF(I356=" "," ",VLOOKUP(J356,list!$J$4:$M$117,4,FALSE))</f>
        <v>#N/A</v>
      </c>
      <c r="M356" s="66"/>
      <c r="N356" s="1297" t="str">
        <f>IF(SUMIFS('Level of Efficiency Assumptions'!$J:$J,'Level of Efficiency Assumptions'!$H:$H,$I356,'Level of Efficiency Assumptions'!$I:$I,N$51)=0," ",SUMIFS('Level of Efficiency Assumptions'!$J:$J,'Level of Efficiency Assumptions'!$H:$H,$I356,'Level of Efficiency Assumptions'!$I:$I,N$51))</f>
        <v xml:space="preserve"> </v>
      </c>
      <c r="O356" s="1298" t="str">
        <f>IF(SUMIFS('Level of Efficiency Assumptions'!$J:$J,'Level of Efficiency Assumptions'!$H:$H,$I356,'Level of Efficiency Assumptions'!$I:$I,O$51)=0," ",SUMIFS('Level of Efficiency Assumptions'!$J:$J,'Level of Efficiency Assumptions'!$H:$H,$I356,'Level of Efficiency Assumptions'!$I:$I,O$51))</f>
        <v xml:space="preserve"> </v>
      </c>
      <c r="P356" s="1299" t="str">
        <f>IF(SUMIFS('Level of Efficiency Assumptions'!$J:$J,'Level of Efficiency Assumptions'!$H:$H,$I356,'Level of Efficiency Assumptions'!$I:$I,P$51)=0," ",SUMIFS('Level of Efficiency Assumptions'!$J:$J,'Level of Efficiency Assumptions'!$H:$H,$I356,'Level of Efficiency Assumptions'!$I:$I,P$51))</f>
        <v xml:space="preserve"> </v>
      </c>
      <c r="Q356" s="971" t="e">
        <f>IF(I356=" "," ",(VLOOKUP(I356,list!$B$81:$C$111,2,FALSE)))</f>
        <v>#N/A</v>
      </c>
      <c r="R356" s="243">
        <f t="shared" si="123"/>
        <v>0</v>
      </c>
      <c r="S356" s="64">
        <v>1</v>
      </c>
      <c r="T356" s="68">
        <v>0</v>
      </c>
      <c r="U356" s="244">
        <f t="shared" si="126"/>
        <v>1</v>
      </c>
      <c r="V356" s="82" t="e">
        <f>F356&amp;"-"&amp;W356</f>
        <v>#N/A</v>
      </c>
      <c r="W356" s="248" t="e">
        <f>HLOOKUP(D356,list!$O$34:$X$38,4,FALSE)</f>
        <v>#N/A</v>
      </c>
      <c r="X356" s="973">
        <v>0.5</v>
      </c>
    </row>
    <row r="357" spans="2:24" ht="15" thickBot="1" x14ac:dyDescent="0.35">
      <c r="C357" s="520"/>
      <c r="D357" s="224" t="str">
        <f t="shared" si="127"/>
        <v xml:space="preserve">  </v>
      </c>
      <c r="E357" s="224"/>
      <c r="F357" s="224" t="str">
        <f t="shared" si="128"/>
        <v xml:space="preserve">  </v>
      </c>
      <c r="G357" s="224"/>
      <c r="H357" s="380"/>
      <c r="I357" s="516" t="e">
        <f>IF(VLOOKUP(C25,list!$AA$5:$AS$14,6,FALSE)=0," ",(VLOOKUP(C25,list!$AA$5:$AS$14,6,FALSE)))</f>
        <v>#N/A</v>
      </c>
      <c r="J357" s="955" t="e">
        <f t="shared" si="124"/>
        <v>#N/A</v>
      </c>
      <c r="K357" s="955" t="e">
        <f t="shared" si="125"/>
        <v>#N/A</v>
      </c>
      <c r="L357" s="969" t="e">
        <f>IF(I357=" "," ",VLOOKUP(J357,list!$J$4:$M$117,4,FALSE))</f>
        <v>#N/A</v>
      </c>
      <c r="M357" s="66"/>
      <c r="N357" s="1297" t="str">
        <f>IF(SUMIFS('Level of Efficiency Assumptions'!$J:$J,'Level of Efficiency Assumptions'!$H:$H,$I357,'Level of Efficiency Assumptions'!$I:$I,N$51)=0," ",SUMIFS('Level of Efficiency Assumptions'!$J:$J,'Level of Efficiency Assumptions'!$H:$H,$I357,'Level of Efficiency Assumptions'!$I:$I,N$51))</f>
        <v xml:space="preserve"> </v>
      </c>
      <c r="O357" s="1298" t="str">
        <f>IF(SUMIFS('Level of Efficiency Assumptions'!$J:$J,'Level of Efficiency Assumptions'!$H:$H,$I357,'Level of Efficiency Assumptions'!$I:$I,O$51)=0," ",SUMIFS('Level of Efficiency Assumptions'!$J:$J,'Level of Efficiency Assumptions'!$H:$H,$I357,'Level of Efficiency Assumptions'!$I:$I,O$51))</f>
        <v xml:space="preserve"> </v>
      </c>
      <c r="P357" s="1299" t="str">
        <f>IF(SUMIFS('Level of Efficiency Assumptions'!$J:$J,'Level of Efficiency Assumptions'!$H:$H,$I357,'Level of Efficiency Assumptions'!$I:$I,P$51)=0," ",SUMIFS('Level of Efficiency Assumptions'!$J:$J,'Level of Efficiency Assumptions'!$H:$H,$I357,'Level of Efficiency Assumptions'!$I:$I,P$51))</f>
        <v xml:space="preserve"> </v>
      </c>
      <c r="Q357" s="971" t="e">
        <f>IF(I357=" "," ",(VLOOKUP(I357,list!$B$81:$C$111,2,FALSE)))</f>
        <v>#N/A</v>
      </c>
      <c r="R357" s="243">
        <f t="shared" si="123"/>
        <v>0</v>
      </c>
      <c r="S357" s="64">
        <v>1</v>
      </c>
      <c r="T357" s="68">
        <v>0</v>
      </c>
      <c r="U357" s="244">
        <f t="shared" si="126"/>
        <v>1</v>
      </c>
      <c r="V357" s="82" t="e">
        <f>F357&amp;"-"&amp;W357</f>
        <v>#N/A</v>
      </c>
      <c r="W357" s="249" t="e">
        <f>HLOOKUP(D357,list!$O$34:$X$38,5,FALSE)</f>
        <v>#N/A</v>
      </c>
      <c r="X357" s="974">
        <v>0.5</v>
      </c>
    </row>
    <row r="358" spans="2:24" ht="15" thickBot="1" x14ac:dyDescent="0.35">
      <c r="C358" s="520"/>
      <c r="D358" s="224" t="str">
        <f t="shared" si="127"/>
        <v xml:space="preserve">  </v>
      </c>
      <c r="E358" s="224"/>
      <c r="F358" s="224" t="str">
        <f t="shared" si="128"/>
        <v xml:space="preserve">  </v>
      </c>
      <c r="G358" s="224"/>
      <c r="H358" s="380"/>
      <c r="I358" s="516" t="e">
        <f>IF(VLOOKUP(C25,list!$AA$5:$AS$14,7,FALSE)=0," ",(VLOOKUP(C25,list!$AA$5:$AS$14,7,FALSE)))</f>
        <v>#N/A</v>
      </c>
      <c r="J358" s="955" t="e">
        <f t="shared" si="124"/>
        <v>#N/A</v>
      </c>
      <c r="K358" s="955" t="e">
        <f t="shared" si="125"/>
        <v>#N/A</v>
      </c>
      <c r="L358" s="969" t="e">
        <f>IF(I358=" "," ",VLOOKUP(J358,list!$J$4:$M$117,4,FALSE))</f>
        <v>#N/A</v>
      </c>
      <c r="M358" s="66"/>
      <c r="N358" s="1297" t="str">
        <f>IF(SUMIFS('Level of Efficiency Assumptions'!$J:$J,'Level of Efficiency Assumptions'!$H:$H,$I358,'Level of Efficiency Assumptions'!$I:$I,N$51)=0," ",SUMIFS('Level of Efficiency Assumptions'!$J:$J,'Level of Efficiency Assumptions'!$H:$H,$I358,'Level of Efficiency Assumptions'!$I:$I,N$51))</f>
        <v xml:space="preserve"> </v>
      </c>
      <c r="O358" s="1298" t="str">
        <f>IF(SUMIFS('Level of Efficiency Assumptions'!$J:$J,'Level of Efficiency Assumptions'!$H:$H,$I358,'Level of Efficiency Assumptions'!$I:$I,O$51)=0," ",SUMIFS('Level of Efficiency Assumptions'!$J:$J,'Level of Efficiency Assumptions'!$H:$H,$I358,'Level of Efficiency Assumptions'!$I:$I,O$51))</f>
        <v xml:space="preserve"> </v>
      </c>
      <c r="P358" s="1299" t="str">
        <f>IF(SUMIFS('Level of Efficiency Assumptions'!$J:$J,'Level of Efficiency Assumptions'!$H:$H,$I358,'Level of Efficiency Assumptions'!$I:$I,P$51)=0," ",SUMIFS('Level of Efficiency Assumptions'!$J:$J,'Level of Efficiency Assumptions'!$H:$H,$I358,'Level of Efficiency Assumptions'!$I:$I,P$51))</f>
        <v xml:space="preserve"> </v>
      </c>
      <c r="Q358" s="971" t="e">
        <f>IF(I358=" "," ",(VLOOKUP(I358,list!$B$81:$C$111,2,FALSE)))</f>
        <v>#N/A</v>
      </c>
      <c r="R358" s="243">
        <f t="shared" si="123"/>
        <v>0</v>
      </c>
      <c r="S358" s="64">
        <v>1</v>
      </c>
      <c r="T358" s="68">
        <v>0</v>
      </c>
      <c r="U358" s="244">
        <f t="shared" si="126"/>
        <v>1</v>
      </c>
      <c r="W358" s="182"/>
      <c r="X358" s="975"/>
    </row>
    <row r="359" spans="2:24" ht="15" thickBot="1" x14ac:dyDescent="0.35">
      <c r="C359" s="520"/>
      <c r="D359" s="224" t="str">
        <f t="shared" si="127"/>
        <v xml:space="preserve">  </v>
      </c>
      <c r="E359" s="224"/>
      <c r="F359" s="224" t="str">
        <f t="shared" si="128"/>
        <v xml:space="preserve">  </v>
      </c>
      <c r="G359" s="224"/>
      <c r="H359" s="380"/>
      <c r="I359" s="516" t="e">
        <f>IF(VLOOKUP(C25,list!$AA$5:$AS$14,8,FALSE)=0," ",(VLOOKUP(C25,list!$AA$5:$AS$14,8,FALSE)))</f>
        <v>#N/A</v>
      </c>
      <c r="J359" s="955" t="e">
        <f t="shared" si="124"/>
        <v>#N/A</v>
      </c>
      <c r="K359" s="955" t="e">
        <f t="shared" si="125"/>
        <v>#N/A</v>
      </c>
      <c r="L359" s="969" t="e">
        <f>IF(I359=" "," ",VLOOKUP(J359,list!$J$4:$M$117,4,FALSE))</f>
        <v>#N/A</v>
      </c>
      <c r="M359" s="66"/>
      <c r="N359" s="1297" t="str">
        <f>IF(SUMIFS('Level of Efficiency Assumptions'!$J:$J,'Level of Efficiency Assumptions'!$H:$H,$I359,'Level of Efficiency Assumptions'!$I:$I,N$51)=0," ",SUMIFS('Level of Efficiency Assumptions'!$J:$J,'Level of Efficiency Assumptions'!$H:$H,$I359,'Level of Efficiency Assumptions'!$I:$I,N$51))</f>
        <v xml:space="preserve"> </v>
      </c>
      <c r="O359" s="1298" t="str">
        <f>IF(SUMIFS('Level of Efficiency Assumptions'!$J:$J,'Level of Efficiency Assumptions'!$H:$H,$I359,'Level of Efficiency Assumptions'!$I:$I,O$51)=0," ",SUMIFS('Level of Efficiency Assumptions'!$J:$J,'Level of Efficiency Assumptions'!$H:$H,$I359,'Level of Efficiency Assumptions'!$I:$I,O$51))</f>
        <v xml:space="preserve"> </v>
      </c>
      <c r="P359" s="1299" t="str">
        <f>IF(SUMIFS('Level of Efficiency Assumptions'!$J:$J,'Level of Efficiency Assumptions'!$H:$H,$I359,'Level of Efficiency Assumptions'!$I:$I,P$51)=0," ",SUMIFS('Level of Efficiency Assumptions'!$J:$J,'Level of Efficiency Assumptions'!$H:$H,$I359,'Level of Efficiency Assumptions'!$I:$I,P$51))</f>
        <v xml:space="preserve"> </v>
      </c>
      <c r="Q359" s="971" t="e">
        <f>IF(I359=" "," ",(VLOOKUP(I359,list!$B$81:$C$111,2,FALSE)))</f>
        <v>#N/A</v>
      </c>
      <c r="R359" s="243">
        <f t="shared" si="123"/>
        <v>0</v>
      </c>
      <c r="S359" s="64">
        <v>1</v>
      </c>
      <c r="T359" s="68">
        <v>0</v>
      </c>
      <c r="U359" s="244">
        <f t="shared" si="126"/>
        <v>1</v>
      </c>
      <c r="W359" s="182"/>
      <c r="X359" s="975"/>
    </row>
    <row r="360" spans="2:24" ht="15" thickBot="1" x14ac:dyDescent="0.35">
      <c r="C360" s="520"/>
      <c r="D360" s="224" t="str">
        <f t="shared" si="127"/>
        <v xml:space="preserve">  </v>
      </c>
      <c r="E360" s="224"/>
      <c r="F360" s="224" t="str">
        <f t="shared" si="128"/>
        <v xml:space="preserve">  </v>
      </c>
      <c r="G360" s="224"/>
      <c r="H360" s="380"/>
      <c r="I360" s="516" t="e">
        <f>IF(VLOOKUP(C25,list!$AA$5:$AS$14,9,FALSE)=0," ",(VLOOKUP(C25,list!$AA$5:$AS$14,9,FALSE)))</f>
        <v>#N/A</v>
      </c>
      <c r="J360" s="955" t="e">
        <f t="shared" si="124"/>
        <v>#N/A</v>
      </c>
      <c r="K360" s="955" t="e">
        <f t="shared" si="125"/>
        <v>#N/A</v>
      </c>
      <c r="L360" s="969" t="e">
        <f>IF(I360=" "," ",VLOOKUP(J360,list!$J$4:$M$117,4,FALSE))</f>
        <v>#N/A</v>
      </c>
      <c r="M360" s="66"/>
      <c r="N360" s="1297" t="str">
        <f>IF(SUMIFS('Level of Efficiency Assumptions'!$J:$J,'Level of Efficiency Assumptions'!$H:$H,$I360,'Level of Efficiency Assumptions'!$I:$I,N$51)=0," ",SUMIFS('Level of Efficiency Assumptions'!$J:$J,'Level of Efficiency Assumptions'!$H:$H,$I360,'Level of Efficiency Assumptions'!$I:$I,N$51))</f>
        <v xml:space="preserve"> </v>
      </c>
      <c r="O360" s="1298" t="str">
        <f>IF(SUMIFS('Level of Efficiency Assumptions'!$J:$J,'Level of Efficiency Assumptions'!$H:$H,$I360,'Level of Efficiency Assumptions'!$I:$I,O$51)=0," ",SUMIFS('Level of Efficiency Assumptions'!$J:$J,'Level of Efficiency Assumptions'!$H:$H,$I360,'Level of Efficiency Assumptions'!$I:$I,O$51))</f>
        <v xml:space="preserve"> </v>
      </c>
      <c r="P360" s="1299" t="str">
        <f>IF(SUMIFS('Level of Efficiency Assumptions'!$J:$J,'Level of Efficiency Assumptions'!$H:$H,$I360,'Level of Efficiency Assumptions'!$I:$I,P$51)=0," ",SUMIFS('Level of Efficiency Assumptions'!$J:$J,'Level of Efficiency Assumptions'!$H:$H,$I360,'Level of Efficiency Assumptions'!$I:$I,P$51))</f>
        <v xml:space="preserve"> </v>
      </c>
      <c r="Q360" s="971" t="e">
        <f>IF(I360=" "," ",(VLOOKUP(I360,list!$B$81:$C$111,2,FALSE)))</f>
        <v>#N/A</v>
      </c>
      <c r="R360" s="243">
        <f t="shared" si="123"/>
        <v>0</v>
      </c>
      <c r="S360" s="64">
        <v>1</v>
      </c>
      <c r="T360" s="68">
        <v>0</v>
      </c>
      <c r="U360" s="244">
        <f t="shared" si="126"/>
        <v>1</v>
      </c>
    </row>
    <row r="361" spans="2:24" ht="15" thickBot="1" x14ac:dyDescent="0.35">
      <c r="C361" s="520"/>
      <c r="D361" s="224" t="str">
        <f t="shared" si="127"/>
        <v xml:space="preserve">  </v>
      </c>
      <c r="E361" s="224"/>
      <c r="F361" s="224" t="str">
        <f t="shared" si="128"/>
        <v xml:space="preserve">  </v>
      </c>
      <c r="G361" s="224"/>
      <c r="H361" s="380"/>
      <c r="I361" s="516" t="e">
        <f>IF(VLOOKUP(C25,list!$AA$5:$AS$14,10,FALSE)=0," ",(VLOOKUP(C25,list!$AA$5:$AS$14,10,FALSE)))</f>
        <v>#N/A</v>
      </c>
      <c r="J361" s="955" t="e">
        <f t="shared" si="124"/>
        <v>#N/A</v>
      </c>
      <c r="K361" s="955" t="e">
        <f t="shared" si="125"/>
        <v>#N/A</v>
      </c>
      <c r="L361" s="969" t="e">
        <f>IF(I361=" "," ",VLOOKUP(J361,list!$J$4:$M$117,4,FALSE))</f>
        <v>#N/A</v>
      </c>
      <c r="M361" s="66"/>
      <c r="N361" s="1297" t="str">
        <f>IF(SUMIFS('Level of Efficiency Assumptions'!$J:$J,'Level of Efficiency Assumptions'!$H:$H,$I361,'Level of Efficiency Assumptions'!$I:$I,N$51)=0," ",SUMIFS('Level of Efficiency Assumptions'!$J:$J,'Level of Efficiency Assumptions'!$H:$H,$I361,'Level of Efficiency Assumptions'!$I:$I,N$51))</f>
        <v xml:space="preserve"> </v>
      </c>
      <c r="O361" s="1298" t="str">
        <f>IF(SUMIFS('Level of Efficiency Assumptions'!$J:$J,'Level of Efficiency Assumptions'!$H:$H,$I361,'Level of Efficiency Assumptions'!$I:$I,O$51)=0," ",SUMIFS('Level of Efficiency Assumptions'!$J:$J,'Level of Efficiency Assumptions'!$H:$H,$I361,'Level of Efficiency Assumptions'!$I:$I,O$51))</f>
        <v xml:space="preserve"> </v>
      </c>
      <c r="P361" s="1299" t="str">
        <f>IF(SUMIFS('Level of Efficiency Assumptions'!$J:$J,'Level of Efficiency Assumptions'!$H:$H,$I361,'Level of Efficiency Assumptions'!$I:$I,P$51)=0," ",SUMIFS('Level of Efficiency Assumptions'!$J:$J,'Level of Efficiency Assumptions'!$H:$H,$I361,'Level of Efficiency Assumptions'!$I:$I,P$51))</f>
        <v xml:space="preserve"> </v>
      </c>
      <c r="Q361" s="971" t="e">
        <f>IF(I361=" "," ",(VLOOKUP(I361,list!$B$81:$C$111,2,FALSE)))</f>
        <v>#N/A</v>
      </c>
      <c r="R361" s="243">
        <f t="shared" si="123"/>
        <v>0</v>
      </c>
      <c r="S361" s="64">
        <v>1</v>
      </c>
      <c r="T361" s="68">
        <v>0</v>
      </c>
      <c r="U361" s="244">
        <f t="shared" si="126"/>
        <v>1</v>
      </c>
    </row>
    <row r="362" spans="2:24" ht="15" thickBot="1" x14ac:dyDescent="0.35">
      <c r="C362" s="520"/>
      <c r="D362" s="224" t="str">
        <f t="shared" si="127"/>
        <v xml:space="preserve">  </v>
      </c>
      <c r="E362" s="224"/>
      <c r="F362" s="224" t="str">
        <f t="shared" si="128"/>
        <v xml:space="preserve">  </v>
      </c>
      <c r="G362" s="224"/>
      <c r="H362" s="380"/>
      <c r="I362" s="516" t="e">
        <f>IF(VLOOKUP(C25,list!$AA$5:$AS$14,11,FALSE)=0," ",(VLOOKUP(C25,list!$AA$5:$AS$14,11,FALSE)))</f>
        <v>#N/A</v>
      </c>
      <c r="J362" s="955" t="e">
        <f t="shared" si="124"/>
        <v>#N/A</v>
      </c>
      <c r="K362" s="955" t="e">
        <f t="shared" si="125"/>
        <v>#N/A</v>
      </c>
      <c r="L362" s="969" t="e">
        <f>IF(I362=" "," ",VLOOKUP(J362,list!$J$4:$M$117,4,FALSE))</f>
        <v>#N/A</v>
      </c>
      <c r="M362" s="66"/>
      <c r="N362" s="1297" t="str">
        <f>IF(SUMIFS('Level of Efficiency Assumptions'!$J:$J,'Level of Efficiency Assumptions'!$H:$H,$I362,'Level of Efficiency Assumptions'!$I:$I,N$51)=0," ",SUMIFS('Level of Efficiency Assumptions'!$J:$J,'Level of Efficiency Assumptions'!$H:$H,$I362,'Level of Efficiency Assumptions'!$I:$I,N$51))</f>
        <v xml:space="preserve"> </v>
      </c>
      <c r="O362" s="1298" t="str">
        <f>IF(SUMIFS('Level of Efficiency Assumptions'!$J:$J,'Level of Efficiency Assumptions'!$H:$H,$I362,'Level of Efficiency Assumptions'!$I:$I,O$51)=0," ",SUMIFS('Level of Efficiency Assumptions'!$J:$J,'Level of Efficiency Assumptions'!$H:$H,$I362,'Level of Efficiency Assumptions'!$I:$I,O$51))</f>
        <v xml:space="preserve"> </v>
      </c>
      <c r="P362" s="1299" t="str">
        <f>IF(SUMIFS('Level of Efficiency Assumptions'!$J:$J,'Level of Efficiency Assumptions'!$H:$H,$I362,'Level of Efficiency Assumptions'!$I:$I,P$51)=0," ",SUMIFS('Level of Efficiency Assumptions'!$J:$J,'Level of Efficiency Assumptions'!$H:$H,$I362,'Level of Efficiency Assumptions'!$I:$I,P$51))</f>
        <v xml:space="preserve"> </v>
      </c>
      <c r="Q362" s="971" t="e">
        <f>IF(I362=" "," ",(VLOOKUP(I362,list!$B$81:$C$111,2,FALSE)))</f>
        <v>#N/A</v>
      </c>
      <c r="R362" s="243">
        <f t="shared" si="123"/>
        <v>0</v>
      </c>
      <c r="S362" s="64">
        <v>1</v>
      </c>
      <c r="T362" s="68">
        <v>0</v>
      </c>
      <c r="U362" s="244">
        <f t="shared" si="126"/>
        <v>1</v>
      </c>
    </row>
    <row r="363" spans="2:24" ht="15" thickBot="1" x14ac:dyDescent="0.35">
      <c r="C363" s="520"/>
      <c r="D363" s="224" t="str">
        <f t="shared" si="127"/>
        <v xml:space="preserve">  </v>
      </c>
      <c r="E363" s="224"/>
      <c r="F363" s="224" t="str">
        <f t="shared" si="128"/>
        <v xml:space="preserve">  </v>
      </c>
      <c r="G363" s="224"/>
      <c r="H363" s="380"/>
      <c r="I363" s="516" t="e">
        <f>IF(VLOOKUP(C25,list!$AA$5:$AS$14,12,FALSE)=0," ",(VLOOKUP(C25,list!$AA$5:$AS$14,12,FALSE)))</f>
        <v>#N/A</v>
      </c>
      <c r="J363" s="955" t="e">
        <f t="shared" si="124"/>
        <v>#N/A</v>
      </c>
      <c r="K363" s="955" t="e">
        <f t="shared" si="125"/>
        <v>#N/A</v>
      </c>
      <c r="L363" s="969" t="e">
        <f>IF(I363=" "," ",VLOOKUP(J363,list!$J$4:$M$117,4,FALSE))</f>
        <v>#N/A</v>
      </c>
      <c r="M363" s="66"/>
      <c r="N363" s="1297" t="str">
        <f>IF(SUMIFS('Level of Efficiency Assumptions'!$J:$J,'Level of Efficiency Assumptions'!$H:$H,$I363,'Level of Efficiency Assumptions'!$I:$I,N$51)=0," ",SUMIFS('Level of Efficiency Assumptions'!$J:$J,'Level of Efficiency Assumptions'!$H:$H,$I363,'Level of Efficiency Assumptions'!$I:$I,N$51))</f>
        <v xml:space="preserve"> </v>
      </c>
      <c r="O363" s="1298" t="str">
        <f>IF(SUMIFS('Level of Efficiency Assumptions'!$J:$J,'Level of Efficiency Assumptions'!$H:$H,$I363,'Level of Efficiency Assumptions'!$I:$I,O$51)=0," ",SUMIFS('Level of Efficiency Assumptions'!$J:$J,'Level of Efficiency Assumptions'!$H:$H,$I363,'Level of Efficiency Assumptions'!$I:$I,O$51))</f>
        <v xml:space="preserve"> </v>
      </c>
      <c r="P363" s="1299" t="str">
        <f>IF(SUMIFS('Level of Efficiency Assumptions'!$J:$J,'Level of Efficiency Assumptions'!$H:$H,$I363,'Level of Efficiency Assumptions'!$I:$I,P$51)=0," ",SUMIFS('Level of Efficiency Assumptions'!$J:$J,'Level of Efficiency Assumptions'!$H:$H,$I363,'Level of Efficiency Assumptions'!$I:$I,P$51))</f>
        <v xml:space="preserve"> </v>
      </c>
      <c r="Q363" s="971" t="e">
        <f>IF(I363=" "," ",(VLOOKUP(I363,list!$B$81:$C$111,2,FALSE)))</f>
        <v>#N/A</v>
      </c>
      <c r="R363" s="243">
        <f t="shared" si="123"/>
        <v>0</v>
      </c>
      <c r="S363" s="64">
        <v>1</v>
      </c>
      <c r="T363" s="68">
        <v>0</v>
      </c>
      <c r="U363" s="244">
        <f t="shared" si="126"/>
        <v>1</v>
      </c>
    </row>
    <row r="364" spans="2:24" ht="15" thickBot="1" x14ac:dyDescent="0.35">
      <c r="C364" s="520"/>
      <c r="D364" s="224" t="str">
        <f t="shared" si="127"/>
        <v xml:space="preserve">  </v>
      </c>
      <c r="E364" s="224"/>
      <c r="F364" s="224" t="str">
        <f t="shared" si="128"/>
        <v xml:space="preserve">  </v>
      </c>
      <c r="G364" s="224"/>
      <c r="H364" s="380"/>
      <c r="I364" s="516" t="e">
        <f>IF(VLOOKUP(C25,list!$AA$5:$AS$14,13,FALSE)=0," ",(VLOOKUP(C25,list!$AA$5:$AS$14,13,FALSE)))</f>
        <v>#N/A</v>
      </c>
      <c r="J364" s="955" t="e">
        <f t="shared" si="124"/>
        <v>#N/A</v>
      </c>
      <c r="K364" s="955" t="e">
        <f t="shared" si="125"/>
        <v>#N/A</v>
      </c>
      <c r="L364" s="969" t="e">
        <f>IF(I364=" "," ",VLOOKUP(J364,list!$J$4:$M$117,4,FALSE))</f>
        <v>#N/A</v>
      </c>
      <c r="M364" s="66"/>
      <c r="N364" s="1297" t="str">
        <f>IF(SUMIFS('Level of Efficiency Assumptions'!$J:$J,'Level of Efficiency Assumptions'!$H:$H,$I364,'Level of Efficiency Assumptions'!$I:$I,N$51)=0," ",SUMIFS('Level of Efficiency Assumptions'!$J:$J,'Level of Efficiency Assumptions'!$H:$H,$I364,'Level of Efficiency Assumptions'!$I:$I,N$51))</f>
        <v xml:space="preserve"> </v>
      </c>
      <c r="O364" s="1298" t="str">
        <f>IF(SUMIFS('Level of Efficiency Assumptions'!$J:$J,'Level of Efficiency Assumptions'!$H:$H,$I364,'Level of Efficiency Assumptions'!$I:$I,O$51)=0," ",SUMIFS('Level of Efficiency Assumptions'!$J:$J,'Level of Efficiency Assumptions'!$H:$H,$I364,'Level of Efficiency Assumptions'!$I:$I,O$51))</f>
        <v xml:space="preserve"> </v>
      </c>
      <c r="P364" s="1299" t="str">
        <f>IF(SUMIFS('Level of Efficiency Assumptions'!$J:$J,'Level of Efficiency Assumptions'!$H:$H,$I364,'Level of Efficiency Assumptions'!$I:$I,P$51)=0," ",SUMIFS('Level of Efficiency Assumptions'!$J:$J,'Level of Efficiency Assumptions'!$H:$H,$I364,'Level of Efficiency Assumptions'!$I:$I,P$51))</f>
        <v xml:space="preserve"> </v>
      </c>
      <c r="Q364" s="971" t="e">
        <f>IF(I364=" "," ",(VLOOKUP(I364,list!$B$81:$C$111,2,FALSE)))</f>
        <v>#N/A</v>
      </c>
      <c r="R364" s="243">
        <f t="shared" si="123"/>
        <v>0</v>
      </c>
      <c r="S364" s="64">
        <v>1</v>
      </c>
      <c r="T364" s="68">
        <v>0</v>
      </c>
      <c r="U364" s="244">
        <f t="shared" si="126"/>
        <v>1</v>
      </c>
    </row>
    <row r="365" spans="2:24" ht="15" thickBot="1" x14ac:dyDescent="0.35">
      <c r="C365" s="520"/>
      <c r="D365" s="224" t="str">
        <f t="shared" si="127"/>
        <v xml:space="preserve">  </v>
      </c>
      <c r="E365" s="224"/>
      <c r="F365" s="224" t="str">
        <f t="shared" si="128"/>
        <v xml:space="preserve">  </v>
      </c>
      <c r="G365" s="224"/>
      <c r="H365" s="380"/>
      <c r="I365" s="516" t="e">
        <f>IF(VLOOKUP(C25,list!$AA$5:$AS$14,14,FALSE)=0," ",(VLOOKUP(C25,list!$AA$5:$AS$14,14,FALSE)))</f>
        <v>#N/A</v>
      </c>
      <c r="J365" s="955" t="e">
        <f t="shared" si="124"/>
        <v>#N/A</v>
      </c>
      <c r="K365" s="955" t="e">
        <f t="shared" si="125"/>
        <v>#N/A</v>
      </c>
      <c r="L365" s="969" t="e">
        <f>IF(I365=" "," ",VLOOKUP(J365,list!$J$4:$M$117,4,FALSE))</f>
        <v>#N/A</v>
      </c>
      <c r="M365" s="66"/>
      <c r="N365" s="1297" t="str">
        <f>IF(SUMIFS('Level of Efficiency Assumptions'!$J:$J,'Level of Efficiency Assumptions'!$H:$H,$I365,'Level of Efficiency Assumptions'!$I:$I,N$51)=0," ",SUMIFS('Level of Efficiency Assumptions'!$J:$J,'Level of Efficiency Assumptions'!$H:$H,$I365,'Level of Efficiency Assumptions'!$I:$I,N$51))</f>
        <v xml:space="preserve"> </v>
      </c>
      <c r="O365" s="1298" t="str">
        <f>IF(SUMIFS('Level of Efficiency Assumptions'!$J:$J,'Level of Efficiency Assumptions'!$H:$H,$I365,'Level of Efficiency Assumptions'!$I:$I,O$51)=0," ",SUMIFS('Level of Efficiency Assumptions'!$J:$J,'Level of Efficiency Assumptions'!$H:$H,$I365,'Level of Efficiency Assumptions'!$I:$I,O$51))</f>
        <v xml:space="preserve"> </v>
      </c>
      <c r="P365" s="1299" t="str">
        <f>IF(SUMIFS('Level of Efficiency Assumptions'!$J:$J,'Level of Efficiency Assumptions'!$H:$H,$I365,'Level of Efficiency Assumptions'!$I:$I,P$51)=0," ",SUMIFS('Level of Efficiency Assumptions'!$J:$J,'Level of Efficiency Assumptions'!$H:$H,$I365,'Level of Efficiency Assumptions'!$I:$I,P$51))</f>
        <v xml:space="preserve"> </v>
      </c>
      <c r="Q365" s="971" t="e">
        <f>IF(I365=" "," ",(VLOOKUP(I365,list!$B$81:$C$111,2,FALSE)))</f>
        <v>#N/A</v>
      </c>
      <c r="R365" s="243">
        <f t="shared" si="123"/>
        <v>0</v>
      </c>
      <c r="S365" s="64">
        <v>1</v>
      </c>
      <c r="T365" s="68">
        <v>0</v>
      </c>
      <c r="U365" s="244">
        <f t="shared" si="126"/>
        <v>1</v>
      </c>
    </row>
    <row r="366" spans="2:24" ht="15" thickBot="1" x14ac:dyDescent="0.35">
      <c r="C366" s="520"/>
      <c r="D366" s="224" t="str">
        <f t="shared" si="127"/>
        <v xml:space="preserve">  </v>
      </c>
      <c r="E366" s="224"/>
      <c r="F366" s="224" t="str">
        <f t="shared" si="128"/>
        <v xml:space="preserve">  </v>
      </c>
      <c r="G366" s="224"/>
      <c r="H366" s="380"/>
      <c r="I366" s="516" t="e">
        <f>IF(VLOOKUP(C25,list!$AA$5:$AS$14,15,FALSE)=0," ",(VLOOKUP(C25,list!$AA$5:$AS$14,15,FALSE)))</f>
        <v>#N/A</v>
      </c>
      <c r="J366" s="955" t="e">
        <f t="shared" si="124"/>
        <v>#N/A</v>
      </c>
      <c r="K366" s="955" t="e">
        <f t="shared" si="125"/>
        <v>#N/A</v>
      </c>
      <c r="L366" s="969" t="e">
        <f>IF(I366=" "," ",VLOOKUP(J366,list!$J$4:$M$117,4,FALSE))</f>
        <v>#N/A</v>
      </c>
      <c r="M366" s="66"/>
      <c r="N366" s="1297" t="str">
        <f>IF(SUMIFS('Level of Efficiency Assumptions'!$J:$J,'Level of Efficiency Assumptions'!$H:$H,$I366,'Level of Efficiency Assumptions'!$I:$I,N$51)=0," ",SUMIFS('Level of Efficiency Assumptions'!$J:$J,'Level of Efficiency Assumptions'!$H:$H,$I366,'Level of Efficiency Assumptions'!$I:$I,N$51))</f>
        <v xml:space="preserve"> </v>
      </c>
      <c r="O366" s="1298" t="str">
        <f>IF(SUMIFS('Level of Efficiency Assumptions'!$J:$J,'Level of Efficiency Assumptions'!$H:$H,$I366,'Level of Efficiency Assumptions'!$I:$I,O$51)=0," ",SUMIFS('Level of Efficiency Assumptions'!$J:$J,'Level of Efficiency Assumptions'!$H:$H,$I366,'Level of Efficiency Assumptions'!$I:$I,O$51))</f>
        <v xml:space="preserve"> </v>
      </c>
      <c r="P366" s="1299" t="str">
        <f>IF(SUMIFS('Level of Efficiency Assumptions'!$J:$J,'Level of Efficiency Assumptions'!$H:$H,$I366,'Level of Efficiency Assumptions'!$I:$I,P$51)=0," ",SUMIFS('Level of Efficiency Assumptions'!$J:$J,'Level of Efficiency Assumptions'!$H:$H,$I366,'Level of Efficiency Assumptions'!$I:$I,P$51))</f>
        <v xml:space="preserve"> </v>
      </c>
      <c r="Q366" s="971" t="e">
        <f>IF(I366=" "," ",(VLOOKUP(I366,list!$B$81:$C$111,2,FALSE)))</f>
        <v>#N/A</v>
      </c>
      <c r="R366" s="243">
        <f t="shared" si="123"/>
        <v>0</v>
      </c>
      <c r="S366" s="64">
        <v>1</v>
      </c>
      <c r="T366" s="68">
        <v>0</v>
      </c>
      <c r="U366" s="244">
        <f t="shared" si="126"/>
        <v>1</v>
      </c>
    </row>
    <row r="367" spans="2:24" ht="15" thickBot="1" x14ac:dyDescent="0.35">
      <c r="C367" s="520"/>
      <c r="D367" s="224" t="str">
        <f t="shared" si="127"/>
        <v xml:space="preserve">  </v>
      </c>
      <c r="E367" s="224"/>
      <c r="F367" s="224" t="str">
        <f t="shared" si="128"/>
        <v xml:space="preserve">  </v>
      </c>
      <c r="G367" s="224"/>
      <c r="H367" s="380"/>
      <c r="I367" s="516" t="e">
        <f>IF(VLOOKUP(C25,list!$AA$5:$AS$14,16,FALSE)=0," ",(VLOOKUP(C25,list!$AA$5:$AS$14,16,FALSE)))</f>
        <v>#N/A</v>
      </c>
      <c r="J367" s="955" t="e">
        <f t="shared" si="124"/>
        <v>#N/A</v>
      </c>
      <c r="K367" s="955" t="e">
        <f t="shared" si="125"/>
        <v>#N/A</v>
      </c>
      <c r="L367" s="969" t="e">
        <f>IF(I367=" "," ",VLOOKUP(J367,list!$J$4:$M$117,4,FALSE))</f>
        <v>#N/A</v>
      </c>
      <c r="M367" s="66"/>
      <c r="N367" s="1297" t="str">
        <f>IF(SUMIFS('Level of Efficiency Assumptions'!$J:$J,'Level of Efficiency Assumptions'!$H:$H,$I367,'Level of Efficiency Assumptions'!$I:$I,N$51)=0," ",SUMIFS('Level of Efficiency Assumptions'!$J:$J,'Level of Efficiency Assumptions'!$H:$H,$I367,'Level of Efficiency Assumptions'!$I:$I,N$51))</f>
        <v xml:space="preserve"> </v>
      </c>
      <c r="O367" s="1298" t="str">
        <f>IF(SUMIFS('Level of Efficiency Assumptions'!$J:$J,'Level of Efficiency Assumptions'!$H:$H,$I367,'Level of Efficiency Assumptions'!$I:$I,O$51)=0," ",SUMIFS('Level of Efficiency Assumptions'!$J:$J,'Level of Efficiency Assumptions'!$H:$H,$I367,'Level of Efficiency Assumptions'!$I:$I,O$51))</f>
        <v xml:space="preserve"> </v>
      </c>
      <c r="P367" s="1299" t="str">
        <f>IF(SUMIFS('Level of Efficiency Assumptions'!$J:$J,'Level of Efficiency Assumptions'!$H:$H,$I367,'Level of Efficiency Assumptions'!$I:$I,P$51)=0," ",SUMIFS('Level of Efficiency Assumptions'!$J:$J,'Level of Efficiency Assumptions'!$H:$H,$I367,'Level of Efficiency Assumptions'!$I:$I,P$51))</f>
        <v xml:space="preserve"> </v>
      </c>
      <c r="Q367" s="971" t="e">
        <f>IF(I367=" "," ",(VLOOKUP(I367,list!$B$81:$C$111,2,FALSE)))</f>
        <v>#N/A</v>
      </c>
      <c r="R367" s="243">
        <f t="shared" si="123"/>
        <v>0</v>
      </c>
      <c r="S367" s="64">
        <v>1</v>
      </c>
      <c r="T367" s="68">
        <v>0</v>
      </c>
      <c r="U367" s="244">
        <f t="shared" si="126"/>
        <v>1</v>
      </c>
    </row>
    <row r="368" spans="2:24" ht="15" thickBot="1" x14ac:dyDescent="0.35">
      <c r="C368" s="520"/>
      <c r="D368" s="224" t="str">
        <f t="shared" si="127"/>
        <v xml:space="preserve">  </v>
      </c>
      <c r="E368" s="224"/>
      <c r="F368" s="224" t="str">
        <f t="shared" si="128"/>
        <v xml:space="preserve">  </v>
      </c>
      <c r="G368" s="224"/>
      <c r="H368" s="380"/>
      <c r="I368" s="516" t="e">
        <f>IF(VLOOKUP(C25,list!$AA$5:$AS$14,17,FALSE)=0," ",(VLOOKUP(C25,list!$AA$5:$AS$14,17,FALSE)))</f>
        <v>#N/A</v>
      </c>
      <c r="J368" s="955" t="e">
        <f t="shared" si="124"/>
        <v>#N/A</v>
      </c>
      <c r="K368" s="955" t="e">
        <f t="shared" si="125"/>
        <v>#N/A</v>
      </c>
      <c r="L368" s="969" t="e">
        <f>IF(I368=" "," ",VLOOKUP(J368,list!$J$4:$M$117,4,FALSE))</f>
        <v>#N/A</v>
      </c>
      <c r="M368" s="66"/>
      <c r="N368" s="1297" t="str">
        <f>IF(SUMIFS('Level of Efficiency Assumptions'!$J:$J,'Level of Efficiency Assumptions'!$H:$H,$I368,'Level of Efficiency Assumptions'!$I:$I,N$51)=0," ",SUMIFS('Level of Efficiency Assumptions'!$J:$J,'Level of Efficiency Assumptions'!$H:$H,$I368,'Level of Efficiency Assumptions'!$I:$I,N$51))</f>
        <v xml:space="preserve"> </v>
      </c>
      <c r="O368" s="1298" t="str">
        <f>IF(SUMIFS('Level of Efficiency Assumptions'!$J:$J,'Level of Efficiency Assumptions'!$H:$H,$I368,'Level of Efficiency Assumptions'!$I:$I,O$51)=0," ",SUMIFS('Level of Efficiency Assumptions'!$J:$J,'Level of Efficiency Assumptions'!$H:$H,$I368,'Level of Efficiency Assumptions'!$I:$I,O$51))</f>
        <v xml:space="preserve"> </v>
      </c>
      <c r="P368" s="1299" t="str">
        <f>IF(SUMIFS('Level of Efficiency Assumptions'!$J:$J,'Level of Efficiency Assumptions'!$H:$H,$I368,'Level of Efficiency Assumptions'!$I:$I,P$51)=0," ",SUMIFS('Level of Efficiency Assumptions'!$J:$J,'Level of Efficiency Assumptions'!$H:$H,$I368,'Level of Efficiency Assumptions'!$I:$I,P$51))</f>
        <v xml:space="preserve"> </v>
      </c>
      <c r="Q368" s="971" t="e">
        <f>IF(I368=" "," ",(VLOOKUP(I368,list!$B$81:$C$111,2,FALSE)))</f>
        <v>#N/A</v>
      </c>
      <c r="R368" s="243">
        <f t="shared" si="123"/>
        <v>0</v>
      </c>
      <c r="S368" s="64">
        <v>1</v>
      </c>
      <c r="T368" s="68">
        <v>0</v>
      </c>
      <c r="U368" s="244">
        <f t="shared" si="126"/>
        <v>1</v>
      </c>
    </row>
    <row r="369" spans="2:24" ht="15" thickBot="1" x14ac:dyDescent="0.35">
      <c r="C369" s="520"/>
      <c r="D369" s="224" t="str">
        <f t="shared" si="127"/>
        <v xml:space="preserve">  </v>
      </c>
      <c r="E369" s="224"/>
      <c r="F369" s="224" t="str">
        <f t="shared" si="128"/>
        <v xml:space="preserve">  </v>
      </c>
      <c r="G369" s="224"/>
      <c r="H369" s="380"/>
      <c r="I369" s="516" t="e">
        <f>IF(VLOOKUP(C25,list!$AA$5:$AS$14,18,FALSE)=0," ",(VLOOKUP(C25,list!$AA$5:$AS$14,18,FALSE)))</f>
        <v>#N/A</v>
      </c>
      <c r="J369" s="955" t="e">
        <f t="shared" si="124"/>
        <v>#N/A</v>
      </c>
      <c r="K369" s="955" t="e">
        <f t="shared" si="125"/>
        <v>#N/A</v>
      </c>
      <c r="L369" s="969" t="e">
        <f>IF(I369=" "," ",VLOOKUP(J369,list!$J$4:$M$117,4,FALSE))</f>
        <v>#N/A</v>
      </c>
      <c r="M369" s="66"/>
      <c r="N369" s="1297" t="str">
        <f>IF(SUMIFS('Level of Efficiency Assumptions'!$J:$J,'Level of Efficiency Assumptions'!$H:$H,$I369,'Level of Efficiency Assumptions'!$I:$I,N$51)=0," ",SUMIFS('Level of Efficiency Assumptions'!$J:$J,'Level of Efficiency Assumptions'!$H:$H,$I369,'Level of Efficiency Assumptions'!$I:$I,N$51))</f>
        <v xml:space="preserve"> </v>
      </c>
      <c r="O369" s="1298" t="str">
        <f>IF(SUMIFS('Level of Efficiency Assumptions'!$J:$J,'Level of Efficiency Assumptions'!$H:$H,$I369,'Level of Efficiency Assumptions'!$I:$I,O$51)=0," ",SUMIFS('Level of Efficiency Assumptions'!$J:$J,'Level of Efficiency Assumptions'!$H:$H,$I369,'Level of Efficiency Assumptions'!$I:$I,O$51))</f>
        <v xml:space="preserve"> </v>
      </c>
      <c r="P369" s="1299" t="str">
        <f>IF(SUMIFS('Level of Efficiency Assumptions'!$J:$J,'Level of Efficiency Assumptions'!$H:$H,$I369,'Level of Efficiency Assumptions'!$I:$I,P$51)=0," ",SUMIFS('Level of Efficiency Assumptions'!$J:$J,'Level of Efficiency Assumptions'!$H:$H,$I369,'Level of Efficiency Assumptions'!$I:$I,P$51))</f>
        <v xml:space="preserve"> </v>
      </c>
      <c r="Q369" s="971" t="e">
        <f>IF(I369=" "," ",(VLOOKUP(I369,list!$B$81:$C$111,2,FALSE)))</f>
        <v>#N/A</v>
      </c>
      <c r="R369" s="243">
        <f t="shared" si="123"/>
        <v>0</v>
      </c>
      <c r="S369" s="64">
        <v>1</v>
      </c>
      <c r="T369" s="68">
        <v>0</v>
      </c>
      <c r="U369" s="244">
        <f t="shared" si="126"/>
        <v>1</v>
      </c>
    </row>
    <row r="370" spans="2:24" ht="15" thickBot="1" x14ac:dyDescent="0.35">
      <c r="C370" s="632"/>
      <c r="D370" s="226" t="str">
        <f t="shared" si="127"/>
        <v xml:space="preserve">  </v>
      </c>
      <c r="E370" s="226"/>
      <c r="F370" s="226" t="str">
        <f t="shared" si="128"/>
        <v xml:space="preserve">  </v>
      </c>
      <c r="G370" s="226"/>
      <c r="H370" s="976"/>
      <c r="I370" s="516" t="e">
        <f>IF(VLOOKUP(C25,list!$AA$5:$AS$14,19,FALSE)=0," ",(VLOOKUP(C25,list!$AA$5:$AS$14,19,FALSE)))</f>
        <v>#N/A</v>
      </c>
      <c r="J370" s="955" t="e">
        <f>IF(I370=" "," ",(D370&amp;"-"&amp;I370))</f>
        <v>#N/A</v>
      </c>
      <c r="K370" s="955" t="e">
        <f t="shared" si="125"/>
        <v>#N/A</v>
      </c>
      <c r="L370" s="969" t="e">
        <f>IF(I370=" "," ",VLOOKUP(J370,list!$J$4:$M$117,4,FALSE))</f>
        <v>#N/A</v>
      </c>
      <c r="M370" s="67"/>
      <c r="N370" s="1303" t="str">
        <f>IF(SUMIFS('Level of Efficiency Assumptions'!$J:$J,'Level of Efficiency Assumptions'!$H:$H,$I370,'Level of Efficiency Assumptions'!$I:$I,N$51)=0," ",SUMIFS('Level of Efficiency Assumptions'!$J:$J,'Level of Efficiency Assumptions'!$H:$H,$I370,'Level of Efficiency Assumptions'!$I:$I,N$51))</f>
        <v xml:space="preserve"> </v>
      </c>
      <c r="O370" s="1304" t="str">
        <f>IF(SUMIFS('Level of Efficiency Assumptions'!$J:$J,'Level of Efficiency Assumptions'!$H:$H,$I370,'Level of Efficiency Assumptions'!$I:$I,O$51)=0," ",SUMIFS('Level of Efficiency Assumptions'!$J:$J,'Level of Efficiency Assumptions'!$H:$H,$I370,'Level of Efficiency Assumptions'!$I:$I,O$51))</f>
        <v xml:space="preserve"> </v>
      </c>
      <c r="P370" s="1305" t="str">
        <f>IF(SUMIFS('Level of Efficiency Assumptions'!$J:$J,'Level of Efficiency Assumptions'!$H:$H,$I370,'Level of Efficiency Assumptions'!$I:$I,P$51)=0," ",SUMIFS('Level of Efficiency Assumptions'!$J:$J,'Level of Efficiency Assumptions'!$H:$H,$I370,'Level of Efficiency Assumptions'!$I:$I,P$51))</f>
        <v xml:space="preserve"> </v>
      </c>
      <c r="Q370" s="977" t="e">
        <f>IF(I370=" "," ",(VLOOKUP(I370,list!$B$81:$C$111,2,FALSE)))</f>
        <v>#N/A</v>
      </c>
      <c r="R370" s="245">
        <f t="shared" si="123"/>
        <v>0</v>
      </c>
      <c r="S370" s="65">
        <v>1</v>
      </c>
      <c r="T370" s="69">
        <v>0</v>
      </c>
      <c r="U370" s="246">
        <f t="shared" si="126"/>
        <v>1</v>
      </c>
    </row>
    <row r="371" spans="2:24" x14ac:dyDescent="0.3">
      <c r="D371" s="846"/>
      <c r="F371" s="82"/>
      <c r="J371" s="846"/>
      <c r="K371" s="846"/>
      <c r="N371" s="1179"/>
      <c r="O371" s="1179"/>
      <c r="P371" s="1179"/>
      <c r="R371" s="176" t="s">
        <v>295</v>
      </c>
      <c r="S371" s="176"/>
      <c r="T371" s="176"/>
      <c r="U371" s="176"/>
    </row>
    <row r="372" spans="2:24" ht="15" thickBot="1" x14ac:dyDescent="0.35">
      <c r="D372" s="846"/>
      <c r="F372" s="82"/>
      <c r="J372" s="846"/>
      <c r="K372" s="846"/>
      <c r="N372" s="1179"/>
      <c r="O372" s="1179"/>
      <c r="P372" s="1179"/>
    </row>
    <row r="373" spans="2:24" ht="15" thickBot="1" x14ac:dyDescent="0.35">
      <c r="B373" s="814">
        <v>17</v>
      </c>
      <c r="C373" s="967" t="str">
        <f t="shared" ref="C373:H373" si="129">C26</f>
        <v xml:space="preserve">  </v>
      </c>
      <c r="D373" s="967" t="str">
        <f t="shared" si="129"/>
        <v xml:space="preserve">  </v>
      </c>
      <c r="E373" s="967" t="str">
        <f t="shared" si="129"/>
        <v xml:space="preserve">  </v>
      </c>
      <c r="F373" s="967" t="str">
        <f t="shared" si="129"/>
        <v xml:space="preserve">  </v>
      </c>
      <c r="G373" s="967">
        <f t="shared" si="129"/>
        <v>0</v>
      </c>
      <c r="H373" s="968">
        <f t="shared" si="129"/>
        <v>0</v>
      </c>
      <c r="I373" s="516" t="e">
        <f>IF(VLOOKUP(C26,list!$AA$5:$AS$14,2,FALSE)=0," ",(VLOOKUP(C26,list!$AA$5:$AS$14,2,FALSE)))</f>
        <v>#N/A</v>
      </c>
      <c r="J373" s="955" t="e">
        <f>IF(I373=" "," ",(D26&amp;"-"&amp;I373))</f>
        <v>#N/A</v>
      </c>
      <c r="K373" s="955" t="e">
        <f>IF(I373=" "," ",(F26&amp;"-"&amp;I373))</f>
        <v>#N/A</v>
      </c>
      <c r="L373" s="969" t="e">
        <f>IF(I373=" "," ",VLOOKUP(J373,list!$J$4:$M$117,4,FALSE))</f>
        <v>#N/A</v>
      </c>
      <c r="M373" s="70"/>
      <c r="N373" s="1300" t="str">
        <f>IF(SUMIFS('Level of Efficiency Assumptions'!$J:$J,'Level of Efficiency Assumptions'!$H:$H,$I373,'Level of Efficiency Assumptions'!$I:$I,N$51)=0," ",SUMIFS('Level of Efficiency Assumptions'!$J:$J,'Level of Efficiency Assumptions'!$H:$H,$I373,'Level of Efficiency Assumptions'!$I:$I,N$51))</f>
        <v xml:space="preserve"> </v>
      </c>
      <c r="O373" s="1301" t="str">
        <f>IF(SUMIFS('Level of Efficiency Assumptions'!$J:$J,'Level of Efficiency Assumptions'!$H:$H,$I373,'Level of Efficiency Assumptions'!$I:$I,O$51)=0," ",SUMIFS('Level of Efficiency Assumptions'!$J:$J,'Level of Efficiency Assumptions'!$H:$H,$I373,'Level of Efficiency Assumptions'!$I:$I,O$51))</f>
        <v xml:space="preserve"> </v>
      </c>
      <c r="P373" s="1302" t="str">
        <f>IF(SUMIFS('Level of Efficiency Assumptions'!$J:$J,'Level of Efficiency Assumptions'!$H:$H,$I373,'Level of Efficiency Assumptions'!$I:$I,P$51)=0," ",SUMIFS('Level of Efficiency Assumptions'!$J:$J,'Level of Efficiency Assumptions'!$H:$H,$I373,'Level of Efficiency Assumptions'!$I:$I,P$51))</f>
        <v xml:space="preserve"> </v>
      </c>
      <c r="Q373" s="970" t="e">
        <f>IF(I373=" "," ",(VLOOKUP(I373,list!$B$81:$C$111,2,FALSE)))</f>
        <v>#N/A</v>
      </c>
      <c r="R373" s="241">
        <f t="shared" ref="R373:R390" si="130">1-S373-T373</f>
        <v>0</v>
      </c>
      <c r="S373" s="83">
        <v>1</v>
      </c>
      <c r="T373" s="84">
        <v>0</v>
      </c>
      <c r="U373" s="242">
        <f>SUM(R373:T373)</f>
        <v>1</v>
      </c>
      <c r="W373" s="250" t="s">
        <v>367</v>
      </c>
      <c r="X373" s="251" t="s">
        <v>366</v>
      </c>
    </row>
    <row r="374" spans="2:24" ht="15" thickBot="1" x14ac:dyDescent="0.35">
      <c r="C374" s="520"/>
      <c r="D374" s="224" t="str">
        <f>D26</f>
        <v xml:space="preserve">  </v>
      </c>
      <c r="E374" s="224"/>
      <c r="F374" s="224" t="str">
        <f>F26</f>
        <v xml:space="preserve">  </v>
      </c>
      <c r="G374" s="224"/>
      <c r="H374" s="380"/>
      <c r="I374" s="516" t="e">
        <f>IF(VLOOKUP(C26,list!$AA$5:$AS$14,3,FALSE)=0," ",(VLOOKUP(C26,list!$AA$5:$AS$14,3,FALSE)))</f>
        <v>#N/A</v>
      </c>
      <c r="J374" s="955" t="e">
        <f t="shared" ref="J374:J389" si="131">IF(I374=" "," ",(D374&amp;"-"&amp;I374))</f>
        <v>#N/A</v>
      </c>
      <c r="K374" s="955" t="e">
        <f t="shared" ref="K374:K390" si="132">IF(I374=" "," ",(F374&amp;"-"&amp;I374))</f>
        <v>#N/A</v>
      </c>
      <c r="L374" s="969" t="e">
        <f>IF(I374=" "," ",VLOOKUP(J374,list!$J$4:$M$117,4,FALSE))</f>
        <v>#N/A</v>
      </c>
      <c r="M374" s="66"/>
      <c r="N374" s="1297" t="str">
        <f>IF(SUMIFS('Level of Efficiency Assumptions'!$J:$J,'Level of Efficiency Assumptions'!$H:$H,$I374,'Level of Efficiency Assumptions'!$I:$I,N$51)=0," ",SUMIFS('Level of Efficiency Assumptions'!$J:$J,'Level of Efficiency Assumptions'!$H:$H,$I374,'Level of Efficiency Assumptions'!$I:$I,N$51))</f>
        <v xml:space="preserve"> </v>
      </c>
      <c r="O374" s="1298" t="str">
        <f>IF(SUMIFS('Level of Efficiency Assumptions'!$J:$J,'Level of Efficiency Assumptions'!$H:$H,$I374,'Level of Efficiency Assumptions'!$I:$I,O$51)=0," ",SUMIFS('Level of Efficiency Assumptions'!$J:$J,'Level of Efficiency Assumptions'!$H:$H,$I374,'Level of Efficiency Assumptions'!$I:$I,O$51))</f>
        <v xml:space="preserve"> </v>
      </c>
      <c r="P374" s="1299" t="str">
        <f>IF(SUMIFS('Level of Efficiency Assumptions'!$J:$J,'Level of Efficiency Assumptions'!$H:$H,$I374,'Level of Efficiency Assumptions'!$I:$I,P$51)=0," ",SUMIFS('Level of Efficiency Assumptions'!$J:$J,'Level of Efficiency Assumptions'!$H:$H,$I374,'Level of Efficiency Assumptions'!$I:$I,P$51))</f>
        <v xml:space="preserve"> </v>
      </c>
      <c r="Q374" s="971" t="e">
        <f>IF(I374=" "," ",(VLOOKUP(I374,list!$B$81:$C$111,2,FALSE)))</f>
        <v>#N/A</v>
      </c>
      <c r="R374" s="243">
        <f t="shared" si="130"/>
        <v>0</v>
      </c>
      <c r="S374" s="64">
        <v>1</v>
      </c>
      <c r="T374" s="68">
        <v>0</v>
      </c>
      <c r="U374" s="244">
        <f t="shared" ref="U374:U390" si="133">SUM(R374:T374)</f>
        <v>1</v>
      </c>
      <c r="V374" s="82" t="e">
        <f>F374&amp;"-"&amp;W374</f>
        <v>#N/A</v>
      </c>
      <c r="W374" s="247" t="e">
        <f>HLOOKUP(D374,list!$O$34:$X$38,2,FALSE)</f>
        <v>#N/A</v>
      </c>
      <c r="X374" s="972">
        <v>1</v>
      </c>
    </row>
    <row r="375" spans="2:24" ht="15" thickBot="1" x14ac:dyDescent="0.35">
      <c r="C375" s="520"/>
      <c r="D375" s="224" t="str">
        <f>D374</f>
        <v xml:space="preserve">  </v>
      </c>
      <c r="E375" s="224"/>
      <c r="F375" s="224" t="str">
        <f>F374</f>
        <v xml:space="preserve">  </v>
      </c>
      <c r="G375" s="224"/>
      <c r="H375" s="380"/>
      <c r="I375" s="516" t="e">
        <f>IF(VLOOKUP(C26,list!$AA$5:$AS$14,4,FALSE)=0," ",(VLOOKUP(C26,list!$AA$5:$AS$14,4,FALSE)))</f>
        <v>#N/A</v>
      </c>
      <c r="J375" s="955" t="e">
        <f t="shared" si="131"/>
        <v>#N/A</v>
      </c>
      <c r="K375" s="955" t="e">
        <f t="shared" si="132"/>
        <v>#N/A</v>
      </c>
      <c r="L375" s="969" t="e">
        <f>IF(I375=" "," ",VLOOKUP(J375,list!$J$4:$M$117,4,FALSE))</f>
        <v>#N/A</v>
      </c>
      <c r="M375" s="66"/>
      <c r="N375" s="1297" t="str">
        <f>IF(SUMIFS('Level of Efficiency Assumptions'!$J:$J,'Level of Efficiency Assumptions'!$H:$H,$I375,'Level of Efficiency Assumptions'!$I:$I,N$51)=0," ",SUMIFS('Level of Efficiency Assumptions'!$J:$J,'Level of Efficiency Assumptions'!$H:$H,$I375,'Level of Efficiency Assumptions'!$I:$I,N$51))</f>
        <v xml:space="preserve"> </v>
      </c>
      <c r="O375" s="1298" t="str">
        <f>IF(SUMIFS('Level of Efficiency Assumptions'!$J:$J,'Level of Efficiency Assumptions'!$H:$H,$I375,'Level of Efficiency Assumptions'!$I:$I,O$51)=0," ",SUMIFS('Level of Efficiency Assumptions'!$J:$J,'Level of Efficiency Assumptions'!$H:$H,$I375,'Level of Efficiency Assumptions'!$I:$I,O$51))</f>
        <v xml:space="preserve"> </v>
      </c>
      <c r="P375" s="1299" t="str">
        <f>IF(SUMIFS('Level of Efficiency Assumptions'!$J:$J,'Level of Efficiency Assumptions'!$H:$H,$I375,'Level of Efficiency Assumptions'!$I:$I,P$51)=0," ",SUMIFS('Level of Efficiency Assumptions'!$J:$J,'Level of Efficiency Assumptions'!$H:$H,$I375,'Level of Efficiency Assumptions'!$I:$I,P$51))</f>
        <v xml:space="preserve"> </v>
      </c>
      <c r="Q375" s="971" t="e">
        <f>IF(I375=" "," ",(VLOOKUP(I375,list!$B$81:$C$111,2,FALSE)))</f>
        <v>#N/A</v>
      </c>
      <c r="R375" s="243">
        <f t="shared" si="130"/>
        <v>0</v>
      </c>
      <c r="S375" s="64">
        <v>1</v>
      </c>
      <c r="T375" s="68">
        <v>0</v>
      </c>
      <c r="U375" s="244">
        <f t="shared" si="133"/>
        <v>1</v>
      </c>
      <c r="V375" s="82" t="e">
        <f>F375&amp;"-"&amp;W375</f>
        <v>#N/A</v>
      </c>
      <c r="W375" s="248" t="e">
        <f>HLOOKUP(D375,list!$O$34:$X$38,3,FALSE)</f>
        <v>#N/A</v>
      </c>
      <c r="X375" s="973">
        <v>0.5</v>
      </c>
    </row>
    <row r="376" spans="2:24" ht="15" thickBot="1" x14ac:dyDescent="0.35">
      <c r="C376" s="520"/>
      <c r="D376" s="224" t="str">
        <f t="shared" ref="D376:D390" si="134">D375</f>
        <v xml:space="preserve">  </v>
      </c>
      <c r="E376" s="224"/>
      <c r="F376" s="224" t="str">
        <f t="shared" ref="F376:F390" si="135">F375</f>
        <v xml:space="preserve">  </v>
      </c>
      <c r="G376" s="224"/>
      <c r="H376" s="380"/>
      <c r="I376" s="516" t="e">
        <f>IF(VLOOKUP(C26,list!$AA$5:$AS$14,5,FALSE)=0," ",(VLOOKUP(C26,list!$AA$5:$AS$14,5,FALSE)))</f>
        <v>#N/A</v>
      </c>
      <c r="J376" s="955" t="e">
        <f t="shared" si="131"/>
        <v>#N/A</v>
      </c>
      <c r="K376" s="955" t="e">
        <f t="shared" si="132"/>
        <v>#N/A</v>
      </c>
      <c r="L376" s="969" t="e">
        <f>IF(I376=" "," ",VLOOKUP(J376,list!$J$4:$M$117,4,FALSE))</f>
        <v>#N/A</v>
      </c>
      <c r="M376" s="66"/>
      <c r="N376" s="1297" t="str">
        <f>IF(SUMIFS('Level of Efficiency Assumptions'!$J:$J,'Level of Efficiency Assumptions'!$H:$H,$I376,'Level of Efficiency Assumptions'!$I:$I,N$51)=0," ",SUMIFS('Level of Efficiency Assumptions'!$J:$J,'Level of Efficiency Assumptions'!$H:$H,$I376,'Level of Efficiency Assumptions'!$I:$I,N$51))</f>
        <v xml:space="preserve"> </v>
      </c>
      <c r="O376" s="1298" t="str">
        <f>IF(SUMIFS('Level of Efficiency Assumptions'!$J:$J,'Level of Efficiency Assumptions'!$H:$H,$I376,'Level of Efficiency Assumptions'!$I:$I,O$51)=0," ",SUMIFS('Level of Efficiency Assumptions'!$J:$J,'Level of Efficiency Assumptions'!$H:$H,$I376,'Level of Efficiency Assumptions'!$I:$I,O$51))</f>
        <v xml:space="preserve"> </v>
      </c>
      <c r="P376" s="1299" t="str">
        <f>IF(SUMIFS('Level of Efficiency Assumptions'!$J:$J,'Level of Efficiency Assumptions'!$H:$H,$I376,'Level of Efficiency Assumptions'!$I:$I,P$51)=0," ",SUMIFS('Level of Efficiency Assumptions'!$J:$J,'Level of Efficiency Assumptions'!$H:$H,$I376,'Level of Efficiency Assumptions'!$I:$I,P$51))</f>
        <v xml:space="preserve"> </v>
      </c>
      <c r="Q376" s="971" t="e">
        <f>IF(I376=" "," ",(VLOOKUP(I376,list!$B$81:$C$111,2,FALSE)))</f>
        <v>#N/A</v>
      </c>
      <c r="R376" s="243">
        <f t="shared" si="130"/>
        <v>0</v>
      </c>
      <c r="S376" s="64">
        <v>1</v>
      </c>
      <c r="T376" s="68">
        <v>0</v>
      </c>
      <c r="U376" s="244">
        <f t="shared" si="133"/>
        <v>1</v>
      </c>
      <c r="V376" s="82" t="e">
        <f>F376&amp;"-"&amp;W376</f>
        <v>#N/A</v>
      </c>
      <c r="W376" s="248" t="e">
        <f>HLOOKUP(D376,list!$O$34:$X$38,4,FALSE)</f>
        <v>#N/A</v>
      </c>
      <c r="X376" s="973">
        <v>0.5</v>
      </c>
    </row>
    <row r="377" spans="2:24" ht="15" thickBot="1" x14ac:dyDescent="0.35">
      <c r="C377" s="520"/>
      <c r="D377" s="224" t="str">
        <f t="shared" si="134"/>
        <v xml:space="preserve">  </v>
      </c>
      <c r="E377" s="224"/>
      <c r="F377" s="224" t="str">
        <f t="shared" si="135"/>
        <v xml:space="preserve">  </v>
      </c>
      <c r="G377" s="224"/>
      <c r="H377" s="380"/>
      <c r="I377" s="516" t="e">
        <f>IF(VLOOKUP(C26,list!$AA$5:$AS$14,6,FALSE)=0," ",(VLOOKUP(C26,list!$AA$5:$AS$14,6,FALSE)))</f>
        <v>#N/A</v>
      </c>
      <c r="J377" s="955" t="e">
        <f t="shared" si="131"/>
        <v>#N/A</v>
      </c>
      <c r="K377" s="955" t="e">
        <f t="shared" si="132"/>
        <v>#N/A</v>
      </c>
      <c r="L377" s="969" t="e">
        <f>IF(I377=" "," ",VLOOKUP(J377,list!$J$4:$M$117,4,FALSE))</f>
        <v>#N/A</v>
      </c>
      <c r="M377" s="66"/>
      <c r="N377" s="1297" t="str">
        <f>IF(SUMIFS('Level of Efficiency Assumptions'!$J:$J,'Level of Efficiency Assumptions'!$H:$H,$I377,'Level of Efficiency Assumptions'!$I:$I,N$51)=0," ",SUMIFS('Level of Efficiency Assumptions'!$J:$J,'Level of Efficiency Assumptions'!$H:$H,$I377,'Level of Efficiency Assumptions'!$I:$I,N$51))</f>
        <v xml:space="preserve"> </v>
      </c>
      <c r="O377" s="1298" t="str">
        <f>IF(SUMIFS('Level of Efficiency Assumptions'!$J:$J,'Level of Efficiency Assumptions'!$H:$H,$I377,'Level of Efficiency Assumptions'!$I:$I,O$51)=0," ",SUMIFS('Level of Efficiency Assumptions'!$J:$J,'Level of Efficiency Assumptions'!$H:$H,$I377,'Level of Efficiency Assumptions'!$I:$I,O$51))</f>
        <v xml:space="preserve"> </v>
      </c>
      <c r="P377" s="1299" t="str">
        <f>IF(SUMIFS('Level of Efficiency Assumptions'!$J:$J,'Level of Efficiency Assumptions'!$H:$H,$I377,'Level of Efficiency Assumptions'!$I:$I,P$51)=0," ",SUMIFS('Level of Efficiency Assumptions'!$J:$J,'Level of Efficiency Assumptions'!$H:$H,$I377,'Level of Efficiency Assumptions'!$I:$I,P$51))</f>
        <v xml:space="preserve"> </v>
      </c>
      <c r="Q377" s="971" t="e">
        <f>IF(I377=" "," ",(VLOOKUP(I377,list!$B$81:$C$111,2,FALSE)))</f>
        <v>#N/A</v>
      </c>
      <c r="R377" s="243">
        <f t="shared" si="130"/>
        <v>0</v>
      </c>
      <c r="S377" s="64">
        <v>1</v>
      </c>
      <c r="T377" s="68">
        <v>0</v>
      </c>
      <c r="U377" s="244">
        <f t="shared" si="133"/>
        <v>1</v>
      </c>
      <c r="V377" s="82" t="e">
        <f>F377&amp;"-"&amp;W377</f>
        <v>#N/A</v>
      </c>
      <c r="W377" s="249" t="e">
        <f>HLOOKUP(D377,list!$O$34:$X$38,5,FALSE)</f>
        <v>#N/A</v>
      </c>
      <c r="X377" s="974">
        <v>0.5</v>
      </c>
    </row>
    <row r="378" spans="2:24" ht="15" thickBot="1" x14ac:dyDescent="0.35">
      <c r="C378" s="520"/>
      <c r="D378" s="224" t="str">
        <f t="shared" si="134"/>
        <v xml:space="preserve">  </v>
      </c>
      <c r="E378" s="224"/>
      <c r="F378" s="224" t="str">
        <f t="shared" si="135"/>
        <v xml:space="preserve">  </v>
      </c>
      <c r="G378" s="224"/>
      <c r="H378" s="380"/>
      <c r="I378" s="516" t="e">
        <f>IF(VLOOKUP(C26,list!$AA$5:$AS$14,7,FALSE)=0," ",(VLOOKUP(C26,list!$AA$5:$AS$14,7,FALSE)))</f>
        <v>#N/A</v>
      </c>
      <c r="J378" s="955" t="e">
        <f t="shared" si="131"/>
        <v>#N/A</v>
      </c>
      <c r="K378" s="955" t="e">
        <f t="shared" si="132"/>
        <v>#N/A</v>
      </c>
      <c r="L378" s="969" t="e">
        <f>IF(I378=" "," ",VLOOKUP(J378,list!$J$4:$M$117,4,FALSE))</f>
        <v>#N/A</v>
      </c>
      <c r="M378" s="66"/>
      <c r="N378" s="1297" t="str">
        <f>IF(SUMIFS('Level of Efficiency Assumptions'!$J:$J,'Level of Efficiency Assumptions'!$H:$H,$I378,'Level of Efficiency Assumptions'!$I:$I,N$51)=0," ",SUMIFS('Level of Efficiency Assumptions'!$J:$J,'Level of Efficiency Assumptions'!$H:$H,$I378,'Level of Efficiency Assumptions'!$I:$I,N$51))</f>
        <v xml:space="preserve"> </v>
      </c>
      <c r="O378" s="1298" t="str">
        <f>IF(SUMIFS('Level of Efficiency Assumptions'!$J:$J,'Level of Efficiency Assumptions'!$H:$H,$I378,'Level of Efficiency Assumptions'!$I:$I,O$51)=0," ",SUMIFS('Level of Efficiency Assumptions'!$J:$J,'Level of Efficiency Assumptions'!$H:$H,$I378,'Level of Efficiency Assumptions'!$I:$I,O$51))</f>
        <v xml:space="preserve"> </v>
      </c>
      <c r="P378" s="1299" t="str">
        <f>IF(SUMIFS('Level of Efficiency Assumptions'!$J:$J,'Level of Efficiency Assumptions'!$H:$H,$I378,'Level of Efficiency Assumptions'!$I:$I,P$51)=0," ",SUMIFS('Level of Efficiency Assumptions'!$J:$J,'Level of Efficiency Assumptions'!$H:$H,$I378,'Level of Efficiency Assumptions'!$I:$I,P$51))</f>
        <v xml:space="preserve"> </v>
      </c>
      <c r="Q378" s="971" t="e">
        <f>IF(I378=" "," ",(VLOOKUP(I378,list!$B$81:$C$111,2,FALSE)))</f>
        <v>#N/A</v>
      </c>
      <c r="R378" s="243">
        <f t="shared" si="130"/>
        <v>0</v>
      </c>
      <c r="S378" s="64">
        <v>1</v>
      </c>
      <c r="T378" s="68">
        <v>0</v>
      </c>
      <c r="U378" s="244">
        <f t="shared" si="133"/>
        <v>1</v>
      </c>
      <c r="W378" s="182"/>
      <c r="X378" s="975"/>
    </row>
    <row r="379" spans="2:24" ht="15" thickBot="1" x14ac:dyDescent="0.35">
      <c r="C379" s="520"/>
      <c r="D379" s="224" t="str">
        <f t="shared" si="134"/>
        <v xml:space="preserve">  </v>
      </c>
      <c r="E379" s="224"/>
      <c r="F379" s="224" t="str">
        <f t="shared" si="135"/>
        <v xml:space="preserve">  </v>
      </c>
      <c r="G379" s="224"/>
      <c r="H379" s="380"/>
      <c r="I379" s="516" t="e">
        <f>IF(VLOOKUP(C26,list!$AA$5:$AS$14,8,FALSE)=0," ",(VLOOKUP(C26,list!$AA$5:$AS$14,8,FALSE)))</f>
        <v>#N/A</v>
      </c>
      <c r="J379" s="955" t="e">
        <f t="shared" si="131"/>
        <v>#N/A</v>
      </c>
      <c r="K379" s="955" t="e">
        <f t="shared" si="132"/>
        <v>#N/A</v>
      </c>
      <c r="L379" s="969" t="e">
        <f>IF(I379=" "," ",VLOOKUP(J379,list!$J$4:$M$117,4,FALSE))</f>
        <v>#N/A</v>
      </c>
      <c r="M379" s="66"/>
      <c r="N379" s="1297" t="str">
        <f>IF(SUMIFS('Level of Efficiency Assumptions'!$J:$J,'Level of Efficiency Assumptions'!$H:$H,$I379,'Level of Efficiency Assumptions'!$I:$I,N$51)=0," ",SUMIFS('Level of Efficiency Assumptions'!$J:$J,'Level of Efficiency Assumptions'!$H:$H,$I379,'Level of Efficiency Assumptions'!$I:$I,N$51))</f>
        <v xml:space="preserve"> </v>
      </c>
      <c r="O379" s="1298" t="str">
        <f>IF(SUMIFS('Level of Efficiency Assumptions'!$J:$J,'Level of Efficiency Assumptions'!$H:$H,$I379,'Level of Efficiency Assumptions'!$I:$I,O$51)=0," ",SUMIFS('Level of Efficiency Assumptions'!$J:$J,'Level of Efficiency Assumptions'!$H:$H,$I379,'Level of Efficiency Assumptions'!$I:$I,O$51))</f>
        <v xml:space="preserve"> </v>
      </c>
      <c r="P379" s="1299" t="str">
        <f>IF(SUMIFS('Level of Efficiency Assumptions'!$J:$J,'Level of Efficiency Assumptions'!$H:$H,$I379,'Level of Efficiency Assumptions'!$I:$I,P$51)=0," ",SUMIFS('Level of Efficiency Assumptions'!$J:$J,'Level of Efficiency Assumptions'!$H:$H,$I379,'Level of Efficiency Assumptions'!$I:$I,P$51))</f>
        <v xml:space="preserve"> </v>
      </c>
      <c r="Q379" s="971" t="e">
        <f>IF(I379=" "," ",(VLOOKUP(I379,list!$B$81:$C$111,2,FALSE)))</f>
        <v>#N/A</v>
      </c>
      <c r="R379" s="243">
        <f t="shared" si="130"/>
        <v>0</v>
      </c>
      <c r="S379" s="64">
        <v>1</v>
      </c>
      <c r="T379" s="68">
        <v>0</v>
      </c>
      <c r="U379" s="244">
        <f t="shared" si="133"/>
        <v>1</v>
      </c>
      <c r="W379" s="182"/>
      <c r="X379" s="975"/>
    </row>
    <row r="380" spans="2:24" ht="15" thickBot="1" x14ac:dyDescent="0.35">
      <c r="C380" s="520"/>
      <c r="D380" s="224" t="str">
        <f t="shared" si="134"/>
        <v xml:space="preserve">  </v>
      </c>
      <c r="E380" s="224"/>
      <c r="F380" s="224" t="str">
        <f t="shared" si="135"/>
        <v xml:space="preserve">  </v>
      </c>
      <c r="G380" s="224"/>
      <c r="H380" s="380"/>
      <c r="I380" s="516" t="e">
        <f>IF(VLOOKUP(C26,list!$AA$5:$AS$14,9,FALSE)=0," ",(VLOOKUP(C26,list!$AA$5:$AS$14,9,FALSE)))</f>
        <v>#N/A</v>
      </c>
      <c r="J380" s="955" t="e">
        <f t="shared" si="131"/>
        <v>#N/A</v>
      </c>
      <c r="K380" s="955" t="e">
        <f t="shared" si="132"/>
        <v>#N/A</v>
      </c>
      <c r="L380" s="969" t="e">
        <f>IF(I380=" "," ",VLOOKUP(J380,list!$J$4:$M$117,4,FALSE))</f>
        <v>#N/A</v>
      </c>
      <c r="M380" s="66"/>
      <c r="N380" s="1297" t="str">
        <f>IF(SUMIFS('Level of Efficiency Assumptions'!$J:$J,'Level of Efficiency Assumptions'!$H:$H,$I380,'Level of Efficiency Assumptions'!$I:$I,N$51)=0," ",SUMIFS('Level of Efficiency Assumptions'!$J:$J,'Level of Efficiency Assumptions'!$H:$H,$I380,'Level of Efficiency Assumptions'!$I:$I,N$51))</f>
        <v xml:space="preserve"> </v>
      </c>
      <c r="O380" s="1298" t="str">
        <f>IF(SUMIFS('Level of Efficiency Assumptions'!$J:$J,'Level of Efficiency Assumptions'!$H:$H,$I380,'Level of Efficiency Assumptions'!$I:$I,O$51)=0," ",SUMIFS('Level of Efficiency Assumptions'!$J:$J,'Level of Efficiency Assumptions'!$H:$H,$I380,'Level of Efficiency Assumptions'!$I:$I,O$51))</f>
        <v xml:space="preserve"> </v>
      </c>
      <c r="P380" s="1299" t="str">
        <f>IF(SUMIFS('Level of Efficiency Assumptions'!$J:$J,'Level of Efficiency Assumptions'!$H:$H,$I380,'Level of Efficiency Assumptions'!$I:$I,P$51)=0," ",SUMIFS('Level of Efficiency Assumptions'!$J:$J,'Level of Efficiency Assumptions'!$H:$H,$I380,'Level of Efficiency Assumptions'!$I:$I,P$51))</f>
        <v xml:space="preserve"> </v>
      </c>
      <c r="Q380" s="971" t="e">
        <f>IF(I380=" "," ",(VLOOKUP(I380,list!$B$81:$C$111,2,FALSE)))</f>
        <v>#N/A</v>
      </c>
      <c r="R380" s="243">
        <f t="shared" si="130"/>
        <v>0</v>
      </c>
      <c r="S380" s="64">
        <v>1</v>
      </c>
      <c r="T380" s="68">
        <v>0</v>
      </c>
      <c r="U380" s="244">
        <f t="shared" si="133"/>
        <v>1</v>
      </c>
    </row>
    <row r="381" spans="2:24" ht="15" thickBot="1" x14ac:dyDescent="0.35">
      <c r="C381" s="520"/>
      <c r="D381" s="224" t="str">
        <f t="shared" si="134"/>
        <v xml:space="preserve">  </v>
      </c>
      <c r="E381" s="224"/>
      <c r="F381" s="224" t="str">
        <f t="shared" si="135"/>
        <v xml:space="preserve">  </v>
      </c>
      <c r="G381" s="224"/>
      <c r="H381" s="380"/>
      <c r="I381" s="516" t="e">
        <f>IF(VLOOKUP(C26,list!$AA$5:$AS$14,10,FALSE)=0," ",(VLOOKUP(C26,list!$AA$5:$AS$14,10,FALSE)))</f>
        <v>#N/A</v>
      </c>
      <c r="J381" s="955" t="e">
        <f t="shared" si="131"/>
        <v>#N/A</v>
      </c>
      <c r="K381" s="955" t="e">
        <f t="shared" si="132"/>
        <v>#N/A</v>
      </c>
      <c r="L381" s="969" t="e">
        <f>IF(I381=" "," ",VLOOKUP(J381,list!$J$4:$M$117,4,FALSE))</f>
        <v>#N/A</v>
      </c>
      <c r="M381" s="66"/>
      <c r="N381" s="1297" t="str">
        <f>IF(SUMIFS('Level of Efficiency Assumptions'!$J:$J,'Level of Efficiency Assumptions'!$H:$H,$I381,'Level of Efficiency Assumptions'!$I:$I,N$51)=0," ",SUMIFS('Level of Efficiency Assumptions'!$J:$J,'Level of Efficiency Assumptions'!$H:$H,$I381,'Level of Efficiency Assumptions'!$I:$I,N$51))</f>
        <v xml:space="preserve"> </v>
      </c>
      <c r="O381" s="1298" t="str">
        <f>IF(SUMIFS('Level of Efficiency Assumptions'!$J:$J,'Level of Efficiency Assumptions'!$H:$H,$I381,'Level of Efficiency Assumptions'!$I:$I,O$51)=0," ",SUMIFS('Level of Efficiency Assumptions'!$J:$J,'Level of Efficiency Assumptions'!$H:$H,$I381,'Level of Efficiency Assumptions'!$I:$I,O$51))</f>
        <v xml:space="preserve"> </v>
      </c>
      <c r="P381" s="1299" t="str">
        <f>IF(SUMIFS('Level of Efficiency Assumptions'!$J:$J,'Level of Efficiency Assumptions'!$H:$H,$I381,'Level of Efficiency Assumptions'!$I:$I,P$51)=0," ",SUMIFS('Level of Efficiency Assumptions'!$J:$J,'Level of Efficiency Assumptions'!$H:$H,$I381,'Level of Efficiency Assumptions'!$I:$I,P$51))</f>
        <v xml:space="preserve"> </v>
      </c>
      <c r="Q381" s="971" t="e">
        <f>IF(I381=" "," ",(VLOOKUP(I381,list!$B$81:$C$111,2,FALSE)))</f>
        <v>#N/A</v>
      </c>
      <c r="R381" s="243">
        <f t="shared" si="130"/>
        <v>0</v>
      </c>
      <c r="S381" s="64">
        <v>1</v>
      </c>
      <c r="T381" s="68">
        <v>0</v>
      </c>
      <c r="U381" s="244">
        <f t="shared" si="133"/>
        <v>1</v>
      </c>
    </row>
    <row r="382" spans="2:24" ht="15" thickBot="1" x14ac:dyDescent="0.35">
      <c r="C382" s="520"/>
      <c r="D382" s="224" t="str">
        <f t="shared" si="134"/>
        <v xml:space="preserve">  </v>
      </c>
      <c r="E382" s="224"/>
      <c r="F382" s="224" t="str">
        <f t="shared" si="135"/>
        <v xml:space="preserve">  </v>
      </c>
      <c r="G382" s="224"/>
      <c r="H382" s="380"/>
      <c r="I382" s="516" t="e">
        <f>IF(VLOOKUP(C26,list!$AA$5:$AS$14,11,FALSE)=0," ",(VLOOKUP(C26,list!$AA$5:$AS$14,11,FALSE)))</f>
        <v>#N/A</v>
      </c>
      <c r="J382" s="955" t="e">
        <f t="shared" si="131"/>
        <v>#N/A</v>
      </c>
      <c r="K382" s="955" t="e">
        <f t="shared" si="132"/>
        <v>#N/A</v>
      </c>
      <c r="L382" s="969" t="e">
        <f>IF(I382=" "," ",VLOOKUP(J382,list!$J$4:$M$117,4,FALSE))</f>
        <v>#N/A</v>
      </c>
      <c r="M382" s="66"/>
      <c r="N382" s="1297" t="str">
        <f>IF(SUMIFS('Level of Efficiency Assumptions'!$J:$J,'Level of Efficiency Assumptions'!$H:$H,$I382,'Level of Efficiency Assumptions'!$I:$I,N$51)=0," ",SUMIFS('Level of Efficiency Assumptions'!$J:$J,'Level of Efficiency Assumptions'!$H:$H,$I382,'Level of Efficiency Assumptions'!$I:$I,N$51))</f>
        <v xml:space="preserve"> </v>
      </c>
      <c r="O382" s="1298" t="str">
        <f>IF(SUMIFS('Level of Efficiency Assumptions'!$J:$J,'Level of Efficiency Assumptions'!$H:$H,$I382,'Level of Efficiency Assumptions'!$I:$I,O$51)=0," ",SUMIFS('Level of Efficiency Assumptions'!$J:$J,'Level of Efficiency Assumptions'!$H:$H,$I382,'Level of Efficiency Assumptions'!$I:$I,O$51))</f>
        <v xml:space="preserve"> </v>
      </c>
      <c r="P382" s="1299" t="str">
        <f>IF(SUMIFS('Level of Efficiency Assumptions'!$J:$J,'Level of Efficiency Assumptions'!$H:$H,$I382,'Level of Efficiency Assumptions'!$I:$I,P$51)=0," ",SUMIFS('Level of Efficiency Assumptions'!$J:$J,'Level of Efficiency Assumptions'!$H:$H,$I382,'Level of Efficiency Assumptions'!$I:$I,P$51))</f>
        <v xml:space="preserve"> </v>
      </c>
      <c r="Q382" s="971" t="e">
        <f>IF(I382=" "," ",(VLOOKUP(I382,list!$B$81:$C$111,2,FALSE)))</f>
        <v>#N/A</v>
      </c>
      <c r="R382" s="243">
        <f t="shared" si="130"/>
        <v>0</v>
      </c>
      <c r="S382" s="64">
        <v>1</v>
      </c>
      <c r="T382" s="68">
        <v>0</v>
      </c>
      <c r="U382" s="244">
        <f t="shared" si="133"/>
        <v>1</v>
      </c>
    </row>
    <row r="383" spans="2:24" ht="15" thickBot="1" x14ac:dyDescent="0.35">
      <c r="C383" s="520"/>
      <c r="D383" s="224" t="str">
        <f t="shared" si="134"/>
        <v xml:space="preserve">  </v>
      </c>
      <c r="E383" s="224"/>
      <c r="F383" s="224" t="str">
        <f t="shared" si="135"/>
        <v xml:space="preserve">  </v>
      </c>
      <c r="G383" s="224"/>
      <c r="H383" s="380"/>
      <c r="I383" s="516" t="e">
        <f>IF(VLOOKUP(C26,list!$AA$5:$AS$14,12,FALSE)=0," ",(VLOOKUP(C26,list!$AA$5:$AS$14,12,FALSE)))</f>
        <v>#N/A</v>
      </c>
      <c r="J383" s="955" t="e">
        <f t="shared" si="131"/>
        <v>#N/A</v>
      </c>
      <c r="K383" s="955" t="e">
        <f t="shared" si="132"/>
        <v>#N/A</v>
      </c>
      <c r="L383" s="969" t="e">
        <f>IF(I383=" "," ",VLOOKUP(J383,list!$J$4:$M$117,4,FALSE))</f>
        <v>#N/A</v>
      </c>
      <c r="M383" s="66"/>
      <c r="N383" s="1297" t="str">
        <f>IF(SUMIFS('Level of Efficiency Assumptions'!$J:$J,'Level of Efficiency Assumptions'!$H:$H,$I383,'Level of Efficiency Assumptions'!$I:$I,N$51)=0," ",SUMIFS('Level of Efficiency Assumptions'!$J:$J,'Level of Efficiency Assumptions'!$H:$H,$I383,'Level of Efficiency Assumptions'!$I:$I,N$51))</f>
        <v xml:space="preserve"> </v>
      </c>
      <c r="O383" s="1298" t="str">
        <f>IF(SUMIFS('Level of Efficiency Assumptions'!$J:$J,'Level of Efficiency Assumptions'!$H:$H,$I383,'Level of Efficiency Assumptions'!$I:$I,O$51)=0," ",SUMIFS('Level of Efficiency Assumptions'!$J:$J,'Level of Efficiency Assumptions'!$H:$H,$I383,'Level of Efficiency Assumptions'!$I:$I,O$51))</f>
        <v xml:space="preserve"> </v>
      </c>
      <c r="P383" s="1299" t="str">
        <f>IF(SUMIFS('Level of Efficiency Assumptions'!$J:$J,'Level of Efficiency Assumptions'!$H:$H,$I383,'Level of Efficiency Assumptions'!$I:$I,P$51)=0," ",SUMIFS('Level of Efficiency Assumptions'!$J:$J,'Level of Efficiency Assumptions'!$H:$H,$I383,'Level of Efficiency Assumptions'!$I:$I,P$51))</f>
        <v xml:space="preserve"> </v>
      </c>
      <c r="Q383" s="971" t="e">
        <f>IF(I383=" "," ",(VLOOKUP(I383,list!$B$81:$C$111,2,FALSE)))</f>
        <v>#N/A</v>
      </c>
      <c r="R383" s="243">
        <f t="shared" si="130"/>
        <v>0</v>
      </c>
      <c r="S383" s="64">
        <v>1</v>
      </c>
      <c r="T383" s="68">
        <v>0</v>
      </c>
      <c r="U383" s="244">
        <f t="shared" si="133"/>
        <v>1</v>
      </c>
    </row>
    <row r="384" spans="2:24" ht="15" thickBot="1" x14ac:dyDescent="0.35">
      <c r="C384" s="520"/>
      <c r="D384" s="224" t="str">
        <f t="shared" si="134"/>
        <v xml:space="preserve">  </v>
      </c>
      <c r="E384" s="224"/>
      <c r="F384" s="224" t="str">
        <f t="shared" si="135"/>
        <v xml:space="preserve">  </v>
      </c>
      <c r="G384" s="224"/>
      <c r="H384" s="380"/>
      <c r="I384" s="516" t="e">
        <f>IF(VLOOKUP(C26,list!$AA$5:$AS$14,13,FALSE)=0," ",(VLOOKUP(C26,list!$AA$5:$AS$14,13,FALSE)))</f>
        <v>#N/A</v>
      </c>
      <c r="J384" s="955" t="e">
        <f t="shared" si="131"/>
        <v>#N/A</v>
      </c>
      <c r="K384" s="955" t="e">
        <f t="shared" si="132"/>
        <v>#N/A</v>
      </c>
      <c r="L384" s="969" t="e">
        <f>IF(I384=" "," ",VLOOKUP(J384,list!$J$4:$M$117,4,FALSE))</f>
        <v>#N/A</v>
      </c>
      <c r="M384" s="66"/>
      <c r="N384" s="1297" t="str">
        <f>IF(SUMIFS('Level of Efficiency Assumptions'!$J:$J,'Level of Efficiency Assumptions'!$H:$H,$I384,'Level of Efficiency Assumptions'!$I:$I,N$51)=0," ",SUMIFS('Level of Efficiency Assumptions'!$J:$J,'Level of Efficiency Assumptions'!$H:$H,$I384,'Level of Efficiency Assumptions'!$I:$I,N$51))</f>
        <v xml:space="preserve"> </v>
      </c>
      <c r="O384" s="1298" t="str">
        <f>IF(SUMIFS('Level of Efficiency Assumptions'!$J:$J,'Level of Efficiency Assumptions'!$H:$H,$I384,'Level of Efficiency Assumptions'!$I:$I,O$51)=0," ",SUMIFS('Level of Efficiency Assumptions'!$J:$J,'Level of Efficiency Assumptions'!$H:$H,$I384,'Level of Efficiency Assumptions'!$I:$I,O$51))</f>
        <v xml:space="preserve"> </v>
      </c>
      <c r="P384" s="1299" t="str">
        <f>IF(SUMIFS('Level of Efficiency Assumptions'!$J:$J,'Level of Efficiency Assumptions'!$H:$H,$I384,'Level of Efficiency Assumptions'!$I:$I,P$51)=0," ",SUMIFS('Level of Efficiency Assumptions'!$J:$J,'Level of Efficiency Assumptions'!$H:$H,$I384,'Level of Efficiency Assumptions'!$I:$I,P$51))</f>
        <v xml:space="preserve"> </v>
      </c>
      <c r="Q384" s="971" t="e">
        <f>IF(I384=" "," ",(VLOOKUP(I384,list!$B$81:$C$111,2,FALSE)))</f>
        <v>#N/A</v>
      </c>
      <c r="R384" s="243">
        <f t="shared" si="130"/>
        <v>0</v>
      </c>
      <c r="S384" s="64">
        <v>1</v>
      </c>
      <c r="T384" s="68">
        <v>0</v>
      </c>
      <c r="U384" s="244">
        <f t="shared" si="133"/>
        <v>1</v>
      </c>
    </row>
    <row r="385" spans="2:24" ht="15" thickBot="1" x14ac:dyDescent="0.35">
      <c r="C385" s="520"/>
      <c r="D385" s="224" t="str">
        <f t="shared" si="134"/>
        <v xml:space="preserve">  </v>
      </c>
      <c r="E385" s="224"/>
      <c r="F385" s="224" t="str">
        <f t="shared" si="135"/>
        <v xml:space="preserve">  </v>
      </c>
      <c r="G385" s="224"/>
      <c r="H385" s="380"/>
      <c r="I385" s="516" t="e">
        <f>IF(VLOOKUP(C26,list!$AA$5:$AS$14,14,FALSE)=0," ",(VLOOKUP(C26,list!$AA$5:$AS$14,14,FALSE)))</f>
        <v>#N/A</v>
      </c>
      <c r="J385" s="955" t="e">
        <f t="shared" si="131"/>
        <v>#N/A</v>
      </c>
      <c r="K385" s="955" t="e">
        <f t="shared" si="132"/>
        <v>#N/A</v>
      </c>
      <c r="L385" s="969" t="e">
        <f>IF(I385=" "," ",VLOOKUP(J385,list!$J$4:$M$117,4,FALSE))</f>
        <v>#N/A</v>
      </c>
      <c r="M385" s="66"/>
      <c r="N385" s="1297" t="str">
        <f>IF(SUMIFS('Level of Efficiency Assumptions'!$J:$J,'Level of Efficiency Assumptions'!$H:$H,$I385,'Level of Efficiency Assumptions'!$I:$I,N$51)=0," ",SUMIFS('Level of Efficiency Assumptions'!$J:$J,'Level of Efficiency Assumptions'!$H:$H,$I385,'Level of Efficiency Assumptions'!$I:$I,N$51))</f>
        <v xml:space="preserve"> </v>
      </c>
      <c r="O385" s="1298" t="str">
        <f>IF(SUMIFS('Level of Efficiency Assumptions'!$J:$J,'Level of Efficiency Assumptions'!$H:$H,$I385,'Level of Efficiency Assumptions'!$I:$I,O$51)=0," ",SUMIFS('Level of Efficiency Assumptions'!$J:$J,'Level of Efficiency Assumptions'!$H:$H,$I385,'Level of Efficiency Assumptions'!$I:$I,O$51))</f>
        <v xml:space="preserve"> </v>
      </c>
      <c r="P385" s="1299" t="str">
        <f>IF(SUMIFS('Level of Efficiency Assumptions'!$J:$J,'Level of Efficiency Assumptions'!$H:$H,$I385,'Level of Efficiency Assumptions'!$I:$I,P$51)=0," ",SUMIFS('Level of Efficiency Assumptions'!$J:$J,'Level of Efficiency Assumptions'!$H:$H,$I385,'Level of Efficiency Assumptions'!$I:$I,P$51))</f>
        <v xml:space="preserve"> </v>
      </c>
      <c r="Q385" s="971" t="e">
        <f>IF(I385=" "," ",(VLOOKUP(I385,list!$B$81:$C$111,2,FALSE)))</f>
        <v>#N/A</v>
      </c>
      <c r="R385" s="243">
        <f t="shared" si="130"/>
        <v>0</v>
      </c>
      <c r="S385" s="64">
        <v>1</v>
      </c>
      <c r="T385" s="68">
        <v>0</v>
      </c>
      <c r="U385" s="244">
        <f t="shared" si="133"/>
        <v>1</v>
      </c>
    </row>
    <row r="386" spans="2:24" ht="15" thickBot="1" x14ac:dyDescent="0.35">
      <c r="C386" s="520"/>
      <c r="D386" s="224" t="str">
        <f t="shared" si="134"/>
        <v xml:space="preserve">  </v>
      </c>
      <c r="E386" s="224"/>
      <c r="F386" s="224" t="str">
        <f t="shared" si="135"/>
        <v xml:space="preserve">  </v>
      </c>
      <c r="G386" s="224"/>
      <c r="H386" s="380"/>
      <c r="I386" s="516" t="e">
        <f>IF(VLOOKUP(C26,list!$AA$5:$AS$14,15,FALSE)=0," ",(VLOOKUP(C26,list!$AA$5:$AS$14,15,FALSE)))</f>
        <v>#N/A</v>
      </c>
      <c r="J386" s="955" t="e">
        <f t="shared" si="131"/>
        <v>#N/A</v>
      </c>
      <c r="K386" s="955" t="e">
        <f t="shared" si="132"/>
        <v>#N/A</v>
      </c>
      <c r="L386" s="969" t="e">
        <f>IF(I386=" "," ",VLOOKUP(J386,list!$J$4:$M$117,4,FALSE))</f>
        <v>#N/A</v>
      </c>
      <c r="M386" s="66"/>
      <c r="N386" s="1297" t="str">
        <f>IF(SUMIFS('Level of Efficiency Assumptions'!$J:$J,'Level of Efficiency Assumptions'!$H:$H,$I386,'Level of Efficiency Assumptions'!$I:$I,N$51)=0," ",SUMIFS('Level of Efficiency Assumptions'!$J:$J,'Level of Efficiency Assumptions'!$H:$H,$I386,'Level of Efficiency Assumptions'!$I:$I,N$51))</f>
        <v xml:space="preserve"> </v>
      </c>
      <c r="O386" s="1298" t="str">
        <f>IF(SUMIFS('Level of Efficiency Assumptions'!$J:$J,'Level of Efficiency Assumptions'!$H:$H,$I386,'Level of Efficiency Assumptions'!$I:$I,O$51)=0," ",SUMIFS('Level of Efficiency Assumptions'!$J:$J,'Level of Efficiency Assumptions'!$H:$H,$I386,'Level of Efficiency Assumptions'!$I:$I,O$51))</f>
        <v xml:space="preserve"> </v>
      </c>
      <c r="P386" s="1299" t="str">
        <f>IF(SUMIFS('Level of Efficiency Assumptions'!$J:$J,'Level of Efficiency Assumptions'!$H:$H,$I386,'Level of Efficiency Assumptions'!$I:$I,P$51)=0," ",SUMIFS('Level of Efficiency Assumptions'!$J:$J,'Level of Efficiency Assumptions'!$H:$H,$I386,'Level of Efficiency Assumptions'!$I:$I,P$51))</f>
        <v xml:space="preserve"> </v>
      </c>
      <c r="Q386" s="971" t="e">
        <f>IF(I386=" "," ",(VLOOKUP(I386,list!$B$81:$C$111,2,FALSE)))</f>
        <v>#N/A</v>
      </c>
      <c r="R386" s="243">
        <f t="shared" si="130"/>
        <v>0</v>
      </c>
      <c r="S386" s="64">
        <v>1</v>
      </c>
      <c r="T386" s="68">
        <v>0</v>
      </c>
      <c r="U386" s="244">
        <f t="shared" si="133"/>
        <v>1</v>
      </c>
    </row>
    <row r="387" spans="2:24" ht="15" thickBot="1" x14ac:dyDescent="0.35">
      <c r="C387" s="520"/>
      <c r="D387" s="224" t="str">
        <f t="shared" si="134"/>
        <v xml:space="preserve">  </v>
      </c>
      <c r="E387" s="224"/>
      <c r="F387" s="224" t="str">
        <f t="shared" si="135"/>
        <v xml:space="preserve">  </v>
      </c>
      <c r="G387" s="224"/>
      <c r="H387" s="380"/>
      <c r="I387" s="516" t="e">
        <f>IF(VLOOKUP(C26,list!$AA$5:$AS$14,16,FALSE)=0," ",(VLOOKUP(C26,list!$AA$5:$AS$14,16,FALSE)))</f>
        <v>#N/A</v>
      </c>
      <c r="J387" s="955" t="e">
        <f t="shared" si="131"/>
        <v>#N/A</v>
      </c>
      <c r="K387" s="955" t="e">
        <f t="shared" si="132"/>
        <v>#N/A</v>
      </c>
      <c r="L387" s="969" t="e">
        <f>IF(I387=" "," ",VLOOKUP(J387,list!$J$4:$M$117,4,FALSE))</f>
        <v>#N/A</v>
      </c>
      <c r="M387" s="66"/>
      <c r="N387" s="1297" t="str">
        <f>IF(SUMIFS('Level of Efficiency Assumptions'!$J:$J,'Level of Efficiency Assumptions'!$H:$H,$I387,'Level of Efficiency Assumptions'!$I:$I,N$51)=0," ",SUMIFS('Level of Efficiency Assumptions'!$J:$J,'Level of Efficiency Assumptions'!$H:$H,$I387,'Level of Efficiency Assumptions'!$I:$I,N$51))</f>
        <v xml:space="preserve"> </v>
      </c>
      <c r="O387" s="1298" t="str">
        <f>IF(SUMIFS('Level of Efficiency Assumptions'!$J:$J,'Level of Efficiency Assumptions'!$H:$H,$I387,'Level of Efficiency Assumptions'!$I:$I,O$51)=0," ",SUMIFS('Level of Efficiency Assumptions'!$J:$J,'Level of Efficiency Assumptions'!$H:$H,$I387,'Level of Efficiency Assumptions'!$I:$I,O$51))</f>
        <v xml:space="preserve"> </v>
      </c>
      <c r="P387" s="1299" t="str">
        <f>IF(SUMIFS('Level of Efficiency Assumptions'!$J:$J,'Level of Efficiency Assumptions'!$H:$H,$I387,'Level of Efficiency Assumptions'!$I:$I,P$51)=0," ",SUMIFS('Level of Efficiency Assumptions'!$J:$J,'Level of Efficiency Assumptions'!$H:$H,$I387,'Level of Efficiency Assumptions'!$I:$I,P$51))</f>
        <v xml:space="preserve"> </v>
      </c>
      <c r="Q387" s="971" t="e">
        <f>IF(I387=" "," ",(VLOOKUP(I387,list!$B$81:$C$111,2,FALSE)))</f>
        <v>#N/A</v>
      </c>
      <c r="R387" s="243">
        <f t="shared" si="130"/>
        <v>0</v>
      </c>
      <c r="S387" s="64">
        <v>1</v>
      </c>
      <c r="T387" s="68">
        <v>0</v>
      </c>
      <c r="U387" s="244">
        <f t="shared" si="133"/>
        <v>1</v>
      </c>
    </row>
    <row r="388" spans="2:24" ht="15" thickBot="1" x14ac:dyDescent="0.35">
      <c r="C388" s="520"/>
      <c r="D388" s="224" t="str">
        <f t="shared" si="134"/>
        <v xml:space="preserve">  </v>
      </c>
      <c r="E388" s="224"/>
      <c r="F388" s="224" t="str">
        <f t="shared" si="135"/>
        <v xml:space="preserve">  </v>
      </c>
      <c r="G388" s="224"/>
      <c r="H388" s="380"/>
      <c r="I388" s="516" t="e">
        <f>IF(VLOOKUP(C26,list!$AA$5:$AS$14,17,FALSE)=0," ",(VLOOKUP(C26,list!$AA$5:$AS$14,17,FALSE)))</f>
        <v>#N/A</v>
      </c>
      <c r="J388" s="955" t="e">
        <f t="shared" si="131"/>
        <v>#N/A</v>
      </c>
      <c r="K388" s="955" t="e">
        <f t="shared" si="132"/>
        <v>#N/A</v>
      </c>
      <c r="L388" s="969" t="e">
        <f>IF(I388=" "," ",VLOOKUP(J388,list!$J$4:$M$117,4,FALSE))</f>
        <v>#N/A</v>
      </c>
      <c r="M388" s="66"/>
      <c r="N388" s="1297" t="str">
        <f>IF(SUMIFS('Level of Efficiency Assumptions'!$J:$J,'Level of Efficiency Assumptions'!$H:$H,$I388,'Level of Efficiency Assumptions'!$I:$I,N$51)=0," ",SUMIFS('Level of Efficiency Assumptions'!$J:$J,'Level of Efficiency Assumptions'!$H:$H,$I388,'Level of Efficiency Assumptions'!$I:$I,N$51))</f>
        <v xml:space="preserve"> </v>
      </c>
      <c r="O388" s="1298" t="str">
        <f>IF(SUMIFS('Level of Efficiency Assumptions'!$J:$J,'Level of Efficiency Assumptions'!$H:$H,$I388,'Level of Efficiency Assumptions'!$I:$I,O$51)=0," ",SUMIFS('Level of Efficiency Assumptions'!$J:$J,'Level of Efficiency Assumptions'!$H:$H,$I388,'Level of Efficiency Assumptions'!$I:$I,O$51))</f>
        <v xml:space="preserve"> </v>
      </c>
      <c r="P388" s="1299" t="str">
        <f>IF(SUMIFS('Level of Efficiency Assumptions'!$J:$J,'Level of Efficiency Assumptions'!$H:$H,$I388,'Level of Efficiency Assumptions'!$I:$I,P$51)=0," ",SUMIFS('Level of Efficiency Assumptions'!$J:$J,'Level of Efficiency Assumptions'!$H:$H,$I388,'Level of Efficiency Assumptions'!$I:$I,P$51))</f>
        <v xml:space="preserve"> </v>
      </c>
      <c r="Q388" s="971" t="e">
        <f>IF(I388=" "," ",(VLOOKUP(I388,list!$B$81:$C$111,2,FALSE)))</f>
        <v>#N/A</v>
      </c>
      <c r="R388" s="243">
        <f t="shared" si="130"/>
        <v>0</v>
      </c>
      <c r="S388" s="64">
        <v>1</v>
      </c>
      <c r="T388" s="68">
        <v>0</v>
      </c>
      <c r="U388" s="244">
        <f t="shared" si="133"/>
        <v>1</v>
      </c>
    </row>
    <row r="389" spans="2:24" ht="15" thickBot="1" x14ac:dyDescent="0.35">
      <c r="C389" s="520"/>
      <c r="D389" s="224" t="str">
        <f t="shared" si="134"/>
        <v xml:space="preserve">  </v>
      </c>
      <c r="E389" s="224"/>
      <c r="F389" s="224" t="str">
        <f t="shared" si="135"/>
        <v xml:space="preserve">  </v>
      </c>
      <c r="G389" s="224"/>
      <c r="H389" s="380"/>
      <c r="I389" s="516" t="e">
        <f>IF(VLOOKUP(C26,list!$AA$5:$AS$14,18,FALSE)=0," ",(VLOOKUP(C26,list!$AA$5:$AS$14,18,FALSE)))</f>
        <v>#N/A</v>
      </c>
      <c r="J389" s="955" t="e">
        <f t="shared" si="131"/>
        <v>#N/A</v>
      </c>
      <c r="K389" s="955" t="e">
        <f t="shared" si="132"/>
        <v>#N/A</v>
      </c>
      <c r="L389" s="969" t="e">
        <f>IF(I389=" "," ",VLOOKUP(J389,list!$J$4:$M$117,4,FALSE))</f>
        <v>#N/A</v>
      </c>
      <c r="M389" s="66"/>
      <c r="N389" s="1297" t="str">
        <f>IF(SUMIFS('Level of Efficiency Assumptions'!$J:$J,'Level of Efficiency Assumptions'!$H:$H,$I389,'Level of Efficiency Assumptions'!$I:$I,N$51)=0," ",SUMIFS('Level of Efficiency Assumptions'!$J:$J,'Level of Efficiency Assumptions'!$H:$H,$I389,'Level of Efficiency Assumptions'!$I:$I,N$51))</f>
        <v xml:space="preserve"> </v>
      </c>
      <c r="O389" s="1298" t="str">
        <f>IF(SUMIFS('Level of Efficiency Assumptions'!$J:$J,'Level of Efficiency Assumptions'!$H:$H,$I389,'Level of Efficiency Assumptions'!$I:$I,O$51)=0," ",SUMIFS('Level of Efficiency Assumptions'!$J:$J,'Level of Efficiency Assumptions'!$H:$H,$I389,'Level of Efficiency Assumptions'!$I:$I,O$51))</f>
        <v xml:space="preserve"> </v>
      </c>
      <c r="P389" s="1299" t="str">
        <f>IF(SUMIFS('Level of Efficiency Assumptions'!$J:$J,'Level of Efficiency Assumptions'!$H:$H,$I389,'Level of Efficiency Assumptions'!$I:$I,P$51)=0," ",SUMIFS('Level of Efficiency Assumptions'!$J:$J,'Level of Efficiency Assumptions'!$H:$H,$I389,'Level of Efficiency Assumptions'!$I:$I,P$51))</f>
        <v xml:space="preserve"> </v>
      </c>
      <c r="Q389" s="971" t="e">
        <f>IF(I389=" "," ",(VLOOKUP(I389,list!$B$81:$C$111,2,FALSE)))</f>
        <v>#N/A</v>
      </c>
      <c r="R389" s="243">
        <f t="shared" si="130"/>
        <v>0</v>
      </c>
      <c r="S389" s="64">
        <v>1</v>
      </c>
      <c r="T389" s="68">
        <v>0</v>
      </c>
      <c r="U389" s="244">
        <f t="shared" si="133"/>
        <v>1</v>
      </c>
    </row>
    <row r="390" spans="2:24" ht="15" thickBot="1" x14ac:dyDescent="0.35">
      <c r="C390" s="632"/>
      <c r="D390" s="226" t="str">
        <f t="shared" si="134"/>
        <v xml:space="preserve">  </v>
      </c>
      <c r="E390" s="226"/>
      <c r="F390" s="226" t="str">
        <f t="shared" si="135"/>
        <v xml:space="preserve">  </v>
      </c>
      <c r="G390" s="226"/>
      <c r="H390" s="976"/>
      <c r="I390" s="516" t="e">
        <f>IF(VLOOKUP(C26,list!$AA$5:$AS$14,19,FALSE)=0," ",(VLOOKUP(C26,list!$AA$5:$AS$14,19,FALSE)))</f>
        <v>#N/A</v>
      </c>
      <c r="J390" s="955" t="e">
        <f>IF(I390=" "," ",(D390&amp;"-"&amp;I390))</f>
        <v>#N/A</v>
      </c>
      <c r="K390" s="955" t="e">
        <f t="shared" si="132"/>
        <v>#N/A</v>
      </c>
      <c r="L390" s="969" t="e">
        <f>IF(I390=" "," ",VLOOKUP(J390,list!$J$4:$M$117,4,FALSE))</f>
        <v>#N/A</v>
      </c>
      <c r="M390" s="67"/>
      <c r="N390" s="1303" t="str">
        <f>IF(SUMIFS('Level of Efficiency Assumptions'!$J:$J,'Level of Efficiency Assumptions'!$H:$H,$I390,'Level of Efficiency Assumptions'!$I:$I,N$51)=0," ",SUMIFS('Level of Efficiency Assumptions'!$J:$J,'Level of Efficiency Assumptions'!$H:$H,$I390,'Level of Efficiency Assumptions'!$I:$I,N$51))</f>
        <v xml:space="preserve"> </v>
      </c>
      <c r="O390" s="1304" t="str">
        <f>IF(SUMIFS('Level of Efficiency Assumptions'!$J:$J,'Level of Efficiency Assumptions'!$H:$H,$I390,'Level of Efficiency Assumptions'!$I:$I,O$51)=0," ",SUMIFS('Level of Efficiency Assumptions'!$J:$J,'Level of Efficiency Assumptions'!$H:$H,$I390,'Level of Efficiency Assumptions'!$I:$I,O$51))</f>
        <v xml:space="preserve"> </v>
      </c>
      <c r="P390" s="1305" t="str">
        <f>IF(SUMIFS('Level of Efficiency Assumptions'!$J:$J,'Level of Efficiency Assumptions'!$H:$H,$I390,'Level of Efficiency Assumptions'!$I:$I,P$51)=0," ",SUMIFS('Level of Efficiency Assumptions'!$J:$J,'Level of Efficiency Assumptions'!$H:$H,$I390,'Level of Efficiency Assumptions'!$I:$I,P$51))</f>
        <v xml:space="preserve"> </v>
      </c>
      <c r="Q390" s="977" t="e">
        <f>IF(I390=" "," ",(VLOOKUP(I390,list!$B$81:$C$111,2,FALSE)))</f>
        <v>#N/A</v>
      </c>
      <c r="R390" s="245">
        <f t="shared" si="130"/>
        <v>0</v>
      </c>
      <c r="S390" s="65">
        <v>1</v>
      </c>
      <c r="T390" s="69">
        <v>0</v>
      </c>
      <c r="U390" s="246">
        <f t="shared" si="133"/>
        <v>1</v>
      </c>
    </row>
    <row r="391" spans="2:24" x14ac:dyDescent="0.3">
      <c r="D391" s="846"/>
      <c r="F391" s="82"/>
      <c r="J391" s="846"/>
      <c r="K391" s="846"/>
      <c r="N391" s="1179"/>
      <c r="O391" s="1179"/>
      <c r="P391" s="1179"/>
      <c r="R391" s="176" t="s">
        <v>295</v>
      </c>
      <c r="S391" s="176"/>
      <c r="T391" s="176"/>
      <c r="U391" s="176"/>
    </row>
    <row r="392" spans="2:24" ht="15" thickBot="1" x14ac:dyDescent="0.35">
      <c r="D392" s="846"/>
      <c r="F392" s="82"/>
      <c r="J392" s="846"/>
      <c r="K392" s="846"/>
      <c r="N392" s="1179"/>
      <c r="O392" s="1179"/>
      <c r="P392" s="1179"/>
    </row>
    <row r="393" spans="2:24" ht="15" thickBot="1" x14ac:dyDescent="0.35">
      <c r="B393" s="814">
        <v>18</v>
      </c>
      <c r="C393" s="967" t="str">
        <f t="shared" ref="C393:H393" si="136">C27</f>
        <v xml:space="preserve">  </v>
      </c>
      <c r="D393" s="967" t="str">
        <f t="shared" si="136"/>
        <v xml:space="preserve">  </v>
      </c>
      <c r="E393" s="967" t="str">
        <f t="shared" si="136"/>
        <v xml:space="preserve">  </v>
      </c>
      <c r="F393" s="967" t="str">
        <f t="shared" si="136"/>
        <v xml:space="preserve">  </v>
      </c>
      <c r="G393" s="967">
        <f t="shared" si="136"/>
        <v>0</v>
      </c>
      <c r="H393" s="968">
        <f t="shared" si="136"/>
        <v>0</v>
      </c>
      <c r="I393" s="516" t="e">
        <f>IF(VLOOKUP(C27,list!$AA$5:$AS$14,2,FALSE)=0," ",(VLOOKUP(C27,list!$AA$5:$AS$14,2,FALSE)))</f>
        <v>#N/A</v>
      </c>
      <c r="J393" s="955" t="e">
        <f>IF(I393=" "," ",(D27&amp;"-"&amp;I393))</f>
        <v>#N/A</v>
      </c>
      <c r="K393" s="955" t="e">
        <f>IF(I393=" "," ",(F27&amp;"-"&amp;I393))</f>
        <v>#N/A</v>
      </c>
      <c r="L393" s="969" t="e">
        <f>IF(I393=" "," ",VLOOKUP(J393,list!$J$4:$M$117,4,FALSE))</f>
        <v>#N/A</v>
      </c>
      <c r="M393" s="70"/>
      <c r="N393" s="1300" t="str">
        <f>IF(SUMIFS('Level of Efficiency Assumptions'!$J:$J,'Level of Efficiency Assumptions'!$H:$H,$I393,'Level of Efficiency Assumptions'!$I:$I,N$51)=0," ",SUMIFS('Level of Efficiency Assumptions'!$J:$J,'Level of Efficiency Assumptions'!$H:$H,$I393,'Level of Efficiency Assumptions'!$I:$I,N$51))</f>
        <v xml:space="preserve"> </v>
      </c>
      <c r="O393" s="1301" t="str">
        <f>IF(SUMIFS('Level of Efficiency Assumptions'!$J:$J,'Level of Efficiency Assumptions'!$H:$H,$I393,'Level of Efficiency Assumptions'!$I:$I,O$51)=0," ",SUMIFS('Level of Efficiency Assumptions'!$J:$J,'Level of Efficiency Assumptions'!$H:$H,$I393,'Level of Efficiency Assumptions'!$I:$I,O$51))</f>
        <v xml:space="preserve"> </v>
      </c>
      <c r="P393" s="1302" t="str">
        <f>IF(SUMIFS('Level of Efficiency Assumptions'!$J:$J,'Level of Efficiency Assumptions'!$H:$H,$I393,'Level of Efficiency Assumptions'!$I:$I,P$51)=0," ",SUMIFS('Level of Efficiency Assumptions'!$J:$J,'Level of Efficiency Assumptions'!$H:$H,$I393,'Level of Efficiency Assumptions'!$I:$I,P$51))</f>
        <v xml:space="preserve"> </v>
      </c>
      <c r="Q393" s="970" t="e">
        <f>IF(I393=" "," ",(VLOOKUP(I393,list!$B$81:$C$111,2,FALSE)))</f>
        <v>#N/A</v>
      </c>
      <c r="R393" s="241">
        <f t="shared" ref="R393:R410" si="137">1-S393-T393</f>
        <v>0</v>
      </c>
      <c r="S393" s="83">
        <v>1</v>
      </c>
      <c r="T393" s="84">
        <v>0</v>
      </c>
      <c r="U393" s="242">
        <f>SUM(R393:T393)</f>
        <v>1</v>
      </c>
      <c r="W393" s="250" t="s">
        <v>367</v>
      </c>
      <c r="X393" s="251" t="s">
        <v>366</v>
      </c>
    </row>
    <row r="394" spans="2:24" ht="15" thickBot="1" x14ac:dyDescent="0.35">
      <c r="C394" s="520"/>
      <c r="D394" s="224" t="str">
        <f>D27</f>
        <v xml:space="preserve">  </v>
      </c>
      <c r="E394" s="224"/>
      <c r="F394" s="224" t="str">
        <f>F27</f>
        <v xml:space="preserve">  </v>
      </c>
      <c r="G394" s="224"/>
      <c r="H394" s="380"/>
      <c r="I394" s="516" t="e">
        <f>IF(VLOOKUP(C27,list!$AA$5:$AS$14,3,FALSE)=0," ",(VLOOKUP(C27,list!$AA$5:$AS$14,3,FALSE)))</f>
        <v>#N/A</v>
      </c>
      <c r="J394" s="955" t="e">
        <f t="shared" ref="J394:J409" si="138">IF(I394=" "," ",(D394&amp;"-"&amp;I394))</f>
        <v>#N/A</v>
      </c>
      <c r="K394" s="955" t="e">
        <f t="shared" ref="K394:K410" si="139">IF(I394=" "," ",(F394&amp;"-"&amp;I394))</f>
        <v>#N/A</v>
      </c>
      <c r="L394" s="969" t="e">
        <f>IF(I394=" "," ",VLOOKUP(J394,list!$J$4:$M$117,4,FALSE))</f>
        <v>#N/A</v>
      </c>
      <c r="M394" s="66"/>
      <c r="N394" s="1297" t="str">
        <f>IF(SUMIFS('Level of Efficiency Assumptions'!$J:$J,'Level of Efficiency Assumptions'!$H:$H,$I394,'Level of Efficiency Assumptions'!$I:$I,N$51)=0," ",SUMIFS('Level of Efficiency Assumptions'!$J:$J,'Level of Efficiency Assumptions'!$H:$H,$I394,'Level of Efficiency Assumptions'!$I:$I,N$51))</f>
        <v xml:space="preserve"> </v>
      </c>
      <c r="O394" s="1298" t="str">
        <f>IF(SUMIFS('Level of Efficiency Assumptions'!$J:$J,'Level of Efficiency Assumptions'!$H:$H,$I394,'Level of Efficiency Assumptions'!$I:$I,O$51)=0," ",SUMIFS('Level of Efficiency Assumptions'!$J:$J,'Level of Efficiency Assumptions'!$H:$H,$I394,'Level of Efficiency Assumptions'!$I:$I,O$51))</f>
        <v xml:space="preserve"> </v>
      </c>
      <c r="P394" s="1299" t="str">
        <f>IF(SUMIFS('Level of Efficiency Assumptions'!$J:$J,'Level of Efficiency Assumptions'!$H:$H,$I394,'Level of Efficiency Assumptions'!$I:$I,P$51)=0," ",SUMIFS('Level of Efficiency Assumptions'!$J:$J,'Level of Efficiency Assumptions'!$H:$H,$I394,'Level of Efficiency Assumptions'!$I:$I,P$51))</f>
        <v xml:space="preserve"> </v>
      </c>
      <c r="Q394" s="971" t="e">
        <f>IF(I394=" "," ",(VLOOKUP(I394,list!$B$81:$C$111,2,FALSE)))</f>
        <v>#N/A</v>
      </c>
      <c r="R394" s="243">
        <f t="shared" si="137"/>
        <v>0</v>
      </c>
      <c r="S394" s="64">
        <v>1</v>
      </c>
      <c r="T394" s="68">
        <v>0</v>
      </c>
      <c r="U394" s="244">
        <f t="shared" ref="U394:U410" si="140">SUM(R394:T394)</f>
        <v>1</v>
      </c>
      <c r="V394" s="82" t="e">
        <f>F394&amp;"-"&amp;W394</f>
        <v>#N/A</v>
      </c>
      <c r="W394" s="247" t="e">
        <f>HLOOKUP(D394,list!$O$34:$X$38,2,FALSE)</f>
        <v>#N/A</v>
      </c>
      <c r="X394" s="972">
        <v>1</v>
      </c>
    </row>
    <row r="395" spans="2:24" ht="15" thickBot="1" x14ac:dyDescent="0.35">
      <c r="C395" s="520"/>
      <c r="D395" s="224" t="str">
        <f>D394</f>
        <v xml:space="preserve">  </v>
      </c>
      <c r="E395" s="224"/>
      <c r="F395" s="224" t="str">
        <f>F394</f>
        <v xml:space="preserve">  </v>
      </c>
      <c r="G395" s="224"/>
      <c r="H395" s="380"/>
      <c r="I395" s="516" t="e">
        <f>IF(VLOOKUP(C27,list!$AA$5:$AS$14,4,FALSE)=0," ",(VLOOKUP(C27,list!$AA$5:$AS$14,4,FALSE)))</f>
        <v>#N/A</v>
      </c>
      <c r="J395" s="955" t="e">
        <f t="shared" si="138"/>
        <v>#N/A</v>
      </c>
      <c r="K395" s="955" t="e">
        <f t="shared" si="139"/>
        <v>#N/A</v>
      </c>
      <c r="L395" s="969" t="e">
        <f>IF(I395=" "," ",VLOOKUP(J395,list!$J$4:$M$117,4,FALSE))</f>
        <v>#N/A</v>
      </c>
      <c r="M395" s="66"/>
      <c r="N395" s="1297" t="str">
        <f>IF(SUMIFS('Level of Efficiency Assumptions'!$J:$J,'Level of Efficiency Assumptions'!$H:$H,$I395,'Level of Efficiency Assumptions'!$I:$I,N$51)=0," ",SUMIFS('Level of Efficiency Assumptions'!$J:$J,'Level of Efficiency Assumptions'!$H:$H,$I395,'Level of Efficiency Assumptions'!$I:$I,N$51))</f>
        <v xml:space="preserve"> </v>
      </c>
      <c r="O395" s="1298" t="str">
        <f>IF(SUMIFS('Level of Efficiency Assumptions'!$J:$J,'Level of Efficiency Assumptions'!$H:$H,$I395,'Level of Efficiency Assumptions'!$I:$I,O$51)=0," ",SUMIFS('Level of Efficiency Assumptions'!$J:$J,'Level of Efficiency Assumptions'!$H:$H,$I395,'Level of Efficiency Assumptions'!$I:$I,O$51))</f>
        <v xml:space="preserve"> </v>
      </c>
      <c r="P395" s="1299" t="str">
        <f>IF(SUMIFS('Level of Efficiency Assumptions'!$J:$J,'Level of Efficiency Assumptions'!$H:$H,$I395,'Level of Efficiency Assumptions'!$I:$I,P$51)=0," ",SUMIFS('Level of Efficiency Assumptions'!$J:$J,'Level of Efficiency Assumptions'!$H:$H,$I395,'Level of Efficiency Assumptions'!$I:$I,P$51))</f>
        <v xml:space="preserve"> </v>
      </c>
      <c r="Q395" s="971" t="e">
        <f>IF(I395=" "," ",(VLOOKUP(I395,list!$B$81:$C$111,2,FALSE)))</f>
        <v>#N/A</v>
      </c>
      <c r="R395" s="243">
        <f t="shared" si="137"/>
        <v>0</v>
      </c>
      <c r="S395" s="64">
        <v>1</v>
      </c>
      <c r="T395" s="68">
        <v>0</v>
      </c>
      <c r="U395" s="244">
        <f t="shared" si="140"/>
        <v>1</v>
      </c>
      <c r="V395" s="82" t="e">
        <f>F395&amp;"-"&amp;W395</f>
        <v>#N/A</v>
      </c>
      <c r="W395" s="248" t="e">
        <f>HLOOKUP(D395,list!$O$34:$X$38,3,FALSE)</f>
        <v>#N/A</v>
      </c>
      <c r="X395" s="973">
        <v>0.5</v>
      </c>
    </row>
    <row r="396" spans="2:24" ht="15" thickBot="1" x14ac:dyDescent="0.35">
      <c r="C396" s="520"/>
      <c r="D396" s="224" t="str">
        <f t="shared" ref="D396:D410" si="141">D395</f>
        <v xml:space="preserve">  </v>
      </c>
      <c r="E396" s="224"/>
      <c r="F396" s="224" t="str">
        <f t="shared" ref="F396:F410" si="142">F395</f>
        <v xml:space="preserve">  </v>
      </c>
      <c r="G396" s="224"/>
      <c r="H396" s="380"/>
      <c r="I396" s="516" t="e">
        <f>IF(VLOOKUP(C27,list!$AA$5:$AS$14,5,FALSE)=0," ",(VLOOKUP(C27,list!$AA$5:$AS$14,5,FALSE)))</f>
        <v>#N/A</v>
      </c>
      <c r="J396" s="955" t="e">
        <f t="shared" si="138"/>
        <v>#N/A</v>
      </c>
      <c r="K396" s="955" t="e">
        <f t="shared" si="139"/>
        <v>#N/A</v>
      </c>
      <c r="L396" s="969" t="e">
        <f>IF(I396=" "," ",VLOOKUP(J396,list!$J$4:$M$117,4,FALSE))</f>
        <v>#N/A</v>
      </c>
      <c r="M396" s="66"/>
      <c r="N396" s="1297" t="str">
        <f>IF(SUMIFS('Level of Efficiency Assumptions'!$J:$J,'Level of Efficiency Assumptions'!$H:$H,$I396,'Level of Efficiency Assumptions'!$I:$I,N$51)=0," ",SUMIFS('Level of Efficiency Assumptions'!$J:$J,'Level of Efficiency Assumptions'!$H:$H,$I396,'Level of Efficiency Assumptions'!$I:$I,N$51))</f>
        <v xml:space="preserve"> </v>
      </c>
      <c r="O396" s="1298" t="str">
        <f>IF(SUMIFS('Level of Efficiency Assumptions'!$J:$J,'Level of Efficiency Assumptions'!$H:$H,$I396,'Level of Efficiency Assumptions'!$I:$I,O$51)=0," ",SUMIFS('Level of Efficiency Assumptions'!$J:$J,'Level of Efficiency Assumptions'!$H:$H,$I396,'Level of Efficiency Assumptions'!$I:$I,O$51))</f>
        <v xml:space="preserve"> </v>
      </c>
      <c r="P396" s="1299" t="str">
        <f>IF(SUMIFS('Level of Efficiency Assumptions'!$J:$J,'Level of Efficiency Assumptions'!$H:$H,$I396,'Level of Efficiency Assumptions'!$I:$I,P$51)=0," ",SUMIFS('Level of Efficiency Assumptions'!$J:$J,'Level of Efficiency Assumptions'!$H:$H,$I396,'Level of Efficiency Assumptions'!$I:$I,P$51))</f>
        <v xml:space="preserve"> </v>
      </c>
      <c r="Q396" s="971" t="e">
        <f>IF(I396=" "," ",(VLOOKUP(I396,list!$B$81:$C$111,2,FALSE)))</f>
        <v>#N/A</v>
      </c>
      <c r="R396" s="243">
        <f t="shared" si="137"/>
        <v>0</v>
      </c>
      <c r="S396" s="64">
        <v>1</v>
      </c>
      <c r="T396" s="68">
        <v>0</v>
      </c>
      <c r="U396" s="244">
        <f t="shared" si="140"/>
        <v>1</v>
      </c>
      <c r="V396" s="82" t="e">
        <f>F396&amp;"-"&amp;W396</f>
        <v>#N/A</v>
      </c>
      <c r="W396" s="248" t="e">
        <f>HLOOKUP(D396,list!$O$34:$X$38,4,FALSE)</f>
        <v>#N/A</v>
      </c>
      <c r="X396" s="973">
        <v>0.5</v>
      </c>
    </row>
    <row r="397" spans="2:24" ht="15" thickBot="1" x14ac:dyDescent="0.35">
      <c r="C397" s="520"/>
      <c r="D397" s="224" t="str">
        <f t="shared" si="141"/>
        <v xml:space="preserve">  </v>
      </c>
      <c r="E397" s="224"/>
      <c r="F397" s="224" t="str">
        <f t="shared" si="142"/>
        <v xml:space="preserve">  </v>
      </c>
      <c r="G397" s="224"/>
      <c r="H397" s="380"/>
      <c r="I397" s="516" t="e">
        <f>IF(VLOOKUP(C27,list!$AA$5:$AS$14,6,FALSE)=0," ",(VLOOKUP(C27,list!$AA$5:$AS$14,6,FALSE)))</f>
        <v>#N/A</v>
      </c>
      <c r="J397" s="955" t="e">
        <f t="shared" si="138"/>
        <v>#N/A</v>
      </c>
      <c r="K397" s="955" t="e">
        <f t="shared" si="139"/>
        <v>#N/A</v>
      </c>
      <c r="L397" s="969" t="e">
        <f>IF(I397=" "," ",VLOOKUP(J397,list!$J$4:$M$117,4,FALSE))</f>
        <v>#N/A</v>
      </c>
      <c r="M397" s="66"/>
      <c r="N397" s="1297" t="str">
        <f>IF(SUMIFS('Level of Efficiency Assumptions'!$J:$J,'Level of Efficiency Assumptions'!$H:$H,$I397,'Level of Efficiency Assumptions'!$I:$I,N$51)=0," ",SUMIFS('Level of Efficiency Assumptions'!$J:$J,'Level of Efficiency Assumptions'!$H:$H,$I397,'Level of Efficiency Assumptions'!$I:$I,N$51))</f>
        <v xml:space="preserve"> </v>
      </c>
      <c r="O397" s="1298" t="str">
        <f>IF(SUMIFS('Level of Efficiency Assumptions'!$J:$J,'Level of Efficiency Assumptions'!$H:$H,$I397,'Level of Efficiency Assumptions'!$I:$I,O$51)=0," ",SUMIFS('Level of Efficiency Assumptions'!$J:$J,'Level of Efficiency Assumptions'!$H:$H,$I397,'Level of Efficiency Assumptions'!$I:$I,O$51))</f>
        <v xml:space="preserve"> </v>
      </c>
      <c r="P397" s="1299" t="str">
        <f>IF(SUMIFS('Level of Efficiency Assumptions'!$J:$J,'Level of Efficiency Assumptions'!$H:$H,$I397,'Level of Efficiency Assumptions'!$I:$I,P$51)=0," ",SUMIFS('Level of Efficiency Assumptions'!$J:$J,'Level of Efficiency Assumptions'!$H:$H,$I397,'Level of Efficiency Assumptions'!$I:$I,P$51))</f>
        <v xml:space="preserve"> </v>
      </c>
      <c r="Q397" s="971" t="e">
        <f>IF(I397=" "," ",(VLOOKUP(I397,list!$B$81:$C$111,2,FALSE)))</f>
        <v>#N/A</v>
      </c>
      <c r="R397" s="243">
        <f t="shared" si="137"/>
        <v>0</v>
      </c>
      <c r="S397" s="64">
        <v>1</v>
      </c>
      <c r="T397" s="68">
        <v>0</v>
      </c>
      <c r="U397" s="244">
        <f t="shared" si="140"/>
        <v>1</v>
      </c>
      <c r="V397" s="82" t="e">
        <f>F397&amp;"-"&amp;W397</f>
        <v>#N/A</v>
      </c>
      <c r="W397" s="249" t="e">
        <f>HLOOKUP(D397,list!$O$34:$X$38,5,FALSE)</f>
        <v>#N/A</v>
      </c>
      <c r="X397" s="974">
        <v>0.5</v>
      </c>
    </row>
    <row r="398" spans="2:24" ht="15" thickBot="1" x14ac:dyDescent="0.35">
      <c r="C398" s="520"/>
      <c r="D398" s="224" t="str">
        <f t="shared" si="141"/>
        <v xml:space="preserve">  </v>
      </c>
      <c r="E398" s="224"/>
      <c r="F398" s="224" t="str">
        <f t="shared" si="142"/>
        <v xml:space="preserve">  </v>
      </c>
      <c r="G398" s="224"/>
      <c r="H398" s="380"/>
      <c r="I398" s="516" t="e">
        <f>IF(VLOOKUP(C27,list!$AA$5:$AS$14,7,FALSE)=0," ",(VLOOKUP(C27,list!$AA$5:$AS$14,7,FALSE)))</f>
        <v>#N/A</v>
      </c>
      <c r="J398" s="955" t="e">
        <f t="shared" si="138"/>
        <v>#N/A</v>
      </c>
      <c r="K398" s="955" t="e">
        <f t="shared" si="139"/>
        <v>#N/A</v>
      </c>
      <c r="L398" s="969" t="e">
        <f>IF(I398=" "," ",VLOOKUP(J398,list!$J$4:$M$117,4,FALSE))</f>
        <v>#N/A</v>
      </c>
      <c r="M398" s="66"/>
      <c r="N398" s="1297" t="str">
        <f>IF(SUMIFS('Level of Efficiency Assumptions'!$J:$J,'Level of Efficiency Assumptions'!$H:$H,$I398,'Level of Efficiency Assumptions'!$I:$I,N$51)=0," ",SUMIFS('Level of Efficiency Assumptions'!$J:$J,'Level of Efficiency Assumptions'!$H:$H,$I398,'Level of Efficiency Assumptions'!$I:$I,N$51))</f>
        <v xml:space="preserve"> </v>
      </c>
      <c r="O398" s="1298" t="str">
        <f>IF(SUMIFS('Level of Efficiency Assumptions'!$J:$J,'Level of Efficiency Assumptions'!$H:$H,$I398,'Level of Efficiency Assumptions'!$I:$I,O$51)=0," ",SUMIFS('Level of Efficiency Assumptions'!$J:$J,'Level of Efficiency Assumptions'!$H:$H,$I398,'Level of Efficiency Assumptions'!$I:$I,O$51))</f>
        <v xml:space="preserve"> </v>
      </c>
      <c r="P398" s="1299" t="str">
        <f>IF(SUMIFS('Level of Efficiency Assumptions'!$J:$J,'Level of Efficiency Assumptions'!$H:$H,$I398,'Level of Efficiency Assumptions'!$I:$I,P$51)=0," ",SUMIFS('Level of Efficiency Assumptions'!$J:$J,'Level of Efficiency Assumptions'!$H:$H,$I398,'Level of Efficiency Assumptions'!$I:$I,P$51))</f>
        <v xml:space="preserve"> </v>
      </c>
      <c r="Q398" s="971" t="e">
        <f>IF(I398=" "," ",(VLOOKUP(I398,list!$B$81:$C$111,2,FALSE)))</f>
        <v>#N/A</v>
      </c>
      <c r="R398" s="243">
        <f t="shared" si="137"/>
        <v>0</v>
      </c>
      <c r="S398" s="64">
        <v>1</v>
      </c>
      <c r="T398" s="68">
        <v>0</v>
      </c>
      <c r="U398" s="244">
        <f t="shared" si="140"/>
        <v>1</v>
      </c>
      <c r="W398" s="182"/>
      <c r="X398" s="975"/>
    </row>
    <row r="399" spans="2:24" ht="15" thickBot="1" x14ac:dyDescent="0.35">
      <c r="C399" s="520"/>
      <c r="D399" s="224" t="str">
        <f t="shared" si="141"/>
        <v xml:space="preserve">  </v>
      </c>
      <c r="E399" s="224"/>
      <c r="F399" s="224" t="str">
        <f t="shared" si="142"/>
        <v xml:space="preserve">  </v>
      </c>
      <c r="G399" s="224"/>
      <c r="H399" s="380"/>
      <c r="I399" s="516" t="e">
        <f>IF(VLOOKUP(C27,list!$AA$5:$AS$14,8,FALSE)=0," ",(VLOOKUP(C27,list!$AA$5:$AS$14,8,FALSE)))</f>
        <v>#N/A</v>
      </c>
      <c r="J399" s="955" t="e">
        <f t="shared" si="138"/>
        <v>#N/A</v>
      </c>
      <c r="K399" s="955" t="e">
        <f t="shared" si="139"/>
        <v>#N/A</v>
      </c>
      <c r="L399" s="969" t="e">
        <f>IF(I399=" "," ",VLOOKUP(J399,list!$J$4:$M$117,4,FALSE))</f>
        <v>#N/A</v>
      </c>
      <c r="M399" s="66"/>
      <c r="N399" s="1297" t="str">
        <f>IF(SUMIFS('Level of Efficiency Assumptions'!$J:$J,'Level of Efficiency Assumptions'!$H:$H,$I399,'Level of Efficiency Assumptions'!$I:$I,N$51)=0," ",SUMIFS('Level of Efficiency Assumptions'!$J:$J,'Level of Efficiency Assumptions'!$H:$H,$I399,'Level of Efficiency Assumptions'!$I:$I,N$51))</f>
        <v xml:space="preserve"> </v>
      </c>
      <c r="O399" s="1298" t="str">
        <f>IF(SUMIFS('Level of Efficiency Assumptions'!$J:$J,'Level of Efficiency Assumptions'!$H:$H,$I399,'Level of Efficiency Assumptions'!$I:$I,O$51)=0," ",SUMIFS('Level of Efficiency Assumptions'!$J:$J,'Level of Efficiency Assumptions'!$H:$H,$I399,'Level of Efficiency Assumptions'!$I:$I,O$51))</f>
        <v xml:space="preserve"> </v>
      </c>
      <c r="P399" s="1299" t="str">
        <f>IF(SUMIFS('Level of Efficiency Assumptions'!$J:$J,'Level of Efficiency Assumptions'!$H:$H,$I399,'Level of Efficiency Assumptions'!$I:$I,P$51)=0," ",SUMIFS('Level of Efficiency Assumptions'!$J:$J,'Level of Efficiency Assumptions'!$H:$H,$I399,'Level of Efficiency Assumptions'!$I:$I,P$51))</f>
        <v xml:space="preserve"> </v>
      </c>
      <c r="Q399" s="971" t="e">
        <f>IF(I399=" "," ",(VLOOKUP(I399,list!$B$81:$C$111,2,FALSE)))</f>
        <v>#N/A</v>
      </c>
      <c r="R399" s="243">
        <f t="shared" si="137"/>
        <v>0</v>
      </c>
      <c r="S399" s="64">
        <v>1</v>
      </c>
      <c r="T399" s="68">
        <v>0</v>
      </c>
      <c r="U399" s="244">
        <f t="shared" si="140"/>
        <v>1</v>
      </c>
      <c r="W399" s="182"/>
      <c r="X399" s="975"/>
    </row>
    <row r="400" spans="2:24" ht="15" thickBot="1" x14ac:dyDescent="0.35">
      <c r="C400" s="520"/>
      <c r="D400" s="224" t="str">
        <f t="shared" si="141"/>
        <v xml:space="preserve">  </v>
      </c>
      <c r="E400" s="224"/>
      <c r="F400" s="224" t="str">
        <f t="shared" si="142"/>
        <v xml:space="preserve">  </v>
      </c>
      <c r="G400" s="224"/>
      <c r="H400" s="380"/>
      <c r="I400" s="516" t="e">
        <f>IF(VLOOKUP(C27,list!$AA$5:$AS$14,9,FALSE)=0," ",(VLOOKUP(C27,list!$AA$5:$AS$14,9,FALSE)))</f>
        <v>#N/A</v>
      </c>
      <c r="J400" s="955" t="e">
        <f t="shared" si="138"/>
        <v>#N/A</v>
      </c>
      <c r="K400" s="955" t="e">
        <f t="shared" si="139"/>
        <v>#N/A</v>
      </c>
      <c r="L400" s="969" t="e">
        <f>IF(I400=" "," ",VLOOKUP(J400,list!$J$4:$M$117,4,FALSE))</f>
        <v>#N/A</v>
      </c>
      <c r="M400" s="66"/>
      <c r="N400" s="1297" t="str">
        <f>IF(SUMIFS('Level of Efficiency Assumptions'!$J:$J,'Level of Efficiency Assumptions'!$H:$H,$I400,'Level of Efficiency Assumptions'!$I:$I,N$51)=0," ",SUMIFS('Level of Efficiency Assumptions'!$J:$J,'Level of Efficiency Assumptions'!$H:$H,$I400,'Level of Efficiency Assumptions'!$I:$I,N$51))</f>
        <v xml:space="preserve"> </v>
      </c>
      <c r="O400" s="1298" t="str">
        <f>IF(SUMIFS('Level of Efficiency Assumptions'!$J:$J,'Level of Efficiency Assumptions'!$H:$H,$I400,'Level of Efficiency Assumptions'!$I:$I,O$51)=0," ",SUMIFS('Level of Efficiency Assumptions'!$J:$J,'Level of Efficiency Assumptions'!$H:$H,$I400,'Level of Efficiency Assumptions'!$I:$I,O$51))</f>
        <v xml:space="preserve"> </v>
      </c>
      <c r="P400" s="1299" t="str">
        <f>IF(SUMIFS('Level of Efficiency Assumptions'!$J:$J,'Level of Efficiency Assumptions'!$H:$H,$I400,'Level of Efficiency Assumptions'!$I:$I,P$51)=0," ",SUMIFS('Level of Efficiency Assumptions'!$J:$J,'Level of Efficiency Assumptions'!$H:$H,$I400,'Level of Efficiency Assumptions'!$I:$I,P$51))</f>
        <v xml:space="preserve"> </v>
      </c>
      <c r="Q400" s="971" t="e">
        <f>IF(I400=" "," ",(VLOOKUP(I400,list!$B$81:$C$111,2,FALSE)))</f>
        <v>#N/A</v>
      </c>
      <c r="R400" s="243">
        <f t="shared" si="137"/>
        <v>0</v>
      </c>
      <c r="S400" s="64">
        <v>1</v>
      </c>
      <c r="T400" s="68">
        <v>0</v>
      </c>
      <c r="U400" s="244">
        <f t="shared" si="140"/>
        <v>1</v>
      </c>
    </row>
    <row r="401" spans="2:24" ht="15" thickBot="1" x14ac:dyDescent="0.35">
      <c r="C401" s="520"/>
      <c r="D401" s="224" t="str">
        <f t="shared" si="141"/>
        <v xml:space="preserve">  </v>
      </c>
      <c r="E401" s="224"/>
      <c r="F401" s="224" t="str">
        <f t="shared" si="142"/>
        <v xml:space="preserve">  </v>
      </c>
      <c r="G401" s="224"/>
      <c r="H401" s="380"/>
      <c r="I401" s="516" t="e">
        <f>IF(VLOOKUP(C27,list!$AA$5:$AS$14,10,FALSE)=0," ",(VLOOKUP(C27,list!$AA$5:$AS$14,10,FALSE)))</f>
        <v>#N/A</v>
      </c>
      <c r="J401" s="955" t="e">
        <f t="shared" si="138"/>
        <v>#N/A</v>
      </c>
      <c r="K401" s="955" t="e">
        <f t="shared" si="139"/>
        <v>#N/A</v>
      </c>
      <c r="L401" s="969" t="e">
        <f>IF(I401=" "," ",VLOOKUP(J401,list!$J$4:$M$117,4,FALSE))</f>
        <v>#N/A</v>
      </c>
      <c r="M401" s="66"/>
      <c r="N401" s="1297" t="str">
        <f>IF(SUMIFS('Level of Efficiency Assumptions'!$J:$J,'Level of Efficiency Assumptions'!$H:$H,$I401,'Level of Efficiency Assumptions'!$I:$I,N$51)=0," ",SUMIFS('Level of Efficiency Assumptions'!$J:$J,'Level of Efficiency Assumptions'!$H:$H,$I401,'Level of Efficiency Assumptions'!$I:$I,N$51))</f>
        <v xml:space="preserve"> </v>
      </c>
      <c r="O401" s="1298" t="str">
        <f>IF(SUMIFS('Level of Efficiency Assumptions'!$J:$J,'Level of Efficiency Assumptions'!$H:$H,$I401,'Level of Efficiency Assumptions'!$I:$I,O$51)=0," ",SUMIFS('Level of Efficiency Assumptions'!$J:$J,'Level of Efficiency Assumptions'!$H:$H,$I401,'Level of Efficiency Assumptions'!$I:$I,O$51))</f>
        <v xml:space="preserve"> </v>
      </c>
      <c r="P401" s="1299" t="str">
        <f>IF(SUMIFS('Level of Efficiency Assumptions'!$J:$J,'Level of Efficiency Assumptions'!$H:$H,$I401,'Level of Efficiency Assumptions'!$I:$I,P$51)=0," ",SUMIFS('Level of Efficiency Assumptions'!$J:$J,'Level of Efficiency Assumptions'!$H:$H,$I401,'Level of Efficiency Assumptions'!$I:$I,P$51))</f>
        <v xml:space="preserve"> </v>
      </c>
      <c r="Q401" s="971" t="e">
        <f>IF(I401=" "," ",(VLOOKUP(I401,list!$B$81:$C$111,2,FALSE)))</f>
        <v>#N/A</v>
      </c>
      <c r="R401" s="243">
        <f t="shared" si="137"/>
        <v>0</v>
      </c>
      <c r="S401" s="64">
        <v>1</v>
      </c>
      <c r="T401" s="68">
        <v>0</v>
      </c>
      <c r="U401" s="244">
        <f t="shared" si="140"/>
        <v>1</v>
      </c>
    </row>
    <row r="402" spans="2:24" ht="15" thickBot="1" x14ac:dyDescent="0.35">
      <c r="C402" s="520"/>
      <c r="D402" s="224" t="str">
        <f t="shared" si="141"/>
        <v xml:space="preserve">  </v>
      </c>
      <c r="E402" s="224"/>
      <c r="F402" s="224" t="str">
        <f t="shared" si="142"/>
        <v xml:space="preserve">  </v>
      </c>
      <c r="G402" s="224"/>
      <c r="H402" s="380"/>
      <c r="I402" s="516" t="e">
        <f>IF(VLOOKUP(C27,list!$AA$5:$AS$14,11,FALSE)=0," ",(VLOOKUP(C27,list!$AA$5:$AS$14,11,FALSE)))</f>
        <v>#N/A</v>
      </c>
      <c r="J402" s="955" t="e">
        <f t="shared" si="138"/>
        <v>#N/A</v>
      </c>
      <c r="K402" s="955" t="e">
        <f t="shared" si="139"/>
        <v>#N/A</v>
      </c>
      <c r="L402" s="969" t="e">
        <f>IF(I402=" "," ",VLOOKUP(J402,list!$J$4:$M$117,4,FALSE))</f>
        <v>#N/A</v>
      </c>
      <c r="M402" s="66"/>
      <c r="N402" s="1297" t="str">
        <f>IF(SUMIFS('Level of Efficiency Assumptions'!$J:$J,'Level of Efficiency Assumptions'!$H:$H,$I402,'Level of Efficiency Assumptions'!$I:$I,N$51)=0," ",SUMIFS('Level of Efficiency Assumptions'!$J:$J,'Level of Efficiency Assumptions'!$H:$H,$I402,'Level of Efficiency Assumptions'!$I:$I,N$51))</f>
        <v xml:space="preserve"> </v>
      </c>
      <c r="O402" s="1298" t="str">
        <f>IF(SUMIFS('Level of Efficiency Assumptions'!$J:$J,'Level of Efficiency Assumptions'!$H:$H,$I402,'Level of Efficiency Assumptions'!$I:$I,O$51)=0," ",SUMIFS('Level of Efficiency Assumptions'!$J:$J,'Level of Efficiency Assumptions'!$H:$H,$I402,'Level of Efficiency Assumptions'!$I:$I,O$51))</f>
        <v xml:space="preserve"> </v>
      </c>
      <c r="P402" s="1299" t="str">
        <f>IF(SUMIFS('Level of Efficiency Assumptions'!$J:$J,'Level of Efficiency Assumptions'!$H:$H,$I402,'Level of Efficiency Assumptions'!$I:$I,P$51)=0," ",SUMIFS('Level of Efficiency Assumptions'!$J:$J,'Level of Efficiency Assumptions'!$H:$H,$I402,'Level of Efficiency Assumptions'!$I:$I,P$51))</f>
        <v xml:space="preserve"> </v>
      </c>
      <c r="Q402" s="971" t="e">
        <f>IF(I402=" "," ",(VLOOKUP(I402,list!$B$81:$C$111,2,FALSE)))</f>
        <v>#N/A</v>
      </c>
      <c r="R402" s="243">
        <f t="shared" si="137"/>
        <v>0</v>
      </c>
      <c r="S402" s="64">
        <v>1</v>
      </c>
      <c r="T402" s="68">
        <v>0</v>
      </c>
      <c r="U402" s="244">
        <f t="shared" si="140"/>
        <v>1</v>
      </c>
    </row>
    <row r="403" spans="2:24" ht="15" thickBot="1" x14ac:dyDescent="0.35">
      <c r="C403" s="520"/>
      <c r="D403" s="224" t="str">
        <f t="shared" si="141"/>
        <v xml:space="preserve">  </v>
      </c>
      <c r="E403" s="224"/>
      <c r="F403" s="224" t="str">
        <f t="shared" si="142"/>
        <v xml:space="preserve">  </v>
      </c>
      <c r="G403" s="224"/>
      <c r="H403" s="380"/>
      <c r="I403" s="516" t="e">
        <f>IF(VLOOKUP(C27,list!$AA$5:$AS$14,12,FALSE)=0," ",(VLOOKUP(C27,list!$AA$5:$AS$14,12,FALSE)))</f>
        <v>#N/A</v>
      </c>
      <c r="J403" s="955" t="e">
        <f t="shared" si="138"/>
        <v>#N/A</v>
      </c>
      <c r="K403" s="955" t="e">
        <f t="shared" si="139"/>
        <v>#N/A</v>
      </c>
      <c r="L403" s="969" t="e">
        <f>IF(I403=" "," ",VLOOKUP(J403,list!$J$4:$M$117,4,FALSE))</f>
        <v>#N/A</v>
      </c>
      <c r="M403" s="66"/>
      <c r="N403" s="1297" t="str">
        <f>IF(SUMIFS('Level of Efficiency Assumptions'!$J:$J,'Level of Efficiency Assumptions'!$H:$H,$I403,'Level of Efficiency Assumptions'!$I:$I,N$51)=0," ",SUMIFS('Level of Efficiency Assumptions'!$J:$J,'Level of Efficiency Assumptions'!$H:$H,$I403,'Level of Efficiency Assumptions'!$I:$I,N$51))</f>
        <v xml:space="preserve"> </v>
      </c>
      <c r="O403" s="1298" t="str">
        <f>IF(SUMIFS('Level of Efficiency Assumptions'!$J:$J,'Level of Efficiency Assumptions'!$H:$H,$I403,'Level of Efficiency Assumptions'!$I:$I,O$51)=0," ",SUMIFS('Level of Efficiency Assumptions'!$J:$J,'Level of Efficiency Assumptions'!$H:$H,$I403,'Level of Efficiency Assumptions'!$I:$I,O$51))</f>
        <v xml:space="preserve"> </v>
      </c>
      <c r="P403" s="1299" t="str">
        <f>IF(SUMIFS('Level of Efficiency Assumptions'!$J:$J,'Level of Efficiency Assumptions'!$H:$H,$I403,'Level of Efficiency Assumptions'!$I:$I,P$51)=0," ",SUMIFS('Level of Efficiency Assumptions'!$J:$J,'Level of Efficiency Assumptions'!$H:$H,$I403,'Level of Efficiency Assumptions'!$I:$I,P$51))</f>
        <v xml:space="preserve"> </v>
      </c>
      <c r="Q403" s="971" t="e">
        <f>IF(I403=" "," ",(VLOOKUP(I403,list!$B$81:$C$111,2,FALSE)))</f>
        <v>#N/A</v>
      </c>
      <c r="R403" s="243">
        <f t="shared" si="137"/>
        <v>0</v>
      </c>
      <c r="S403" s="64">
        <v>1</v>
      </c>
      <c r="T403" s="68">
        <v>0</v>
      </c>
      <c r="U403" s="244">
        <f t="shared" si="140"/>
        <v>1</v>
      </c>
    </row>
    <row r="404" spans="2:24" ht="15" thickBot="1" x14ac:dyDescent="0.35">
      <c r="C404" s="520"/>
      <c r="D404" s="224" t="str">
        <f t="shared" si="141"/>
        <v xml:space="preserve">  </v>
      </c>
      <c r="E404" s="224"/>
      <c r="F404" s="224" t="str">
        <f t="shared" si="142"/>
        <v xml:space="preserve">  </v>
      </c>
      <c r="G404" s="224"/>
      <c r="H404" s="380"/>
      <c r="I404" s="516" t="e">
        <f>IF(VLOOKUP(C27,list!$AA$5:$AS$14,13,FALSE)=0," ",(VLOOKUP(C27,list!$AA$5:$AS$14,13,FALSE)))</f>
        <v>#N/A</v>
      </c>
      <c r="J404" s="955" t="e">
        <f t="shared" si="138"/>
        <v>#N/A</v>
      </c>
      <c r="K404" s="955" t="e">
        <f t="shared" si="139"/>
        <v>#N/A</v>
      </c>
      <c r="L404" s="969" t="e">
        <f>IF(I404=" "," ",VLOOKUP(J404,list!$J$4:$M$117,4,FALSE))</f>
        <v>#N/A</v>
      </c>
      <c r="M404" s="66"/>
      <c r="N404" s="1297" t="str">
        <f>IF(SUMIFS('Level of Efficiency Assumptions'!$J:$J,'Level of Efficiency Assumptions'!$H:$H,$I404,'Level of Efficiency Assumptions'!$I:$I,N$51)=0," ",SUMIFS('Level of Efficiency Assumptions'!$J:$J,'Level of Efficiency Assumptions'!$H:$H,$I404,'Level of Efficiency Assumptions'!$I:$I,N$51))</f>
        <v xml:space="preserve"> </v>
      </c>
      <c r="O404" s="1298" t="str">
        <f>IF(SUMIFS('Level of Efficiency Assumptions'!$J:$J,'Level of Efficiency Assumptions'!$H:$H,$I404,'Level of Efficiency Assumptions'!$I:$I,O$51)=0," ",SUMIFS('Level of Efficiency Assumptions'!$J:$J,'Level of Efficiency Assumptions'!$H:$H,$I404,'Level of Efficiency Assumptions'!$I:$I,O$51))</f>
        <v xml:space="preserve"> </v>
      </c>
      <c r="P404" s="1299" t="str">
        <f>IF(SUMIFS('Level of Efficiency Assumptions'!$J:$J,'Level of Efficiency Assumptions'!$H:$H,$I404,'Level of Efficiency Assumptions'!$I:$I,P$51)=0," ",SUMIFS('Level of Efficiency Assumptions'!$J:$J,'Level of Efficiency Assumptions'!$H:$H,$I404,'Level of Efficiency Assumptions'!$I:$I,P$51))</f>
        <v xml:space="preserve"> </v>
      </c>
      <c r="Q404" s="971" t="e">
        <f>IF(I404=" "," ",(VLOOKUP(I404,list!$B$81:$C$111,2,FALSE)))</f>
        <v>#N/A</v>
      </c>
      <c r="R404" s="243">
        <f t="shared" si="137"/>
        <v>0</v>
      </c>
      <c r="S404" s="64">
        <v>1</v>
      </c>
      <c r="T404" s="68">
        <v>0</v>
      </c>
      <c r="U404" s="244">
        <f t="shared" si="140"/>
        <v>1</v>
      </c>
    </row>
    <row r="405" spans="2:24" ht="15" thickBot="1" x14ac:dyDescent="0.35">
      <c r="C405" s="520"/>
      <c r="D405" s="224" t="str">
        <f t="shared" si="141"/>
        <v xml:space="preserve">  </v>
      </c>
      <c r="E405" s="224"/>
      <c r="F405" s="224" t="str">
        <f t="shared" si="142"/>
        <v xml:space="preserve">  </v>
      </c>
      <c r="G405" s="224"/>
      <c r="H405" s="380"/>
      <c r="I405" s="516" t="e">
        <f>IF(VLOOKUP(C27,list!$AA$5:$AS$14,14,FALSE)=0," ",(VLOOKUP(C27,list!$AA$5:$AS$14,14,FALSE)))</f>
        <v>#N/A</v>
      </c>
      <c r="J405" s="955" t="e">
        <f t="shared" si="138"/>
        <v>#N/A</v>
      </c>
      <c r="K405" s="955" t="e">
        <f t="shared" si="139"/>
        <v>#N/A</v>
      </c>
      <c r="L405" s="969" t="e">
        <f>IF(I405=" "," ",VLOOKUP(J405,list!$J$4:$M$117,4,FALSE))</f>
        <v>#N/A</v>
      </c>
      <c r="M405" s="66"/>
      <c r="N405" s="1297" t="str">
        <f>IF(SUMIFS('Level of Efficiency Assumptions'!$J:$J,'Level of Efficiency Assumptions'!$H:$H,$I405,'Level of Efficiency Assumptions'!$I:$I,N$51)=0," ",SUMIFS('Level of Efficiency Assumptions'!$J:$J,'Level of Efficiency Assumptions'!$H:$H,$I405,'Level of Efficiency Assumptions'!$I:$I,N$51))</f>
        <v xml:space="preserve"> </v>
      </c>
      <c r="O405" s="1298" t="str">
        <f>IF(SUMIFS('Level of Efficiency Assumptions'!$J:$J,'Level of Efficiency Assumptions'!$H:$H,$I405,'Level of Efficiency Assumptions'!$I:$I,O$51)=0," ",SUMIFS('Level of Efficiency Assumptions'!$J:$J,'Level of Efficiency Assumptions'!$H:$H,$I405,'Level of Efficiency Assumptions'!$I:$I,O$51))</f>
        <v xml:space="preserve"> </v>
      </c>
      <c r="P405" s="1299" t="str">
        <f>IF(SUMIFS('Level of Efficiency Assumptions'!$J:$J,'Level of Efficiency Assumptions'!$H:$H,$I405,'Level of Efficiency Assumptions'!$I:$I,P$51)=0," ",SUMIFS('Level of Efficiency Assumptions'!$J:$J,'Level of Efficiency Assumptions'!$H:$H,$I405,'Level of Efficiency Assumptions'!$I:$I,P$51))</f>
        <v xml:space="preserve"> </v>
      </c>
      <c r="Q405" s="971" t="e">
        <f>IF(I405=" "," ",(VLOOKUP(I405,list!$B$81:$C$111,2,FALSE)))</f>
        <v>#N/A</v>
      </c>
      <c r="R405" s="243">
        <f t="shared" si="137"/>
        <v>0</v>
      </c>
      <c r="S405" s="64">
        <v>1</v>
      </c>
      <c r="T405" s="68">
        <v>0</v>
      </c>
      <c r="U405" s="244">
        <f t="shared" si="140"/>
        <v>1</v>
      </c>
    </row>
    <row r="406" spans="2:24" ht="15" thickBot="1" x14ac:dyDescent="0.35">
      <c r="C406" s="520"/>
      <c r="D406" s="224" t="str">
        <f t="shared" si="141"/>
        <v xml:space="preserve">  </v>
      </c>
      <c r="E406" s="224"/>
      <c r="F406" s="224" t="str">
        <f t="shared" si="142"/>
        <v xml:space="preserve">  </v>
      </c>
      <c r="G406" s="224"/>
      <c r="H406" s="380"/>
      <c r="I406" s="516" t="e">
        <f>IF(VLOOKUP(C27,list!$AA$5:$AS$14,15,FALSE)=0," ",(VLOOKUP(C27,list!$AA$5:$AS$14,15,FALSE)))</f>
        <v>#N/A</v>
      </c>
      <c r="J406" s="955" t="e">
        <f t="shared" si="138"/>
        <v>#N/A</v>
      </c>
      <c r="K406" s="955" t="e">
        <f t="shared" si="139"/>
        <v>#N/A</v>
      </c>
      <c r="L406" s="969" t="e">
        <f>IF(I406=" "," ",VLOOKUP(J406,list!$J$4:$M$117,4,FALSE))</f>
        <v>#N/A</v>
      </c>
      <c r="M406" s="66"/>
      <c r="N406" s="1297" t="str">
        <f>IF(SUMIFS('Level of Efficiency Assumptions'!$J:$J,'Level of Efficiency Assumptions'!$H:$H,$I406,'Level of Efficiency Assumptions'!$I:$I,N$51)=0," ",SUMIFS('Level of Efficiency Assumptions'!$J:$J,'Level of Efficiency Assumptions'!$H:$H,$I406,'Level of Efficiency Assumptions'!$I:$I,N$51))</f>
        <v xml:space="preserve"> </v>
      </c>
      <c r="O406" s="1298" t="str">
        <f>IF(SUMIFS('Level of Efficiency Assumptions'!$J:$J,'Level of Efficiency Assumptions'!$H:$H,$I406,'Level of Efficiency Assumptions'!$I:$I,O$51)=0," ",SUMIFS('Level of Efficiency Assumptions'!$J:$J,'Level of Efficiency Assumptions'!$H:$H,$I406,'Level of Efficiency Assumptions'!$I:$I,O$51))</f>
        <v xml:space="preserve"> </v>
      </c>
      <c r="P406" s="1299" t="str">
        <f>IF(SUMIFS('Level of Efficiency Assumptions'!$J:$J,'Level of Efficiency Assumptions'!$H:$H,$I406,'Level of Efficiency Assumptions'!$I:$I,P$51)=0," ",SUMIFS('Level of Efficiency Assumptions'!$J:$J,'Level of Efficiency Assumptions'!$H:$H,$I406,'Level of Efficiency Assumptions'!$I:$I,P$51))</f>
        <v xml:space="preserve"> </v>
      </c>
      <c r="Q406" s="971" t="e">
        <f>IF(I406=" "," ",(VLOOKUP(I406,list!$B$81:$C$111,2,FALSE)))</f>
        <v>#N/A</v>
      </c>
      <c r="R406" s="243">
        <f t="shared" si="137"/>
        <v>0</v>
      </c>
      <c r="S406" s="64">
        <v>1</v>
      </c>
      <c r="T406" s="68">
        <v>0</v>
      </c>
      <c r="U406" s="244">
        <f t="shared" si="140"/>
        <v>1</v>
      </c>
    </row>
    <row r="407" spans="2:24" ht="15" thickBot="1" x14ac:dyDescent="0.35">
      <c r="C407" s="520"/>
      <c r="D407" s="224" t="str">
        <f t="shared" si="141"/>
        <v xml:space="preserve">  </v>
      </c>
      <c r="E407" s="224"/>
      <c r="F407" s="224" t="str">
        <f t="shared" si="142"/>
        <v xml:space="preserve">  </v>
      </c>
      <c r="G407" s="224"/>
      <c r="H407" s="380"/>
      <c r="I407" s="516" t="e">
        <f>IF(VLOOKUP(C27,list!$AA$5:$AS$14,16,FALSE)=0," ",(VLOOKUP(C27,list!$AA$5:$AS$14,16,FALSE)))</f>
        <v>#N/A</v>
      </c>
      <c r="J407" s="955" t="e">
        <f t="shared" si="138"/>
        <v>#N/A</v>
      </c>
      <c r="K407" s="955" t="e">
        <f t="shared" si="139"/>
        <v>#N/A</v>
      </c>
      <c r="L407" s="969" t="e">
        <f>IF(I407=" "," ",VLOOKUP(J407,list!$J$4:$M$117,4,FALSE))</f>
        <v>#N/A</v>
      </c>
      <c r="M407" s="66"/>
      <c r="N407" s="1297" t="str">
        <f>IF(SUMIFS('Level of Efficiency Assumptions'!$J:$J,'Level of Efficiency Assumptions'!$H:$H,$I407,'Level of Efficiency Assumptions'!$I:$I,N$51)=0," ",SUMIFS('Level of Efficiency Assumptions'!$J:$J,'Level of Efficiency Assumptions'!$H:$H,$I407,'Level of Efficiency Assumptions'!$I:$I,N$51))</f>
        <v xml:space="preserve"> </v>
      </c>
      <c r="O407" s="1298" t="str">
        <f>IF(SUMIFS('Level of Efficiency Assumptions'!$J:$J,'Level of Efficiency Assumptions'!$H:$H,$I407,'Level of Efficiency Assumptions'!$I:$I,O$51)=0," ",SUMIFS('Level of Efficiency Assumptions'!$J:$J,'Level of Efficiency Assumptions'!$H:$H,$I407,'Level of Efficiency Assumptions'!$I:$I,O$51))</f>
        <v xml:space="preserve"> </v>
      </c>
      <c r="P407" s="1299" t="str">
        <f>IF(SUMIFS('Level of Efficiency Assumptions'!$J:$J,'Level of Efficiency Assumptions'!$H:$H,$I407,'Level of Efficiency Assumptions'!$I:$I,P$51)=0," ",SUMIFS('Level of Efficiency Assumptions'!$J:$J,'Level of Efficiency Assumptions'!$H:$H,$I407,'Level of Efficiency Assumptions'!$I:$I,P$51))</f>
        <v xml:space="preserve"> </v>
      </c>
      <c r="Q407" s="971" t="e">
        <f>IF(I407=" "," ",(VLOOKUP(I407,list!$B$81:$C$111,2,FALSE)))</f>
        <v>#N/A</v>
      </c>
      <c r="R407" s="243">
        <f t="shared" si="137"/>
        <v>0</v>
      </c>
      <c r="S407" s="64">
        <v>1</v>
      </c>
      <c r="T407" s="68">
        <v>0</v>
      </c>
      <c r="U407" s="244">
        <f t="shared" si="140"/>
        <v>1</v>
      </c>
    </row>
    <row r="408" spans="2:24" ht="15" thickBot="1" x14ac:dyDescent="0.35">
      <c r="C408" s="520"/>
      <c r="D408" s="224" t="str">
        <f t="shared" si="141"/>
        <v xml:space="preserve">  </v>
      </c>
      <c r="E408" s="224"/>
      <c r="F408" s="224" t="str">
        <f t="shared" si="142"/>
        <v xml:space="preserve">  </v>
      </c>
      <c r="G408" s="224"/>
      <c r="H408" s="380"/>
      <c r="I408" s="516" t="e">
        <f>IF(VLOOKUP(C27,list!$AA$5:$AS$14,17,FALSE)=0," ",(VLOOKUP(C27,list!$AA$5:$AS$14,17,FALSE)))</f>
        <v>#N/A</v>
      </c>
      <c r="J408" s="955" t="e">
        <f t="shared" si="138"/>
        <v>#N/A</v>
      </c>
      <c r="K408" s="955" t="e">
        <f t="shared" si="139"/>
        <v>#N/A</v>
      </c>
      <c r="L408" s="969" t="e">
        <f>IF(I408=" "," ",VLOOKUP(J408,list!$J$4:$M$117,4,FALSE))</f>
        <v>#N/A</v>
      </c>
      <c r="M408" s="66"/>
      <c r="N408" s="1297" t="str">
        <f>IF(SUMIFS('Level of Efficiency Assumptions'!$J:$J,'Level of Efficiency Assumptions'!$H:$H,$I408,'Level of Efficiency Assumptions'!$I:$I,N$51)=0," ",SUMIFS('Level of Efficiency Assumptions'!$J:$J,'Level of Efficiency Assumptions'!$H:$H,$I408,'Level of Efficiency Assumptions'!$I:$I,N$51))</f>
        <v xml:space="preserve"> </v>
      </c>
      <c r="O408" s="1298" t="str">
        <f>IF(SUMIFS('Level of Efficiency Assumptions'!$J:$J,'Level of Efficiency Assumptions'!$H:$H,$I408,'Level of Efficiency Assumptions'!$I:$I,O$51)=0," ",SUMIFS('Level of Efficiency Assumptions'!$J:$J,'Level of Efficiency Assumptions'!$H:$H,$I408,'Level of Efficiency Assumptions'!$I:$I,O$51))</f>
        <v xml:space="preserve"> </v>
      </c>
      <c r="P408" s="1299" t="str">
        <f>IF(SUMIFS('Level of Efficiency Assumptions'!$J:$J,'Level of Efficiency Assumptions'!$H:$H,$I408,'Level of Efficiency Assumptions'!$I:$I,P$51)=0," ",SUMIFS('Level of Efficiency Assumptions'!$J:$J,'Level of Efficiency Assumptions'!$H:$H,$I408,'Level of Efficiency Assumptions'!$I:$I,P$51))</f>
        <v xml:space="preserve"> </v>
      </c>
      <c r="Q408" s="971" t="e">
        <f>IF(I408=" "," ",(VLOOKUP(I408,list!$B$81:$C$111,2,FALSE)))</f>
        <v>#N/A</v>
      </c>
      <c r="R408" s="243">
        <f t="shared" si="137"/>
        <v>0</v>
      </c>
      <c r="S408" s="64">
        <v>1</v>
      </c>
      <c r="T408" s="68">
        <v>0</v>
      </c>
      <c r="U408" s="244">
        <f t="shared" si="140"/>
        <v>1</v>
      </c>
    </row>
    <row r="409" spans="2:24" ht="15" thickBot="1" x14ac:dyDescent="0.35">
      <c r="C409" s="520"/>
      <c r="D409" s="224" t="str">
        <f t="shared" si="141"/>
        <v xml:space="preserve">  </v>
      </c>
      <c r="E409" s="224"/>
      <c r="F409" s="224" t="str">
        <f t="shared" si="142"/>
        <v xml:space="preserve">  </v>
      </c>
      <c r="G409" s="224"/>
      <c r="H409" s="380"/>
      <c r="I409" s="516" t="e">
        <f>IF(VLOOKUP(C27,list!$AA$5:$AS$14,18,FALSE)=0," ",(VLOOKUP(C27,list!$AA$5:$AS$14,18,FALSE)))</f>
        <v>#N/A</v>
      </c>
      <c r="J409" s="955" t="e">
        <f t="shared" si="138"/>
        <v>#N/A</v>
      </c>
      <c r="K409" s="955" t="e">
        <f t="shared" si="139"/>
        <v>#N/A</v>
      </c>
      <c r="L409" s="969" t="e">
        <f>IF(I409=" "," ",VLOOKUP(J409,list!$J$4:$M$117,4,FALSE))</f>
        <v>#N/A</v>
      </c>
      <c r="M409" s="66"/>
      <c r="N409" s="1297" t="str">
        <f>IF(SUMIFS('Level of Efficiency Assumptions'!$J:$J,'Level of Efficiency Assumptions'!$H:$H,$I409,'Level of Efficiency Assumptions'!$I:$I,N$51)=0," ",SUMIFS('Level of Efficiency Assumptions'!$J:$J,'Level of Efficiency Assumptions'!$H:$H,$I409,'Level of Efficiency Assumptions'!$I:$I,N$51))</f>
        <v xml:space="preserve"> </v>
      </c>
      <c r="O409" s="1298" t="str">
        <f>IF(SUMIFS('Level of Efficiency Assumptions'!$J:$J,'Level of Efficiency Assumptions'!$H:$H,$I409,'Level of Efficiency Assumptions'!$I:$I,O$51)=0," ",SUMIFS('Level of Efficiency Assumptions'!$J:$J,'Level of Efficiency Assumptions'!$H:$H,$I409,'Level of Efficiency Assumptions'!$I:$I,O$51))</f>
        <v xml:space="preserve"> </v>
      </c>
      <c r="P409" s="1299" t="str">
        <f>IF(SUMIFS('Level of Efficiency Assumptions'!$J:$J,'Level of Efficiency Assumptions'!$H:$H,$I409,'Level of Efficiency Assumptions'!$I:$I,P$51)=0," ",SUMIFS('Level of Efficiency Assumptions'!$J:$J,'Level of Efficiency Assumptions'!$H:$H,$I409,'Level of Efficiency Assumptions'!$I:$I,P$51))</f>
        <v xml:space="preserve"> </v>
      </c>
      <c r="Q409" s="971" t="e">
        <f>IF(I409=" "," ",(VLOOKUP(I409,list!$B$81:$C$111,2,FALSE)))</f>
        <v>#N/A</v>
      </c>
      <c r="R409" s="243">
        <f t="shared" si="137"/>
        <v>0</v>
      </c>
      <c r="S409" s="64">
        <v>1</v>
      </c>
      <c r="T409" s="68">
        <v>0</v>
      </c>
      <c r="U409" s="244">
        <f t="shared" si="140"/>
        <v>1</v>
      </c>
    </row>
    <row r="410" spans="2:24" ht="15" thickBot="1" x14ac:dyDescent="0.35">
      <c r="C410" s="632"/>
      <c r="D410" s="226" t="str">
        <f t="shared" si="141"/>
        <v xml:space="preserve">  </v>
      </c>
      <c r="E410" s="226"/>
      <c r="F410" s="226" t="str">
        <f t="shared" si="142"/>
        <v xml:space="preserve">  </v>
      </c>
      <c r="G410" s="226"/>
      <c r="H410" s="976"/>
      <c r="I410" s="516" t="e">
        <f>IF(VLOOKUP(C27,list!$AA$5:$AS$14,19,FALSE)=0," ",(VLOOKUP(C27,list!$AA$5:$AS$14,19,FALSE)))</f>
        <v>#N/A</v>
      </c>
      <c r="J410" s="955" t="e">
        <f>IF(I410=" "," ",(D410&amp;"-"&amp;I410))</f>
        <v>#N/A</v>
      </c>
      <c r="K410" s="955" t="e">
        <f t="shared" si="139"/>
        <v>#N/A</v>
      </c>
      <c r="L410" s="969" t="e">
        <f>IF(I410=" "," ",VLOOKUP(J410,list!$J$4:$M$117,4,FALSE))</f>
        <v>#N/A</v>
      </c>
      <c r="M410" s="67"/>
      <c r="N410" s="1303" t="str">
        <f>IF(SUMIFS('Level of Efficiency Assumptions'!$J:$J,'Level of Efficiency Assumptions'!$H:$H,$I410,'Level of Efficiency Assumptions'!$I:$I,N$51)=0," ",SUMIFS('Level of Efficiency Assumptions'!$J:$J,'Level of Efficiency Assumptions'!$H:$H,$I410,'Level of Efficiency Assumptions'!$I:$I,N$51))</f>
        <v xml:space="preserve"> </v>
      </c>
      <c r="O410" s="1304" t="str">
        <f>IF(SUMIFS('Level of Efficiency Assumptions'!$J:$J,'Level of Efficiency Assumptions'!$H:$H,$I410,'Level of Efficiency Assumptions'!$I:$I,O$51)=0," ",SUMIFS('Level of Efficiency Assumptions'!$J:$J,'Level of Efficiency Assumptions'!$H:$H,$I410,'Level of Efficiency Assumptions'!$I:$I,O$51))</f>
        <v xml:space="preserve"> </v>
      </c>
      <c r="P410" s="1305" t="str">
        <f>IF(SUMIFS('Level of Efficiency Assumptions'!$J:$J,'Level of Efficiency Assumptions'!$H:$H,$I410,'Level of Efficiency Assumptions'!$I:$I,P$51)=0," ",SUMIFS('Level of Efficiency Assumptions'!$J:$J,'Level of Efficiency Assumptions'!$H:$H,$I410,'Level of Efficiency Assumptions'!$I:$I,P$51))</f>
        <v xml:space="preserve"> </v>
      </c>
      <c r="Q410" s="977" t="e">
        <f>IF(I410=" "," ",(VLOOKUP(I410,list!$B$81:$C$111,2,FALSE)))</f>
        <v>#N/A</v>
      </c>
      <c r="R410" s="245">
        <f t="shared" si="137"/>
        <v>0</v>
      </c>
      <c r="S410" s="65">
        <v>1</v>
      </c>
      <c r="T410" s="69">
        <v>0</v>
      </c>
      <c r="U410" s="246">
        <f t="shared" si="140"/>
        <v>1</v>
      </c>
    </row>
    <row r="411" spans="2:24" x14ac:dyDescent="0.3">
      <c r="D411" s="846"/>
      <c r="F411" s="82"/>
      <c r="J411" s="846"/>
      <c r="K411" s="846"/>
      <c r="N411" s="1179"/>
      <c r="O411" s="1179"/>
      <c r="P411" s="1179"/>
      <c r="R411" s="176" t="s">
        <v>295</v>
      </c>
      <c r="S411" s="176"/>
      <c r="T411" s="176"/>
      <c r="U411" s="176"/>
    </row>
    <row r="412" spans="2:24" ht="15" thickBot="1" x14ac:dyDescent="0.35">
      <c r="D412" s="846"/>
      <c r="F412" s="82"/>
      <c r="J412" s="846"/>
      <c r="K412" s="846"/>
      <c r="N412" s="1179"/>
      <c r="O412" s="1179"/>
      <c r="P412" s="1179"/>
    </row>
    <row r="413" spans="2:24" ht="15" thickBot="1" x14ac:dyDescent="0.35">
      <c r="B413" s="814">
        <v>19</v>
      </c>
      <c r="C413" s="967" t="str">
        <f t="shared" ref="C413:H413" si="143">C28</f>
        <v xml:space="preserve">  </v>
      </c>
      <c r="D413" s="967" t="str">
        <f t="shared" si="143"/>
        <v xml:space="preserve">  </v>
      </c>
      <c r="E413" s="967" t="str">
        <f t="shared" si="143"/>
        <v xml:space="preserve">  </v>
      </c>
      <c r="F413" s="967" t="str">
        <f t="shared" si="143"/>
        <v xml:space="preserve">  </v>
      </c>
      <c r="G413" s="967">
        <f t="shared" si="143"/>
        <v>0</v>
      </c>
      <c r="H413" s="968">
        <f t="shared" si="143"/>
        <v>0</v>
      </c>
      <c r="I413" s="516" t="e">
        <f>IF(VLOOKUP(C28,list!$AA$5:$AS$14,2,FALSE)=0," ",(VLOOKUP(C28,list!$AA$5:$AS$14,2,FALSE)))</f>
        <v>#N/A</v>
      </c>
      <c r="J413" s="955" t="e">
        <f>IF(I413=" "," ",(D28&amp;"-"&amp;I413))</f>
        <v>#N/A</v>
      </c>
      <c r="K413" s="955" t="e">
        <f>IF(I413=" "," ",(F28&amp;"-"&amp;I413))</f>
        <v>#N/A</v>
      </c>
      <c r="L413" s="969" t="e">
        <f>IF(I413=" "," ",VLOOKUP(J413,list!$J$4:$M$117,4,FALSE))</f>
        <v>#N/A</v>
      </c>
      <c r="M413" s="70"/>
      <c r="N413" s="1300" t="str">
        <f>IF(SUMIFS('Level of Efficiency Assumptions'!$J:$J,'Level of Efficiency Assumptions'!$H:$H,$I413,'Level of Efficiency Assumptions'!$I:$I,N$51)=0," ",SUMIFS('Level of Efficiency Assumptions'!$J:$J,'Level of Efficiency Assumptions'!$H:$H,$I413,'Level of Efficiency Assumptions'!$I:$I,N$51))</f>
        <v xml:space="preserve"> </v>
      </c>
      <c r="O413" s="1301" t="str">
        <f>IF(SUMIFS('Level of Efficiency Assumptions'!$J:$J,'Level of Efficiency Assumptions'!$H:$H,$I413,'Level of Efficiency Assumptions'!$I:$I,O$51)=0," ",SUMIFS('Level of Efficiency Assumptions'!$J:$J,'Level of Efficiency Assumptions'!$H:$H,$I413,'Level of Efficiency Assumptions'!$I:$I,O$51))</f>
        <v xml:space="preserve"> </v>
      </c>
      <c r="P413" s="1302" t="str">
        <f>IF(SUMIFS('Level of Efficiency Assumptions'!$J:$J,'Level of Efficiency Assumptions'!$H:$H,$I413,'Level of Efficiency Assumptions'!$I:$I,P$51)=0," ",SUMIFS('Level of Efficiency Assumptions'!$J:$J,'Level of Efficiency Assumptions'!$H:$H,$I413,'Level of Efficiency Assumptions'!$I:$I,P$51))</f>
        <v xml:space="preserve"> </v>
      </c>
      <c r="Q413" s="970" t="e">
        <f>IF(I413=" "," ",(VLOOKUP(I413,list!$B$81:$C$111,2,FALSE)))</f>
        <v>#N/A</v>
      </c>
      <c r="R413" s="241">
        <f t="shared" ref="R413:R430" si="144">1-S413-T413</f>
        <v>0</v>
      </c>
      <c r="S413" s="83">
        <v>1</v>
      </c>
      <c r="T413" s="84">
        <v>0</v>
      </c>
      <c r="U413" s="242">
        <f>SUM(R413:T413)</f>
        <v>1</v>
      </c>
      <c r="W413" s="250" t="s">
        <v>367</v>
      </c>
      <c r="X413" s="251" t="s">
        <v>366</v>
      </c>
    </row>
    <row r="414" spans="2:24" ht="15" thickBot="1" x14ac:dyDescent="0.35">
      <c r="C414" s="520"/>
      <c r="D414" s="224" t="str">
        <f>D28</f>
        <v xml:space="preserve">  </v>
      </c>
      <c r="E414" s="224"/>
      <c r="F414" s="224" t="str">
        <f>F28</f>
        <v xml:space="preserve">  </v>
      </c>
      <c r="G414" s="224"/>
      <c r="H414" s="380"/>
      <c r="I414" s="516" t="e">
        <f>IF(VLOOKUP(C28,list!$AA$5:$AS$14,3,FALSE)=0," ",(VLOOKUP(C28,list!$AA$5:$AS$14,3,FALSE)))</f>
        <v>#N/A</v>
      </c>
      <c r="J414" s="955" t="e">
        <f t="shared" ref="J414:J429" si="145">IF(I414=" "," ",(D414&amp;"-"&amp;I414))</f>
        <v>#N/A</v>
      </c>
      <c r="K414" s="955" t="e">
        <f t="shared" ref="K414:K430" si="146">IF(I414=" "," ",(F414&amp;"-"&amp;I414))</f>
        <v>#N/A</v>
      </c>
      <c r="L414" s="969" t="e">
        <f>IF(I414=" "," ",VLOOKUP(J414,list!$J$4:$M$117,4,FALSE))</f>
        <v>#N/A</v>
      </c>
      <c r="M414" s="66"/>
      <c r="N414" s="1297" t="str">
        <f>IF(SUMIFS('Level of Efficiency Assumptions'!$J:$J,'Level of Efficiency Assumptions'!$H:$H,$I414,'Level of Efficiency Assumptions'!$I:$I,N$51)=0," ",SUMIFS('Level of Efficiency Assumptions'!$J:$J,'Level of Efficiency Assumptions'!$H:$H,$I414,'Level of Efficiency Assumptions'!$I:$I,N$51))</f>
        <v xml:space="preserve"> </v>
      </c>
      <c r="O414" s="1298" t="str">
        <f>IF(SUMIFS('Level of Efficiency Assumptions'!$J:$J,'Level of Efficiency Assumptions'!$H:$H,$I414,'Level of Efficiency Assumptions'!$I:$I,O$51)=0," ",SUMIFS('Level of Efficiency Assumptions'!$J:$J,'Level of Efficiency Assumptions'!$H:$H,$I414,'Level of Efficiency Assumptions'!$I:$I,O$51))</f>
        <v xml:space="preserve"> </v>
      </c>
      <c r="P414" s="1299" t="str">
        <f>IF(SUMIFS('Level of Efficiency Assumptions'!$J:$J,'Level of Efficiency Assumptions'!$H:$H,$I414,'Level of Efficiency Assumptions'!$I:$I,P$51)=0," ",SUMIFS('Level of Efficiency Assumptions'!$J:$J,'Level of Efficiency Assumptions'!$H:$H,$I414,'Level of Efficiency Assumptions'!$I:$I,P$51))</f>
        <v xml:space="preserve"> </v>
      </c>
      <c r="Q414" s="971" t="e">
        <f>IF(I414=" "," ",(VLOOKUP(I414,list!$B$81:$C$111,2,FALSE)))</f>
        <v>#N/A</v>
      </c>
      <c r="R414" s="243">
        <f t="shared" si="144"/>
        <v>0</v>
      </c>
      <c r="S414" s="64">
        <v>1</v>
      </c>
      <c r="T414" s="68">
        <v>0</v>
      </c>
      <c r="U414" s="244">
        <f t="shared" ref="U414:U430" si="147">SUM(R414:T414)</f>
        <v>1</v>
      </c>
      <c r="V414" s="82" t="e">
        <f>F414&amp;"-"&amp;W414</f>
        <v>#N/A</v>
      </c>
      <c r="W414" s="247" t="e">
        <f>HLOOKUP(D414,list!$O$34:$X$38,2,FALSE)</f>
        <v>#N/A</v>
      </c>
      <c r="X414" s="972">
        <v>1</v>
      </c>
    </row>
    <row r="415" spans="2:24" ht="15" thickBot="1" x14ac:dyDescent="0.35">
      <c r="C415" s="520"/>
      <c r="D415" s="224" t="str">
        <f>D414</f>
        <v xml:space="preserve">  </v>
      </c>
      <c r="E415" s="224"/>
      <c r="F415" s="224" t="str">
        <f>F414</f>
        <v xml:space="preserve">  </v>
      </c>
      <c r="G415" s="224"/>
      <c r="H415" s="380"/>
      <c r="I415" s="516" t="e">
        <f>IF(VLOOKUP(C28,list!$AA$5:$AS$14,4,FALSE)=0," ",(VLOOKUP(C28,list!$AA$5:$AS$14,4,FALSE)))</f>
        <v>#N/A</v>
      </c>
      <c r="J415" s="955" t="e">
        <f t="shared" si="145"/>
        <v>#N/A</v>
      </c>
      <c r="K415" s="955" t="e">
        <f t="shared" si="146"/>
        <v>#N/A</v>
      </c>
      <c r="L415" s="969" t="e">
        <f>IF(I415=" "," ",VLOOKUP(J415,list!$J$4:$M$117,4,FALSE))</f>
        <v>#N/A</v>
      </c>
      <c r="M415" s="66"/>
      <c r="N415" s="1297" t="str">
        <f>IF(SUMIFS('Level of Efficiency Assumptions'!$J:$J,'Level of Efficiency Assumptions'!$H:$H,$I415,'Level of Efficiency Assumptions'!$I:$I,N$51)=0," ",SUMIFS('Level of Efficiency Assumptions'!$J:$J,'Level of Efficiency Assumptions'!$H:$H,$I415,'Level of Efficiency Assumptions'!$I:$I,N$51))</f>
        <v xml:space="preserve"> </v>
      </c>
      <c r="O415" s="1298" t="str">
        <f>IF(SUMIFS('Level of Efficiency Assumptions'!$J:$J,'Level of Efficiency Assumptions'!$H:$H,$I415,'Level of Efficiency Assumptions'!$I:$I,O$51)=0," ",SUMIFS('Level of Efficiency Assumptions'!$J:$J,'Level of Efficiency Assumptions'!$H:$H,$I415,'Level of Efficiency Assumptions'!$I:$I,O$51))</f>
        <v xml:space="preserve"> </v>
      </c>
      <c r="P415" s="1299" t="str">
        <f>IF(SUMIFS('Level of Efficiency Assumptions'!$J:$J,'Level of Efficiency Assumptions'!$H:$H,$I415,'Level of Efficiency Assumptions'!$I:$I,P$51)=0," ",SUMIFS('Level of Efficiency Assumptions'!$J:$J,'Level of Efficiency Assumptions'!$H:$H,$I415,'Level of Efficiency Assumptions'!$I:$I,P$51))</f>
        <v xml:space="preserve"> </v>
      </c>
      <c r="Q415" s="971" t="e">
        <f>IF(I415=" "," ",(VLOOKUP(I415,list!$B$81:$C$111,2,FALSE)))</f>
        <v>#N/A</v>
      </c>
      <c r="R415" s="243">
        <f t="shared" si="144"/>
        <v>0</v>
      </c>
      <c r="S415" s="64">
        <v>1</v>
      </c>
      <c r="T415" s="68">
        <v>0</v>
      </c>
      <c r="U415" s="244">
        <f t="shared" si="147"/>
        <v>1</v>
      </c>
      <c r="V415" s="82" t="e">
        <f>F415&amp;"-"&amp;W415</f>
        <v>#N/A</v>
      </c>
      <c r="W415" s="248" t="e">
        <f>HLOOKUP(D415,list!$O$34:$X$38,3,FALSE)</f>
        <v>#N/A</v>
      </c>
      <c r="X415" s="973">
        <v>0.5</v>
      </c>
    </row>
    <row r="416" spans="2:24" ht="15" thickBot="1" x14ac:dyDescent="0.35">
      <c r="C416" s="520"/>
      <c r="D416" s="224" t="str">
        <f t="shared" ref="D416:D430" si="148">D415</f>
        <v xml:space="preserve">  </v>
      </c>
      <c r="E416" s="224"/>
      <c r="F416" s="224" t="str">
        <f t="shared" ref="F416:F430" si="149">F415</f>
        <v xml:space="preserve">  </v>
      </c>
      <c r="G416" s="224"/>
      <c r="H416" s="380"/>
      <c r="I416" s="516" t="e">
        <f>IF(VLOOKUP(C28,list!$AA$5:$AS$14,5,FALSE)=0," ",(VLOOKUP(C28,list!$AA$5:$AS$14,5,FALSE)))</f>
        <v>#N/A</v>
      </c>
      <c r="J416" s="955" t="e">
        <f t="shared" si="145"/>
        <v>#N/A</v>
      </c>
      <c r="K416" s="955" t="e">
        <f t="shared" si="146"/>
        <v>#N/A</v>
      </c>
      <c r="L416" s="969" t="e">
        <f>IF(I416=" "," ",VLOOKUP(J416,list!$J$4:$M$117,4,FALSE))</f>
        <v>#N/A</v>
      </c>
      <c r="M416" s="66"/>
      <c r="N416" s="1297" t="str">
        <f>IF(SUMIFS('Level of Efficiency Assumptions'!$J:$J,'Level of Efficiency Assumptions'!$H:$H,$I416,'Level of Efficiency Assumptions'!$I:$I,N$51)=0," ",SUMIFS('Level of Efficiency Assumptions'!$J:$J,'Level of Efficiency Assumptions'!$H:$H,$I416,'Level of Efficiency Assumptions'!$I:$I,N$51))</f>
        <v xml:space="preserve"> </v>
      </c>
      <c r="O416" s="1298" t="str">
        <f>IF(SUMIFS('Level of Efficiency Assumptions'!$J:$J,'Level of Efficiency Assumptions'!$H:$H,$I416,'Level of Efficiency Assumptions'!$I:$I,O$51)=0," ",SUMIFS('Level of Efficiency Assumptions'!$J:$J,'Level of Efficiency Assumptions'!$H:$H,$I416,'Level of Efficiency Assumptions'!$I:$I,O$51))</f>
        <v xml:space="preserve"> </v>
      </c>
      <c r="P416" s="1299" t="str">
        <f>IF(SUMIFS('Level of Efficiency Assumptions'!$J:$J,'Level of Efficiency Assumptions'!$H:$H,$I416,'Level of Efficiency Assumptions'!$I:$I,P$51)=0," ",SUMIFS('Level of Efficiency Assumptions'!$J:$J,'Level of Efficiency Assumptions'!$H:$H,$I416,'Level of Efficiency Assumptions'!$I:$I,P$51))</f>
        <v xml:space="preserve"> </v>
      </c>
      <c r="Q416" s="971" t="e">
        <f>IF(I416=" "," ",(VLOOKUP(I416,list!$B$81:$C$111,2,FALSE)))</f>
        <v>#N/A</v>
      </c>
      <c r="R416" s="243">
        <f t="shared" si="144"/>
        <v>0</v>
      </c>
      <c r="S416" s="64">
        <v>1</v>
      </c>
      <c r="T416" s="68">
        <v>0</v>
      </c>
      <c r="U416" s="244">
        <f t="shared" si="147"/>
        <v>1</v>
      </c>
      <c r="V416" s="82" t="e">
        <f>F416&amp;"-"&amp;W416</f>
        <v>#N/A</v>
      </c>
      <c r="W416" s="248" t="e">
        <f>HLOOKUP(D416,list!$O$34:$X$38,4,FALSE)</f>
        <v>#N/A</v>
      </c>
      <c r="X416" s="973">
        <v>0.5</v>
      </c>
    </row>
    <row r="417" spans="3:24" ht="15" thickBot="1" x14ac:dyDescent="0.35">
      <c r="C417" s="520"/>
      <c r="D417" s="224" t="str">
        <f t="shared" si="148"/>
        <v xml:space="preserve">  </v>
      </c>
      <c r="E417" s="224"/>
      <c r="F417" s="224" t="str">
        <f t="shared" si="149"/>
        <v xml:space="preserve">  </v>
      </c>
      <c r="G417" s="224"/>
      <c r="H417" s="380"/>
      <c r="I417" s="516" t="e">
        <f>IF(VLOOKUP(C28,list!$AA$5:$AS$14,6,FALSE)=0," ",(VLOOKUP(C28,list!$AA$5:$AS$14,6,FALSE)))</f>
        <v>#N/A</v>
      </c>
      <c r="J417" s="955" t="e">
        <f t="shared" si="145"/>
        <v>#N/A</v>
      </c>
      <c r="K417" s="955" t="e">
        <f t="shared" si="146"/>
        <v>#N/A</v>
      </c>
      <c r="L417" s="969" t="e">
        <f>IF(I417=" "," ",VLOOKUP(J417,list!$J$4:$M$117,4,FALSE))</f>
        <v>#N/A</v>
      </c>
      <c r="M417" s="66"/>
      <c r="N417" s="1297" t="str">
        <f>IF(SUMIFS('Level of Efficiency Assumptions'!$J:$J,'Level of Efficiency Assumptions'!$H:$H,$I417,'Level of Efficiency Assumptions'!$I:$I,N$51)=0," ",SUMIFS('Level of Efficiency Assumptions'!$J:$J,'Level of Efficiency Assumptions'!$H:$H,$I417,'Level of Efficiency Assumptions'!$I:$I,N$51))</f>
        <v xml:space="preserve"> </v>
      </c>
      <c r="O417" s="1298" t="str">
        <f>IF(SUMIFS('Level of Efficiency Assumptions'!$J:$J,'Level of Efficiency Assumptions'!$H:$H,$I417,'Level of Efficiency Assumptions'!$I:$I,O$51)=0," ",SUMIFS('Level of Efficiency Assumptions'!$J:$J,'Level of Efficiency Assumptions'!$H:$H,$I417,'Level of Efficiency Assumptions'!$I:$I,O$51))</f>
        <v xml:space="preserve"> </v>
      </c>
      <c r="P417" s="1299" t="str">
        <f>IF(SUMIFS('Level of Efficiency Assumptions'!$J:$J,'Level of Efficiency Assumptions'!$H:$H,$I417,'Level of Efficiency Assumptions'!$I:$I,P$51)=0," ",SUMIFS('Level of Efficiency Assumptions'!$J:$J,'Level of Efficiency Assumptions'!$H:$H,$I417,'Level of Efficiency Assumptions'!$I:$I,P$51))</f>
        <v xml:space="preserve"> </v>
      </c>
      <c r="Q417" s="971" t="e">
        <f>IF(I417=" "," ",(VLOOKUP(I417,list!$B$81:$C$111,2,FALSE)))</f>
        <v>#N/A</v>
      </c>
      <c r="R417" s="243">
        <f t="shared" si="144"/>
        <v>0</v>
      </c>
      <c r="S417" s="64">
        <v>1</v>
      </c>
      <c r="T417" s="68">
        <v>0</v>
      </c>
      <c r="U417" s="244">
        <f t="shared" si="147"/>
        <v>1</v>
      </c>
      <c r="V417" s="82" t="e">
        <f>F417&amp;"-"&amp;W417</f>
        <v>#N/A</v>
      </c>
      <c r="W417" s="249" t="e">
        <f>HLOOKUP(D417,list!$O$34:$X$38,5,FALSE)</f>
        <v>#N/A</v>
      </c>
      <c r="X417" s="974">
        <v>0.5</v>
      </c>
    </row>
    <row r="418" spans="3:24" ht="15" thickBot="1" x14ac:dyDescent="0.35">
      <c r="C418" s="520"/>
      <c r="D418" s="224" t="str">
        <f t="shared" si="148"/>
        <v xml:space="preserve">  </v>
      </c>
      <c r="E418" s="224"/>
      <c r="F418" s="224" t="str">
        <f t="shared" si="149"/>
        <v xml:space="preserve">  </v>
      </c>
      <c r="G418" s="224"/>
      <c r="H418" s="380"/>
      <c r="I418" s="516" t="e">
        <f>IF(VLOOKUP(C28,list!$AA$5:$AS$14,7,FALSE)=0," ",(VLOOKUP(C28,list!$AA$5:$AS$14,7,FALSE)))</f>
        <v>#N/A</v>
      </c>
      <c r="J418" s="955" t="e">
        <f t="shared" si="145"/>
        <v>#N/A</v>
      </c>
      <c r="K418" s="955" t="e">
        <f t="shared" si="146"/>
        <v>#N/A</v>
      </c>
      <c r="L418" s="969" t="e">
        <f>IF(I418=" "," ",VLOOKUP(J418,list!$J$4:$M$117,4,FALSE))</f>
        <v>#N/A</v>
      </c>
      <c r="M418" s="66"/>
      <c r="N418" s="1297" t="str">
        <f>IF(SUMIFS('Level of Efficiency Assumptions'!$J:$J,'Level of Efficiency Assumptions'!$H:$H,$I418,'Level of Efficiency Assumptions'!$I:$I,N$51)=0," ",SUMIFS('Level of Efficiency Assumptions'!$J:$J,'Level of Efficiency Assumptions'!$H:$H,$I418,'Level of Efficiency Assumptions'!$I:$I,N$51))</f>
        <v xml:space="preserve"> </v>
      </c>
      <c r="O418" s="1298" t="str">
        <f>IF(SUMIFS('Level of Efficiency Assumptions'!$J:$J,'Level of Efficiency Assumptions'!$H:$H,$I418,'Level of Efficiency Assumptions'!$I:$I,O$51)=0," ",SUMIFS('Level of Efficiency Assumptions'!$J:$J,'Level of Efficiency Assumptions'!$H:$H,$I418,'Level of Efficiency Assumptions'!$I:$I,O$51))</f>
        <v xml:space="preserve"> </v>
      </c>
      <c r="P418" s="1299" t="str">
        <f>IF(SUMIFS('Level of Efficiency Assumptions'!$J:$J,'Level of Efficiency Assumptions'!$H:$H,$I418,'Level of Efficiency Assumptions'!$I:$I,P$51)=0," ",SUMIFS('Level of Efficiency Assumptions'!$J:$J,'Level of Efficiency Assumptions'!$H:$H,$I418,'Level of Efficiency Assumptions'!$I:$I,P$51))</f>
        <v xml:space="preserve"> </v>
      </c>
      <c r="Q418" s="971" t="e">
        <f>IF(I418=" "," ",(VLOOKUP(I418,list!$B$81:$C$111,2,FALSE)))</f>
        <v>#N/A</v>
      </c>
      <c r="R418" s="243">
        <f t="shared" si="144"/>
        <v>0</v>
      </c>
      <c r="S418" s="64">
        <v>1</v>
      </c>
      <c r="T418" s="68">
        <v>0</v>
      </c>
      <c r="U418" s="244">
        <f t="shared" si="147"/>
        <v>1</v>
      </c>
      <c r="W418" s="182"/>
      <c r="X418" s="975"/>
    </row>
    <row r="419" spans="3:24" ht="15" thickBot="1" x14ac:dyDescent="0.35">
      <c r="C419" s="520"/>
      <c r="D419" s="224" t="str">
        <f t="shared" si="148"/>
        <v xml:space="preserve">  </v>
      </c>
      <c r="E419" s="224"/>
      <c r="F419" s="224" t="str">
        <f t="shared" si="149"/>
        <v xml:space="preserve">  </v>
      </c>
      <c r="G419" s="224"/>
      <c r="H419" s="380"/>
      <c r="I419" s="516" t="e">
        <f>IF(VLOOKUP(C28,list!$AA$5:$AS$14,8,FALSE)=0," ",(VLOOKUP(C28,list!$AA$5:$AS$14,8,FALSE)))</f>
        <v>#N/A</v>
      </c>
      <c r="J419" s="955" t="e">
        <f t="shared" si="145"/>
        <v>#N/A</v>
      </c>
      <c r="K419" s="955" t="e">
        <f t="shared" si="146"/>
        <v>#N/A</v>
      </c>
      <c r="L419" s="969" t="e">
        <f>IF(I419=" "," ",VLOOKUP(J419,list!$J$4:$M$117,4,FALSE))</f>
        <v>#N/A</v>
      </c>
      <c r="M419" s="66"/>
      <c r="N419" s="1297" t="str">
        <f>IF(SUMIFS('Level of Efficiency Assumptions'!$J:$J,'Level of Efficiency Assumptions'!$H:$H,$I419,'Level of Efficiency Assumptions'!$I:$I,N$51)=0," ",SUMIFS('Level of Efficiency Assumptions'!$J:$J,'Level of Efficiency Assumptions'!$H:$H,$I419,'Level of Efficiency Assumptions'!$I:$I,N$51))</f>
        <v xml:space="preserve"> </v>
      </c>
      <c r="O419" s="1298" t="str">
        <f>IF(SUMIFS('Level of Efficiency Assumptions'!$J:$J,'Level of Efficiency Assumptions'!$H:$H,$I419,'Level of Efficiency Assumptions'!$I:$I,O$51)=0," ",SUMIFS('Level of Efficiency Assumptions'!$J:$J,'Level of Efficiency Assumptions'!$H:$H,$I419,'Level of Efficiency Assumptions'!$I:$I,O$51))</f>
        <v xml:space="preserve"> </v>
      </c>
      <c r="P419" s="1299" t="str">
        <f>IF(SUMIFS('Level of Efficiency Assumptions'!$J:$J,'Level of Efficiency Assumptions'!$H:$H,$I419,'Level of Efficiency Assumptions'!$I:$I,P$51)=0," ",SUMIFS('Level of Efficiency Assumptions'!$J:$J,'Level of Efficiency Assumptions'!$H:$H,$I419,'Level of Efficiency Assumptions'!$I:$I,P$51))</f>
        <v xml:space="preserve"> </v>
      </c>
      <c r="Q419" s="971" t="e">
        <f>IF(I419=" "," ",(VLOOKUP(I419,list!$B$81:$C$111,2,FALSE)))</f>
        <v>#N/A</v>
      </c>
      <c r="R419" s="243">
        <f t="shared" si="144"/>
        <v>0</v>
      </c>
      <c r="S419" s="64">
        <v>1</v>
      </c>
      <c r="T419" s="68">
        <v>0</v>
      </c>
      <c r="U419" s="244">
        <f t="shared" si="147"/>
        <v>1</v>
      </c>
      <c r="W419" s="182"/>
      <c r="X419" s="975"/>
    </row>
    <row r="420" spans="3:24" ht="15" thickBot="1" x14ac:dyDescent="0.35">
      <c r="C420" s="520"/>
      <c r="D420" s="224" t="str">
        <f t="shared" si="148"/>
        <v xml:space="preserve">  </v>
      </c>
      <c r="E420" s="224"/>
      <c r="F420" s="224" t="str">
        <f t="shared" si="149"/>
        <v xml:space="preserve">  </v>
      </c>
      <c r="G420" s="224"/>
      <c r="H420" s="380"/>
      <c r="I420" s="516" t="e">
        <f>IF(VLOOKUP(C28,list!$AA$5:$AS$14,9,FALSE)=0," ",(VLOOKUP(C28,list!$AA$5:$AS$14,9,FALSE)))</f>
        <v>#N/A</v>
      </c>
      <c r="J420" s="955" t="e">
        <f t="shared" si="145"/>
        <v>#N/A</v>
      </c>
      <c r="K420" s="955" t="e">
        <f t="shared" si="146"/>
        <v>#N/A</v>
      </c>
      <c r="L420" s="969" t="e">
        <f>IF(I420=" "," ",VLOOKUP(J420,list!$J$4:$M$117,4,FALSE))</f>
        <v>#N/A</v>
      </c>
      <c r="M420" s="66"/>
      <c r="N420" s="1297" t="str">
        <f>IF(SUMIFS('Level of Efficiency Assumptions'!$J:$J,'Level of Efficiency Assumptions'!$H:$H,$I420,'Level of Efficiency Assumptions'!$I:$I,N$51)=0," ",SUMIFS('Level of Efficiency Assumptions'!$J:$J,'Level of Efficiency Assumptions'!$H:$H,$I420,'Level of Efficiency Assumptions'!$I:$I,N$51))</f>
        <v xml:space="preserve"> </v>
      </c>
      <c r="O420" s="1298" t="str">
        <f>IF(SUMIFS('Level of Efficiency Assumptions'!$J:$J,'Level of Efficiency Assumptions'!$H:$H,$I420,'Level of Efficiency Assumptions'!$I:$I,O$51)=0," ",SUMIFS('Level of Efficiency Assumptions'!$J:$J,'Level of Efficiency Assumptions'!$H:$H,$I420,'Level of Efficiency Assumptions'!$I:$I,O$51))</f>
        <v xml:space="preserve"> </v>
      </c>
      <c r="P420" s="1299" t="str">
        <f>IF(SUMIFS('Level of Efficiency Assumptions'!$J:$J,'Level of Efficiency Assumptions'!$H:$H,$I420,'Level of Efficiency Assumptions'!$I:$I,P$51)=0," ",SUMIFS('Level of Efficiency Assumptions'!$J:$J,'Level of Efficiency Assumptions'!$H:$H,$I420,'Level of Efficiency Assumptions'!$I:$I,P$51))</f>
        <v xml:space="preserve"> </v>
      </c>
      <c r="Q420" s="971" t="e">
        <f>IF(I420=" "," ",(VLOOKUP(I420,list!$B$81:$C$111,2,FALSE)))</f>
        <v>#N/A</v>
      </c>
      <c r="R420" s="243">
        <f t="shared" si="144"/>
        <v>0</v>
      </c>
      <c r="S420" s="64">
        <v>1</v>
      </c>
      <c r="T420" s="68">
        <v>0</v>
      </c>
      <c r="U420" s="244">
        <f t="shared" si="147"/>
        <v>1</v>
      </c>
    </row>
    <row r="421" spans="3:24" ht="15" thickBot="1" x14ac:dyDescent="0.35">
      <c r="C421" s="520"/>
      <c r="D421" s="224" t="str">
        <f t="shared" si="148"/>
        <v xml:space="preserve">  </v>
      </c>
      <c r="E421" s="224"/>
      <c r="F421" s="224" t="str">
        <f t="shared" si="149"/>
        <v xml:space="preserve">  </v>
      </c>
      <c r="G421" s="224"/>
      <c r="H421" s="380"/>
      <c r="I421" s="516" t="e">
        <f>IF(VLOOKUP(C28,list!$AA$5:$AS$14,10,FALSE)=0," ",(VLOOKUP(C28,list!$AA$5:$AS$14,10,FALSE)))</f>
        <v>#N/A</v>
      </c>
      <c r="J421" s="955" t="e">
        <f t="shared" si="145"/>
        <v>#N/A</v>
      </c>
      <c r="K421" s="955" t="e">
        <f t="shared" si="146"/>
        <v>#N/A</v>
      </c>
      <c r="L421" s="969" t="e">
        <f>IF(I421=" "," ",VLOOKUP(J421,list!$J$4:$M$117,4,FALSE))</f>
        <v>#N/A</v>
      </c>
      <c r="M421" s="66"/>
      <c r="N421" s="1297" t="str">
        <f>IF(SUMIFS('Level of Efficiency Assumptions'!$J:$J,'Level of Efficiency Assumptions'!$H:$H,$I421,'Level of Efficiency Assumptions'!$I:$I,N$51)=0," ",SUMIFS('Level of Efficiency Assumptions'!$J:$J,'Level of Efficiency Assumptions'!$H:$H,$I421,'Level of Efficiency Assumptions'!$I:$I,N$51))</f>
        <v xml:space="preserve"> </v>
      </c>
      <c r="O421" s="1298" t="str">
        <f>IF(SUMIFS('Level of Efficiency Assumptions'!$J:$J,'Level of Efficiency Assumptions'!$H:$H,$I421,'Level of Efficiency Assumptions'!$I:$I,O$51)=0," ",SUMIFS('Level of Efficiency Assumptions'!$J:$J,'Level of Efficiency Assumptions'!$H:$H,$I421,'Level of Efficiency Assumptions'!$I:$I,O$51))</f>
        <v xml:space="preserve"> </v>
      </c>
      <c r="P421" s="1299" t="str">
        <f>IF(SUMIFS('Level of Efficiency Assumptions'!$J:$J,'Level of Efficiency Assumptions'!$H:$H,$I421,'Level of Efficiency Assumptions'!$I:$I,P$51)=0," ",SUMIFS('Level of Efficiency Assumptions'!$J:$J,'Level of Efficiency Assumptions'!$H:$H,$I421,'Level of Efficiency Assumptions'!$I:$I,P$51))</f>
        <v xml:space="preserve"> </v>
      </c>
      <c r="Q421" s="971" t="e">
        <f>IF(I421=" "," ",(VLOOKUP(I421,list!$B$81:$C$111,2,FALSE)))</f>
        <v>#N/A</v>
      </c>
      <c r="R421" s="243">
        <f t="shared" si="144"/>
        <v>0</v>
      </c>
      <c r="S421" s="64">
        <v>1</v>
      </c>
      <c r="T421" s="68">
        <v>0</v>
      </c>
      <c r="U421" s="244">
        <f t="shared" si="147"/>
        <v>1</v>
      </c>
    </row>
    <row r="422" spans="3:24" ht="15" thickBot="1" x14ac:dyDescent="0.35">
      <c r="C422" s="520"/>
      <c r="D422" s="224" t="str">
        <f t="shared" si="148"/>
        <v xml:space="preserve">  </v>
      </c>
      <c r="E422" s="224"/>
      <c r="F422" s="224" t="str">
        <f t="shared" si="149"/>
        <v xml:space="preserve">  </v>
      </c>
      <c r="G422" s="224"/>
      <c r="H422" s="380"/>
      <c r="I422" s="516" t="e">
        <f>IF(VLOOKUP(C28,list!$AA$5:$AS$14,11,FALSE)=0," ",(VLOOKUP(C28,list!$AA$5:$AS$14,11,FALSE)))</f>
        <v>#N/A</v>
      </c>
      <c r="J422" s="955" t="e">
        <f t="shared" si="145"/>
        <v>#N/A</v>
      </c>
      <c r="K422" s="955" t="e">
        <f t="shared" si="146"/>
        <v>#N/A</v>
      </c>
      <c r="L422" s="969" t="e">
        <f>IF(I422=" "," ",VLOOKUP(J422,list!$J$4:$M$117,4,FALSE))</f>
        <v>#N/A</v>
      </c>
      <c r="M422" s="66"/>
      <c r="N422" s="1297" t="str">
        <f>IF(SUMIFS('Level of Efficiency Assumptions'!$J:$J,'Level of Efficiency Assumptions'!$H:$H,$I422,'Level of Efficiency Assumptions'!$I:$I,N$51)=0," ",SUMIFS('Level of Efficiency Assumptions'!$J:$J,'Level of Efficiency Assumptions'!$H:$H,$I422,'Level of Efficiency Assumptions'!$I:$I,N$51))</f>
        <v xml:space="preserve"> </v>
      </c>
      <c r="O422" s="1298" t="str">
        <f>IF(SUMIFS('Level of Efficiency Assumptions'!$J:$J,'Level of Efficiency Assumptions'!$H:$H,$I422,'Level of Efficiency Assumptions'!$I:$I,O$51)=0," ",SUMIFS('Level of Efficiency Assumptions'!$J:$J,'Level of Efficiency Assumptions'!$H:$H,$I422,'Level of Efficiency Assumptions'!$I:$I,O$51))</f>
        <v xml:space="preserve"> </v>
      </c>
      <c r="P422" s="1299" t="str">
        <f>IF(SUMIFS('Level of Efficiency Assumptions'!$J:$J,'Level of Efficiency Assumptions'!$H:$H,$I422,'Level of Efficiency Assumptions'!$I:$I,P$51)=0," ",SUMIFS('Level of Efficiency Assumptions'!$J:$J,'Level of Efficiency Assumptions'!$H:$H,$I422,'Level of Efficiency Assumptions'!$I:$I,P$51))</f>
        <v xml:space="preserve"> </v>
      </c>
      <c r="Q422" s="971" t="e">
        <f>IF(I422=" "," ",(VLOOKUP(I422,list!$B$81:$C$111,2,FALSE)))</f>
        <v>#N/A</v>
      </c>
      <c r="R422" s="243">
        <f t="shared" si="144"/>
        <v>0</v>
      </c>
      <c r="S422" s="64">
        <v>1</v>
      </c>
      <c r="T422" s="68">
        <v>0</v>
      </c>
      <c r="U422" s="244">
        <f t="shared" si="147"/>
        <v>1</v>
      </c>
    </row>
    <row r="423" spans="3:24" ht="15" thickBot="1" x14ac:dyDescent="0.35">
      <c r="C423" s="520"/>
      <c r="D423" s="224" t="str">
        <f t="shared" si="148"/>
        <v xml:space="preserve">  </v>
      </c>
      <c r="E423" s="224"/>
      <c r="F423" s="224" t="str">
        <f t="shared" si="149"/>
        <v xml:space="preserve">  </v>
      </c>
      <c r="G423" s="224"/>
      <c r="H423" s="380"/>
      <c r="I423" s="516" t="e">
        <f>IF(VLOOKUP(C28,list!$AA$5:$AS$14,12,FALSE)=0," ",(VLOOKUP(C28,list!$AA$5:$AS$14,12,FALSE)))</f>
        <v>#N/A</v>
      </c>
      <c r="J423" s="955" t="e">
        <f t="shared" si="145"/>
        <v>#N/A</v>
      </c>
      <c r="K423" s="955" t="e">
        <f t="shared" si="146"/>
        <v>#N/A</v>
      </c>
      <c r="L423" s="969" t="e">
        <f>IF(I423=" "," ",VLOOKUP(J423,list!$J$4:$M$117,4,FALSE))</f>
        <v>#N/A</v>
      </c>
      <c r="M423" s="66"/>
      <c r="N423" s="1297" t="str">
        <f>IF(SUMIFS('Level of Efficiency Assumptions'!$J:$J,'Level of Efficiency Assumptions'!$H:$H,$I423,'Level of Efficiency Assumptions'!$I:$I,N$51)=0," ",SUMIFS('Level of Efficiency Assumptions'!$J:$J,'Level of Efficiency Assumptions'!$H:$H,$I423,'Level of Efficiency Assumptions'!$I:$I,N$51))</f>
        <v xml:space="preserve"> </v>
      </c>
      <c r="O423" s="1298" t="str">
        <f>IF(SUMIFS('Level of Efficiency Assumptions'!$J:$J,'Level of Efficiency Assumptions'!$H:$H,$I423,'Level of Efficiency Assumptions'!$I:$I,O$51)=0," ",SUMIFS('Level of Efficiency Assumptions'!$J:$J,'Level of Efficiency Assumptions'!$H:$H,$I423,'Level of Efficiency Assumptions'!$I:$I,O$51))</f>
        <v xml:space="preserve"> </v>
      </c>
      <c r="P423" s="1299" t="str">
        <f>IF(SUMIFS('Level of Efficiency Assumptions'!$J:$J,'Level of Efficiency Assumptions'!$H:$H,$I423,'Level of Efficiency Assumptions'!$I:$I,P$51)=0," ",SUMIFS('Level of Efficiency Assumptions'!$J:$J,'Level of Efficiency Assumptions'!$H:$H,$I423,'Level of Efficiency Assumptions'!$I:$I,P$51))</f>
        <v xml:space="preserve"> </v>
      </c>
      <c r="Q423" s="971" t="e">
        <f>IF(I423=" "," ",(VLOOKUP(I423,list!$B$81:$C$111,2,FALSE)))</f>
        <v>#N/A</v>
      </c>
      <c r="R423" s="243">
        <f t="shared" si="144"/>
        <v>0</v>
      </c>
      <c r="S423" s="64">
        <v>1</v>
      </c>
      <c r="T423" s="68">
        <v>0</v>
      </c>
      <c r="U423" s="244">
        <f t="shared" si="147"/>
        <v>1</v>
      </c>
    </row>
    <row r="424" spans="3:24" ht="15" thickBot="1" x14ac:dyDescent="0.35">
      <c r="C424" s="520"/>
      <c r="D424" s="224" t="str">
        <f t="shared" si="148"/>
        <v xml:space="preserve">  </v>
      </c>
      <c r="E424" s="224"/>
      <c r="F424" s="224" t="str">
        <f t="shared" si="149"/>
        <v xml:space="preserve">  </v>
      </c>
      <c r="G424" s="224"/>
      <c r="H424" s="380"/>
      <c r="I424" s="516" t="e">
        <f>IF(VLOOKUP(C28,list!$AA$5:$AS$14,13,FALSE)=0," ",(VLOOKUP(C28,list!$AA$5:$AS$14,13,FALSE)))</f>
        <v>#N/A</v>
      </c>
      <c r="J424" s="955" t="e">
        <f t="shared" si="145"/>
        <v>#N/A</v>
      </c>
      <c r="K424" s="955" t="e">
        <f t="shared" si="146"/>
        <v>#N/A</v>
      </c>
      <c r="L424" s="969" t="e">
        <f>IF(I424=" "," ",VLOOKUP(J424,list!$J$4:$M$117,4,FALSE))</f>
        <v>#N/A</v>
      </c>
      <c r="M424" s="66"/>
      <c r="N424" s="1297" t="str">
        <f>IF(SUMIFS('Level of Efficiency Assumptions'!$J:$J,'Level of Efficiency Assumptions'!$H:$H,$I424,'Level of Efficiency Assumptions'!$I:$I,N$51)=0," ",SUMIFS('Level of Efficiency Assumptions'!$J:$J,'Level of Efficiency Assumptions'!$H:$H,$I424,'Level of Efficiency Assumptions'!$I:$I,N$51))</f>
        <v xml:space="preserve"> </v>
      </c>
      <c r="O424" s="1298" t="str">
        <f>IF(SUMIFS('Level of Efficiency Assumptions'!$J:$J,'Level of Efficiency Assumptions'!$H:$H,$I424,'Level of Efficiency Assumptions'!$I:$I,O$51)=0," ",SUMIFS('Level of Efficiency Assumptions'!$J:$J,'Level of Efficiency Assumptions'!$H:$H,$I424,'Level of Efficiency Assumptions'!$I:$I,O$51))</f>
        <v xml:space="preserve"> </v>
      </c>
      <c r="P424" s="1299" t="str">
        <f>IF(SUMIFS('Level of Efficiency Assumptions'!$J:$J,'Level of Efficiency Assumptions'!$H:$H,$I424,'Level of Efficiency Assumptions'!$I:$I,P$51)=0," ",SUMIFS('Level of Efficiency Assumptions'!$J:$J,'Level of Efficiency Assumptions'!$H:$H,$I424,'Level of Efficiency Assumptions'!$I:$I,P$51))</f>
        <v xml:space="preserve"> </v>
      </c>
      <c r="Q424" s="971" t="e">
        <f>IF(I424=" "," ",(VLOOKUP(I424,list!$B$81:$C$111,2,FALSE)))</f>
        <v>#N/A</v>
      </c>
      <c r="R424" s="243">
        <f t="shared" si="144"/>
        <v>0</v>
      </c>
      <c r="S424" s="64">
        <v>1</v>
      </c>
      <c r="T424" s="68">
        <v>0</v>
      </c>
      <c r="U424" s="244">
        <f t="shared" si="147"/>
        <v>1</v>
      </c>
    </row>
    <row r="425" spans="3:24" ht="15" thickBot="1" x14ac:dyDescent="0.35">
      <c r="C425" s="520"/>
      <c r="D425" s="224" t="str">
        <f t="shared" si="148"/>
        <v xml:space="preserve">  </v>
      </c>
      <c r="E425" s="224"/>
      <c r="F425" s="224" t="str">
        <f t="shared" si="149"/>
        <v xml:space="preserve">  </v>
      </c>
      <c r="G425" s="224"/>
      <c r="H425" s="380"/>
      <c r="I425" s="516" t="e">
        <f>IF(VLOOKUP(C28,list!$AA$5:$AS$14,14,FALSE)=0," ",(VLOOKUP(C28,list!$AA$5:$AS$14,14,FALSE)))</f>
        <v>#N/A</v>
      </c>
      <c r="J425" s="955" t="e">
        <f t="shared" si="145"/>
        <v>#N/A</v>
      </c>
      <c r="K425" s="955" t="e">
        <f t="shared" si="146"/>
        <v>#N/A</v>
      </c>
      <c r="L425" s="969" t="e">
        <f>IF(I425=" "," ",VLOOKUP(J425,list!$J$4:$M$117,4,FALSE))</f>
        <v>#N/A</v>
      </c>
      <c r="M425" s="66"/>
      <c r="N425" s="1297" t="str">
        <f>IF(SUMIFS('Level of Efficiency Assumptions'!$J:$J,'Level of Efficiency Assumptions'!$H:$H,$I425,'Level of Efficiency Assumptions'!$I:$I,N$51)=0," ",SUMIFS('Level of Efficiency Assumptions'!$J:$J,'Level of Efficiency Assumptions'!$H:$H,$I425,'Level of Efficiency Assumptions'!$I:$I,N$51))</f>
        <v xml:space="preserve"> </v>
      </c>
      <c r="O425" s="1298" t="str">
        <f>IF(SUMIFS('Level of Efficiency Assumptions'!$J:$J,'Level of Efficiency Assumptions'!$H:$H,$I425,'Level of Efficiency Assumptions'!$I:$I,O$51)=0," ",SUMIFS('Level of Efficiency Assumptions'!$J:$J,'Level of Efficiency Assumptions'!$H:$H,$I425,'Level of Efficiency Assumptions'!$I:$I,O$51))</f>
        <v xml:space="preserve"> </v>
      </c>
      <c r="P425" s="1299" t="str">
        <f>IF(SUMIFS('Level of Efficiency Assumptions'!$J:$J,'Level of Efficiency Assumptions'!$H:$H,$I425,'Level of Efficiency Assumptions'!$I:$I,P$51)=0," ",SUMIFS('Level of Efficiency Assumptions'!$J:$J,'Level of Efficiency Assumptions'!$H:$H,$I425,'Level of Efficiency Assumptions'!$I:$I,P$51))</f>
        <v xml:space="preserve"> </v>
      </c>
      <c r="Q425" s="971" t="e">
        <f>IF(I425=" "," ",(VLOOKUP(I425,list!$B$81:$C$111,2,FALSE)))</f>
        <v>#N/A</v>
      </c>
      <c r="R425" s="243">
        <f t="shared" si="144"/>
        <v>0</v>
      </c>
      <c r="S425" s="64">
        <v>1</v>
      </c>
      <c r="T425" s="68">
        <v>0</v>
      </c>
      <c r="U425" s="244">
        <f t="shared" si="147"/>
        <v>1</v>
      </c>
    </row>
    <row r="426" spans="3:24" ht="15" thickBot="1" x14ac:dyDescent="0.35">
      <c r="C426" s="520"/>
      <c r="D426" s="224" t="str">
        <f t="shared" si="148"/>
        <v xml:space="preserve">  </v>
      </c>
      <c r="E426" s="224"/>
      <c r="F426" s="224" t="str">
        <f t="shared" si="149"/>
        <v xml:space="preserve">  </v>
      </c>
      <c r="G426" s="224"/>
      <c r="H426" s="380"/>
      <c r="I426" s="516" t="e">
        <f>IF(VLOOKUP(C28,list!$AA$5:$AS$14,15,FALSE)=0," ",(VLOOKUP(C28,list!$AA$5:$AS$14,15,FALSE)))</f>
        <v>#N/A</v>
      </c>
      <c r="J426" s="955" t="e">
        <f t="shared" si="145"/>
        <v>#N/A</v>
      </c>
      <c r="K426" s="955" t="e">
        <f t="shared" si="146"/>
        <v>#N/A</v>
      </c>
      <c r="L426" s="969" t="e">
        <f>IF(I426=" "," ",VLOOKUP(J426,list!$J$4:$M$117,4,FALSE))</f>
        <v>#N/A</v>
      </c>
      <c r="M426" s="66"/>
      <c r="N426" s="1297" t="str">
        <f>IF(SUMIFS('Level of Efficiency Assumptions'!$J:$J,'Level of Efficiency Assumptions'!$H:$H,$I426,'Level of Efficiency Assumptions'!$I:$I,N$51)=0," ",SUMIFS('Level of Efficiency Assumptions'!$J:$J,'Level of Efficiency Assumptions'!$H:$H,$I426,'Level of Efficiency Assumptions'!$I:$I,N$51))</f>
        <v xml:space="preserve"> </v>
      </c>
      <c r="O426" s="1298" t="str">
        <f>IF(SUMIFS('Level of Efficiency Assumptions'!$J:$J,'Level of Efficiency Assumptions'!$H:$H,$I426,'Level of Efficiency Assumptions'!$I:$I,O$51)=0," ",SUMIFS('Level of Efficiency Assumptions'!$J:$J,'Level of Efficiency Assumptions'!$H:$H,$I426,'Level of Efficiency Assumptions'!$I:$I,O$51))</f>
        <v xml:space="preserve"> </v>
      </c>
      <c r="P426" s="1299" t="str">
        <f>IF(SUMIFS('Level of Efficiency Assumptions'!$J:$J,'Level of Efficiency Assumptions'!$H:$H,$I426,'Level of Efficiency Assumptions'!$I:$I,P$51)=0," ",SUMIFS('Level of Efficiency Assumptions'!$J:$J,'Level of Efficiency Assumptions'!$H:$H,$I426,'Level of Efficiency Assumptions'!$I:$I,P$51))</f>
        <v xml:space="preserve"> </v>
      </c>
      <c r="Q426" s="971" t="e">
        <f>IF(I426=" "," ",(VLOOKUP(I426,list!$B$81:$C$111,2,FALSE)))</f>
        <v>#N/A</v>
      </c>
      <c r="R426" s="243">
        <f t="shared" si="144"/>
        <v>0</v>
      </c>
      <c r="S426" s="64">
        <v>1</v>
      </c>
      <c r="T426" s="68">
        <v>0</v>
      </c>
      <c r="U426" s="244">
        <f t="shared" si="147"/>
        <v>1</v>
      </c>
    </row>
    <row r="427" spans="3:24" ht="15" thickBot="1" x14ac:dyDescent="0.35">
      <c r="C427" s="520"/>
      <c r="D427" s="224" t="str">
        <f t="shared" si="148"/>
        <v xml:space="preserve">  </v>
      </c>
      <c r="E427" s="224"/>
      <c r="F427" s="224" t="str">
        <f t="shared" si="149"/>
        <v xml:space="preserve">  </v>
      </c>
      <c r="G427" s="224"/>
      <c r="H427" s="380"/>
      <c r="I427" s="516" t="e">
        <f>IF(VLOOKUP(C28,list!$AA$5:$AS$14,16,FALSE)=0," ",(VLOOKUP(C28,list!$AA$5:$AS$14,16,FALSE)))</f>
        <v>#N/A</v>
      </c>
      <c r="J427" s="955" t="e">
        <f t="shared" si="145"/>
        <v>#N/A</v>
      </c>
      <c r="K427" s="955" t="e">
        <f t="shared" si="146"/>
        <v>#N/A</v>
      </c>
      <c r="L427" s="969" t="e">
        <f>IF(I427=" "," ",VLOOKUP(J427,list!$J$4:$M$117,4,FALSE))</f>
        <v>#N/A</v>
      </c>
      <c r="M427" s="66"/>
      <c r="N427" s="1297" t="str">
        <f>IF(SUMIFS('Level of Efficiency Assumptions'!$J:$J,'Level of Efficiency Assumptions'!$H:$H,$I427,'Level of Efficiency Assumptions'!$I:$I,N$51)=0," ",SUMIFS('Level of Efficiency Assumptions'!$J:$J,'Level of Efficiency Assumptions'!$H:$H,$I427,'Level of Efficiency Assumptions'!$I:$I,N$51))</f>
        <v xml:space="preserve"> </v>
      </c>
      <c r="O427" s="1298" t="str">
        <f>IF(SUMIFS('Level of Efficiency Assumptions'!$J:$J,'Level of Efficiency Assumptions'!$H:$H,$I427,'Level of Efficiency Assumptions'!$I:$I,O$51)=0," ",SUMIFS('Level of Efficiency Assumptions'!$J:$J,'Level of Efficiency Assumptions'!$H:$H,$I427,'Level of Efficiency Assumptions'!$I:$I,O$51))</f>
        <v xml:space="preserve"> </v>
      </c>
      <c r="P427" s="1299" t="str">
        <f>IF(SUMIFS('Level of Efficiency Assumptions'!$J:$J,'Level of Efficiency Assumptions'!$H:$H,$I427,'Level of Efficiency Assumptions'!$I:$I,P$51)=0," ",SUMIFS('Level of Efficiency Assumptions'!$J:$J,'Level of Efficiency Assumptions'!$H:$H,$I427,'Level of Efficiency Assumptions'!$I:$I,P$51))</f>
        <v xml:space="preserve"> </v>
      </c>
      <c r="Q427" s="971" t="e">
        <f>IF(I427=" "," ",(VLOOKUP(I427,list!$B$81:$C$111,2,FALSE)))</f>
        <v>#N/A</v>
      </c>
      <c r="R427" s="243">
        <f t="shared" si="144"/>
        <v>0</v>
      </c>
      <c r="S427" s="64">
        <v>1</v>
      </c>
      <c r="T427" s="68">
        <v>0</v>
      </c>
      <c r="U427" s="244">
        <f t="shared" si="147"/>
        <v>1</v>
      </c>
    </row>
    <row r="428" spans="3:24" ht="15" thickBot="1" x14ac:dyDescent="0.35">
      <c r="C428" s="520"/>
      <c r="D428" s="224" t="str">
        <f t="shared" si="148"/>
        <v xml:space="preserve">  </v>
      </c>
      <c r="E428" s="224"/>
      <c r="F428" s="224" t="str">
        <f t="shared" si="149"/>
        <v xml:space="preserve">  </v>
      </c>
      <c r="G428" s="224"/>
      <c r="H428" s="380"/>
      <c r="I428" s="516" t="e">
        <f>IF(VLOOKUP(C28,list!$AA$5:$AS$14,17,FALSE)=0," ",(VLOOKUP(C28,list!$AA$5:$AS$14,17,FALSE)))</f>
        <v>#N/A</v>
      </c>
      <c r="J428" s="955" t="e">
        <f t="shared" si="145"/>
        <v>#N/A</v>
      </c>
      <c r="K428" s="955" t="e">
        <f t="shared" si="146"/>
        <v>#N/A</v>
      </c>
      <c r="L428" s="969" t="e">
        <f>IF(I428=" "," ",VLOOKUP(J428,list!$J$4:$M$117,4,FALSE))</f>
        <v>#N/A</v>
      </c>
      <c r="M428" s="66"/>
      <c r="N428" s="1297" t="str">
        <f>IF(SUMIFS('Level of Efficiency Assumptions'!$J:$J,'Level of Efficiency Assumptions'!$H:$H,$I428,'Level of Efficiency Assumptions'!$I:$I,N$51)=0," ",SUMIFS('Level of Efficiency Assumptions'!$J:$J,'Level of Efficiency Assumptions'!$H:$H,$I428,'Level of Efficiency Assumptions'!$I:$I,N$51))</f>
        <v xml:space="preserve"> </v>
      </c>
      <c r="O428" s="1298" t="str">
        <f>IF(SUMIFS('Level of Efficiency Assumptions'!$J:$J,'Level of Efficiency Assumptions'!$H:$H,$I428,'Level of Efficiency Assumptions'!$I:$I,O$51)=0," ",SUMIFS('Level of Efficiency Assumptions'!$J:$J,'Level of Efficiency Assumptions'!$H:$H,$I428,'Level of Efficiency Assumptions'!$I:$I,O$51))</f>
        <v xml:space="preserve"> </v>
      </c>
      <c r="P428" s="1299" t="str">
        <f>IF(SUMIFS('Level of Efficiency Assumptions'!$J:$J,'Level of Efficiency Assumptions'!$H:$H,$I428,'Level of Efficiency Assumptions'!$I:$I,P$51)=0," ",SUMIFS('Level of Efficiency Assumptions'!$J:$J,'Level of Efficiency Assumptions'!$H:$H,$I428,'Level of Efficiency Assumptions'!$I:$I,P$51))</f>
        <v xml:space="preserve"> </v>
      </c>
      <c r="Q428" s="971" t="e">
        <f>IF(I428=" "," ",(VLOOKUP(I428,list!$B$81:$C$111,2,FALSE)))</f>
        <v>#N/A</v>
      </c>
      <c r="R428" s="243">
        <f t="shared" si="144"/>
        <v>0</v>
      </c>
      <c r="S428" s="64">
        <v>1</v>
      </c>
      <c r="T428" s="68">
        <v>0</v>
      </c>
      <c r="U428" s="244">
        <f t="shared" si="147"/>
        <v>1</v>
      </c>
    </row>
    <row r="429" spans="3:24" ht="15" thickBot="1" x14ac:dyDescent="0.35">
      <c r="C429" s="520"/>
      <c r="D429" s="224" t="str">
        <f t="shared" si="148"/>
        <v xml:space="preserve">  </v>
      </c>
      <c r="E429" s="224"/>
      <c r="F429" s="224" t="str">
        <f t="shared" si="149"/>
        <v xml:space="preserve">  </v>
      </c>
      <c r="G429" s="224"/>
      <c r="H429" s="380"/>
      <c r="I429" s="516" t="e">
        <f>IF(VLOOKUP(C28,list!$AA$5:$AS$14,18,FALSE)=0," ",(VLOOKUP(C28,list!$AA$5:$AS$14,18,FALSE)))</f>
        <v>#N/A</v>
      </c>
      <c r="J429" s="955" t="e">
        <f t="shared" si="145"/>
        <v>#N/A</v>
      </c>
      <c r="K429" s="955" t="e">
        <f t="shared" si="146"/>
        <v>#N/A</v>
      </c>
      <c r="L429" s="969" t="e">
        <f>IF(I429=" "," ",VLOOKUP(J429,list!$J$4:$M$117,4,FALSE))</f>
        <v>#N/A</v>
      </c>
      <c r="M429" s="66"/>
      <c r="N429" s="1297" t="str">
        <f>IF(SUMIFS('Level of Efficiency Assumptions'!$J:$J,'Level of Efficiency Assumptions'!$H:$H,$I429,'Level of Efficiency Assumptions'!$I:$I,N$51)=0," ",SUMIFS('Level of Efficiency Assumptions'!$J:$J,'Level of Efficiency Assumptions'!$H:$H,$I429,'Level of Efficiency Assumptions'!$I:$I,N$51))</f>
        <v xml:space="preserve"> </v>
      </c>
      <c r="O429" s="1298" t="str">
        <f>IF(SUMIFS('Level of Efficiency Assumptions'!$J:$J,'Level of Efficiency Assumptions'!$H:$H,$I429,'Level of Efficiency Assumptions'!$I:$I,O$51)=0," ",SUMIFS('Level of Efficiency Assumptions'!$J:$J,'Level of Efficiency Assumptions'!$H:$H,$I429,'Level of Efficiency Assumptions'!$I:$I,O$51))</f>
        <v xml:space="preserve"> </v>
      </c>
      <c r="P429" s="1299" t="str">
        <f>IF(SUMIFS('Level of Efficiency Assumptions'!$J:$J,'Level of Efficiency Assumptions'!$H:$H,$I429,'Level of Efficiency Assumptions'!$I:$I,P$51)=0," ",SUMIFS('Level of Efficiency Assumptions'!$J:$J,'Level of Efficiency Assumptions'!$H:$H,$I429,'Level of Efficiency Assumptions'!$I:$I,P$51))</f>
        <v xml:space="preserve"> </v>
      </c>
      <c r="Q429" s="971" t="e">
        <f>IF(I429=" "," ",(VLOOKUP(I429,list!$B$81:$C$111,2,FALSE)))</f>
        <v>#N/A</v>
      </c>
      <c r="R429" s="243">
        <f t="shared" si="144"/>
        <v>0</v>
      </c>
      <c r="S429" s="64">
        <v>1</v>
      </c>
      <c r="T429" s="68">
        <v>0</v>
      </c>
      <c r="U429" s="244">
        <f t="shared" si="147"/>
        <v>1</v>
      </c>
    </row>
    <row r="430" spans="3:24" ht="15" thickBot="1" x14ac:dyDescent="0.35">
      <c r="C430" s="632"/>
      <c r="D430" s="226" t="str">
        <f t="shared" si="148"/>
        <v xml:space="preserve">  </v>
      </c>
      <c r="E430" s="226"/>
      <c r="F430" s="226" t="str">
        <f t="shared" si="149"/>
        <v xml:space="preserve">  </v>
      </c>
      <c r="G430" s="226"/>
      <c r="H430" s="976"/>
      <c r="I430" s="516" t="e">
        <f>IF(VLOOKUP(C28,list!$AA$5:$AS$14,19,FALSE)=0," ",(VLOOKUP(C28,list!$AA$5:$AS$14,19,FALSE)))</f>
        <v>#N/A</v>
      </c>
      <c r="J430" s="955" t="e">
        <f>IF(I430=" "," ",(D430&amp;"-"&amp;I430))</f>
        <v>#N/A</v>
      </c>
      <c r="K430" s="955" t="e">
        <f t="shared" si="146"/>
        <v>#N/A</v>
      </c>
      <c r="L430" s="969" t="e">
        <f>IF(I430=" "," ",VLOOKUP(J430,list!$J$4:$M$117,4,FALSE))</f>
        <v>#N/A</v>
      </c>
      <c r="M430" s="67"/>
      <c r="N430" s="1303" t="str">
        <f>IF(SUMIFS('Level of Efficiency Assumptions'!$J:$J,'Level of Efficiency Assumptions'!$H:$H,$I430,'Level of Efficiency Assumptions'!$I:$I,N$51)=0," ",SUMIFS('Level of Efficiency Assumptions'!$J:$J,'Level of Efficiency Assumptions'!$H:$H,$I430,'Level of Efficiency Assumptions'!$I:$I,N$51))</f>
        <v xml:space="preserve"> </v>
      </c>
      <c r="O430" s="1304" t="str">
        <f>IF(SUMIFS('Level of Efficiency Assumptions'!$J:$J,'Level of Efficiency Assumptions'!$H:$H,$I430,'Level of Efficiency Assumptions'!$I:$I,O$51)=0," ",SUMIFS('Level of Efficiency Assumptions'!$J:$J,'Level of Efficiency Assumptions'!$H:$H,$I430,'Level of Efficiency Assumptions'!$I:$I,O$51))</f>
        <v xml:space="preserve"> </v>
      </c>
      <c r="P430" s="1305" t="str">
        <f>IF(SUMIFS('Level of Efficiency Assumptions'!$J:$J,'Level of Efficiency Assumptions'!$H:$H,$I430,'Level of Efficiency Assumptions'!$I:$I,P$51)=0," ",SUMIFS('Level of Efficiency Assumptions'!$J:$J,'Level of Efficiency Assumptions'!$H:$H,$I430,'Level of Efficiency Assumptions'!$I:$I,P$51))</f>
        <v xml:space="preserve"> </v>
      </c>
      <c r="Q430" s="977" t="e">
        <f>IF(I430=" "," ",(VLOOKUP(I430,list!$B$81:$C$111,2,FALSE)))</f>
        <v>#N/A</v>
      </c>
      <c r="R430" s="245">
        <f t="shared" si="144"/>
        <v>0</v>
      </c>
      <c r="S430" s="65">
        <v>1</v>
      </c>
      <c r="T430" s="69">
        <v>0</v>
      </c>
      <c r="U430" s="246">
        <f t="shared" si="147"/>
        <v>1</v>
      </c>
    </row>
    <row r="431" spans="3:24" x14ac:dyDescent="0.3">
      <c r="D431" s="846"/>
      <c r="F431" s="82"/>
      <c r="J431" s="846"/>
      <c r="K431" s="846"/>
      <c r="N431" s="1179"/>
      <c r="O431" s="1179"/>
      <c r="P431" s="1179"/>
      <c r="R431" s="176" t="s">
        <v>295</v>
      </c>
      <c r="S431" s="176"/>
      <c r="T431" s="176"/>
      <c r="U431" s="176"/>
    </row>
    <row r="432" spans="3:24" ht="15" thickBot="1" x14ac:dyDescent="0.35">
      <c r="D432" s="846"/>
      <c r="F432" s="82"/>
      <c r="J432" s="846"/>
      <c r="K432" s="846"/>
      <c r="N432" s="1179"/>
      <c r="O432" s="1179"/>
      <c r="P432" s="1179"/>
    </row>
    <row r="433" spans="2:24" ht="15" thickBot="1" x14ac:dyDescent="0.35">
      <c r="B433" s="814">
        <v>20</v>
      </c>
      <c r="C433" s="967" t="str">
        <f t="shared" ref="C433:H433" si="150">C29</f>
        <v xml:space="preserve">  </v>
      </c>
      <c r="D433" s="967" t="str">
        <f t="shared" si="150"/>
        <v xml:space="preserve">  </v>
      </c>
      <c r="E433" s="967" t="str">
        <f t="shared" si="150"/>
        <v xml:space="preserve">  </v>
      </c>
      <c r="F433" s="967" t="str">
        <f t="shared" si="150"/>
        <v xml:space="preserve">  </v>
      </c>
      <c r="G433" s="967">
        <f t="shared" si="150"/>
        <v>0</v>
      </c>
      <c r="H433" s="968">
        <f t="shared" si="150"/>
        <v>0</v>
      </c>
      <c r="I433" s="516" t="e">
        <f>IF(VLOOKUP(C29,list!$AA$5:$AS$14,2,FALSE)=0," ",(VLOOKUP(C29,list!$AA$5:$AS$14,2,FALSE)))</f>
        <v>#N/A</v>
      </c>
      <c r="J433" s="955" t="e">
        <f>IF(I433=" "," ",(D29&amp;"-"&amp;I433))</f>
        <v>#N/A</v>
      </c>
      <c r="K433" s="955" t="e">
        <f>IF(I433=" "," ",(F29&amp;"-"&amp;I433))</f>
        <v>#N/A</v>
      </c>
      <c r="L433" s="969" t="e">
        <f>IF(I433=" "," ",VLOOKUP(J433,list!$J$4:$M$117,4,FALSE))</f>
        <v>#N/A</v>
      </c>
      <c r="M433" s="70"/>
      <c r="N433" s="1300" t="str">
        <f>IF(SUMIFS('Level of Efficiency Assumptions'!$J:$J,'Level of Efficiency Assumptions'!$H:$H,$I433,'Level of Efficiency Assumptions'!$I:$I,N$51)=0," ",SUMIFS('Level of Efficiency Assumptions'!$J:$J,'Level of Efficiency Assumptions'!$H:$H,$I433,'Level of Efficiency Assumptions'!$I:$I,N$51))</f>
        <v xml:space="preserve"> </v>
      </c>
      <c r="O433" s="1301" t="str">
        <f>IF(SUMIFS('Level of Efficiency Assumptions'!$J:$J,'Level of Efficiency Assumptions'!$H:$H,$I433,'Level of Efficiency Assumptions'!$I:$I,O$51)=0," ",SUMIFS('Level of Efficiency Assumptions'!$J:$J,'Level of Efficiency Assumptions'!$H:$H,$I433,'Level of Efficiency Assumptions'!$I:$I,O$51))</f>
        <v xml:space="preserve"> </v>
      </c>
      <c r="P433" s="1302" t="str">
        <f>IF(SUMIFS('Level of Efficiency Assumptions'!$J:$J,'Level of Efficiency Assumptions'!$H:$H,$I433,'Level of Efficiency Assumptions'!$I:$I,P$51)=0," ",SUMIFS('Level of Efficiency Assumptions'!$J:$J,'Level of Efficiency Assumptions'!$H:$H,$I433,'Level of Efficiency Assumptions'!$I:$I,P$51))</f>
        <v xml:space="preserve"> </v>
      </c>
      <c r="Q433" s="970" t="e">
        <f>IF(I433=" "," ",(VLOOKUP(I433,list!$B$81:$C$111,2,FALSE)))</f>
        <v>#N/A</v>
      </c>
      <c r="R433" s="241">
        <f t="shared" ref="R433:R450" si="151">1-S433-T433</f>
        <v>0</v>
      </c>
      <c r="S433" s="83">
        <v>1</v>
      </c>
      <c r="T433" s="84">
        <v>0</v>
      </c>
      <c r="U433" s="242">
        <f>SUM(R433:T433)</f>
        <v>1</v>
      </c>
      <c r="W433" s="250" t="s">
        <v>367</v>
      </c>
      <c r="X433" s="251" t="s">
        <v>366</v>
      </c>
    </row>
    <row r="434" spans="2:24" ht="15" thickBot="1" x14ac:dyDescent="0.35">
      <c r="C434" s="520"/>
      <c r="D434" s="224" t="str">
        <f>D29</f>
        <v xml:space="preserve">  </v>
      </c>
      <c r="E434" s="224"/>
      <c r="F434" s="224" t="str">
        <f>F29</f>
        <v xml:space="preserve">  </v>
      </c>
      <c r="G434" s="224"/>
      <c r="H434" s="380"/>
      <c r="I434" s="516" t="e">
        <f>IF(VLOOKUP(C29,list!$AA$5:$AS$14,3,FALSE)=0," ",(VLOOKUP(C29,list!$AA$5:$AS$14,3,FALSE)))</f>
        <v>#N/A</v>
      </c>
      <c r="J434" s="955" t="e">
        <f t="shared" ref="J434:J449" si="152">IF(I434=" "," ",(D434&amp;"-"&amp;I434))</f>
        <v>#N/A</v>
      </c>
      <c r="K434" s="955" t="e">
        <f t="shared" ref="K434:K450" si="153">IF(I434=" "," ",(F434&amp;"-"&amp;I434))</f>
        <v>#N/A</v>
      </c>
      <c r="L434" s="969" t="e">
        <f>IF(I434=" "," ",VLOOKUP(J434,list!$J$4:$M$117,4,FALSE))</f>
        <v>#N/A</v>
      </c>
      <c r="M434" s="66"/>
      <c r="N434" s="1297" t="str">
        <f>IF(SUMIFS('Level of Efficiency Assumptions'!$J:$J,'Level of Efficiency Assumptions'!$H:$H,$I434,'Level of Efficiency Assumptions'!$I:$I,N$51)=0," ",SUMIFS('Level of Efficiency Assumptions'!$J:$J,'Level of Efficiency Assumptions'!$H:$H,$I434,'Level of Efficiency Assumptions'!$I:$I,N$51))</f>
        <v xml:space="preserve"> </v>
      </c>
      <c r="O434" s="1298" t="str">
        <f>IF(SUMIFS('Level of Efficiency Assumptions'!$J:$J,'Level of Efficiency Assumptions'!$H:$H,$I434,'Level of Efficiency Assumptions'!$I:$I,O$51)=0," ",SUMIFS('Level of Efficiency Assumptions'!$J:$J,'Level of Efficiency Assumptions'!$H:$H,$I434,'Level of Efficiency Assumptions'!$I:$I,O$51))</f>
        <v xml:space="preserve"> </v>
      </c>
      <c r="P434" s="1299" t="str">
        <f>IF(SUMIFS('Level of Efficiency Assumptions'!$J:$J,'Level of Efficiency Assumptions'!$H:$H,$I434,'Level of Efficiency Assumptions'!$I:$I,P$51)=0," ",SUMIFS('Level of Efficiency Assumptions'!$J:$J,'Level of Efficiency Assumptions'!$H:$H,$I434,'Level of Efficiency Assumptions'!$I:$I,P$51))</f>
        <v xml:space="preserve"> </v>
      </c>
      <c r="Q434" s="971" t="e">
        <f>IF(I434=" "," ",(VLOOKUP(I434,list!$B$81:$C$111,2,FALSE)))</f>
        <v>#N/A</v>
      </c>
      <c r="R434" s="243">
        <f t="shared" si="151"/>
        <v>0</v>
      </c>
      <c r="S434" s="64">
        <v>1</v>
      </c>
      <c r="T434" s="68">
        <v>0</v>
      </c>
      <c r="U434" s="244">
        <f t="shared" ref="U434:U450" si="154">SUM(R434:T434)</f>
        <v>1</v>
      </c>
      <c r="V434" s="82" t="e">
        <f>F434&amp;"-"&amp;W434</f>
        <v>#N/A</v>
      </c>
      <c r="W434" s="247" t="e">
        <f>HLOOKUP(D434,list!$O$34:$X$38,2,FALSE)</f>
        <v>#N/A</v>
      </c>
      <c r="X434" s="972">
        <v>1</v>
      </c>
    </row>
    <row r="435" spans="2:24" ht="15" thickBot="1" x14ac:dyDescent="0.35">
      <c r="C435" s="520"/>
      <c r="D435" s="224" t="str">
        <f>D434</f>
        <v xml:space="preserve">  </v>
      </c>
      <c r="E435" s="224"/>
      <c r="F435" s="224" t="str">
        <f>F434</f>
        <v xml:space="preserve">  </v>
      </c>
      <c r="G435" s="224"/>
      <c r="H435" s="380"/>
      <c r="I435" s="516" t="e">
        <f>IF(VLOOKUP(C29,list!$AA$5:$AS$14,4,FALSE)=0," ",(VLOOKUP(C29,list!$AA$5:$AS$14,4,FALSE)))</f>
        <v>#N/A</v>
      </c>
      <c r="J435" s="955" t="e">
        <f t="shared" si="152"/>
        <v>#N/A</v>
      </c>
      <c r="K435" s="955" t="e">
        <f t="shared" si="153"/>
        <v>#N/A</v>
      </c>
      <c r="L435" s="969" t="e">
        <f>IF(I435=" "," ",VLOOKUP(J435,list!$J$4:$M$117,4,FALSE))</f>
        <v>#N/A</v>
      </c>
      <c r="M435" s="66"/>
      <c r="N435" s="1297" t="str">
        <f>IF(SUMIFS('Level of Efficiency Assumptions'!$J:$J,'Level of Efficiency Assumptions'!$H:$H,$I435,'Level of Efficiency Assumptions'!$I:$I,N$51)=0," ",SUMIFS('Level of Efficiency Assumptions'!$J:$J,'Level of Efficiency Assumptions'!$H:$H,$I435,'Level of Efficiency Assumptions'!$I:$I,N$51))</f>
        <v xml:space="preserve"> </v>
      </c>
      <c r="O435" s="1298" t="str">
        <f>IF(SUMIFS('Level of Efficiency Assumptions'!$J:$J,'Level of Efficiency Assumptions'!$H:$H,$I435,'Level of Efficiency Assumptions'!$I:$I,O$51)=0," ",SUMIFS('Level of Efficiency Assumptions'!$J:$J,'Level of Efficiency Assumptions'!$H:$H,$I435,'Level of Efficiency Assumptions'!$I:$I,O$51))</f>
        <v xml:space="preserve"> </v>
      </c>
      <c r="P435" s="1299" t="str">
        <f>IF(SUMIFS('Level of Efficiency Assumptions'!$J:$J,'Level of Efficiency Assumptions'!$H:$H,$I435,'Level of Efficiency Assumptions'!$I:$I,P$51)=0," ",SUMIFS('Level of Efficiency Assumptions'!$J:$J,'Level of Efficiency Assumptions'!$H:$H,$I435,'Level of Efficiency Assumptions'!$I:$I,P$51))</f>
        <v xml:space="preserve"> </v>
      </c>
      <c r="Q435" s="971" t="e">
        <f>IF(I435=" "," ",(VLOOKUP(I435,list!$B$81:$C$111,2,FALSE)))</f>
        <v>#N/A</v>
      </c>
      <c r="R435" s="243">
        <f t="shared" si="151"/>
        <v>0</v>
      </c>
      <c r="S435" s="64">
        <v>1</v>
      </c>
      <c r="T435" s="68">
        <v>0</v>
      </c>
      <c r="U435" s="244">
        <f t="shared" si="154"/>
        <v>1</v>
      </c>
      <c r="V435" s="82" t="e">
        <f>F435&amp;"-"&amp;W435</f>
        <v>#N/A</v>
      </c>
      <c r="W435" s="248" t="e">
        <f>HLOOKUP(D435,list!$O$34:$X$38,3,FALSE)</f>
        <v>#N/A</v>
      </c>
      <c r="X435" s="973">
        <v>0.5</v>
      </c>
    </row>
    <row r="436" spans="2:24" ht="15" thickBot="1" x14ac:dyDescent="0.35">
      <c r="C436" s="520"/>
      <c r="D436" s="224" t="str">
        <f t="shared" ref="D436:D450" si="155">D435</f>
        <v xml:space="preserve">  </v>
      </c>
      <c r="E436" s="224"/>
      <c r="F436" s="224" t="str">
        <f t="shared" ref="F436:F450" si="156">F435</f>
        <v xml:space="preserve">  </v>
      </c>
      <c r="G436" s="224"/>
      <c r="H436" s="380"/>
      <c r="I436" s="516" t="e">
        <f>IF(VLOOKUP(C29,list!$AA$5:$AS$14,5,FALSE)=0," ",(VLOOKUP(C29,list!$AA$5:$AS$14,5,FALSE)))</f>
        <v>#N/A</v>
      </c>
      <c r="J436" s="955" t="e">
        <f t="shared" si="152"/>
        <v>#N/A</v>
      </c>
      <c r="K436" s="955" t="e">
        <f t="shared" si="153"/>
        <v>#N/A</v>
      </c>
      <c r="L436" s="969" t="e">
        <f>IF(I436=" "," ",VLOOKUP(J436,list!$J$4:$M$117,4,FALSE))</f>
        <v>#N/A</v>
      </c>
      <c r="M436" s="66"/>
      <c r="N436" s="1297" t="str">
        <f>IF(SUMIFS('Level of Efficiency Assumptions'!$J:$J,'Level of Efficiency Assumptions'!$H:$H,$I436,'Level of Efficiency Assumptions'!$I:$I,N$51)=0," ",SUMIFS('Level of Efficiency Assumptions'!$J:$J,'Level of Efficiency Assumptions'!$H:$H,$I436,'Level of Efficiency Assumptions'!$I:$I,N$51))</f>
        <v xml:space="preserve"> </v>
      </c>
      <c r="O436" s="1298" t="str">
        <f>IF(SUMIFS('Level of Efficiency Assumptions'!$J:$J,'Level of Efficiency Assumptions'!$H:$H,$I436,'Level of Efficiency Assumptions'!$I:$I,O$51)=0," ",SUMIFS('Level of Efficiency Assumptions'!$J:$J,'Level of Efficiency Assumptions'!$H:$H,$I436,'Level of Efficiency Assumptions'!$I:$I,O$51))</f>
        <v xml:space="preserve"> </v>
      </c>
      <c r="P436" s="1299" t="str">
        <f>IF(SUMIFS('Level of Efficiency Assumptions'!$J:$J,'Level of Efficiency Assumptions'!$H:$H,$I436,'Level of Efficiency Assumptions'!$I:$I,P$51)=0," ",SUMIFS('Level of Efficiency Assumptions'!$J:$J,'Level of Efficiency Assumptions'!$H:$H,$I436,'Level of Efficiency Assumptions'!$I:$I,P$51))</f>
        <v xml:space="preserve"> </v>
      </c>
      <c r="Q436" s="971" t="e">
        <f>IF(I436=" "," ",(VLOOKUP(I436,list!$B$81:$C$111,2,FALSE)))</f>
        <v>#N/A</v>
      </c>
      <c r="R436" s="243">
        <f t="shared" si="151"/>
        <v>0</v>
      </c>
      <c r="S436" s="64">
        <v>1</v>
      </c>
      <c r="T436" s="68">
        <v>0</v>
      </c>
      <c r="U436" s="244">
        <f t="shared" si="154"/>
        <v>1</v>
      </c>
      <c r="V436" s="82" t="e">
        <f>F436&amp;"-"&amp;W436</f>
        <v>#N/A</v>
      </c>
      <c r="W436" s="248" t="e">
        <f>HLOOKUP(D436,list!$O$34:$X$38,4,FALSE)</f>
        <v>#N/A</v>
      </c>
      <c r="X436" s="973">
        <v>0.5</v>
      </c>
    </row>
    <row r="437" spans="2:24" ht="15" thickBot="1" x14ac:dyDescent="0.35">
      <c r="C437" s="520"/>
      <c r="D437" s="224" t="str">
        <f t="shared" si="155"/>
        <v xml:space="preserve">  </v>
      </c>
      <c r="E437" s="224"/>
      <c r="F437" s="224" t="str">
        <f t="shared" si="156"/>
        <v xml:space="preserve">  </v>
      </c>
      <c r="G437" s="224"/>
      <c r="H437" s="380"/>
      <c r="I437" s="516" t="e">
        <f>IF(VLOOKUP(C29,list!$AA$5:$AS$14,6,FALSE)=0," ",(VLOOKUP(C29,list!$AA$5:$AS$14,6,FALSE)))</f>
        <v>#N/A</v>
      </c>
      <c r="J437" s="955" t="e">
        <f t="shared" si="152"/>
        <v>#N/A</v>
      </c>
      <c r="K437" s="955" t="e">
        <f t="shared" si="153"/>
        <v>#N/A</v>
      </c>
      <c r="L437" s="969" t="e">
        <f>IF(I437=" "," ",VLOOKUP(J437,list!$J$4:$M$117,4,FALSE))</f>
        <v>#N/A</v>
      </c>
      <c r="M437" s="66"/>
      <c r="N437" s="1297" t="str">
        <f>IF(SUMIFS('Level of Efficiency Assumptions'!$J:$J,'Level of Efficiency Assumptions'!$H:$H,$I437,'Level of Efficiency Assumptions'!$I:$I,N$51)=0," ",SUMIFS('Level of Efficiency Assumptions'!$J:$J,'Level of Efficiency Assumptions'!$H:$H,$I437,'Level of Efficiency Assumptions'!$I:$I,N$51))</f>
        <v xml:space="preserve"> </v>
      </c>
      <c r="O437" s="1298" t="str">
        <f>IF(SUMIFS('Level of Efficiency Assumptions'!$J:$J,'Level of Efficiency Assumptions'!$H:$H,$I437,'Level of Efficiency Assumptions'!$I:$I,O$51)=0," ",SUMIFS('Level of Efficiency Assumptions'!$J:$J,'Level of Efficiency Assumptions'!$H:$H,$I437,'Level of Efficiency Assumptions'!$I:$I,O$51))</f>
        <v xml:space="preserve"> </v>
      </c>
      <c r="P437" s="1299" t="str">
        <f>IF(SUMIFS('Level of Efficiency Assumptions'!$J:$J,'Level of Efficiency Assumptions'!$H:$H,$I437,'Level of Efficiency Assumptions'!$I:$I,P$51)=0," ",SUMIFS('Level of Efficiency Assumptions'!$J:$J,'Level of Efficiency Assumptions'!$H:$H,$I437,'Level of Efficiency Assumptions'!$I:$I,P$51))</f>
        <v xml:space="preserve"> </v>
      </c>
      <c r="Q437" s="971" t="e">
        <f>IF(I437=" "," ",(VLOOKUP(I437,list!$B$81:$C$111,2,FALSE)))</f>
        <v>#N/A</v>
      </c>
      <c r="R437" s="243">
        <f t="shared" si="151"/>
        <v>0</v>
      </c>
      <c r="S437" s="64">
        <v>1</v>
      </c>
      <c r="T437" s="68">
        <v>0</v>
      </c>
      <c r="U437" s="244">
        <f t="shared" si="154"/>
        <v>1</v>
      </c>
      <c r="V437" s="82" t="e">
        <f>F437&amp;"-"&amp;W437</f>
        <v>#N/A</v>
      </c>
      <c r="W437" s="249" t="e">
        <f>HLOOKUP(D437,list!$O$34:$X$38,5,FALSE)</f>
        <v>#N/A</v>
      </c>
      <c r="X437" s="974">
        <v>0.5</v>
      </c>
    </row>
    <row r="438" spans="2:24" ht="15" thickBot="1" x14ac:dyDescent="0.35">
      <c r="C438" s="520"/>
      <c r="D438" s="224" t="str">
        <f t="shared" si="155"/>
        <v xml:space="preserve">  </v>
      </c>
      <c r="E438" s="224"/>
      <c r="F438" s="224" t="str">
        <f t="shared" si="156"/>
        <v xml:space="preserve">  </v>
      </c>
      <c r="G438" s="224"/>
      <c r="H438" s="380"/>
      <c r="I438" s="516" t="e">
        <f>IF(VLOOKUP(C29,list!$AA$5:$AS$14,7,FALSE)=0," ",(VLOOKUP(C29,list!$AA$5:$AS$14,7,FALSE)))</f>
        <v>#N/A</v>
      </c>
      <c r="J438" s="955" t="e">
        <f t="shared" si="152"/>
        <v>#N/A</v>
      </c>
      <c r="K438" s="955" t="e">
        <f t="shared" si="153"/>
        <v>#N/A</v>
      </c>
      <c r="L438" s="969" t="e">
        <f>IF(I438=" "," ",VLOOKUP(J438,list!$J$4:$M$117,4,FALSE))</f>
        <v>#N/A</v>
      </c>
      <c r="M438" s="66"/>
      <c r="N438" s="1297" t="str">
        <f>IF(SUMIFS('Level of Efficiency Assumptions'!$J:$J,'Level of Efficiency Assumptions'!$H:$H,$I438,'Level of Efficiency Assumptions'!$I:$I,N$51)=0," ",SUMIFS('Level of Efficiency Assumptions'!$J:$J,'Level of Efficiency Assumptions'!$H:$H,$I438,'Level of Efficiency Assumptions'!$I:$I,N$51))</f>
        <v xml:space="preserve"> </v>
      </c>
      <c r="O438" s="1298" t="str">
        <f>IF(SUMIFS('Level of Efficiency Assumptions'!$J:$J,'Level of Efficiency Assumptions'!$H:$H,$I438,'Level of Efficiency Assumptions'!$I:$I,O$51)=0," ",SUMIFS('Level of Efficiency Assumptions'!$J:$J,'Level of Efficiency Assumptions'!$H:$H,$I438,'Level of Efficiency Assumptions'!$I:$I,O$51))</f>
        <v xml:space="preserve"> </v>
      </c>
      <c r="P438" s="1299" t="str">
        <f>IF(SUMIFS('Level of Efficiency Assumptions'!$J:$J,'Level of Efficiency Assumptions'!$H:$H,$I438,'Level of Efficiency Assumptions'!$I:$I,P$51)=0," ",SUMIFS('Level of Efficiency Assumptions'!$J:$J,'Level of Efficiency Assumptions'!$H:$H,$I438,'Level of Efficiency Assumptions'!$I:$I,P$51))</f>
        <v xml:space="preserve"> </v>
      </c>
      <c r="Q438" s="971" t="e">
        <f>IF(I438=" "," ",(VLOOKUP(I438,list!$B$81:$C$111,2,FALSE)))</f>
        <v>#N/A</v>
      </c>
      <c r="R438" s="243">
        <f t="shared" si="151"/>
        <v>0</v>
      </c>
      <c r="S438" s="64">
        <v>1</v>
      </c>
      <c r="T438" s="68">
        <v>0</v>
      </c>
      <c r="U438" s="244">
        <f t="shared" si="154"/>
        <v>1</v>
      </c>
      <c r="W438" s="182"/>
      <c r="X438" s="975"/>
    </row>
    <row r="439" spans="2:24" ht="15" thickBot="1" x14ac:dyDescent="0.35">
      <c r="C439" s="520"/>
      <c r="D439" s="224" t="str">
        <f t="shared" si="155"/>
        <v xml:space="preserve">  </v>
      </c>
      <c r="E439" s="224"/>
      <c r="F439" s="224" t="str">
        <f t="shared" si="156"/>
        <v xml:space="preserve">  </v>
      </c>
      <c r="G439" s="224"/>
      <c r="H439" s="380"/>
      <c r="I439" s="516" t="e">
        <f>IF(VLOOKUP(C29,list!$AA$5:$AS$14,8,FALSE)=0," ",(VLOOKUP(C29,list!$AA$5:$AS$14,8,FALSE)))</f>
        <v>#N/A</v>
      </c>
      <c r="J439" s="955" t="e">
        <f t="shared" si="152"/>
        <v>#N/A</v>
      </c>
      <c r="K439" s="955" t="e">
        <f t="shared" si="153"/>
        <v>#N/A</v>
      </c>
      <c r="L439" s="969" t="e">
        <f>IF(I439=" "," ",VLOOKUP(J439,list!$J$4:$M$117,4,FALSE))</f>
        <v>#N/A</v>
      </c>
      <c r="M439" s="66"/>
      <c r="N439" s="1297" t="str">
        <f>IF(SUMIFS('Level of Efficiency Assumptions'!$J:$J,'Level of Efficiency Assumptions'!$H:$H,$I439,'Level of Efficiency Assumptions'!$I:$I,N$51)=0," ",SUMIFS('Level of Efficiency Assumptions'!$J:$J,'Level of Efficiency Assumptions'!$H:$H,$I439,'Level of Efficiency Assumptions'!$I:$I,N$51))</f>
        <v xml:space="preserve"> </v>
      </c>
      <c r="O439" s="1298" t="str">
        <f>IF(SUMIFS('Level of Efficiency Assumptions'!$J:$J,'Level of Efficiency Assumptions'!$H:$H,$I439,'Level of Efficiency Assumptions'!$I:$I,O$51)=0," ",SUMIFS('Level of Efficiency Assumptions'!$J:$J,'Level of Efficiency Assumptions'!$H:$H,$I439,'Level of Efficiency Assumptions'!$I:$I,O$51))</f>
        <v xml:space="preserve"> </v>
      </c>
      <c r="P439" s="1299" t="str">
        <f>IF(SUMIFS('Level of Efficiency Assumptions'!$J:$J,'Level of Efficiency Assumptions'!$H:$H,$I439,'Level of Efficiency Assumptions'!$I:$I,P$51)=0," ",SUMIFS('Level of Efficiency Assumptions'!$J:$J,'Level of Efficiency Assumptions'!$H:$H,$I439,'Level of Efficiency Assumptions'!$I:$I,P$51))</f>
        <v xml:space="preserve"> </v>
      </c>
      <c r="Q439" s="971" t="e">
        <f>IF(I439=" "," ",(VLOOKUP(I439,list!$B$81:$C$111,2,FALSE)))</f>
        <v>#N/A</v>
      </c>
      <c r="R439" s="243">
        <f t="shared" si="151"/>
        <v>0</v>
      </c>
      <c r="S439" s="64">
        <v>1</v>
      </c>
      <c r="T439" s="68">
        <v>0</v>
      </c>
      <c r="U439" s="244">
        <f t="shared" si="154"/>
        <v>1</v>
      </c>
      <c r="W439" s="182"/>
      <c r="X439" s="975"/>
    </row>
    <row r="440" spans="2:24" ht="15" thickBot="1" x14ac:dyDescent="0.35">
      <c r="C440" s="520"/>
      <c r="D440" s="224" t="str">
        <f t="shared" si="155"/>
        <v xml:space="preserve">  </v>
      </c>
      <c r="E440" s="224"/>
      <c r="F440" s="224" t="str">
        <f t="shared" si="156"/>
        <v xml:space="preserve">  </v>
      </c>
      <c r="G440" s="224"/>
      <c r="H440" s="380"/>
      <c r="I440" s="516" t="e">
        <f>IF(VLOOKUP(C29,list!$AA$5:$AS$14,9,FALSE)=0," ",(VLOOKUP(C29,list!$AA$5:$AS$14,9,FALSE)))</f>
        <v>#N/A</v>
      </c>
      <c r="J440" s="955" t="e">
        <f t="shared" si="152"/>
        <v>#N/A</v>
      </c>
      <c r="K440" s="955" t="e">
        <f t="shared" si="153"/>
        <v>#N/A</v>
      </c>
      <c r="L440" s="969" t="e">
        <f>IF(I440=" "," ",VLOOKUP(J440,list!$J$4:$M$117,4,FALSE))</f>
        <v>#N/A</v>
      </c>
      <c r="M440" s="66"/>
      <c r="N440" s="1297" t="str">
        <f>IF(SUMIFS('Level of Efficiency Assumptions'!$J:$J,'Level of Efficiency Assumptions'!$H:$H,$I440,'Level of Efficiency Assumptions'!$I:$I,N$51)=0," ",SUMIFS('Level of Efficiency Assumptions'!$J:$J,'Level of Efficiency Assumptions'!$H:$H,$I440,'Level of Efficiency Assumptions'!$I:$I,N$51))</f>
        <v xml:space="preserve"> </v>
      </c>
      <c r="O440" s="1298" t="str">
        <f>IF(SUMIFS('Level of Efficiency Assumptions'!$J:$J,'Level of Efficiency Assumptions'!$H:$H,$I440,'Level of Efficiency Assumptions'!$I:$I,O$51)=0," ",SUMIFS('Level of Efficiency Assumptions'!$J:$J,'Level of Efficiency Assumptions'!$H:$H,$I440,'Level of Efficiency Assumptions'!$I:$I,O$51))</f>
        <v xml:space="preserve"> </v>
      </c>
      <c r="P440" s="1299" t="str">
        <f>IF(SUMIFS('Level of Efficiency Assumptions'!$J:$J,'Level of Efficiency Assumptions'!$H:$H,$I440,'Level of Efficiency Assumptions'!$I:$I,P$51)=0," ",SUMIFS('Level of Efficiency Assumptions'!$J:$J,'Level of Efficiency Assumptions'!$H:$H,$I440,'Level of Efficiency Assumptions'!$I:$I,P$51))</f>
        <v xml:space="preserve"> </v>
      </c>
      <c r="Q440" s="971" t="e">
        <f>IF(I440=" "," ",(VLOOKUP(I440,list!$B$81:$C$111,2,FALSE)))</f>
        <v>#N/A</v>
      </c>
      <c r="R440" s="243">
        <f t="shared" si="151"/>
        <v>0</v>
      </c>
      <c r="S440" s="64">
        <v>1</v>
      </c>
      <c r="T440" s="68">
        <v>0</v>
      </c>
      <c r="U440" s="244">
        <f t="shared" si="154"/>
        <v>1</v>
      </c>
    </row>
    <row r="441" spans="2:24" ht="15" thickBot="1" x14ac:dyDescent="0.35">
      <c r="C441" s="520"/>
      <c r="D441" s="224" t="str">
        <f t="shared" si="155"/>
        <v xml:space="preserve">  </v>
      </c>
      <c r="E441" s="224"/>
      <c r="F441" s="224" t="str">
        <f t="shared" si="156"/>
        <v xml:space="preserve">  </v>
      </c>
      <c r="G441" s="224"/>
      <c r="H441" s="380"/>
      <c r="I441" s="516" t="e">
        <f>IF(VLOOKUP(C29,list!$AA$5:$AS$14,10,FALSE)=0," ",(VLOOKUP(C29,list!$AA$5:$AS$14,10,FALSE)))</f>
        <v>#N/A</v>
      </c>
      <c r="J441" s="955" t="e">
        <f t="shared" si="152"/>
        <v>#N/A</v>
      </c>
      <c r="K441" s="955" t="e">
        <f t="shared" si="153"/>
        <v>#N/A</v>
      </c>
      <c r="L441" s="969" t="e">
        <f>IF(I441=" "," ",VLOOKUP(J441,list!$J$4:$M$117,4,FALSE))</f>
        <v>#N/A</v>
      </c>
      <c r="M441" s="66"/>
      <c r="N441" s="1297" t="str">
        <f>IF(SUMIFS('Level of Efficiency Assumptions'!$J:$J,'Level of Efficiency Assumptions'!$H:$H,$I441,'Level of Efficiency Assumptions'!$I:$I,N$51)=0," ",SUMIFS('Level of Efficiency Assumptions'!$J:$J,'Level of Efficiency Assumptions'!$H:$H,$I441,'Level of Efficiency Assumptions'!$I:$I,N$51))</f>
        <v xml:space="preserve"> </v>
      </c>
      <c r="O441" s="1298" t="str">
        <f>IF(SUMIFS('Level of Efficiency Assumptions'!$J:$J,'Level of Efficiency Assumptions'!$H:$H,$I441,'Level of Efficiency Assumptions'!$I:$I,O$51)=0," ",SUMIFS('Level of Efficiency Assumptions'!$J:$J,'Level of Efficiency Assumptions'!$H:$H,$I441,'Level of Efficiency Assumptions'!$I:$I,O$51))</f>
        <v xml:space="preserve"> </v>
      </c>
      <c r="P441" s="1299" t="str">
        <f>IF(SUMIFS('Level of Efficiency Assumptions'!$J:$J,'Level of Efficiency Assumptions'!$H:$H,$I441,'Level of Efficiency Assumptions'!$I:$I,P$51)=0," ",SUMIFS('Level of Efficiency Assumptions'!$J:$J,'Level of Efficiency Assumptions'!$H:$H,$I441,'Level of Efficiency Assumptions'!$I:$I,P$51))</f>
        <v xml:space="preserve"> </v>
      </c>
      <c r="Q441" s="971" t="e">
        <f>IF(I441=" "," ",(VLOOKUP(I441,list!$B$81:$C$111,2,FALSE)))</f>
        <v>#N/A</v>
      </c>
      <c r="R441" s="243">
        <f t="shared" si="151"/>
        <v>0</v>
      </c>
      <c r="S441" s="64">
        <v>1</v>
      </c>
      <c r="T441" s="68">
        <v>0</v>
      </c>
      <c r="U441" s="244">
        <f t="shared" si="154"/>
        <v>1</v>
      </c>
    </row>
    <row r="442" spans="2:24" ht="15" thickBot="1" x14ac:dyDescent="0.35">
      <c r="C442" s="520"/>
      <c r="D442" s="224" t="str">
        <f t="shared" si="155"/>
        <v xml:space="preserve">  </v>
      </c>
      <c r="E442" s="224"/>
      <c r="F442" s="224" t="str">
        <f t="shared" si="156"/>
        <v xml:space="preserve">  </v>
      </c>
      <c r="G442" s="224"/>
      <c r="H442" s="380"/>
      <c r="I442" s="516" t="e">
        <f>IF(VLOOKUP(C29,list!$AA$5:$AS$14,11,FALSE)=0," ",(VLOOKUP(C29,list!$AA$5:$AS$14,11,FALSE)))</f>
        <v>#N/A</v>
      </c>
      <c r="J442" s="955" t="e">
        <f t="shared" si="152"/>
        <v>#N/A</v>
      </c>
      <c r="K442" s="955" t="e">
        <f t="shared" si="153"/>
        <v>#N/A</v>
      </c>
      <c r="L442" s="969" t="e">
        <f>IF(I442=" "," ",VLOOKUP(J442,list!$J$4:$M$117,4,FALSE))</f>
        <v>#N/A</v>
      </c>
      <c r="M442" s="66"/>
      <c r="N442" s="1297" t="str">
        <f>IF(SUMIFS('Level of Efficiency Assumptions'!$J:$J,'Level of Efficiency Assumptions'!$H:$H,$I442,'Level of Efficiency Assumptions'!$I:$I,N$51)=0," ",SUMIFS('Level of Efficiency Assumptions'!$J:$J,'Level of Efficiency Assumptions'!$H:$H,$I442,'Level of Efficiency Assumptions'!$I:$I,N$51))</f>
        <v xml:space="preserve"> </v>
      </c>
      <c r="O442" s="1298" t="str">
        <f>IF(SUMIFS('Level of Efficiency Assumptions'!$J:$J,'Level of Efficiency Assumptions'!$H:$H,$I442,'Level of Efficiency Assumptions'!$I:$I,O$51)=0," ",SUMIFS('Level of Efficiency Assumptions'!$J:$J,'Level of Efficiency Assumptions'!$H:$H,$I442,'Level of Efficiency Assumptions'!$I:$I,O$51))</f>
        <v xml:space="preserve"> </v>
      </c>
      <c r="P442" s="1299" t="str">
        <f>IF(SUMIFS('Level of Efficiency Assumptions'!$J:$J,'Level of Efficiency Assumptions'!$H:$H,$I442,'Level of Efficiency Assumptions'!$I:$I,P$51)=0," ",SUMIFS('Level of Efficiency Assumptions'!$J:$J,'Level of Efficiency Assumptions'!$H:$H,$I442,'Level of Efficiency Assumptions'!$I:$I,P$51))</f>
        <v xml:space="preserve"> </v>
      </c>
      <c r="Q442" s="971" t="e">
        <f>IF(I442=" "," ",(VLOOKUP(I442,list!$B$81:$C$111,2,FALSE)))</f>
        <v>#N/A</v>
      </c>
      <c r="R442" s="243">
        <f t="shared" si="151"/>
        <v>0</v>
      </c>
      <c r="S442" s="64">
        <v>1</v>
      </c>
      <c r="T442" s="68">
        <v>0</v>
      </c>
      <c r="U442" s="244">
        <f t="shared" si="154"/>
        <v>1</v>
      </c>
    </row>
    <row r="443" spans="2:24" ht="15" thickBot="1" x14ac:dyDescent="0.35">
      <c r="C443" s="520"/>
      <c r="D443" s="224" t="str">
        <f t="shared" si="155"/>
        <v xml:space="preserve">  </v>
      </c>
      <c r="E443" s="224"/>
      <c r="F443" s="224" t="str">
        <f t="shared" si="156"/>
        <v xml:space="preserve">  </v>
      </c>
      <c r="G443" s="224"/>
      <c r="H443" s="380"/>
      <c r="I443" s="516" t="e">
        <f>IF(VLOOKUP(C29,list!$AA$5:$AS$14,12,FALSE)=0," ",(VLOOKUP(C29,list!$AA$5:$AS$14,12,FALSE)))</f>
        <v>#N/A</v>
      </c>
      <c r="J443" s="955" t="e">
        <f t="shared" si="152"/>
        <v>#N/A</v>
      </c>
      <c r="K443" s="955" t="e">
        <f t="shared" si="153"/>
        <v>#N/A</v>
      </c>
      <c r="L443" s="969" t="e">
        <f>IF(I443=" "," ",VLOOKUP(J443,list!$J$4:$M$117,4,FALSE))</f>
        <v>#N/A</v>
      </c>
      <c r="M443" s="66"/>
      <c r="N443" s="1297" t="str">
        <f>IF(SUMIFS('Level of Efficiency Assumptions'!$J:$J,'Level of Efficiency Assumptions'!$H:$H,$I443,'Level of Efficiency Assumptions'!$I:$I,N$51)=0," ",SUMIFS('Level of Efficiency Assumptions'!$J:$J,'Level of Efficiency Assumptions'!$H:$H,$I443,'Level of Efficiency Assumptions'!$I:$I,N$51))</f>
        <v xml:space="preserve"> </v>
      </c>
      <c r="O443" s="1298" t="str">
        <f>IF(SUMIFS('Level of Efficiency Assumptions'!$J:$J,'Level of Efficiency Assumptions'!$H:$H,$I443,'Level of Efficiency Assumptions'!$I:$I,O$51)=0," ",SUMIFS('Level of Efficiency Assumptions'!$J:$J,'Level of Efficiency Assumptions'!$H:$H,$I443,'Level of Efficiency Assumptions'!$I:$I,O$51))</f>
        <v xml:space="preserve"> </v>
      </c>
      <c r="P443" s="1299" t="str">
        <f>IF(SUMIFS('Level of Efficiency Assumptions'!$J:$J,'Level of Efficiency Assumptions'!$H:$H,$I443,'Level of Efficiency Assumptions'!$I:$I,P$51)=0," ",SUMIFS('Level of Efficiency Assumptions'!$J:$J,'Level of Efficiency Assumptions'!$H:$H,$I443,'Level of Efficiency Assumptions'!$I:$I,P$51))</f>
        <v xml:space="preserve"> </v>
      </c>
      <c r="Q443" s="971" t="e">
        <f>IF(I443=" "," ",(VLOOKUP(I443,list!$B$81:$C$111,2,FALSE)))</f>
        <v>#N/A</v>
      </c>
      <c r="R443" s="243">
        <f t="shared" si="151"/>
        <v>0</v>
      </c>
      <c r="S443" s="64">
        <v>1</v>
      </c>
      <c r="T443" s="68">
        <v>0</v>
      </c>
      <c r="U443" s="244">
        <f t="shared" si="154"/>
        <v>1</v>
      </c>
    </row>
    <row r="444" spans="2:24" ht="15" thickBot="1" x14ac:dyDescent="0.35">
      <c r="C444" s="520"/>
      <c r="D444" s="224" t="str">
        <f t="shared" si="155"/>
        <v xml:space="preserve">  </v>
      </c>
      <c r="E444" s="224"/>
      <c r="F444" s="224" t="str">
        <f t="shared" si="156"/>
        <v xml:space="preserve">  </v>
      </c>
      <c r="G444" s="224"/>
      <c r="H444" s="380"/>
      <c r="I444" s="516" t="e">
        <f>IF(VLOOKUP(C29,list!$AA$5:$AS$14,13,FALSE)=0," ",(VLOOKUP(C29,list!$AA$5:$AS$14,13,FALSE)))</f>
        <v>#N/A</v>
      </c>
      <c r="J444" s="955" t="e">
        <f t="shared" si="152"/>
        <v>#N/A</v>
      </c>
      <c r="K444" s="955" t="e">
        <f t="shared" si="153"/>
        <v>#N/A</v>
      </c>
      <c r="L444" s="969" t="e">
        <f>IF(I444=" "," ",VLOOKUP(J444,list!$J$4:$M$117,4,FALSE))</f>
        <v>#N/A</v>
      </c>
      <c r="M444" s="66"/>
      <c r="N444" s="1297" t="str">
        <f>IF(SUMIFS('Level of Efficiency Assumptions'!$J:$J,'Level of Efficiency Assumptions'!$H:$H,$I444,'Level of Efficiency Assumptions'!$I:$I,N$51)=0," ",SUMIFS('Level of Efficiency Assumptions'!$J:$J,'Level of Efficiency Assumptions'!$H:$H,$I444,'Level of Efficiency Assumptions'!$I:$I,N$51))</f>
        <v xml:space="preserve"> </v>
      </c>
      <c r="O444" s="1298" t="str">
        <f>IF(SUMIFS('Level of Efficiency Assumptions'!$J:$J,'Level of Efficiency Assumptions'!$H:$H,$I444,'Level of Efficiency Assumptions'!$I:$I,O$51)=0," ",SUMIFS('Level of Efficiency Assumptions'!$J:$J,'Level of Efficiency Assumptions'!$H:$H,$I444,'Level of Efficiency Assumptions'!$I:$I,O$51))</f>
        <v xml:space="preserve"> </v>
      </c>
      <c r="P444" s="1299" t="str">
        <f>IF(SUMIFS('Level of Efficiency Assumptions'!$J:$J,'Level of Efficiency Assumptions'!$H:$H,$I444,'Level of Efficiency Assumptions'!$I:$I,P$51)=0," ",SUMIFS('Level of Efficiency Assumptions'!$J:$J,'Level of Efficiency Assumptions'!$H:$H,$I444,'Level of Efficiency Assumptions'!$I:$I,P$51))</f>
        <v xml:space="preserve"> </v>
      </c>
      <c r="Q444" s="971" t="e">
        <f>IF(I444=" "," ",(VLOOKUP(I444,list!$B$81:$C$111,2,FALSE)))</f>
        <v>#N/A</v>
      </c>
      <c r="R444" s="243">
        <f t="shared" si="151"/>
        <v>0</v>
      </c>
      <c r="S444" s="64">
        <v>1</v>
      </c>
      <c r="T444" s="68">
        <v>0</v>
      </c>
      <c r="U444" s="244">
        <f t="shared" si="154"/>
        <v>1</v>
      </c>
    </row>
    <row r="445" spans="2:24" ht="15" thickBot="1" x14ac:dyDescent="0.35">
      <c r="C445" s="520"/>
      <c r="D445" s="224" t="str">
        <f t="shared" si="155"/>
        <v xml:space="preserve">  </v>
      </c>
      <c r="E445" s="224"/>
      <c r="F445" s="224" t="str">
        <f t="shared" si="156"/>
        <v xml:space="preserve">  </v>
      </c>
      <c r="G445" s="224"/>
      <c r="H445" s="380"/>
      <c r="I445" s="516" t="e">
        <f>IF(VLOOKUP(C29,list!$AA$5:$AS$14,14,FALSE)=0," ",(VLOOKUP(C29,list!$AA$5:$AS$14,14,FALSE)))</f>
        <v>#N/A</v>
      </c>
      <c r="J445" s="955" t="e">
        <f t="shared" si="152"/>
        <v>#N/A</v>
      </c>
      <c r="K445" s="955" t="e">
        <f t="shared" si="153"/>
        <v>#N/A</v>
      </c>
      <c r="L445" s="969" t="e">
        <f>IF(I445=" "," ",VLOOKUP(J445,list!$J$4:$M$117,4,FALSE))</f>
        <v>#N/A</v>
      </c>
      <c r="M445" s="66"/>
      <c r="N445" s="1297" t="str">
        <f>IF(SUMIFS('Level of Efficiency Assumptions'!$J:$J,'Level of Efficiency Assumptions'!$H:$H,$I445,'Level of Efficiency Assumptions'!$I:$I,N$51)=0," ",SUMIFS('Level of Efficiency Assumptions'!$J:$J,'Level of Efficiency Assumptions'!$H:$H,$I445,'Level of Efficiency Assumptions'!$I:$I,N$51))</f>
        <v xml:space="preserve"> </v>
      </c>
      <c r="O445" s="1298" t="str">
        <f>IF(SUMIFS('Level of Efficiency Assumptions'!$J:$J,'Level of Efficiency Assumptions'!$H:$H,$I445,'Level of Efficiency Assumptions'!$I:$I,O$51)=0," ",SUMIFS('Level of Efficiency Assumptions'!$J:$J,'Level of Efficiency Assumptions'!$H:$H,$I445,'Level of Efficiency Assumptions'!$I:$I,O$51))</f>
        <v xml:space="preserve"> </v>
      </c>
      <c r="P445" s="1299" t="str">
        <f>IF(SUMIFS('Level of Efficiency Assumptions'!$J:$J,'Level of Efficiency Assumptions'!$H:$H,$I445,'Level of Efficiency Assumptions'!$I:$I,P$51)=0," ",SUMIFS('Level of Efficiency Assumptions'!$J:$J,'Level of Efficiency Assumptions'!$H:$H,$I445,'Level of Efficiency Assumptions'!$I:$I,P$51))</f>
        <v xml:space="preserve"> </v>
      </c>
      <c r="Q445" s="971" t="e">
        <f>IF(I445=" "," ",(VLOOKUP(I445,list!$B$81:$C$111,2,FALSE)))</f>
        <v>#N/A</v>
      </c>
      <c r="R445" s="243">
        <f t="shared" si="151"/>
        <v>0</v>
      </c>
      <c r="S445" s="64">
        <v>1</v>
      </c>
      <c r="T445" s="68">
        <v>0</v>
      </c>
      <c r="U445" s="244">
        <f t="shared" si="154"/>
        <v>1</v>
      </c>
    </row>
    <row r="446" spans="2:24" ht="15" thickBot="1" x14ac:dyDescent="0.35">
      <c r="C446" s="520"/>
      <c r="D446" s="224" t="str">
        <f t="shared" si="155"/>
        <v xml:space="preserve">  </v>
      </c>
      <c r="E446" s="224"/>
      <c r="F446" s="224" t="str">
        <f t="shared" si="156"/>
        <v xml:space="preserve">  </v>
      </c>
      <c r="G446" s="224"/>
      <c r="H446" s="380"/>
      <c r="I446" s="516" t="e">
        <f>IF(VLOOKUP(C29,list!$AA$5:$AS$14,15,FALSE)=0," ",(VLOOKUP(C29,list!$AA$5:$AS$14,15,FALSE)))</f>
        <v>#N/A</v>
      </c>
      <c r="J446" s="955" t="e">
        <f t="shared" si="152"/>
        <v>#N/A</v>
      </c>
      <c r="K446" s="955" t="e">
        <f t="shared" si="153"/>
        <v>#N/A</v>
      </c>
      <c r="L446" s="969" t="e">
        <f>IF(I446=" "," ",VLOOKUP(J446,list!$J$4:$M$117,4,FALSE))</f>
        <v>#N/A</v>
      </c>
      <c r="M446" s="66"/>
      <c r="N446" s="1297" t="str">
        <f>IF(SUMIFS('Level of Efficiency Assumptions'!$J:$J,'Level of Efficiency Assumptions'!$H:$H,$I446,'Level of Efficiency Assumptions'!$I:$I,N$51)=0," ",SUMIFS('Level of Efficiency Assumptions'!$J:$J,'Level of Efficiency Assumptions'!$H:$H,$I446,'Level of Efficiency Assumptions'!$I:$I,N$51))</f>
        <v xml:space="preserve"> </v>
      </c>
      <c r="O446" s="1298" t="str">
        <f>IF(SUMIFS('Level of Efficiency Assumptions'!$J:$J,'Level of Efficiency Assumptions'!$H:$H,$I446,'Level of Efficiency Assumptions'!$I:$I,O$51)=0," ",SUMIFS('Level of Efficiency Assumptions'!$J:$J,'Level of Efficiency Assumptions'!$H:$H,$I446,'Level of Efficiency Assumptions'!$I:$I,O$51))</f>
        <v xml:space="preserve"> </v>
      </c>
      <c r="P446" s="1299" t="str">
        <f>IF(SUMIFS('Level of Efficiency Assumptions'!$J:$J,'Level of Efficiency Assumptions'!$H:$H,$I446,'Level of Efficiency Assumptions'!$I:$I,P$51)=0," ",SUMIFS('Level of Efficiency Assumptions'!$J:$J,'Level of Efficiency Assumptions'!$H:$H,$I446,'Level of Efficiency Assumptions'!$I:$I,P$51))</f>
        <v xml:space="preserve"> </v>
      </c>
      <c r="Q446" s="971" t="e">
        <f>IF(I446=" "," ",(VLOOKUP(I446,list!$B$81:$C$111,2,FALSE)))</f>
        <v>#N/A</v>
      </c>
      <c r="R446" s="243">
        <f t="shared" si="151"/>
        <v>0</v>
      </c>
      <c r="S446" s="64">
        <v>1</v>
      </c>
      <c r="T446" s="68">
        <v>0</v>
      </c>
      <c r="U446" s="244">
        <f t="shared" si="154"/>
        <v>1</v>
      </c>
    </row>
    <row r="447" spans="2:24" ht="15" thickBot="1" x14ac:dyDescent="0.35">
      <c r="C447" s="520"/>
      <c r="D447" s="224" t="str">
        <f t="shared" si="155"/>
        <v xml:space="preserve">  </v>
      </c>
      <c r="E447" s="224"/>
      <c r="F447" s="224" t="str">
        <f t="shared" si="156"/>
        <v xml:space="preserve">  </v>
      </c>
      <c r="G447" s="224"/>
      <c r="H447" s="380"/>
      <c r="I447" s="516" t="e">
        <f>IF(VLOOKUP(C29,list!$AA$5:$AS$14,16,FALSE)=0," ",(VLOOKUP(C29,list!$AA$5:$AS$14,16,FALSE)))</f>
        <v>#N/A</v>
      </c>
      <c r="J447" s="955" t="e">
        <f t="shared" si="152"/>
        <v>#N/A</v>
      </c>
      <c r="K447" s="955" t="e">
        <f t="shared" si="153"/>
        <v>#N/A</v>
      </c>
      <c r="L447" s="969" t="e">
        <f>IF(I447=" "," ",VLOOKUP(J447,list!$J$4:$M$117,4,FALSE))</f>
        <v>#N/A</v>
      </c>
      <c r="M447" s="66"/>
      <c r="N447" s="1297" t="str">
        <f>IF(SUMIFS('Level of Efficiency Assumptions'!$J:$J,'Level of Efficiency Assumptions'!$H:$H,$I447,'Level of Efficiency Assumptions'!$I:$I,N$51)=0," ",SUMIFS('Level of Efficiency Assumptions'!$J:$J,'Level of Efficiency Assumptions'!$H:$H,$I447,'Level of Efficiency Assumptions'!$I:$I,N$51))</f>
        <v xml:space="preserve"> </v>
      </c>
      <c r="O447" s="1298" t="str">
        <f>IF(SUMIFS('Level of Efficiency Assumptions'!$J:$J,'Level of Efficiency Assumptions'!$H:$H,$I447,'Level of Efficiency Assumptions'!$I:$I,O$51)=0," ",SUMIFS('Level of Efficiency Assumptions'!$J:$J,'Level of Efficiency Assumptions'!$H:$H,$I447,'Level of Efficiency Assumptions'!$I:$I,O$51))</f>
        <v xml:space="preserve"> </v>
      </c>
      <c r="P447" s="1299" t="str">
        <f>IF(SUMIFS('Level of Efficiency Assumptions'!$J:$J,'Level of Efficiency Assumptions'!$H:$H,$I447,'Level of Efficiency Assumptions'!$I:$I,P$51)=0," ",SUMIFS('Level of Efficiency Assumptions'!$J:$J,'Level of Efficiency Assumptions'!$H:$H,$I447,'Level of Efficiency Assumptions'!$I:$I,P$51))</f>
        <v xml:space="preserve"> </v>
      </c>
      <c r="Q447" s="971" t="e">
        <f>IF(I447=" "," ",(VLOOKUP(I447,list!$B$81:$C$111,2,FALSE)))</f>
        <v>#N/A</v>
      </c>
      <c r="R447" s="243">
        <f t="shared" si="151"/>
        <v>0</v>
      </c>
      <c r="S447" s="64">
        <v>1</v>
      </c>
      <c r="T447" s="68">
        <v>0</v>
      </c>
      <c r="U447" s="244">
        <f t="shared" si="154"/>
        <v>1</v>
      </c>
    </row>
    <row r="448" spans="2:24" ht="15" thickBot="1" x14ac:dyDescent="0.35">
      <c r="C448" s="520"/>
      <c r="D448" s="224" t="str">
        <f t="shared" si="155"/>
        <v xml:space="preserve">  </v>
      </c>
      <c r="E448" s="224"/>
      <c r="F448" s="224" t="str">
        <f t="shared" si="156"/>
        <v xml:space="preserve">  </v>
      </c>
      <c r="G448" s="224"/>
      <c r="H448" s="380"/>
      <c r="I448" s="516" t="e">
        <f>IF(VLOOKUP(C29,list!$AA$5:$AS$14,17,FALSE)=0," ",(VLOOKUP(C29,list!$AA$5:$AS$14,17,FALSE)))</f>
        <v>#N/A</v>
      </c>
      <c r="J448" s="955" t="e">
        <f t="shared" si="152"/>
        <v>#N/A</v>
      </c>
      <c r="K448" s="955" t="e">
        <f t="shared" si="153"/>
        <v>#N/A</v>
      </c>
      <c r="L448" s="969" t="e">
        <f>IF(I448=" "," ",VLOOKUP(J448,list!$J$4:$M$117,4,FALSE))</f>
        <v>#N/A</v>
      </c>
      <c r="M448" s="66"/>
      <c r="N448" s="1297" t="str">
        <f>IF(SUMIFS('Level of Efficiency Assumptions'!$J:$J,'Level of Efficiency Assumptions'!$H:$H,$I448,'Level of Efficiency Assumptions'!$I:$I,N$51)=0," ",SUMIFS('Level of Efficiency Assumptions'!$J:$J,'Level of Efficiency Assumptions'!$H:$H,$I448,'Level of Efficiency Assumptions'!$I:$I,N$51))</f>
        <v xml:space="preserve"> </v>
      </c>
      <c r="O448" s="1298" t="str">
        <f>IF(SUMIFS('Level of Efficiency Assumptions'!$J:$J,'Level of Efficiency Assumptions'!$H:$H,$I448,'Level of Efficiency Assumptions'!$I:$I,O$51)=0," ",SUMIFS('Level of Efficiency Assumptions'!$J:$J,'Level of Efficiency Assumptions'!$H:$H,$I448,'Level of Efficiency Assumptions'!$I:$I,O$51))</f>
        <v xml:space="preserve"> </v>
      </c>
      <c r="P448" s="1299" t="str">
        <f>IF(SUMIFS('Level of Efficiency Assumptions'!$J:$J,'Level of Efficiency Assumptions'!$H:$H,$I448,'Level of Efficiency Assumptions'!$I:$I,P$51)=0," ",SUMIFS('Level of Efficiency Assumptions'!$J:$J,'Level of Efficiency Assumptions'!$H:$H,$I448,'Level of Efficiency Assumptions'!$I:$I,P$51))</f>
        <v xml:space="preserve"> </v>
      </c>
      <c r="Q448" s="971" t="e">
        <f>IF(I448=" "," ",(VLOOKUP(I448,list!$B$81:$C$111,2,FALSE)))</f>
        <v>#N/A</v>
      </c>
      <c r="R448" s="243">
        <f t="shared" si="151"/>
        <v>0</v>
      </c>
      <c r="S448" s="64">
        <v>1</v>
      </c>
      <c r="T448" s="68">
        <v>0</v>
      </c>
      <c r="U448" s="244">
        <f t="shared" si="154"/>
        <v>1</v>
      </c>
    </row>
    <row r="449" spans="2:24" ht="15" thickBot="1" x14ac:dyDescent="0.35">
      <c r="C449" s="520"/>
      <c r="D449" s="224" t="str">
        <f t="shared" si="155"/>
        <v xml:space="preserve">  </v>
      </c>
      <c r="E449" s="224"/>
      <c r="F449" s="224" t="str">
        <f t="shared" si="156"/>
        <v xml:space="preserve">  </v>
      </c>
      <c r="G449" s="224"/>
      <c r="H449" s="380"/>
      <c r="I449" s="516" t="e">
        <f>IF(VLOOKUP(C29,list!$AA$5:$AS$14,18,FALSE)=0," ",(VLOOKUP(C29,list!$AA$5:$AS$14,18,FALSE)))</f>
        <v>#N/A</v>
      </c>
      <c r="J449" s="955" t="e">
        <f t="shared" si="152"/>
        <v>#N/A</v>
      </c>
      <c r="K449" s="955" t="e">
        <f t="shared" si="153"/>
        <v>#N/A</v>
      </c>
      <c r="L449" s="969" t="e">
        <f>IF(I449=" "," ",VLOOKUP(J449,list!$J$4:$M$117,4,FALSE))</f>
        <v>#N/A</v>
      </c>
      <c r="M449" s="66"/>
      <c r="N449" s="1297" t="str">
        <f>IF(SUMIFS('Level of Efficiency Assumptions'!$J:$J,'Level of Efficiency Assumptions'!$H:$H,$I449,'Level of Efficiency Assumptions'!$I:$I,N$51)=0," ",SUMIFS('Level of Efficiency Assumptions'!$J:$J,'Level of Efficiency Assumptions'!$H:$H,$I449,'Level of Efficiency Assumptions'!$I:$I,N$51))</f>
        <v xml:space="preserve"> </v>
      </c>
      <c r="O449" s="1298" t="str">
        <f>IF(SUMIFS('Level of Efficiency Assumptions'!$J:$J,'Level of Efficiency Assumptions'!$H:$H,$I449,'Level of Efficiency Assumptions'!$I:$I,O$51)=0," ",SUMIFS('Level of Efficiency Assumptions'!$J:$J,'Level of Efficiency Assumptions'!$H:$H,$I449,'Level of Efficiency Assumptions'!$I:$I,O$51))</f>
        <v xml:space="preserve"> </v>
      </c>
      <c r="P449" s="1299" t="str">
        <f>IF(SUMIFS('Level of Efficiency Assumptions'!$J:$J,'Level of Efficiency Assumptions'!$H:$H,$I449,'Level of Efficiency Assumptions'!$I:$I,P$51)=0," ",SUMIFS('Level of Efficiency Assumptions'!$J:$J,'Level of Efficiency Assumptions'!$H:$H,$I449,'Level of Efficiency Assumptions'!$I:$I,P$51))</f>
        <v xml:space="preserve"> </v>
      </c>
      <c r="Q449" s="971" t="e">
        <f>IF(I449=" "," ",(VLOOKUP(I449,list!$B$81:$C$111,2,FALSE)))</f>
        <v>#N/A</v>
      </c>
      <c r="R449" s="243">
        <f t="shared" si="151"/>
        <v>0</v>
      </c>
      <c r="S449" s="64">
        <v>1</v>
      </c>
      <c r="T449" s="68">
        <v>0</v>
      </c>
      <c r="U449" s="244">
        <f t="shared" si="154"/>
        <v>1</v>
      </c>
    </row>
    <row r="450" spans="2:24" ht="15" thickBot="1" x14ac:dyDescent="0.35">
      <c r="C450" s="632"/>
      <c r="D450" s="226" t="str">
        <f t="shared" si="155"/>
        <v xml:space="preserve">  </v>
      </c>
      <c r="E450" s="226"/>
      <c r="F450" s="226" t="str">
        <f t="shared" si="156"/>
        <v xml:space="preserve">  </v>
      </c>
      <c r="G450" s="226"/>
      <c r="H450" s="976"/>
      <c r="I450" s="516" t="e">
        <f>IF(VLOOKUP(C29,list!$AA$5:$AS$14,19,FALSE)=0," ",(VLOOKUP(C29,list!$AA$5:$AS$14,19,FALSE)))</f>
        <v>#N/A</v>
      </c>
      <c r="J450" s="955" t="e">
        <f>IF(I450=" "," ",(D450&amp;"-"&amp;I450))</f>
        <v>#N/A</v>
      </c>
      <c r="K450" s="955" t="e">
        <f t="shared" si="153"/>
        <v>#N/A</v>
      </c>
      <c r="L450" s="969" t="e">
        <f>IF(I450=" "," ",VLOOKUP(J450,list!$J$4:$M$117,4,FALSE))</f>
        <v>#N/A</v>
      </c>
      <c r="M450" s="67"/>
      <c r="N450" s="1303" t="str">
        <f>IF(SUMIFS('Level of Efficiency Assumptions'!$J:$J,'Level of Efficiency Assumptions'!$H:$H,$I450,'Level of Efficiency Assumptions'!$I:$I,N$51)=0," ",SUMIFS('Level of Efficiency Assumptions'!$J:$J,'Level of Efficiency Assumptions'!$H:$H,$I450,'Level of Efficiency Assumptions'!$I:$I,N$51))</f>
        <v xml:space="preserve"> </v>
      </c>
      <c r="O450" s="1304" t="str">
        <f>IF(SUMIFS('Level of Efficiency Assumptions'!$J:$J,'Level of Efficiency Assumptions'!$H:$H,$I450,'Level of Efficiency Assumptions'!$I:$I,O$51)=0," ",SUMIFS('Level of Efficiency Assumptions'!$J:$J,'Level of Efficiency Assumptions'!$H:$H,$I450,'Level of Efficiency Assumptions'!$I:$I,O$51))</f>
        <v xml:space="preserve"> </v>
      </c>
      <c r="P450" s="1305" t="str">
        <f>IF(SUMIFS('Level of Efficiency Assumptions'!$J:$J,'Level of Efficiency Assumptions'!$H:$H,$I450,'Level of Efficiency Assumptions'!$I:$I,P$51)=0," ",SUMIFS('Level of Efficiency Assumptions'!$J:$J,'Level of Efficiency Assumptions'!$H:$H,$I450,'Level of Efficiency Assumptions'!$I:$I,P$51))</f>
        <v xml:space="preserve"> </v>
      </c>
      <c r="Q450" s="977" t="e">
        <f>IF(I450=" "," ",(VLOOKUP(I450,list!$B$81:$C$111,2,FALSE)))</f>
        <v>#N/A</v>
      </c>
      <c r="R450" s="245">
        <f t="shared" si="151"/>
        <v>0</v>
      </c>
      <c r="S450" s="65">
        <v>1</v>
      </c>
      <c r="T450" s="69">
        <v>0</v>
      </c>
      <c r="U450" s="246">
        <f t="shared" si="154"/>
        <v>1</v>
      </c>
    </row>
    <row r="451" spans="2:24" x14ac:dyDescent="0.3">
      <c r="D451" s="846"/>
      <c r="F451" s="82"/>
      <c r="J451" s="846"/>
      <c r="K451" s="846"/>
      <c r="N451" s="1179"/>
      <c r="O451" s="1179"/>
      <c r="P451" s="1179"/>
      <c r="R451" s="176" t="s">
        <v>295</v>
      </c>
      <c r="S451" s="176"/>
      <c r="T451" s="176"/>
      <c r="U451" s="176"/>
    </row>
    <row r="452" spans="2:24" ht="15" thickBot="1" x14ac:dyDescent="0.35">
      <c r="D452" s="846"/>
      <c r="F452" s="82"/>
      <c r="J452" s="846"/>
      <c r="K452" s="846"/>
      <c r="N452" s="1179"/>
      <c r="O452" s="1179"/>
      <c r="P452" s="1179"/>
    </row>
    <row r="453" spans="2:24" ht="15" thickBot="1" x14ac:dyDescent="0.35">
      <c r="B453" s="814">
        <v>21</v>
      </c>
      <c r="C453" s="967" t="str">
        <f t="shared" ref="C453:H453" si="157">C30</f>
        <v xml:space="preserve">  </v>
      </c>
      <c r="D453" s="967" t="str">
        <f t="shared" si="157"/>
        <v xml:space="preserve">  </v>
      </c>
      <c r="E453" s="967" t="str">
        <f t="shared" si="157"/>
        <v xml:space="preserve">  </v>
      </c>
      <c r="F453" s="967" t="str">
        <f t="shared" si="157"/>
        <v xml:space="preserve">  </v>
      </c>
      <c r="G453" s="967">
        <f t="shared" si="157"/>
        <v>0</v>
      </c>
      <c r="H453" s="968">
        <f t="shared" si="157"/>
        <v>0</v>
      </c>
      <c r="I453" s="516" t="e">
        <f>IF(VLOOKUP(C30,list!$AA$5:$AS$14,2,FALSE)=0," ",(VLOOKUP(C30,list!$AA$5:$AS$14,2,FALSE)))</f>
        <v>#N/A</v>
      </c>
      <c r="J453" s="955" t="e">
        <f>IF(I453=" "," ",(D30&amp;"-"&amp;I453))</f>
        <v>#N/A</v>
      </c>
      <c r="K453" s="955" t="e">
        <f>IF(I453=" "," ",(F30&amp;"-"&amp;I453))</f>
        <v>#N/A</v>
      </c>
      <c r="L453" s="969" t="e">
        <f>IF(I453=" "," ",VLOOKUP(J453,list!$J$4:$M$117,4,FALSE))</f>
        <v>#N/A</v>
      </c>
      <c r="M453" s="70"/>
      <c r="N453" s="1300" t="str">
        <f>IF(SUMIFS('Level of Efficiency Assumptions'!$J:$J,'Level of Efficiency Assumptions'!$H:$H,$I453,'Level of Efficiency Assumptions'!$I:$I,N$51)=0," ",SUMIFS('Level of Efficiency Assumptions'!$J:$J,'Level of Efficiency Assumptions'!$H:$H,$I453,'Level of Efficiency Assumptions'!$I:$I,N$51))</f>
        <v xml:space="preserve"> </v>
      </c>
      <c r="O453" s="1301" t="str">
        <f>IF(SUMIFS('Level of Efficiency Assumptions'!$J:$J,'Level of Efficiency Assumptions'!$H:$H,$I453,'Level of Efficiency Assumptions'!$I:$I,O$51)=0," ",SUMIFS('Level of Efficiency Assumptions'!$J:$J,'Level of Efficiency Assumptions'!$H:$H,$I453,'Level of Efficiency Assumptions'!$I:$I,O$51))</f>
        <v xml:space="preserve"> </v>
      </c>
      <c r="P453" s="1302" t="str">
        <f>IF(SUMIFS('Level of Efficiency Assumptions'!$J:$J,'Level of Efficiency Assumptions'!$H:$H,$I453,'Level of Efficiency Assumptions'!$I:$I,P$51)=0," ",SUMIFS('Level of Efficiency Assumptions'!$J:$J,'Level of Efficiency Assumptions'!$H:$H,$I453,'Level of Efficiency Assumptions'!$I:$I,P$51))</f>
        <v xml:space="preserve"> </v>
      </c>
      <c r="Q453" s="970" t="e">
        <f>IF(I453=" "," ",(VLOOKUP(I453,list!$B$81:$C$111,2,FALSE)))</f>
        <v>#N/A</v>
      </c>
      <c r="R453" s="241">
        <f t="shared" ref="R453:R470" si="158">1-S453-T453</f>
        <v>0</v>
      </c>
      <c r="S453" s="83">
        <v>1</v>
      </c>
      <c r="T453" s="84">
        <v>0</v>
      </c>
      <c r="U453" s="242">
        <f>SUM(R453:T453)</f>
        <v>1</v>
      </c>
      <c r="W453" s="250" t="s">
        <v>367</v>
      </c>
      <c r="X453" s="251" t="s">
        <v>366</v>
      </c>
    </row>
    <row r="454" spans="2:24" ht="15" thickBot="1" x14ac:dyDescent="0.35">
      <c r="C454" s="520"/>
      <c r="D454" s="224" t="str">
        <f>D30</f>
        <v xml:space="preserve">  </v>
      </c>
      <c r="E454" s="224"/>
      <c r="F454" s="224" t="str">
        <f>F30</f>
        <v xml:space="preserve">  </v>
      </c>
      <c r="G454" s="224"/>
      <c r="H454" s="380"/>
      <c r="I454" s="516" t="e">
        <f>IF(VLOOKUP(C30,list!$AA$5:$AS$14,3,FALSE)=0," ",(VLOOKUP(C30,list!$AA$5:$AS$14,3,FALSE)))</f>
        <v>#N/A</v>
      </c>
      <c r="J454" s="955" t="e">
        <f t="shared" ref="J454:J469" si="159">IF(I454=" "," ",(D454&amp;"-"&amp;I454))</f>
        <v>#N/A</v>
      </c>
      <c r="K454" s="955" t="e">
        <f t="shared" ref="K454:K470" si="160">IF(I454=" "," ",(F454&amp;"-"&amp;I454))</f>
        <v>#N/A</v>
      </c>
      <c r="L454" s="969" t="e">
        <f>IF(I454=" "," ",VLOOKUP(J454,list!$J$4:$M$117,4,FALSE))</f>
        <v>#N/A</v>
      </c>
      <c r="M454" s="66"/>
      <c r="N454" s="1297" t="str">
        <f>IF(SUMIFS('Level of Efficiency Assumptions'!$J:$J,'Level of Efficiency Assumptions'!$H:$H,$I454,'Level of Efficiency Assumptions'!$I:$I,N$51)=0," ",SUMIFS('Level of Efficiency Assumptions'!$J:$J,'Level of Efficiency Assumptions'!$H:$H,$I454,'Level of Efficiency Assumptions'!$I:$I,N$51))</f>
        <v xml:space="preserve"> </v>
      </c>
      <c r="O454" s="1298" t="str">
        <f>IF(SUMIFS('Level of Efficiency Assumptions'!$J:$J,'Level of Efficiency Assumptions'!$H:$H,$I454,'Level of Efficiency Assumptions'!$I:$I,O$51)=0," ",SUMIFS('Level of Efficiency Assumptions'!$J:$J,'Level of Efficiency Assumptions'!$H:$H,$I454,'Level of Efficiency Assumptions'!$I:$I,O$51))</f>
        <v xml:space="preserve"> </v>
      </c>
      <c r="P454" s="1299" t="str">
        <f>IF(SUMIFS('Level of Efficiency Assumptions'!$J:$J,'Level of Efficiency Assumptions'!$H:$H,$I454,'Level of Efficiency Assumptions'!$I:$I,P$51)=0," ",SUMIFS('Level of Efficiency Assumptions'!$J:$J,'Level of Efficiency Assumptions'!$H:$H,$I454,'Level of Efficiency Assumptions'!$I:$I,P$51))</f>
        <v xml:space="preserve"> </v>
      </c>
      <c r="Q454" s="971" t="e">
        <f>IF(I454=" "," ",(VLOOKUP(I454,list!$B$81:$C$111,2,FALSE)))</f>
        <v>#N/A</v>
      </c>
      <c r="R454" s="243">
        <f t="shared" si="158"/>
        <v>0</v>
      </c>
      <c r="S454" s="64">
        <v>1</v>
      </c>
      <c r="T454" s="68">
        <v>0</v>
      </c>
      <c r="U454" s="244">
        <f t="shared" ref="U454:U470" si="161">SUM(R454:T454)</f>
        <v>1</v>
      </c>
      <c r="V454" s="82" t="e">
        <f>F454&amp;"-"&amp;W454</f>
        <v>#N/A</v>
      </c>
      <c r="W454" s="247" t="e">
        <f>HLOOKUP(D454,list!$O$34:$X$38,2,FALSE)</f>
        <v>#N/A</v>
      </c>
      <c r="X454" s="972">
        <v>1</v>
      </c>
    </row>
    <row r="455" spans="2:24" ht="15" thickBot="1" x14ac:dyDescent="0.35">
      <c r="C455" s="520"/>
      <c r="D455" s="224" t="str">
        <f>D454</f>
        <v xml:space="preserve">  </v>
      </c>
      <c r="E455" s="224"/>
      <c r="F455" s="224" t="str">
        <f>F454</f>
        <v xml:space="preserve">  </v>
      </c>
      <c r="G455" s="224"/>
      <c r="H455" s="380"/>
      <c r="I455" s="516" t="e">
        <f>IF(VLOOKUP(C30,list!$AA$5:$AS$14,4,FALSE)=0," ",(VLOOKUP(C30,list!$AA$5:$AS$14,4,FALSE)))</f>
        <v>#N/A</v>
      </c>
      <c r="J455" s="955" t="e">
        <f t="shared" si="159"/>
        <v>#N/A</v>
      </c>
      <c r="K455" s="955" t="e">
        <f t="shared" si="160"/>
        <v>#N/A</v>
      </c>
      <c r="L455" s="969" t="e">
        <f>IF(I455=" "," ",VLOOKUP(J455,list!$J$4:$M$117,4,FALSE))</f>
        <v>#N/A</v>
      </c>
      <c r="M455" s="66"/>
      <c r="N455" s="1297" t="str">
        <f>IF(SUMIFS('Level of Efficiency Assumptions'!$J:$J,'Level of Efficiency Assumptions'!$H:$H,$I455,'Level of Efficiency Assumptions'!$I:$I,N$51)=0," ",SUMIFS('Level of Efficiency Assumptions'!$J:$J,'Level of Efficiency Assumptions'!$H:$H,$I455,'Level of Efficiency Assumptions'!$I:$I,N$51))</f>
        <v xml:space="preserve"> </v>
      </c>
      <c r="O455" s="1298" t="str">
        <f>IF(SUMIFS('Level of Efficiency Assumptions'!$J:$J,'Level of Efficiency Assumptions'!$H:$H,$I455,'Level of Efficiency Assumptions'!$I:$I,O$51)=0," ",SUMIFS('Level of Efficiency Assumptions'!$J:$J,'Level of Efficiency Assumptions'!$H:$H,$I455,'Level of Efficiency Assumptions'!$I:$I,O$51))</f>
        <v xml:space="preserve"> </v>
      </c>
      <c r="P455" s="1299" t="str">
        <f>IF(SUMIFS('Level of Efficiency Assumptions'!$J:$J,'Level of Efficiency Assumptions'!$H:$H,$I455,'Level of Efficiency Assumptions'!$I:$I,P$51)=0," ",SUMIFS('Level of Efficiency Assumptions'!$J:$J,'Level of Efficiency Assumptions'!$H:$H,$I455,'Level of Efficiency Assumptions'!$I:$I,P$51))</f>
        <v xml:space="preserve"> </v>
      </c>
      <c r="Q455" s="971" t="e">
        <f>IF(I455=" "," ",(VLOOKUP(I455,list!$B$81:$C$111,2,FALSE)))</f>
        <v>#N/A</v>
      </c>
      <c r="R455" s="243">
        <f t="shared" si="158"/>
        <v>0</v>
      </c>
      <c r="S455" s="64">
        <v>1</v>
      </c>
      <c r="T455" s="68">
        <v>0</v>
      </c>
      <c r="U455" s="244">
        <f t="shared" si="161"/>
        <v>1</v>
      </c>
      <c r="V455" s="82" t="e">
        <f>F455&amp;"-"&amp;W455</f>
        <v>#N/A</v>
      </c>
      <c r="W455" s="248" t="e">
        <f>HLOOKUP(D455,list!$O$34:$X$38,3,FALSE)</f>
        <v>#N/A</v>
      </c>
      <c r="X455" s="973">
        <v>0.5</v>
      </c>
    </row>
    <row r="456" spans="2:24" ht="15" thickBot="1" x14ac:dyDescent="0.35">
      <c r="C456" s="520"/>
      <c r="D456" s="224" t="str">
        <f t="shared" ref="D456:D470" si="162">D455</f>
        <v xml:space="preserve">  </v>
      </c>
      <c r="E456" s="224"/>
      <c r="F456" s="224" t="str">
        <f t="shared" ref="F456:F470" si="163">F455</f>
        <v xml:space="preserve">  </v>
      </c>
      <c r="G456" s="224"/>
      <c r="H456" s="380"/>
      <c r="I456" s="516" t="e">
        <f>IF(VLOOKUP(C30,list!$AA$5:$AS$14,5,FALSE)=0," ",(VLOOKUP(C30,list!$AA$5:$AS$14,5,FALSE)))</f>
        <v>#N/A</v>
      </c>
      <c r="J456" s="955" t="e">
        <f t="shared" si="159"/>
        <v>#N/A</v>
      </c>
      <c r="K456" s="955" t="e">
        <f t="shared" si="160"/>
        <v>#N/A</v>
      </c>
      <c r="L456" s="969" t="e">
        <f>IF(I456=" "," ",VLOOKUP(J456,list!$J$4:$M$117,4,FALSE))</f>
        <v>#N/A</v>
      </c>
      <c r="M456" s="66"/>
      <c r="N456" s="1297" t="str">
        <f>IF(SUMIFS('Level of Efficiency Assumptions'!$J:$J,'Level of Efficiency Assumptions'!$H:$H,$I456,'Level of Efficiency Assumptions'!$I:$I,N$51)=0," ",SUMIFS('Level of Efficiency Assumptions'!$J:$J,'Level of Efficiency Assumptions'!$H:$H,$I456,'Level of Efficiency Assumptions'!$I:$I,N$51))</f>
        <v xml:space="preserve"> </v>
      </c>
      <c r="O456" s="1298" t="str">
        <f>IF(SUMIFS('Level of Efficiency Assumptions'!$J:$J,'Level of Efficiency Assumptions'!$H:$H,$I456,'Level of Efficiency Assumptions'!$I:$I,O$51)=0," ",SUMIFS('Level of Efficiency Assumptions'!$J:$J,'Level of Efficiency Assumptions'!$H:$H,$I456,'Level of Efficiency Assumptions'!$I:$I,O$51))</f>
        <v xml:space="preserve"> </v>
      </c>
      <c r="P456" s="1299" t="str">
        <f>IF(SUMIFS('Level of Efficiency Assumptions'!$J:$J,'Level of Efficiency Assumptions'!$H:$H,$I456,'Level of Efficiency Assumptions'!$I:$I,P$51)=0," ",SUMIFS('Level of Efficiency Assumptions'!$J:$J,'Level of Efficiency Assumptions'!$H:$H,$I456,'Level of Efficiency Assumptions'!$I:$I,P$51))</f>
        <v xml:space="preserve"> </v>
      </c>
      <c r="Q456" s="971" t="e">
        <f>IF(I456=" "," ",(VLOOKUP(I456,list!$B$81:$C$111,2,FALSE)))</f>
        <v>#N/A</v>
      </c>
      <c r="R456" s="243">
        <f t="shared" si="158"/>
        <v>0</v>
      </c>
      <c r="S456" s="64">
        <v>1</v>
      </c>
      <c r="T456" s="68">
        <v>0</v>
      </c>
      <c r="U456" s="244">
        <f t="shared" si="161"/>
        <v>1</v>
      </c>
      <c r="V456" s="82" t="e">
        <f>F456&amp;"-"&amp;W456</f>
        <v>#N/A</v>
      </c>
      <c r="W456" s="248" t="e">
        <f>HLOOKUP(D456,list!$O$34:$X$38,4,FALSE)</f>
        <v>#N/A</v>
      </c>
      <c r="X456" s="973">
        <v>0.5</v>
      </c>
    </row>
    <row r="457" spans="2:24" ht="15" thickBot="1" x14ac:dyDescent="0.35">
      <c r="C457" s="520"/>
      <c r="D457" s="224" t="str">
        <f t="shared" si="162"/>
        <v xml:space="preserve">  </v>
      </c>
      <c r="E457" s="224"/>
      <c r="F457" s="224" t="str">
        <f t="shared" si="163"/>
        <v xml:space="preserve">  </v>
      </c>
      <c r="G457" s="224"/>
      <c r="H457" s="380"/>
      <c r="I457" s="516" t="e">
        <f>IF(VLOOKUP(C30,list!$AA$5:$AS$14,6,FALSE)=0," ",(VLOOKUP(C30,list!$AA$5:$AS$14,6,FALSE)))</f>
        <v>#N/A</v>
      </c>
      <c r="J457" s="955" t="e">
        <f t="shared" si="159"/>
        <v>#N/A</v>
      </c>
      <c r="K457" s="955" t="e">
        <f t="shared" si="160"/>
        <v>#N/A</v>
      </c>
      <c r="L457" s="969" t="e">
        <f>IF(I457=" "," ",VLOOKUP(J457,list!$J$4:$M$117,4,FALSE))</f>
        <v>#N/A</v>
      </c>
      <c r="M457" s="66"/>
      <c r="N457" s="1297" t="str">
        <f>IF(SUMIFS('Level of Efficiency Assumptions'!$J:$J,'Level of Efficiency Assumptions'!$H:$H,$I457,'Level of Efficiency Assumptions'!$I:$I,N$51)=0," ",SUMIFS('Level of Efficiency Assumptions'!$J:$J,'Level of Efficiency Assumptions'!$H:$H,$I457,'Level of Efficiency Assumptions'!$I:$I,N$51))</f>
        <v xml:space="preserve"> </v>
      </c>
      <c r="O457" s="1298" t="str">
        <f>IF(SUMIFS('Level of Efficiency Assumptions'!$J:$J,'Level of Efficiency Assumptions'!$H:$H,$I457,'Level of Efficiency Assumptions'!$I:$I,O$51)=0," ",SUMIFS('Level of Efficiency Assumptions'!$J:$J,'Level of Efficiency Assumptions'!$H:$H,$I457,'Level of Efficiency Assumptions'!$I:$I,O$51))</f>
        <v xml:space="preserve"> </v>
      </c>
      <c r="P457" s="1299" t="str">
        <f>IF(SUMIFS('Level of Efficiency Assumptions'!$J:$J,'Level of Efficiency Assumptions'!$H:$H,$I457,'Level of Efficiency Assumptions'!$I:$I,P$51)=0," ",SUMIFS('Level of Efficiency Assumptions'!$J:$J,'Level of Efficiency Assumptions'!$H:$H,$I457,'Level of Efficiency Assumptions'!$I:$I,P$51))</f>
        <v xml:space="preserve"> </v>
      </c>
      <c r="Q457" s="971" t="e">
        <f>IF(I457=" "," ",(VLOOKUP(I457,list!$B$81:$C$111,2,FALSE)))</f>
        <v>#N/A</v>
      </c>
      <c r="R457" s="243">
        <f t="shared" si="158"/>
        <v>0</v>
      </c>
      <c r="S457" s="64">
        <v>1</v>
      </c>
      <c r="T457" s="68">
        <v>0</v>
      </c>
      <c r="U457" s="244">
        <f t="shared" si="161"/>
        <v>1</v>
      </c>
      <c r="V457" s="82" t="e">
        <f>F457&amp;"-"&amp;W457</f>
        <v>#N/A</v>
      </c>
      <c r="W457" s="249" t="e">
        <f>HLOOKUP(D457,list!$O$34:$X$38,5,FALSE)</f>
        <v>#N/A</v>
      </c>
      <c r="X457" s="974">
        <v>0.5</v>
      </c>
    </row>
    <row r="458" spans="2:24" ht="15" thickBot="1" x14ac:dyDescent="0.35">
      <c r="C458" s="520"/>
      <c r="D458" s="224" t="str">
        <f t="shared" si="162"/>
        <v xml:space="preserve">  </v>
      </c>
      <c r="E458" s="224"/>
      <c r="F458" s="224" t="str">
        <f t="shared" si="163"/>
        <v xml:space="preserve">  </v>
      </c>
      <c r="G458" s="224"/>
      <c r="H458" s="380"/>
      <c r="I458" s="516" t="e">
        <f>IF(VLOOKUP(C30,list!$AA$5:$AS$14,7,FALSE)=0," ",(VLOOKUP(C30,list!$AA$5:$AS$14,7,FALSE)))</f>
        <v>#N/A</v>
      </c>
      <c r="J458" s="955" t="e">
        <f t="shared" si="159"/>
        <v>#N/A</v>
      </c>
      <c r="K458" s="955" t="e">
        <f t="shared" si="160"/>
        <v>#N/A</v>
      </c>
      <c r="L458" s="969" t="e">
        <f>IF(I458=" "," ",VLOOKUP(J458,list!$J$4:$M$117,4,FALSE))</f>
        <v>#N/A</v>
      </c>
      <c r="M458" s="66"/>
      <c r="N458" s="1297" t="str">
        <f>IF(SUMIFS('Level of Efficiency Assumptions'!$J:$J,'Level of Efficiency Assumptions'!$H:$H,$I458,'Level of Efficiency Assumptions'!$I:$I,N$51)=0," ",SUMIFS('Level of Efficiency Assumptions'!$J:$J,'Level of Efficiency Assumptions'!$H:$H,$I458,'Level of Efficiency Assumptions'!$I:$I,N$51))</f>
        <v xml:space="preserve"> </v>
      </c>
      <c r="O458" s="1298" t="str">
        <f>IF(SUMIFS('Level of Efficiency Assumptions'!$J:$J,'Level of Efficiency Assumptions'!$H:$H,$I458,'Level of Efficiency Assumptions'!$I:$I,O$51)=0," ",SUMIFS('Level of Efficiency Assumptions'!$J:$J,'Level of Efficiency Assumptions'!$H:$H,$I458,'Level of Efficiency Assumptions'!$I:$I,O$51))</f>
        <v xml:space="preserve"> </v>
      </c>
      <c r="P458" s="1299" t="str">
        <f>IF(SUMIFS('Level of Efficiency Assumptions'!$J:$J,'Level of Efficiency Assumptions'!$H:$H,$I458,'Level of Efficiency Assumptions'!$I:$I,P$51)=0," ",SUMIFS('Level of Efficiency Assumptions'!$J:$J,'Level of Efficiency Assumptions'!$H:$H,$I458,'Level of Efficiency Assumptions'!$I:$I,P$51))</f>
        <v xml:space="preserve"> </v>
      </c>
      <c r="Q458" s="971" t="e">
        <f>IF(I458=" "," ",(VLOOKUP(I458,list!$B$81:$C$111,2,FALSE)))</f>
        <v>#N/A</v>
      </c>
      <c r="R458" s="243">
        <f t="shared" si="158"/>
        <v>0</v>
      </c>
      <c r="S458" s="64">
        <v>1</v>
      </c>
      <c r="T458" s="68">
        <v>0</v>
      </c>
      <c r="U458" s="244">
        <f t="shared" si="161"/>
        <v>1</v>
      </c>
      <c r="W458" s="182"/>
      <c r="X458" s="975"/>
    </row>
    <row r="459" spans="2:24" ht="15" thickBot="1" x14ac:dyDescent="0.35">
      <c r="C459" s="520"/>
      <c r="D459" s="224" t="str">
        <f t="shared" si="162"/>
        <v xml:space="preserve">  </v>
      </c>
      <c r="E459" s="224"/>
      <c r="F459" s="224" t="str">
        <f t="shared" si="163"/>
        <v xml:space="preserve">  </v>
      </c>
      <c r="G459" s="224"/>
      <c r="H459" s="380"/>
      <c r="I459" s="516" t="e">
        <f>IF(VLOOKUP(C30,list!$AA$5:$AS$14,8,FALSE)=0," ",(VLOOKUP(C30,list!$AA$5:$AS$14,8,FALSE)))</f>
        <v>#N/A</v>
      </c>
      <c r="J459" s="955" t="e">
        <f t="shared" si="159"/>
        <v>#N/A</v>
      </c>
      <c r="K459" s="955" t="e">
        <f t="shared" si="160"/>
        <v>#N/A</v>
      </c>
      <c r="L459" s="969" t="e">
        <f>IF(I459=" "," ",VLOOKUP(J459,list!$J$4:$M$117,4,FALSE))</f>
        <v>#N/A</v>
      </c>
      <c r="M459" s="66"/>
      <c r="N459" s="1297" t="str">
        <f>IF(SUMIFS('Level of Efficiency Assumptions'!$J:$J,'Level of Efficiency Assumptions'!$H:$H,$I459,'Level of Efficiency Assumptions'!$I:$I,N$51)=0," ",SUMIFS('Level of Efficiency Assumptions'!$J:$J,'Level of Efficiency Assumptions'!$H:$H,$I459,'Level of Efficiency Assumptions'!$I:$I,N$51))</f>
        <v xml:space="preserve"> </v>
      </c>
      <c r="O459" s="1298" t="str">
        <f>IF(SUMIFS('Level of Efficiency Assumptions'!$J:$J,'Level of Efficiency Assumptions'!$H:$H,$I459,'Level of Efficiency Assumptions'!$I:$I,O$51)=0," ",SUMIFS('Level of Efficiency Assumptions'!$J:$J,'Level of Efficiency Assumptions'!$H:$H,$I459,'Level of Efficiency Assumptions'!$I:$I,O$51))</f>
        <v xml:space="preserve"> </v>
      </c>
      <c r="P459" s="1299" t="str">
        <f>IF(SUMIFS('Level of Efficiency Assumptions'!$J:$J,'Level of Efficiency Assumptions'!$H:$H,$I459,'Level of Efficiency Assumptions'!$I:$I,P$51)=0," ",SUMIFS('Level of Efficiency Assumptions'!$J:$J,'Level of Efficiency Assumptions'!$H:$H,$I459,'Level of Efficiency Assumptions'!$I:$I,P$51))</f>
        <v xml:space="preserve"> </v>
      </c>
      <c r="Q459" s="971" t="e">
        <f>IF(I459=" "," ",(VLOOKUP(I459,list!$B$81:$C$111,2,FALSE)))</f>
        <v>#N/A</v>
      </c>
      <c r="R459" s="243">
        <f t="shared" si="158"/>
        <v>0</v>
      </c>
      <c r="S459" s="64">
        <v>1</v>
      </c>
      <c r="T459" s="68">
        <v>0</v>
      </c>
      <c r="U459" s="244">
        <f t="shared" si="161"/>
        <v>1</v>
      </c>
      <c r="W459" s="182"/>
      <c r="X459" s="975"/>
    </row>
    <row r="460" spans="2:24" ht="15" thickBot="1" x14ac:dyDescent="0.35">
      <c r="C460" s="520"/>
      <c r="D460" s="224" t="str">
        <f t="shared" si="162"/>
        <v xml:space="preserve">  </v>
      </c>
      <c r="E460" s="224"/>
      <c r="F460" s="224" t="str">
        <f t="shared" si="163"/>
        <v xml:space="preserve">  </v>
      </c>
      <c r="G460" s="224"/>
      <c r="H460" s="380"/>
      <c r="I460" s="516" t="e">
        <f>IF(VLOOKUP(C30,list!$AA$5:$AS$14,9,FALSE)=0," ",(VLOOKUP(C30,list!$AA$5:$AS$14,9,FALSE)))</f>
        <v>#N/A</v>
      </c>
      <c r="J460" s="955" t="e">
        <f t="shared" si="159"/>
        <v>#N/A</v>
      </c>
      <c r="K460" s="955" t="e">
        <f t="shared" si="160"/>
        <v>#N/A</v>
      </c>
      <c r="L460" s="969" t="e">
        <f>IF(I460=" "," ",VLOOKUP(J460,list!$J$4:$M$117,4,FALSE))</f>
        <v>#N/A</v>
      </c>
      <c r="M460" s="66"/>
      <c r="N460" s="1297" t="str">
        <f>IF(SUMIFS('Level of Efficiency Assumptions'!$J:$J,'Level of Efficiency Assumptions'!$H:$H,$I460,'Level of Efficiency Assumptions'!$I:$I,N$51)=0," ",SUMIFS('Level of Efficiency Assumptions'!$J:$J,'Level of Efficiency Assumptions'!$H:$H,$I460,'Level of Efficiency Assumptions'!$I:$I,N$51))</f>
        <v xml:space="preserve"> </v>
      </c>
      <c r="O460" s="1298" t="str">
        <f>IF(SUMIFS('Level of Efficiency Assumptions'!$J:$J,'Level of Efficiency Assumptions'!$H:$H,$I460,'Level of Efficiency Assumptions'!$I:$I,O$51)=0," ",SUMIFS('Level of Efficiency Assumptions'!$J:$J,'Level of Efficiency Assumptions'!$H:$H,$I460,'Level of Efficiency Assumptions'!$I:$I,O$51))</f>
        <v xml:space="preserve"> </v>
      </c>
      <c r="P460" s="1299" t="str">
        <f>IF(SUMIFS('Level of Efficiency Assumptions'!$J:$J,'Level of Efficiency Assumptions'!$H:$H,$I460,'Level of Efficiency Assumptions'!$I:$I,P$51)=0," ",SUMIFS('Level of Efficiency Assumptions'!$J:$J,'Level of Efficiency Assumptions'!$H:$H,$I460,'Level of Efficiency Assumptions'!$I:$I,P$51))</f>
        <v xml:space="preserve"> </v>
      </c>
      <c r="Q460" s="971" t="e">
        <f>IF(I460=" "," ",(VLOOKUP(I460,list!$B$81:$C$111,2,FALSE)))</f>
        <v>#N/A</v>
      </c>
      <c r="R460" s="243">
        <f t="shared" si="158"/>
        <v>0</v>
      </c>
      <c r="S460" s="64">
        <v>1</v>
      </c>
      <c r="T460" s="68">
        <v>0</v>
      </c>
      <c r="U460" s="244">
        <f t="shared" si="161"/>
        <v>1</v>
      </c>
    </row>
    <row r="461" spans="2:24" ht="15" thickBot="1" x14ac:dyDescent="0.35">
      <c r="C461" s="520"/>
      <c r="D461" s="224" t="str">
        <f t="shared" si="162"/>
        <v xml:space="preserve">  </v>
      </c>
      <c r="E461" s="224"/>
      <c r="F461" s="224" t="str">
        <f t="shared" si="163"/>
        <v xml:space="preserve">  </v>
      </c>
      <c r="G461" s="224"/>
      <c r="H461" s="380"/>
      <c r="I461" s="516" t="e">
        <f>IF(VLOOKUP(C30,list!$AA$5:$AS$14,10,FALSE)=0," ",(VLOOKUP(C30,list!$AA$5:$AS$14,10,FALSE)))</f>
        <v>#N/A</v>
      </c>
      <c r="J461" s="955" t="e">
        <f t="shared" si="159"/>
        <v>#N/A</v>
      </c>
      <c r="K461" s="955" t="e">
        <f t="shared" si="160"/>
        <v>#N/A</v>
      </c>
      <c r="L461" s="969" t="e">
        <f>IF(I461=" "," ",VLOOKUP(J461,list!$J$4:$M$117,4,FALSE))</f>
        <v>#N/A</v>
      </c>
      <c r="M461" s="66"/>
      <c r="N461" s="1297" t="str">
        <f>IF(SUMIFS('Level of Efficiency Assumptions'!$J:$J,'Level of Efficiency Assumptions'!$H:$H,$I461,'Level of Efficiency Assumptions'!$I:$I,N$51)=0," ",SUMIFS('Level of Efficiency Assumptions'!$J:$J,'Level of Efficiency Assumptions'!$H:$H,$I461,'Level of Efficiency Assumptions'!$I:$I,N$51))</f>
        <v xml:space="preserve"> </v>
      </c>
      <c r="O461" s="1298" t="str">
        <f>IF(SUMIFS('Level of Efficiency Assumptions'!$J:$J,'Level of Efficiency Assumptions'!$H:$H,$I461,'Level of Efficiency Assumptions'!$I:$I,O$51)=0," ",SUMIFS('Level of Efficiency Assumptions'!$J:$J,'Level of Efficiency Assumptions'!$H:$H,$I461,'Level of Efficiency Assumptions'!$I:$I,O$51))</f>
        <v xml:space="preserve"> </v>
      </c>
      <c r="P461" s="1299" t="str">
        <f>IF(SUMIFS('Level of Efficiency Assumptions'!$J:$J,'Level of Efficiency Assumptions'!$H:$H,$I461,'Level of Efficiency Assumptions'!$I:$I,P$51)=0," ",SUMIFS('Level of Efficiency Assumptions'!$J:$J,'Level of Efficiency Assumptions'!$H:$H,$I461,'Level of Efficiency Assumptions'!$I:$I,P$51))</f>
        <v xml:space="preserve"> </v>
      </c>
      <c r="Q461" s="971" t="e">
        <f>IF(I461=" "," ",(VLOOKUP(I461,list!$B$81:$C$111,2,FALSE)))</f>
        <v>#N/A</v>
      </c>
      <c r="R461" s="243">
        <f t="shared" si="158"/>
        <v>0</v>
      </c>
      <c r="S461" s="64">
        <v>1</v>
      </c>
      <c r="T461" s="68">
        <v>0</v>
      </c>
      <c r="U461" s="244">
        <f t="shared" si="161"/>
        <v>1</v>
      </c>
    </row>
    <row r="462" spans="2:24" ht="15" thickBot="1" x14ac:dyDescent="0.35">
      <c r="C462" s="520"/>
      <c r="D462" s="224" t="str">
        <f t="shared" si="162"/>
        <v xml:space="preserve">  </v>
      </c>
      <c r="E462" s="224"/>
      <c r="F462" s="224" t="str">
        <f t="shared" si="163"/>
        <v xml:space="preserve">  </v>
      </c>
      <c r="G462" s="224"/>
      <c r="H462" s="380"/>
      <c r="I462" s="516" t="e">
        <f>IF(VLOOKUP(C30,list!$AA$5:$AS$14,11,FALSE)=0," ",(VLOOKUP(C30,list!$AA$5:$AS$14,11,FALSE)))</f>
        <v>#N/A</v>
      </c>
      <c r="J462" s="955" t="e">
        <f t="shared" si="159"/>
        <v>#N/A</v>
      </c>
      <c r="K462" s="955" t="e">
        <f t="shared" si="160"/>
        <v>#N/A</v>
      </c>
      <c r="L462" s="969" t="e">
        <f>IF(I462=" "," ",VLOOKUP(J462,list!$J$4:$M$117,4,FALSE))</f>
        <v>#N/A</v>
      </c>
      <c r="M462" s="66"/>
      <c r="N462" s="1297" t="str">
        <f>IF(SUMIFS('Level of Efficiency Assumptions'!$J:$J,'Level of Efficiency Assumptions'!$H:$H,$I462,'Level of Efficiency Assumptions'!$I:$I,N$51)=0," ",SUMIFS('Level of Efficiency Assumptions'!$J:$J,'Level of Efficiency Assumptions'!$H:$H,$I462,'Level of Efficiency Assumptions'!$I:$I,N$51))</f>
        <v xml:space="preserve"> </v>
      </c>
      <c r="O462" s="1298" t="str">
        <f>IF(SUMIFS('Level of Efficiency Assumptions'!$J:$J,'Level of Efficiency Assumptions'!$H:$H,$I462,'Level of Efficiency Assumptions'!$I:$I,O$51)=0," ",SUMIFS('Level of Efficiency Assumptions'!$J:$J,'Level of Efficiency Assumptions'!$H:$H,$I462,'Level of Efficiency Assumptions'!$I:$I,O$51))</f>
        <v xml:space="preserve"> </v>
      </c>
      <c r="P462" s="1299" t="str">
        <f>IF(SUMIFS('Level of Efficiency Assumptions'!$J:$J,'Level of Efficiency Assumptions'!$H:$H,$I462,'Level of Efficiency Assumptions'!$I:$I,P$51)=0," ",SUMIFS('Level of Efficiency Assumptions'!$J:$J,'Level of Efficiency Assumptions'!$H:$H,$I462,'Level of Efficiency Assumptions'!$I:$I,P$51))</f>
        <v xml:space="preserve"> </v>
      </c>
      <c r="Q462" s="971" t="e">
        <f>IF(I462=" "," ",(VLOOKUP(I462,list!$B$81:$C$111,2,FALSE)))</f>
        <v>#N/A</v>
      </c>
      <c r="R462" s="243">
        <f t="shared" si="158"/>
        <v>0</v>
      </c>
      <c r="S462" s="64">
        <v>1</v>
      </c>
      <c r="T462" s="68">
        <v>0</v>
      </c>
      <c r="U462" s="244">
        <f t="shared" si="161"/>
        <v>1</v>
      </c>
    </row>
    <row r="463" spans="2:24" ht="15" thickBot="1" x14ac:dyDescent="0.35">
      <c r="C463" s="520"/>
      <c r="D463" s="224" t="str">
        <f t="shared" si="162"/>
        <v xml:space="preserve">  </v>
      </c>
      <c r="E463" s="224"/>
      <c r="F463" s="224" t="str">
        <f t="shared" si="163"/>
        <v xml:space="preserve">  </v>
      </c>
      <c r="G463" s="224"/>
      <c r="H463" s="380"/>
      <c r="I463" s="516" t="e">
        <f>IF(VLOOKUP(C30,list!$AA$5:$AS$14,12,FALSE)=0," ",(VLOOKUP(C30,list!$AA$5:$AS$14,12,FALSE)))</f>
        <v>#N/A</v>
      </c>
      <c r="J463" s="955" t="e">
        <f t="shared" si="159"/>
        <v>#N/A</v>
      </c>
      <c r="K463" s="955" t="e">
        <f t="shared" si="160"/>
        <v>#N/A</v>
      </c>
      <c r="L463" s="969" t="e">
        <f>IF(I463=" "," ",VLOOKUP(J463,list!$J$4:$M$117,4,FALSE))</f>
        <v>#N/A</v>
      </c>
      <c r="M463" s="66"/>
      <c r="N463" s="1297" t="str">
        <f>IF(SUMIFS('Level of Efficiency Assumptions'!$J:$J,'Level of Efficiency Assumptions'!$H:$H,$I463,'Level of Efficiency Assumptions'!$I:$I,N$51)=0," ",SUMIFS('Level of Efficiency Assumptions'!$J:$J,'Level of Efficiency Assumptions'!$H:$H,$I463,'Level of Efficiency Assumptions'!$I:$I,N$51))</f>
        <v xml:space="preserve"> </v>
      </c>
      <c r="O463" s="1298" t="str">
        <f>IF(SUMIFS('Level of Efficiency Assumptions'!$J:$J,'Level of Efficiency Assumptions'!$H:$H,$I463,'Level of Efficiency Assumptions'!$I:$I,O$51)=0," ",SUMIFS('Level of Efficiency Assumptions'!$J:$J,'Level of Efficiency Assumptions'!$H:$H,$I463,'Level of Efficiency Assumptions'!$I:$I,O$51))</f>
        <v xml:space="preserve"> </v>
      </c>
      <c r="P463" s="1299" t="str">
        <f>IF(SUMIFS('Level of Efficiency Assumptions'!$J:$J,'Level of Efficiency Assumptions'!$H:$H,$I463,'Level of Efficiency Assumptions'!$I:$I,P$51)=0," ",SUMIFS('Level of Efficiency Assumptions'!$J:$J,'Level of Efficiency Assumptions'!$H:$H,$I463,'Level of Efficiency Assumptions'!$I:$I,P$51))</f>
        <v xml:space="preserve"> </v>
      </c>
      <c r="Q463" s="971" t="e">
        <f>IF(I463=" "," ",(VLOOKUP(I463,list!$B$81:$C$111,2,FALSE)))</f>
        <v>#N/A</v>
      </c>
      <c r="R463" s="243">
        <f t="shared" si="158"/>
        <v>0</v>
      </c>
      <c r="S463" s="64">
        <v>1</v>
      </c>
      <c r="T463" s="68">
        <v>0</v>
      </c>
      <c r="U463" s="244">
        <f t="shared" si="161"/>
        <v>1</v>
      </c>
    </row>
    <row r="464" spans="2:24" ht="15" thickBot="1" x14ac:dyDescent="0.35">
      <c r="C464" s="520"/>
      <c r="D464" s="224" t="str">
        <f t="shared" si="162"/>
        <v xml:space="preserve">  </v>
      </c>
      <c r="E464" s="224"/>
      <c r="F464" s="224" t="str">
        <f t="shared" si="163"/>
        <v xml:space="preserve">  </v>
      </c>
      <c r="G464" s="224"/>
      <c r="H464" s="380"/>
      <c r="I464" s="516" t="e">
        <f>IF(VLOOKUP(C30,list!$AA$5:$AS$14,13,FALSE)=0," ",(VLOOKUP(C30,list!$AA$5:$AS$14,13,FALSE)))</f>
        <v>#N/A</v>
      </c>
      <c r="J464" s="955" t="e">
        <f t="shared" si="159"/>
        <v>#N/A</v>
      </c>
      <c r="K464" s="955" t="e">
        <f t="shared" si="160"/>
        <v>#N/A</v>
      </c>
      <c r="L464" s="969" t="e">
        <f>IF(I464=" "," ",VLOOKUP(J464,list!$J$4:$M$117,4,FALSE))</f>
        <v>#N/A</v>
      </c>
      <c r="M464" s="66"/>
      <c r="N464" s="1297" t="str">
        <f>IF(SUMIFS('Level of Efficiency Assumptions'!$J:$J,'Level of Efficiency Assumptions'!$H:$H,$I464,'Level of Efficiency Assumptions'!$I:$I,N$51)=0," ",SUMIFS('Level of Efficiency Assumptions'!$J:$J,'Level of Efficiency Assumptions'!$H:$H,$I464,'Level of Efficiency Assumptions'!$I:$I,N$51))</f>
        <v xml:space="preserve"> </v>
      </c>
      <c r="O464" s="1298" t="str">
        <f>IF(SUMIFS('Level of Efficiency Assumptions'!$J:$J,'Level of Efficiency Assumptions'!$H:$H,$I464,'Level of Efficiency Assumptions'!$I:$I,O$51)=0," ",SUMIFS('Level of Efficiency Assumptions'!$J:$J,'Level of Efficiency Assumptions'!$H:$H,$I464,'Level of Efficiency Assumptions'!$I:$I,O$51))</f>
        <v xml:space="preserve"> </v>
      </c>
      <c r="P464" s="1299" t="str">
        <f>IF(SUMIFS('Level of Efficiency Assumptions'!$J:$J,'Level of Efficiency Assumptions'!$H:$H,$I464,'Level of Efficiency Assumptions'!$I:$I,P$51)=0," ",SUMIFS('Level of Efficiency Assumptions'!$J:$J,'Level of Efficiency Assumptions'!$H:$H,$I464,'Level of Efficiency Assumptions'!$I:$I,P$51))</f>
        <v xml:space="preserve"> </v>
      </c>
      <c r="Q464" s="971" t="e">
        <f>IF(I464=" "," ",(VLOOKUP(I464,list!$B$81:$C$111,2,FALSE)))</f>
        <v>#N/A</v>
      </c>
      <c r="R464" s="243">
        <f t="shared" si="158"/>
        <v>0</v>
      </c>
      <c r="S464" s="64">
        <v>1</v>
      </c>
      <c r="T464" s="68">
        <v>0</v>
      </c>
      <c r="U464" s="244">
        <f t="shared" si="161"/>
        <v>1</v>
      </c>
    </row>
    <row r="465" spans="2:24" ht="15" thickBot="1" x14ac:dyDescent="0.35">
      <c r="C465" s="520"/>
      <c r="D465" s="224" t="str">
        <f t="shared" si="162"/>
        <v xml:space="preserve">  </v>
      </c>
      <c r="E465" s="224"/>
      <c r="F465" s="224" t="str">
        <f t="shared" si="163"/>
        <v xml:space="preserve">  </v>
      </c>
      <c r="G465" s="224"/>
      <c r="H465" s="380"/>
      <c r="I465" s="516" t="e">
        <f>IF(VLOOKUP(C30,list!$AA$5:$AS$14,14,FALSE)=0," ",(VLOOKUP(C30,list!$AA$5:$AS$14,14,FALSE)))</f>
        <v>#N/A</v>
      </c>
      <c r="J465" s="955" t="e">
        <f t="shared" si="159"/>
        <v>#N/A</v>
      </c>
      <c r="K465" s="955" t="e">
        <f t="shared" si="160"/>
        <v>#N/A</v>
      </c>
      <c r="L465" s="969" t="e">
        <f>IF(I465=" "," ",VLOOKUP(J465,list!$J$4:$M$117,4,FALSE))</f>
        <v>#N/A</v>
      </c>
      <c r="M465" s="66"/>
      <c r="N465" s="1297" t="str">
        <f>IF(SUMIFS('Level of Efficiency Assumptions'!$J:$J,'Level of Efficiency Assumptions'!$H:$H,$I465,'Level of Efficiency Assumptions'!$I:$I,N$51)=0," ",SUMIFS('Level of Efficiency Assumptions'!$J:$J,'Level of Efficiency Assumptions'!$H:$H,$I465,'Level of Efficiency Assumptions'!$I:$I,N$51))</f>
        <v xml:space="preserve"> </v>
      </c>
      <c r="O465" s="1298" t="str">
        <f>IF(SUMIFS('Level of Efficiency Assumptions'!$J:$J,'Level of Efficiency Assumptions'!$H:$H,$I465,'Level of Efficiency Assumptions'!$I:$I,O$51)=0," ",SUMIFS('Level of Efficiency Assumptions'!$J:$J,'Level of Efficiency Assumptions'!$H:$H,$I465,'Level of Efficiency Assumptions'!$I:$I,O$51))</f>
        <v xml:space="preserve"> </v>
      </c>
      <c r="P465" s="1299" t="str">
        <f>IF(SUMIFS('Level of Efficiency Assumptions'!$J:$J,'Level of Efficiency Assumptions'!$H:$H,$I465,'Level of Efficiency Assumptions'!$I:$I,P$51)=0," ",SUMIFS('Level of Efficiency Assumptions'!$J:$J,'Level of Efficiency Assumptions'!$H:$H,$I465,'Level of Efficiency Assumptions'!$I:$I,P$51))</f>
        <v xml:space="preserve"> </v>
      </c>
      <c r="Q465" s="971" t="e">
        <f>IF(I465=" "," ",(VLOOKUP(I465,list!$B$81:$C$111,2,FALSE)))</f>
        <v>#N/A</v>
      </c>
      <c r="R465" s="243">
        <f t="shared" si="158"/>
        <v>0</v>
      </c>
      <c r="S465" s="64">
        <v>1</v>
      </c>
      <c r="T465" s="68">
        <v>0</v>
      </c>
      <c r="U465" s="244">
        <f t="shared" si="161"/>
        <v>1</v>
      </c>
    </row>
    <row r="466" spans="2:24" ht="15" thickBot="1" x14ac:dyDescent="0.35">
      <c r="C466" s="520"/>
      <c r="D466" s="224" t="str">
        <f t="shared" si="162"/>
        <v xml:space="preserve">  </v>
      </c>
      <c r="E466" s="224"/>
      <c r="F466" s="224" t="str">
        <f t="shared" si="163"/>
        <v xml:space="preserve">  </v>
      </c>
      <c r="G466" s="224"/>
      <c r="H466" s="380"/>
      <c r="I466" s="516" t="e">
        <f>IF(VLOOKUP(C30,list!$AA$5:$AS$14,15,FALSE)=0," ",(VLOOKUP(C30,list!$AA$5:$AS$14,15,FALSE)))</f>
        <v>#N/A</v>
      </c>
      <c r="J466" s="955" t="e">
        <f t="shared" si="159"/>
        <v>#N/A</v>
      </c>
      <c r="K466" s="955" t="e">
        <f t="shared" si="160"/>
        <v>#N/A</v>
      </c>
      <c r="L466" s="969" t="e">
        <f>IF(I466=" "," ",VLOOKUP(J466,list!$J$4:$M$117,4,FALSE))</f>
        <v>#N/A</v>
      </c>
      <c r="M466" s="66"/>
      <c r="N466" s="1297" t="str">
        <f>IF(SUMIFS('Level of Efficiency Assumptions'!$J:$J,'Level of Efficiency Assumptions'!$H:$H,$I466,'Level of Efficiency Assumptions'!$I:$I,N$51)=0," ",SUMIFS('Level of Efficiency Assumptions'!$J:$J,'Level of Efficiency Assumptions'!$H:$H,$I466,'Level of Efficiency Assumptions'!$I:$I,N$51))</f>
        <v xml:space="preserve"> </v>
      </c>
      <c r="O466" s="1298" t="str">
        <f>IF(SUMIFS('Level of Efficiency Assumptions'!$J:$J,'Level of Efficiency Assumptions'!$H:$H,$I466,'Level of Efficiency Assumptions'!$I:$I,O$51)=0," ",SUMIFS('Level of Efficiency Assumptions'!$J:$J,'Level of Efficiency Assumptions'!$H:$H,$I466,'Level of Efficiency Assumptions'!$I:$I,O$51))</f>
        <v xml:space="preserve"> </v>
      </c>
      <c r="P466" s="1299" t="str">
        <f>IF(SUMIFS('Level of Efficiency Assumptions'!$J:$J,'Level of Efficiency Assumptions'!$H:$H,$I466,'Level of Efficiency Assumptions'!$I:$I,P$51)=0," ",SUMIFS('Level of Efficiency Assumptions'!$J:$J,'Level of Efficiency Assumptions'!$H:$H,$I466,'Level of Efficiency Assumptions'!$I:$I,P$51))</f>
        <v xml:space="preserve"> </v>
      </c>
      <c r="Q466" s="971" t="e">
        <f>IF(I466=" "," ",(VLOOKUP(I466,list!$B$81:$C$111,2,FALSE)))</f>
        <v>#N/A</v>
      </c>
      <c r="R466" s="243">
        <f t="shared" si="158"/>
        <v>0</v>
      </c>
      <c r="S466" s="64">
        <v>1</v>
      </c>
      <c r="T466" s="68">
        <v>0</v>
      </c>
      <c r="U466" s="244">
        <f t="shared" si="161"/>
        <v>1</v>
      </c>
    </row>
    <row r="467" spans="2:24" ht="15" thickBot="1" x14ac:dyDescent="0.35">
      <c r="C467" s="520"/>
      <c r="D467" s="224" t="str">
        <f t="shared" si="162"/>
        <v xml:space="preserve">  </v>
      </c>
      <c r="E467" s="224"/>
      <c r="F467" s="224" t="str">
        <f t="shared" si="163"/>
        <v xml:space="preserve">  </v>
      </c>
      <c r="G467" s="224"/>
      <c r="H467" s="380"/>
      <c r="I467" s="516" t="e">
        <f>IF(VLOOKUP(C30,list!$AA$5:$AS$14,16,FALSE)=0," ",(VLOOKUP(C30,list!$AA$5:$AS$14,16,FALSE)))</f>
        <v>#N/A</v>
      </c>
      <c r="J467" s="955" t="e">
        <f t="shared" si="159"/>
        <v>#N/A</v>
      </c>
      <c r="K467" s="955" t="e">
        <f t="shared" si="160"/>
        <v>#N/A</v>
      </c>
      <c r="L467" s="969" t="e">
        <f>IF(I467=" "," ",VLOOKUP(J467,list!$J$4:$M$117,4,FALSE))</f>
        <v>#N/A</v>
      </c>
      <c r="M467" s="66"/>
      <c r="N467" s="1297" t="str">
        <f>IF(SUMIFS('Level of Efficiency Assumptions'!$J:$J,'Level of Efficiency Assumptions'!$H:$H,$I467,'Level of Efficiency Assumptions'!$I:$I,N$51)=0," ",SUMIFS('Level of Efficiency Assumptions'!$J:$J,'Level of Efficiency Assumptions'!$H:$H,$I467,'Level of Efficiency Assumptions'!$I:$I,N$51))</f>
        <v xml:space="preserve"> </v>
      </c>
      <c r="O467" s="1298" t="str">
        <f>IF(SUMIFS('Level of Efficiency Assumptions'!$J:$J,'Level of Efficiency Assumptions'!$H:$H,$I467,'Level of Efficiency Assumptions'!$I:$I,O$51)=0," ",SUMIFS('Level of Efficiency Assumptions'!$J:$J,'Level of Efficiency Assumptions'!$H:$H,$I467,'Level of Efficiency Assumptions'!$I:$I,O$51))</f>
        <v xml:space="preserve"> </v>
      </c>
      <c r="P467" s="1299" t="str">
        <f>IF(SUMIFS('Level of Efficiency Assumptions'!$J:$J,'Level of Efficiency Assumptions'!$H:$H,$I467,'Level of Efficiency Assumptions'!$I:$I,P$51)=0," ",SUMIFS('Level of Efficiency Assumptions'!$J:$J,'Level of Efficiency Assumptions'!$H:$H,$I467,'Level of Efficiency Assumptions'!$I:$I,P$51))</f>
        <v xml:space="preserve"> </v>
      </c>
      <c r="Q467" s="971" t="e">
        <f>IF(I467=" "," ",(VLOOKUP(I467,list!$B$81:$C$111,2,FALSE)))</f>
        <v>#N/A</v>
      </c>
      <c r="R467" s="243">
        <f t="shared" si="158"/>
        <v>0</v>
      </c>
      <c r="S467" s="64">
        <v>1</v>
      </c>
      <c r="T467" s="68">
        <v>0</v>
      </c>
      <c r="U467" s="244">
        <f t="shared" si="161"/>
        <v>1</v>
      </c>
    </row>
    <row r="468" spans="2:24" ht="15" thickBot="1" x14ac:dyDescent="0.35">
      <c r="C468" s="520"/>
      <c r="D468" s="224" t="str">
        <f t="shared" si="162"/>
        <v xml:space="preserve">  </v>
      </c>
      <c r="E468" s="224"/>
      <c r="F468" s="224" t="str">
        <f t="shared" si="163"/>
        <v xml:space="preserve">  </v>
      </c>
      <c r="G468" s="224"/>
      <c r="H468" s="380"/>
      <c r="I468" s="516" t="e">
        <f>IF(VLOOKUP(C30,list!$AA$5:$AS$14,17,FALSE)=0," ",(VLOOKUP(C30,list!$AA$5:$AS$14,17,FALSE)))</f>
        <v>#N/A</v>
      </c>
      <c r="J468" s="955" t="e">
        <f t="shared" si="159"/>
        <v>#N/A</v>
      </c>
      <c r="K468" s="955" t="e">
        <f t="shared" si="160"/>
        <v>#N/A</v>
      </c>
      <c r="L468" s="969" t="e">
        <f>IF(I468=" "," ",VLOOKUP(J468,list!$J$4:$M$117,4,FALSE))</f>
        <v>#N/A</v>
      </c>
      <c r="M468" s="66"/>
      <c r="N468" s="1297" t="str">
        <f>IF(SUMIFS('Level of Efficiency Assumptions'!$J:$J,'Level of Efficiency Assumptions'!$H:$H,$I468,'Level of Efficiency Assumptions'!$I:$I,N$51)=0," ",SUMIFS('Level of Efficiency Assumptions'!$J:$J,'Level of Efficiency Assumptions'!$H:$H,$I468,'Level of Efficiency Assumptions'!$I:$I,N$51))</f>
        <v xml:space="preserve"> </v>
      </c>
      <c r="O468" s="1298" t="str">
        <f>IF(SUMIFS('Level of Efficiency Assumptions'!$J:$J,'Level of Efficiency Assumptions'!$H:$H,$I468,'Level of Efficiency Assumptions'!$I:$I,O$51)=0," ",SUMIFS('Level of Efficiency Assumptions'!$J:$J,'Level of Efficiency Assumptions'!$H:$H,$I468,'Level of Efficiency Assumptions'!$I:$I,O$51))</f>
        <v xml:space="preserve"> </v>
      </c>
      <c r="P468" s="1299" t="str">
        <f>IF(SUMIFS('Level of Efficiency Assumptions'!$J:$J,'Level of Efficiency Assumptions'!$H:$H,$I468,'Level of Efficiency Assumptions'!$I:$I,P$51)=0," ",SUMIFS('Level of Efficiency Assumptions'!$J:$J,'Level of Efficiency Assumptions'!$H:$H,$I468,'Level of Efficiency Assumptions'!$I:$I,P$51))</f>
        <v xml:space="preserve"> </v>
      </c>
      <c r="Q468" s="971" t="e">
        <f>IF(I468=" "," ",(VLOOKUP(I468,list!$B$81:$C$111,2,FALSE)))</f>
        <v>#N/A</v>
      </c>
      <c r="R468" s="243">
        <f t="shared" si="158"/>
        <v>0</v>
      </c>
      <c r="S468" s="64">
        <v>1</v>
      </c>
      <c r="T468" s="68">
        <v>0</v>
      </c>
      <c r="U468" s="244">
        <f t="shared" si="161"/>
        <v>1</v>
      </c>
    </row>
    <row r="469" spans="2:24" ht="15" thickBot="1" x14ac:dyDescent="0.35">
      <c r="C469" s="520"/>
      <c r="D469" s="224" t="str">
        <f t="shared" si="162"/>
        <v xml:space="preserve">  </v>
      </c>
      <c r="E469" s="224"/>
      <c r="F469" s="224" t="str">
        <f t="shared" si="163"/>
        <v xml:space="preserve">  </v>
      </c>
      <c r="G469" s="224"/>
      <c r="H469" s="380"/>
      <c r="I469" s="516" t="e">
        <f>IF(VLOOKUP(C30,list!$AA$5:$AS$14,18,FALSE)=0," ",(VLOOKUP(C30,list!$AA$5:$AS$14,18,FALSE)))</f>
        <v>#N/A</v>
      </c>
      <c r="J469" s="955" t="e">
        <f t="shared" si="159"/>
        <v>#N/A</v>
      </c>
      <c r="K469" s="955" t="e">
        <f t="shared" si="160"/>
        <v>#N/A</v>
      </c>
      <c r="L469" s="969" t="e">
        <f>IF(I469=" "," ",VLOOKUP(J469,list!$J$4:$M$117,4,FALSE))</f>
        <v>#N/A</v>
      </c>
      <c r="M469" s="66"/>
      <c r="N469" s="1297" t="str">
        <f>IF(SUMIFS('Level of Efficiency Assumptions'!$J:$J,'Level of Efficiency Assumptions'!$H:$H,$I469,'Level of Efficiency Assumptions'!$I:$I,N$51)=0," ",SUMIFS('Level of Efficiency Assumptions'!$J:$J,'Level of Efficiency Assumptions'!$H:$H,$I469,'Level of Efficiency Assumptions'!$I:$I,N$51))</f>
        <v xml:space="preserve"> </v>
      </c>
      <c r="O469" s="1298" t="str">
        <f>IF(SUMIFS('Level of Efficiency Assumptions'!$J:$J,'Level of Efficiency Assumptions'!$H:$H,$I469,'Level of Efficiency Assumptions'!$I:$I,O$51)=0," ",SUMIFS('Level of Efficiency Assumptions'!$J:$J,'Level of Efficiency Assumptions'!$H:$H,$I469,'Level of Efficiency Assumptions'!$I:$I,O$51))</f>
        <v xml:space="preserve"> </v>
      </c>
      <c r="P469" s="1299" t="str">
        <f>IF(SUMIFS('Level of Efficiency Assumptions'!$J:$J,'Level of Efficiency Assumptions'!$H:$H,$I469,'Level of Efficiency Assumptions'!$I:$I,P$51)=0," ",SUMIFS('Level of Efficiency Assumptions'!$J:$J,'Level of Efficiency Assumptions'!$H:$H,$I469,'Level of Efficiency Assumptions'!$I:$I,P$51))</f>
        <v xml:space="preserve"> </v>
      </c>
      <c r="Q469" s="971" t="e">
        <f>IF(I469=" "," ",(VLOOKUP(I469,list!$B$81:$C$111,2,FALSE)))</f>
        <v>#N/A</v>
      </c>
      <c r="R469" s="243">
        <f t="shared" si="158"/>
        <v>0</v>
      </c>
      <c r="S469" s="64">
        <v>1</v>
      </c>
      <c r="T469" s="68">
        <v>0</v>
      </c>
      <c r="U469" s="244">
        <f t="shared" si="161"/>
        <v>1</v>
      </c>
    </row>
    <row r="470" spans="2:24" ht="15" thickBot="1" x14ac:dyDescent="0.35">
      <c r="C470" s="632"/>
      <c r="D470" s="226" t="str">
        <f t="shared" si="162"/>
        <v xml:space="preserve">  </v>
      </c>
      <c r="E470" s="226"/>
      <c r="F470" s="226" t="str">
        <f t="shared" si="163"/>
        <v xml:space="preserve">  </v>
      </c>
      <c r="G470" s="226"/>
      <c r="H470" s="976"/>
      <c r="I470" s="516" t="e">
        <f>IF(VLOOKUP(C30,list!$AA$5:$AS$14,19,FALSE)=0," ",(VLOOKUP(C30,list!$AA$5:$AS$14,19,FALSE)))</f>
        <v>#N/A</v>
      </c>
      <c r="J470" s="955" t="e">
        <f>IF(I470=" "," ",(D470&amp;"-"&amp;I470))</f>
        <v>#N/A</v>
      </c>
      <c r="K470" s="955" t="e">
        <f t="shared" si="160"/>
        <v>#N/A</v>
      </c>
      <c r="L470" s="969" t="e">
        <f>IF(I470=" "," ",VLOOKUP(J470,list!$J$4:$M$117,4,FALSE))</f>
        <v>#N/A</v>
      </c>
      <c r="M470" s="67"/>
      <c r="N470" s="1303" t="str">
        <f>IF(SUMIFS('Level of Efficiency Assumptions'!$J:$J,'Level of Efficiency Assumptions'!$H:$H,$I470,'Level of Efficiency Assumptions'!$I:$I,N$51)=0," ",SUMIFS('Level of Efficiency Assumptions'!$J:$J,'Level of Efficiency Assumptions'!$H:$H,$I470,'Level of Efficiency Assumptions'!$I:$I,N$51))</f>
        <v xml:space="preserve"> </v>
      </c>
      <c r="O470" s="1304" t="str">
        <f>IF(SUMIFS('Level of Efficiency Assumptions'!$J:$J,'Level of Efficiency Assumptions'!$H:$H,$I470,'Level of Efficiency Assumptions'!$I:$I,O$51)=0," ",SUMIFS('Level of Efficiency Assumptions'!$J:$J,'Level of Efficiency Assumptions'!$H:$H,$I470,'Level of Efficiency Assumptions'!$I:$I,O$51))</f>
        <v xml:space="preserve"> </v>
      </c>
      <c r="P470" s="1305" t="str">
        <f>IF(SUMIFS('Level of Efficiency Assumptions'!$J:$J,'Level of Efficiency Assumptions'!$H:$H,$I470,'Level of Efficiency Assumptions'!$I:$I,P$51)=0," ",SUMIFS('Level of Efficiency Assumptions'!$J:$J,'Level of Efficiency Assumptions'!$H:$H,$I470,'Level of Efficiency Assumptions'!$I:$I,P$51))</f>
        <v xml:space="preserve"> </v>
      </c>
      <c r="Q470" s="977" t="e">
        <f>IF(I470=" "," ",(VLOOKUP(I470,list!$B$81:$C$111,2,FALSE)))</f>
        <v>#N/A</v>
      </c>
      <c r="R470" s="245">
        <f t="shared" si="158"/>
        <v>0</v>
      </c>
      <c r="S470" s="65">
        <v>1</v>
      </c>
      <c r="T470" s="69">
        <v>0</v>
      </c>
      <c r="U470" s="246">
        <f t="shared" si="161"/>
        <v>1</v>
      </c>
    </row>
    <row r="471" spans="2:24" x14ac:dyDescent="0.3">
      <c r="D471" s="846"/>
      <c r="F471" s="82"/>
      <c r="J471" s="846"/>
      <c r="K471" s="846"/>
      <c r="N471" s="1179"/>
      <c r="O471" s="1179"/>
      <c r="P471" s="1179"/>
      <c r="R471" s="176" t="s">
        <v>295</v>
      </c>
      <c r="S471" s="176"/>
      <c r="T471" s="176"/>
      <c r="U471" s="176"/>
    </row>
    <row r="472" spans="2:24" ht="15" thickBot="1" x14ac:dyDescent="0.35">
      <c r="D472" s="846"/>
      <c r="F472" s="82"/>
      <c r="J472" s="846"/>
      <c r="K472" s="846"/>
      <c r="N472" s="1179"/>
      <c r="O472" s="1179"/>
      <c r="P472" s="1179"/>
    </row>
    <row r="473" spans="2:24" ht="15" thickBot="1" x14ac:dyDescent="0.35">
      <c r="B473" s="814">
        <v>22</v>
      </c>
      <c r="C473" s="967" t="str">
        <f t="shared" ref="C473:H473" si="164">C31</f>
        <v xml:space="preserve">  </v>
      </c>
      <c r="D473" s="967" t="str">
        <f t="shared" si="164"/>
        <v xml:space="preserve">  </v>
      </c>
      <c r="E473" s="967" t="str">
        <f t="shared" si="164"/>
        <v xml:space="preserve">  </v>
      </c>
      <c r="F473" s="967" t="str">
        <f t="shared" si="164"/>
        <v xml:space="preserve">  </v>
      </c>
      <c r="G473" s="967">
        <f t="shared" si="164"/>
        <v>0</v>
      </c>
      <c r="H473" s="968">
        <f t="shared" si="164"/>
        <v>0</v>
      </c>
      <c r="I473" s="516" t="e">
        <f>IF(VLOOKUP(C31,list!$AA$5:$AS$14,2,FALSE)=0," ",(VLOOKUP(C31,list!$AA$5:$AS$14,2,FALSE)))</f>
        <v>#N/A</v>
      </c>
      <c r="J473" s="955" t="e">
        <f>IF(I473=" "," ",(D31&amp;"-"&amp;I473))</f>
        <v>#N/A</v>
      </c>
      <c r="K473" s="955" t="e">
        <f>IF(I473=" "," ",(F31&amp;"-"&amp;I473))</f>
        <v>#N/A</v>
      </c>
      <c r="L473" s="969" t="e">
        <f>IF(I473=" "," ",VLOOKUP(J473,list!$J$4:$M$117,4,FALSE))</f>
        <v>#N/A</v>
      </c>
      <c r="M473" s="70"/>
      <c r="N473" s="1300" t="str">
        <f>IF(SUMIFS('Level of Efficiency Assumptions'!$J:$J,'Level of Efficiency Assumptions'!$H:$H,$I473,'Level of Efficiency Assumptions'!$I:$I,N$51)=0," ",SUMIFS('Level of Efficiency Assumptions'!$J:$J,'Level of Efficiency Assumptions'!$H:$H,$I473,'Level of Efficiency Assumptions'!$I:$I,N$51))</f>
        <v xml:space="preserve"> </v>
      </c>
      <c r="O473" s="1301" t="str">
        <f>IF(SUMIFS('Level of Efficiency Assumptions'!$J:$J,'Level of Efficiency Assumptions'!$H:$H,$I473,'Level of Efficiency Assumptions'!$I:$I,O$51)=0," ",SUMIFS('Level of Efficiency Assumptions'!$J:$J,'Level of Efficiency Assumptions'!$H:$H,$I473,'Level of Efficiency Assumptions'!$I:$I,O$51))</f>
        <v xml:space="preserve"> </v>
      </c>
      <c r="P473" s="1302" t="str">
        <f>IF(SUMIFS('Level of Efficiency Assumptions'!$J:$J,'Level of Efficiency Assumptions'!$H:$H,$I473,'Level of Efficiency Assumptions'!$I:$I,P$51)=0," ",SUMIFS('Level of Efficiency Assumptions'!$J:$J,'Level of Efficiency Assumptions'!$H:$H,$I473,'Level of Efficiency Assumptions'!$I:$I,P$51))</f>
        <v xml:space="preserve"> </v>
      </c>
      <c r="Q473" s="970" t="e">
        <f>IF(I473=" "," ",(VLOOKUP(I473,list!$B$81:$C$111,2,FALSE)))</f>
        <v>#N/A</v>
      </c>
      <c r="R473" s="241">
        <f t="shared" ref="R473:R490" si="165">1-S473-T473</f>
        <v>0</v>
      </c>
      <c r="S473" s="83">
        <v>1</v>
      </c>
      <c r="T473" s="84">
        <v>0</v>
      </c>
      <c r="U473" s="242">
        <f>SUM(R473:T473)</f>
        <v>1</v>
      </c>
      <c r="W473" s="250" t="s">
        <v>367</v>
      </c>
      <c r="X473" s="251" t="s">
        <v>366</v>
      </c>
    </row>
    <row r="474" spans="2:24" ht="15" thickBot="1" x14ac:dyDescent="0.35">
      <c r="C474" s="520"/>
      <c r="D474" s="224" t="str">
        <f>D31</f>
        <v xml:space="preserve">  </v>
      </c>
      <c r="E474" s="224"/>
      <c r="F474" s="224" t="str">
        <f>F31</f>
        <v xml:space="preserve">  </v>
      </c>
      <c r="G474" s="224"/>
      <c r="H474" s="380"/>
      <c r="I474" s="516" t="e">
        <f>IF(VLOOKUP(C31,list!$AA$5:$AS$14,3,FALSE)=0," ",(VLOOKUP(C31,list!$AA$5:$AS$14,3,FALSE)))</f>
        <v>#N/A</v>
      </c>
      <c r="J474" s="955" t="e">
        <f t="shared" ref="J474:J489" si="166">IF(I474=" "," ",(D474&amp;"-"&amp;I474))</f>
        <v>#N/A</v>
      </c>
      <c r="K474" s="955" t="e">
        <f t="shared" ref="K474:K490" si="167">IF(I474=" "," ",(F474&amp;"-"&amp;I474))</f>
        <v>#N/A</v>
      </c>
      <c r="L474" s="969" t="e">
        <f>IF(I474=" "," ",VLOOKUP(J474,list!$J$4:$M$117,4,FALSE))</f>
        <v>#N/A</v>
      </c>
      <c r="M474" s="66"/>
      <c r="N474" s="1297" t="str">
        <f>IF(SUMIFS('Level of Efficiency Assumptions'!$J:$J,'Level of Efficiency Assumptions'!$H:$H,$I474,'Level of Efficiency Assumptions'!$I:$I,N$51)=0," ",SUMIFS('Level of Efficiency Assumptions'!$J:$J,'Level of Efficiency Assumptions'!$H:$H,$I474,'Level of Efficiency Assumptions'!$I:$I,N$51))</f>
        <v xml:space="preserve"> </v>
      </c>
      <c r="O474" s="1298" t="str">
        <f>IF(SUMIFS('Level of Efficiency Assumptions'!$J:$J,'Level of Efficiency Assumptions'!$H:$H,$I474,'Level of Efficiency Assumptions'!$I:$I,O$51)=0," ",SUMIFS('Level of Efficiency Assumptions'!$J:$J,'Level of Efficiency Assumptions'!$H:$H,$I474,'Level of Efficiency Assumptions'!$I:$I,O$51))</f>
        <v xml:space="preserve"> </v>
      </c>
      <c r="P474" s="1299" t="str">
        <f>IF(SUMIFS('Level of Efficiency Assumptions'!$J:$J,'Level of Efficiency Assumptions'!$H:$H,$I474,'Level of Efficiency Assumptions'!$I:$I,P$51)=0," ",SUMIFS('Level of Efficiency Assumptions'!$J:$J,'Level of Efficiency Assumptions'!$H:$H,$I474,'Level of Efficiency Assumptions'!$I:$I,P$51))</f>
        <v xml:space="preserve"> </v>
      </c>
      <c r="Q474" s="971" t="e">
        <f>IF(I474=" "," ",(VLOOKUP(I474,list!$B$81:$C$111,2,FALSE)))</f>
        <v>#N/A</v>
      </c>
      <c r="R474" s="243">
        <f t="shared" si="165"/>
        <v>0</v>
      </c>
      <c r="S474" s="64">
        <v>1</v>
      </c>
      <c r="T474" s="68">
        <v>0</v>
      </c>
      <c r="U474" s="244">
        <f t="shared" ref="U474:U490" si="168">SUM(R474:T474)</f>
        <v>1</v>
      </c>
      <c r="V474" s="82" t="e">
        <f>F474&amp;"-"&amp;W474</f>
        <v>#N/A</v>
      </c>
      <c r="W474" s="247" t="e">
        <f>HLOOKUP(D474,list!$O$34:$X$38,2,FALSE)</f>
        <v>#N/A</v>
      </c>
      <c r="X474" s="972">
        <v>1</v>
      </c>
    </row>
    <row r="475" spans="2:24" ht="15" thickBot="1" x14ac:dyDescent="0.35">
      <c r="C475" s="520"/>
      <c r="D475" s="224" t="str">
        <f>D474</f>
        <v xml:space="preserve">  </v>
      </c>
      <c r="E475" s="224"/>
      <c r="F475" s="224" t="str">
        <f>F474</f>
        <v xml:space="preserve">  </v>
      </c>
      <c r="G475" s="224"/>
      <c r="H475" s="380"/>
      <c r="I475" s="516" t="e">
        <f>IF(VLOOKUP(C31,list!$AA$5:$AS$14,4,FALSE)=0," ",(VLOOKUP(C31,list!$AA$5:$AS$14,4,FALSE)))</f>
        <v>#N/A</v>
      </c>
      <c r="J475" s="955" t="e">
        <f t="shared" si="166"/>
        <v>#N/A</v>
      </c>
      <c r="K475" s="955" t="e">
        <f t="shared" si="167"/>
        <v>#N/A</v>
      </c>
      <c r="L475" s="969" t="e">
        <f>IF(I475=" "," ",VLOOKUP(J475,list!$J$4:$M$117,4,FALSE))</f>
        <v>#N/A</v>
      </c>
      <c r="M475" s="66"/>
      <c r="N475" s="1297" t="str">
        <f>IF(SUMIFS('Level of Efficiency Assumptions'!$J:$J,'Level of Efficiency Assumptions'!$H:$H,$I475,'Level of Efficiency Assumptions'!$I:$I,N$51)=0," ",SUMIFS('Level of Efficiency Assumptions'!$J:$J,'Level of Efficiency Assumptions'!$H:$H,$I475,'Level of Efficiency Assumptions'!$I:$I,N$51))</f>
        <v xml:space="preserve"> </v>
      </c>
      <c r="O475" s="1298" t="str">
        <f>IF(SUMIFS('Level of Efficiency Assumptions'!$J:$J,'Level of Efficiency Assumptions'!$H:$H,$I475,'Level of Efficiency Assumptions'!$I:$I,O$51)=0," ",SUMIFS('Level of Efficiency Assumptions'!$J:$J,'Level of Efficiency Assumptions'!$H:$H,$I475,'Level of Efficiency Assumptions'!$I:$I,O$51))</f>
        <v xml:space="preserve"> </v>
      </c>
      <c r="P475" s="1299" t="str">
        <f>IF(SUMIFS('Level of Efficiency Assumptions'!$J:$J,'Level of Efficiency Assumptions'!$H:$H,$I475,'Level of Efficiency Assumptions'!$I:$I,P$51)=0," ",SUMIFS('Level of Efficiency Assumptions'!$J:$J,'Level of Efficiency Assumptions'!$H:$H,$I475,'Level of Efficiency Assumptions'!$I:$I,P$51))</f>
        <v xml:space="preserve"> </v>
      </c>
      <c r="Q475" s="971" t="e">
        <f>IF(I475=" "," ",(VLOOKUP(I475,list!$B$81:$C$111,2,FALSE)))</f>
        <v>#N/A</v>
      </c>
      <c r="R475" s="243">
        <f t="shared" si="165"/>
        <v>0</v>
      </c>
      <c r="S475" s="64">
        <v>1</v>
      </c>
      <c r="T475" s="68">
        <v>0</v>
      </c>
      <c r="U475" s="244">
        <f t="shared" si="168"/>
        <v>1</v>
      </c>
      <c r="V475" s="82" t="e">
        <f>F475&amp;"-"&amp;W475</f>
        <v>#N/A</v>
      </c>
      <c r="W475" s="248" t="e">
        <f>HLOOKUP(D475,list!$O$34:$X$38,3,FALSE)</f>
        <v>#N/A</v>
      </c>
      <c r="X475" s="973">
        <v>0.5</v>
      </c>
    </row>
    <row r="476" spans="2:24" ht="15" thickBot="1" x14ac:dyDescent="0.35">
      <c r="C476" s="520"/>
      <c r="D476" s="224" t="str">
        <f t="shared" ref="D476:D490" si="169">D475</f>
        <v xml:space="preserve">  </v>
      </c>
      <c r="E476" s="224"/>
      <c r="F476" s="224" t="str">
        <f t="shared" ref="F476:F490" si="170">F475</f>
        <v xml:space="preserve">  </v>
      </c>
      <c r="G476" s="224"/>
      <c r="H476" s="380"/>
      <c r="I476" s="516" t="e">
        <f>IF(VLOOKUP(C31,list!$AA$5:$AS$14,5,FALSE)=0," ",(VLOOKUP(C31,list!$AA$5:$AS$14,5,FALSE)))</f>
        <v>#N/A</v>
      </c>
      <c r="J476" s="955" t="e">
        <f t="shared" si="166"/>
        <v>#N/A</v>
      </c>
      <c r="K476" s="955" t="e">
        <f t="shared" si="167"/>
        <v>#N/A</v>
      </c>
      <c r="L476" s="969" t="e">
        <f>IF(I476=" "," ",VLOOKUP(J476,list!$J$4:$M$117,4,FALSE))</f>
        <v>#N/A</v>
      </c>
      <c r="M476" s="66"/>
      <c r="N476" s="1297" t="str">
        <f>IF(SUMIFS('Level of Efficiency Assumptions'!$J:$J,'Level of Efficiency Assumptions'!$H:$H,$I476,'Level of Efficiency Assumptions'!$I:$I,N$51)=0," ",SUMIFS('Level of Efficiency Assumptions'!$J:$J,'Level of Efficiency Assumptions'!$H:$H,$I476,'Level of Efficiency Assumptions'!$I:$I,N$51))</f>
        <v xml:space="preserve"> </v>
      </c>
      <c r="O476" s="1298" t="str">
        <f>IF(SUMIFS('Level of Efficiency Assumptions'!$J:$J,'Level of Efficiency Assumptions'!$H:$H,$I476,'Level of Efficiency Assumptions'!$I:$I,O$51)=0," ",SUMIFS('Level of Efficiency Assumptions'!$J:$J,'Level of Efficiency Assumptions'!$H:$H,$I476,'Level of Efficiency Assumptions'!$I:$I,O$51))</f>
        <v xml:space="preserve"> </v>
      </c>
      <c r="P476" s="1299" t="str">
        <f>IF(SUMIFS('Level of Efficiency Assumptions'!$J:$J,'Level of Efficiency Assumptions'!$H:$H,$I476,'Level of Efficiency Assumptions'!$I:$I,P$51)=0," ",SUMIFS('Level of Efficiency Assumptions'!$J:$J,'Level of Efficiency Assumptions'!$H:$H,$I476,'Level of Efficiency Assumptions'!$I:$I,P$51))</f>
        <v xml:space="preserve"> </v>
      </c>
      <c r="Q476" s="971" t="e">
        <f>IF(I476=" "," ",(VLOOKUP(I476,list!$B$81:$C$111,2,FALSE)))</f>
        <v>#N/A</v>
      </c>
      <c r="R476" s="243">
        <f t="shared" si="165"/>
        <v>0</v>
      </c>
      <c r="S476" s="64">
        <v>1</v>
      </c>
      <c r="T476" s="68">
        <v>0</v>
      </c>
      <c r="U476" s="244">
        <f t="shared" si="168"/>
        <v>1</v>
      </c>
      <c r="V476" s="82" t="e">
        <f>F476&amp;"-"&amp;W476</f>
        <v>#N/A</v>
      </c>
      <c r="W476" s="248" t="e">
        <f>HLOOKUP(D476,list!$O$34:$X$38,4,FALSE)</f>
        <v>#N/A</v>
      </c>
      <c r="X476" s="973">
        <v>0.5</v>
      </c>
    </row>
    <row r="477" spans="2:24" ht="15" thickBot="1" x14ac:dyDescent="0.35">
      <c r="C477" s="520"/>
      <c r="D477" s="224" t="str">
        <f t="shared" si="169"/>
        <v xml:space="preserve">  </v>
      </c>
      <c r="E477" s="224"/>
      <c r="F477" s="224" t="str">
        <f t="shared" si="170"/>
        <v xml:space="preserve">  </v>
      </c>
      <c r="G477" s="224"/>
      <c r="H477" s="380"/>
      <c r="I477" s="516" t="e">
        <f>IF(VLOOKUP(C31,list!$AA$5:$AS$14,6,FALSE)=0," ",(VLOOKUP(C31,list!$AA$5:$AS$14,6,FALSE)))</f>
        <v>#N/A</v>
      </c>
      <c r="J477" s="955" t="e">
        <f t="shared" si="166"/>
        <v>#N/A</v>
      </c>
      <c r="K477" s="955" t="e">
        <f t="shared" si="167"/>
        <v>#N/A</v>
      </c>
      <c r="L477" s="969" t="e">
        <f>IF(I477=" "," ",VLOOKUP(J477,list!$J$4:$M$117,4,FALSE))</f>
        <v>#N/A</v>
      </c>
      <c r="M477" s="66"/>
      <c r="N477" s="1297" t="str">
        <f>IF(SUMIFS('Level of Efficiency Assumptions'!$J:$J,'Level of Efficiency Assumptions'!$H:$H,$I477,'Level of Efficiency Assumptions'!$I:$I,N$51)=0," ",SUMIFS('Level of Efficiency Assumptions'!$J:$J,'Level of Efficiency Assumptions'!$H:$H,$I477,'Level of Efficiency Assumptions'!$I:$I,N$51))</f>
        <v xml:space="preserve"> </v>
      </c>
      <c r="O477" s="1298" t="str">
        <f>IF(SUMIFS('Level of Efficiency Assumptions'!$J:$J,'Level of Efficiency Assumptions'!$H:$H,$I477,'Level of Efficiency Assumptions'!$I:$I,O$51)=0," ",SUMIFS('Level of Efficiency Assumptions'!$J:$J,'Level of Efficiency Assumptions'!$H:$H,$I477,'Level of Efficiency Assumptions'!$I:$I,O$51))</f>
        <v xml:space="preserve"> </v>
      </c>
      <c r="P477" s="1299" t="str">
        <f>IF(SUMIFS('Level of Efficiency Assumptions'!$J:$J,'Level of Efficiency Assumptions'!$H:$H,$I477,'Level of Efficiency Assumptions'!$I:$I,P$51)=0," ",SUMIFS('Level of Efficiency Assumptions'!$J:$J,'Level of Efficiency Assumptions'!$H:$H,$I477,'Level of Efficiency Assumptions'!$I:$I,P$51))</f>
        <v xml:space="preserve"> </v>
      </c>
      <c r="Q477" s="971" t="e">
        <f>IF(I477=" "," ",(VLOOKUP(I477,list!$B$81:$C$111,2,FALSE)))</f>
        <v>#N/A</v>
      </c>
      <c r="R477" s="243">
        <f t="shared" si="165"/>
        <v>0</v>
      </c>
      <c r="S477" s="64">
        <v>1</v>
      </c>
      <c r="T477" s="68">
        <v>0</v>
      </c>
      <c r="U477" s="244">
        <f t="shared" si="168"/>
        <v>1</v>
      </c>
      <c r="V477" s="82" t="e">
        <f>F477&amp;"-"&amp;W477</f>
        <v>#N/A</v>
      </c>
      <c r="W477" s="249" t="e">
        <f>HLOOKUP(D477,list!$O$34:$X$38,5,FALSE)</f>
        <v>#N/A</v>
      </c>
      <c r="X477" s="974">
        <v>0.5</v>
      </c>
    </row>
    <row r="478" spans="2:24" ht="15" thickBot="1" x14ac:dyDescent="0.35">
      <c r="C478" s="520"/>
      <c r="D478" s="224" t="str">
        <f t="shared" si="169"/>
        <v xml:space="preserve">  </v>
      </c>
      <c r="E478" s="224"/>
      <c r="F478" s="224" t="str">
        <f t="shared" si="170"/>
        <v xml:space="preserve">  </v>
      </c>
      <c r="G478" s="224"/>
      <c r="H478" s="380"/>
      <c r="I478" s="516" t="e">
        <f>IF(VLOOKUP(C31,list!$AA$5:$AS$14,7,FALSE)=0," ",(VLOOKUP(C31,list!$AA$5:$AS$14,7,FALSE)))</f>
        <v>#N/A</v>
      </c>
      <c r="J478" s="955" t="e">
        <f t="shared" si="166"/>
        <v>#N/A</v>
      </c>
      <c r="K478" s="955" t="e">
        <f t="shared" si="167"/>
        <v>#N/A</v>
      </c>
      <c r="L478" s="969" t="e">
        <f>IF(I478=" "," ",VLOOKUP(J478,list!$J$4:$M$117,4,FALSE))</f>
        <v>#N/A</v>
      </c>
      <c r="M478" s="66"/>
      <c r="N478" s="1297" t="str">
        <f>IF(SUMIFS('Level of Efficiency Assumptions'!$J:$J,'Level of Efficiency Assumptions'!$H:$H,$I478,'Level of Efficiency Assumptions'!$I:$I,N$51)=0," ",SUMIFS('Level of Efficiency Assumptions'!$J:$J,'Level of Efficiency Assumptions'!$H:$H,$I478,'Level of Efficiency Assumptions'!$I:$I,N$51))</f>
        <v xml:space="preserve"> </v>
      </c>
      <c r="O478" s="1298" t="str">
        <f>IF(SUMIFS('Level of Efficiency Assumptions'!$J:$J,'Level of Efficiency Assumptions'!$H:$H,$I478,'Level of Efficiency Assumptions'!$I:$I,O$51)=0," ",SUMIFS('Level of Efficiency Assumptions'!$J:$J,'Level of Efficiency Assumptions'!$H:$H,$I478,'Level of Efficiency Assumptions'!$I:$I,O$51))</f>
        <v xml:space="preserve"> </v>
      </c>
      <c r="P478" s="1299" t="str">
        <f>IF(SUMIFS('Level of Efficiency Assumptions'!$J:$J,'Level of Efficiency Assumptions'!$H:$H,$I478,'Level of Efficiency Assumptions'!$I:$I,P$51)=0," ",SUMIFS('Level of Efficiency Assumptions'!$J:$J,'Level of Efficiency Assumptions'!$H:$H,$I478,'Level of Efficiency Assumptions'!$I:$I,P$51))</f>
        <v xml:space="preserve"> </v>
      </c>
      <c r="Q478" s="971" t="e">
        <f>IF(I478=" "," ",(VLOOKUP(I478,list!$B$81:$C$111,2,FALSE)))</f>
        <v>#N/A</v>
      </c>
      <c r="R478" s="243">
        <f t="shared" si="165"/>
        <v>0</v>
      </c>
      <c r="S478" s="64">
        <v>1</v>
      </c>
      <c r="T478" s="68">
        <v>0</v>
      </c>
      <c r="U478" s="244">
        <f t="shared" si="168"/>
        <v>1</v>
      </c>
      <c r="W478" s="182"/>
      <c r="X478" s="975"/>
    </row>
    <row r="479" spans="2:24" ht="15" thickBot="1" x14ac:dyDescent="0.35">
      <c r="C479" s="520"/>
      <c r="D479" s="224" t="str">
        <f t="shared" si="169"/>
        <v xml:space="preserve">  </v>
      </c>
      <c r="E479" s="224"/>
      <c r="F479" s="224" t="str">
        <f t="shared" si="170"/>
        <v xml:space="preserve">  </v>
      </c>
      <c r="G479" s="224"/>
      <c r="H479" s="380"/>
      <c r="I479" s="516" t="e">
        <f>IF(VLOOKUP(C31,list!$AA$5:$AS$14,8,FALSE)=0," ",(VLOOKUP(C31,list!$AA$5:$AS$14,8,FALSE)))</f>
        <v>#N/A</v>
      </c>
      <c r="J479" s="955" t="e">
        <f t="shared" si="166"/>
        <v>#N/A</v>
      </c>
      <c r="K479" s="955" t="e">
        <f t="shared" si="167"/>
        <v>#N/A</v>
      </c>
      <c r="L479" s="969" t="e">
        <f>IF(I479=" "," ",VLOOKUP(J479,list!$J$4:$M$117,4,FALSE))</f>
        <v>#N/A</v>
      </c>
      <c r="M479" s="66"/>
      <c r="N479" s="1297" t="str">
        <f>IF(SUMIFS('Level of Efficiency Assumptions'!$J:$J,'Level of Efficiency Assumptions'!$H:$H,$I479,'Level of Efficiency Assumptions'!$I:$I,N$51)=0," ",SUMIFS('Level of Efficiency Assumptions'!$J:$J,'Level of Efficiency Assumptions'!$H:$H,$I479,'Level of Efficiency Assumptions'!$I:$I,N$51))</f>
        <v xml:space="preserve"> </v>
      </c>
      <c r="O479" s="1298" t="str">
        <f>IF(SUMIFS('Level of Efficiency Assumptions'!$J:$J,'Level of Efficiency Assumptions'!$H:$H,$I479,'Level of Efficiency Assumptions'!$I:$I,O$51)=0," ",SUMIFS('Level of Efficiency Assumptions'!$J:$J,'Level of Efficiency Assumptions'!$H:$H,$I479,'Level of Efficiency Assumptions'!$I:$I,O$51))</f>
        <v xml:space="preserve"> </v>
      </c>
      <c r="P479" s="1299" t="str">
        <f>IF(SUMIFS('Level of Efficiency Assumptions'!$J:$J,'Level of Efficiency Assumptions'!$H:$H,$I479,'Level of Efficiency Assumptions'!$I:$I,P$51)=0," ",SUMIFS('Level of Efficiency Assumptions'!$J:$J,'Level of Efficiency Assumptions'!$H:$H,$I479,'Level of Efficiency Assumptions'!$I:$I,P$51))</f>
        <v xml:space="preserve"> </v>
      </c>
      <c r="Q479" s="971" t="e">
        <f>IF(I479=" "," ",(VLOOKUP(I479,list!$B$81:$C$111,2,FALSE)))</f>
        <v>#N/A</v>
      </c>
      <c r="R479" s="243">
        <f t="shared" si="165"/>
        <v>0</v>
      </c>
      <c r="S479" s="64">
        <v>1</v>
      </c>
      <c r="T479" s="68">
        <v>0</v>
      </c>
      <c r="U479" s="244">
        <f t="shared" si="168"/>
        <v>1</v>
      </c>
      <c r="W479" s="182"/>
      <c r="X479" s="975"/>
    </row>
    <row r="480" spans="2:24" ht="15" thickBot="1" x14ac:dyDescent="0.35">
      <c r="C480" s="520"/>
      <c r="D480" s="224" t="str">
        <f t="shared" si="169"/>
        <v xml:space="preserve">  </v>
      </c>
      <c r="E480" s="224"/>
      <c r="F480" s="224" t="str">
        <f t="shared" si="170"/>
        <v xml:space="preserve">  </v>
      </c>
      <c r="G480" s="224"/>
      <c r="H480" s="380"/>
      <c r="I480" s="516" t="e">
        <f>IF(VLOOKUP(C31,list!$AA$5:$AS$14,9,FALSE)=0," ",(VLOOKUP(C31,list!$AA$5:$AS$14,9,FALSE)))</f>
        <v>#N/A</v>
      </c>
      <c r="J480" s="955" t="e">
        <f t="shared" si="166"/>
        <v>#N/A</v>
      </c>
      <c r="K480" s="955" t="e">
        <f t="shared" si="167"/>
        <v>#N/A</v>
      </c>
      <c r="L480" s="969" t="e">
        <f>IF(I480=" "," ",VLOOKUP(J480,list!$J$4:$M$117,4,FALSE))</f>
        <v>#N/A</v>
      </c>
      <c r="M480" s="66"/>
      <c r="N480" s="1297" t="str">
        <f>IF(SUMIFS('Level of Efficiency Assumptions'!$J:$J,'Level of Efficiency Assumptions'!$H:$H,$I480,'Level of Efficiency Assumptions'!$I:$I,N$51)=0," ",SUMIFS('Level of Efficiency Assumptions'!$J:$J,'Level of Efficiency Assumptions'!$H:$H,$I480,'Level of Efficiency Assumptions'!$I:$I,N$51))</f>
        <v xml:space="preserve"> </v>
      </c>
      <c r="O480" s="1298" t="str">
        <f>IF(SUMIFS('Level of Efficiency Assumptions'!$J:$J,'Level of Efficiency Assumptions'!$H:$H,$I480,'Level of Efficiency Assumptions'!$I:$I,O$51)=0," ",SUMIFS('Level of Efficiency Assumptions'!$J:$J,'Level of Efficiency Assumptions'!$H:$H,$I480,'Level of Efficiency Assumptions'!$I:$I,O$51))</f>
        <v xml:space="preserve"> </v>
      </c>
      <c r="P480" s="1299" t="str">
        <f>IF(SUMIFS('Level of Efficiency Assumptions'!$J:$J,'Level of Efficiency Assumptions'!$H:$H,$I480,'Level of Efficiency Assumptions'!$I:$I,P$51)=0," ",SUMIFS('Level of Efficiency Assumptions'!$J:$J,'Level of Efficiency Assumptions'!$H:$H,$I480,'Level of Efficiency Assumptions'!$I:$I,P$51))</f>
        <v xml:space="preserve"> </v>
      </c>
      <c r="Q480" s="971" t="e">
        <f>IF(I480=" "," ",(VLOOKUP(I480,list!$B$81:$C$111,2,FALSE)))</f>
        <v>#N/A</v>
      </c>
      <c r="R480" s="243">
        <f t="shared" si="165"/>
        <v>0</v>
      </c>
      <c r="S480" s="64">
        <v>1</v>
      </c>
      <c r="T480" s="68">
        <v>0</v>
      </c>
      <c r="U480" s="244">
        <f t="shared" si="168"/>
        <v>1</v>
      </c>
    </row>
    <row r="481" spans="2:24" ht="15" thickBot="1" x14ac:dyDescent="0.35">
      <c r="C481" s="520"/>
      <c r="D481" s="224" t="str">
        <f t="shared" si="169"/>
        <v xml:space="preserve">  </v>
      </c>
      <c r="E481" s="224"/>
      <c r="F481" s="224" t="str">
        <f t="shared" si="170"/>
        <v xml:space="preserve">  </v>
      </c>
      <c r="G481" s="224"/>
      <c r="H481" s="380"/>
      <c r="I481" s="516" t="e">
        <f>IF(VLOOKUP(C31,list!$AA$5:$AS$14,10,FALSE)=0," ",(VLOOKUP(C31,list!$AA$5:$AS$14,10,FALSE)))</f>
        <v>#N/A</v>
      </c>
      <c r="J481" s="955" t="e">
        <f t="shared" si="166"/>
        <v>#N/A</v>
      </c>
      <c r="K481" s="955" t="e">
        <f t="shared" si="167"/>
        <v>#N/A</v>
      </c>
      <c r="L481" s="969" t="e">
        <f>IF(I481=" "," ",VLOOKUP(J481,list!$J$4:$M$117,4,FALSE))</f>
        <v>#N/A</v>
      </c>
      <c r="M481" s="66"/>
      <c r="N481" s="1297" t="str">
        <f>IF(SUMIFS('Level of Efficiency Assumptions'!$J:$J,'Level of Efficiency Assumptions'!$H:$H,$I481,'Level of Efficiency Assumptions'!$I:$I,N$51)=0," ",SUMIFS('Level of Efficiency Assumptions'!$J:$J,'Level of Efficiency Assumptions'!$H:$H,$I481,'Level of Efficiency Assumptions'!$I:$I,N$51))</f>
        <v xml:space="preserve"> </v>
      </c>
      <c r="O481" s="1298" t="str">
        <f>IF(SUMIFS('Level of Efficiency Assumptions'!$J:$J,'Level of Efficiency Assumptions'!$H:$H,$I481,'Level of Efficiency Assumptions'!$I:$I,O$51)=0," ",SUMIFS('Level of Efficiency Assumptions'!$J:$J,'Level of Efficiency Assumptions'!$H:$H,$I481,'Level of Efficiency Assumptions'!$I:$I,O$51))</f>
        <v xml:space="preserve"> </v>
      </c>
      <c r="P481" s="1299" t="str">
        <f>IF(SUMIFS('Level of Efficiency Assumptions'!$J:$J,'Level of Efficiency Assumptions'!$H:$H,$I481,'Level of Efficiency Assumptions'!$I:$I,P$51)=0," ",SUMIFS('Level of Efficiency Assumptions'!$J:$J,'Level of Efficiency Assumptions'!$H:$H,$I481,'Level of Efficiency Assumptions'!$I:$I,P$51))</f>
        <v xml:space="preserve"> </v>
      </c>
      <c r="Q481" s="971" t="e">
        <f>IF(I481=" "," ",(VLOOKUP(I481,list!$B$81:$C$111,2,FALSE)))</f>
        <v>#N/A</v>
      </c>
      <c r="R481" s="243">
        <f t="shared" si="165"/>
        <v>0</v>
      </c>
      <c r="S481" s="64">
        <v>1</v>
      </c>
      <c r="T481" s="68">
        <v>0</v>
      </c>
      <c r="U481" s="244">
        <f t="shared" si="168"/>
        <v>1</v>
      </c>
    </row>
    <row r="482" spans="2:24" ht="15" thickBot="1" x14ac:dyDescent="0.35">
      <c r="C482" s="520"/>
      <c r="D482" s="224" t="str">
        <f t="shared" si="169"/>
        <v xml:space="preserve">  </v>
      </c>
      <c r="E482" s="224"/>
      <c r="F482" s="224" t="str">
        <f t="shared" si="170"/>
        <v xml:space="preserve">  </v>
      </c>
      <c r="G482" s="224"/>
      <c r="H482" s="380"/>
      <c r="I482" s="516" t="e">
        <f>IF(VLOOKUP(C31,list!$AA$5:$AS$14,11,FALSE)=0," ",(VLOOKUP(C31,list!$AA$5:$AS$14,11,FALSE)))</f>
        <v>#N/A</v>
      </c>
      <c r="J482" s="955" t="e">
        <f t="shared" si="166"/>
        <v>#N/A</v>
      </c>
      <c r="K482" s="955" t="e">
        <f t="shared" si="167"/>
        <v>#N/A</v>
      </c>
      <c r="L482" s="969" t="e">
        <f>IF(I482=" "," ",VLOOKUP(J482,list!$J$4:$M$117,4,FALSE))</f>
        <v>#N/A</v>
      </c>
      <c r="M482" s="66"/>
      <c r="N482" s="1297" t="str">
        <f>IF(SUMIFS('Level of Efficiency Assumptions'!$J:$J,'Level of Efficiency Assumptions'!$H:$H,$I482,'Level of Efficiency Assumptions'!$I:$I,N$51)=0," ",SUMIFS('Level of Efficiency Assumptions'!$J:$J,'Level of Efficiency Assumptions'!$H:$H,$I482,'Level of Efficiency Assumptions'!$I:$I,N$51))</f>
        <v xml:space="preserve"> </v>
      </c>
      <c r="O482" s="1298" t="str">
        <f>IF(SUMIFS('Level of Efficiency Assumptions'!$J:$J,'Level of Efficiency Assumptions'!$H:$H,$I482,'Level of Efficiency Assumptions'!$I:$I,O$51)=0," ",SUMIFS('Level of Efficiency Assumptions'!$J:$J,'Level of Efficiency Assumptions'!$H:$H,$I482,'Level of Efficiency Assumptions'!$I:$I,O$51))</f>
        <v xml:space="preserve"> </v>
      </c>
      <c r="P482" s="1299" t="str">
        <f>IF(SUMIFS('Level of Efficiency Assumptions'!$J:$J,'Level of Efficiency Assumptions'!$H:$H,$I482,'Level of Efficiency Assumptions'!$I:$I,P$51)=0," ",SUMIFS('Level of Efficiency Assumptions'!$J:$J,'Level of Efficiency Assumptions'!$H:$H,$I482,'Level of Efficiency Assumptions'!$I:$I,P$51))</f>
        <v xml:space="preserve"> </v>
      </c>
      <c r="Q482" s="971" t="e">
        <f>IF(I482=" "," ",(VLOOKUP(I482,list!$B$81:$C$111,2,FALSE)))</f>
        <v>#N/A</v>
      </c>
      <c r="R482" s="243">
        <f t="shared" si="165"/>
        <v>0</v>
      </c>
      <c r="S482" s="64">
        <v>1</v>
      </c>
      <c r="T482" s="68">
        <v>0</v>
      </c>
      <c r="U482" s="244">
        <f t="shared" si="168"/>
        <v>1</v>
      </c>
    </row>
    <row r="483" spans="2:24" ht="15" thickBot="1" x14ac:dyDescent="0.35">
      <c r="C483" s="520"/>
      <c r="D483" s="224" t="str">
        <f t="shared" si="169"/>
        <v xml:space="preserve">  </v>
      </c>
      <c r="E483" s="224"/>
      <c r="F483" s="224" t="str">
        <f t="shared" si="170"/>
        <v xml:space="preserve">  </v>
      </c>
      <c r="G483" s="224"/>
      <c r="H483" s="380"/>
      <c r="I483" s="516" t="e">
        <f>IF(VLOOKUP(C31,list!$AA$5:$AS$14,12,FALSE)=0," ",(VLOOKUP(C31,list!$AA$5:$AS$14,12,FALSE)))</f>
        <v>#N/A</v>
      </c>
      <c r="J483" s="955" t="e">
        <f t="shared" si="166"/>
        <v>#N/A</v>
      </c>
      <c r="K483" s="955" t="e">
        <f t="shared" si="167"/>
        <v>#N/A</v>
      </c>
      <c r="L483" s="969" t="e">
        <f>IF(I483=" "," ",VLOOKUP(J483,list!$J$4:$M$117,4,FALSE))</f>
        <v>#N/A</v>
      </c>
      <c r="M483" s="66"/>
      <c r="N483" s="1297" t="str">
        <f>IF(SUMIFS('Level of Efficiency Assumptions'!$J:$J,'Level of Efficiency Assumptions'!$H:$H,$I483,'Level of Efficiency Assumptions'!$I:$I,N$51)=0," ",SUMIFS('Level of Efficiency Assumptions'!$J:$J,'Level of Efficiency Assumptions'!$H:$H,$I483,'Level of Efficiency Assumptions'!$I:$I,N$51))</f>
        <v xml:space="preserve"> </v>
      </c>
      <c r="O483" s="1298" t="str">
        <f>IF(SUMIFS('Level of Efficiency Assumptions'!$J:$J,'Level of Efficiency Assumptions'!$H:$H,$I483,'Level of Efficiency Assumptions'!$I:$I,O$51)=0," ",SUMIFS('Level of Efficiency Assumptions'!$J:$J,'Level of Efficiency Assumptions'!$H:$H,$I483,'Level of Efficiency Assumptions'!$I:$I,O$51))</f>
        <v xml:space="preserve"> </v>
      </c>
      <c r="P483" s="1299" t="str">
        <f>IF(SUMIFS('Level of Efficiency Assumptions'!$J:$J,'Level of Efficiency Assumptions'!$H:$H,$I483,'Level of Efficiency Assumptions'!$I:$I,P$51)=0," ",SUMIFS('Level of Efficiency Assumptions'!$J:$J,'Level of Efficiency Assumptions'!$H:$H,$I483,'Level of Efficiency Assumptions'!$I:$I,P$51))</f>
        <v xml:space="preserve"> </v>
      </c>
      <c r="Q483" s="971" t="e">
        <f>IF(I483=" "," ",(VLOOKUP(I483,list!$B$81:$C$111,2,FALSE)))</f>
        <v>#N/A</v>
      </c>
      <c r="R483" s="243">
        <f t="shared" si="165"/>
        <v>0</v>
      </c>
      <c r="S483" s="64">
        <v>1</v>
      </c>
      <c r="T483" s="68">
        <v>0</v>
      </c>
      <c r="U483" s="244">
        <f t="shared" si="168"/>
        <v>1</v>
      </c>
    </row>
    <row r="484" spans="2:24" ht="15" thickBot="1" x14ac:dyDescent="0.35">
      <c r="C484" s="520"/>
      <c r="D484" s="224" t="str">
        <f t="shared" si="169"/>
        <v xml:space="preserve">  </v>
      </c>
      <c r="E484" s="224"/>
      <c r="F484" s="224" t="str">
        <f t="shared" si="170"/>
        <v xml:space="preserve">  </v>
      </c>
      <c r="G484" s="224"/>
      <c r="H484" s="380"/>
      <c r="I484" s="516" t="e">
        <f>IF(VLOOKUP(C31,list!$AA$5:$AS$14,13,FALSE)=0," ",(VLOOKUP(C31,list!$AA$5:$AS$14,13,FALSE)))</f>
        <v>#N/A</v>
      </c>
      <c r="J484" s="955" t="e">
        <f t="shared" si="166"/>
        <v>#N/A</v>
      </c>
      <c r="K484" s="955" t="e">
        <f t="shared" si="167"/>
        <v>#N/A</v>
      </c>
      <c r="L484" s="969" t="e">
        <f>IF(I484=" "," ",VLOOKUP(J484,list!$J$4:$M$117,4,FALSE))</f>
        <v>#N/A</v>
      </c>
      <c r="M484" s="66"/>
      <c r="N484" s="1297" t="str">
        <f>IF(SUMIFS('Level of Efficiency Assumptions'!$J:$J,'Level of Efficiency Assumptions'!$H:$H,$I484,'Level of Efficiency Assumptions'!$I:$I,N$51)=0," ",SUMIFS('Level of Efficiency Assumptions'!$J:$J,'Level of Efficiency Assumptions'!$H:$H,$I484,'Level of Efficiency Assumptions'!$I:$I,N$51))</f>
        <v xml:space="preserve"> </v>
      </c>
      <c r="O484" s="1298" t="str">
        <f>IF(SUMIFS('Level of Efficiency Assumptions'!$J:$J,'Level of Efficiency Assumptions'!$H:$H,$I484,'Level of Efficiency Assumptions'!$I:$I,O$51)=0," ",SUMIFS('Level of Efficiency Assumptions'!$J:$J,'Level of Efficiency Assumptions'!$H:$H,$I484,'Level of Efficiency Assumptions'!$I:$I,O$51))</f>
        <v xml:space="preserve"> </v>
      </c>
      <c r="P484" s="1299" t="str">
        <f>IF(SUMIFS('Level of Efficiency Assumptions'!$J:$J,'Level of Efficiency Assumptions'!$H:$H,$I484,'Level of Efficiency Assumptions'!$I:$I,P$51)=0," ",SUMIFS('Level of Efficiency Assumptions'!$J:$J,'Level of Efficiency Assumptions'!$H:$H,$I484,'Level of Efficiency Assumptions'!$I:$I,P$51))</f>
        <v xml:space="preserve"> </v>
      </c>
      <c r="Q484" s="971" t="e">
        <f>IF(I484=" "," ",(VLOOKUP(I484,list!$B$81:$C$111,2,FALSE)))</f>
        <v>#N/A</v>
      </c>
      <c r="R484" s="243">
        <f t="shared" si="165"/>
        <v>0</v>
      </c>
      <c r="S484" s="64">
        <v>1</v>
      </c>
      <c r="T484" s="68">
        <v>0</v>
      </c>
      <c r="U484" s="244">
        <f t="shared" si="168"/>
        <v>1</v>
      </c>
    </row>
    <row r="485" spans="2:24" ht="15" thickBot="1" x14ac:dyDescent="0.35">
      <c r="C485" s="520"/>
      <c r="D485" s="224" t="str">
        <f t="shared" si="169"/>
        <v xml:space="preserve">  </v>
      </c>
      <c r="E485" s="224"/>
      <c r="F485" s="224" t="str">
        <f t="shared" si="170"/>
        <v xml:space="preserve">  </v>
      </c>
      <c r="G485" s="224"/>
      <c r="H485" s="380"/>
      <c r="I485" s="516" t="e">
        <f>IF(VLOOKUP(C31,list!$AA$5:$AS$14,14,FALSE)=0," ",(VLOOKUP(C31,list!$AA$5:$AS$14,14,FALSE)))</f>
        <v>#N/A</v>
      </c>
      <c r="J485" s="955" t="e">
        <f t="shared" si="166"/>
        <v>#N/A</v>
      </c>
      <c r="K485" s="955" t="e">
        <f t="shared" si="167"/>
        <v>#N/A</v>
      </c>
      <c r="L485" s="969" t="e">
        <f>IF(I485=" "," ",VLOOKUP(J485,list!$J$4:$M$117,4,FALSE))</f>
        <v>#N/A</v>
      </c>
      <c r="M485" s="66"/>
      <c r="N485" s="1297" t="str">
        <f>IF(SUMIFS('Level of Efficiency Assumptions'!$J:$J,'Level of Efficiency Assumptions'!$H:$H,$I485,'Level of Efficiency Assumptions'!$I:$I,N$51)=0," ",SUMIFS('Level of Efficiency Assumptions'!$J:$J,'Level of Efficiency Assumptions'!$H:$H,$I485,'Level of Efficiency Assumptions'!$I:$I,N$51))</f>
        <v xml:space="preserve"> </v>
      </c>
      <c r="O485" s="1298" t="str">
        <f>IF(SUMIFS('Level of Efficiency Assumptions'!$J:$J,'Level of Efficiency Assumptions'!$H:$H,$I485,'Level of Efficiency Assumptions'!$I:$I,O$51)=0," ",SUMIFS('Level of Efficiency Assumptions'!$J:$J,'Level of Efficiency Assumptions'!$H:$H,$I485,'Level of Efficiency Assumptions'!$I:$I,O$51))</f>
        <v xml:space="preserve"> </v>
      </c>
      <c r="P485" s="1299" t="str">
        <f>IF(SUMIFS('Level of Efficiency Assumptions'!$J:$J,'Level of Efficiency Assumptions'!$H:$H,$I485,'Level of Efficiency Assumptions'!$I:$I,P$51)=0," ",SUMIFS('Level of Efficiency Assumptions'!$J:$J,'Level of Efficiency Assumptions'!$H:$H,$I485,'Level of Efficiency Assumptions'!$I:$I,P$51))</f>
        <v xml:space="preserve"> </v>
      </c>
      <c r="Q485" s="971" t="e">
        <f>IF(I485=" "," ",(VLOOKUP(I485,list!$B$81:$C$111,2,FALSE)))</f>
        <v>#N/A</v>
      </c>
      <c r="R485" s="243">
        <f t="shared" si="165"/>
        <v>0</v>
      </c>
      <c r="S485" s="64">
        <v>1</v>
      </c>
      <c r="T485" s="68">
        <v>0</v>
      </c>
      <c r="U485" s="244">
        <f t="shared" si="168"/>
        <v>1</v>
      </c>
    </row>
    <row r="486" spans="2:24" ht="15" thickBot="1" x14ac:dyDescent="0.35">
      <c r="C486" s="520"/>
      <c r="D486" s="224" t="str">
        <f t="shared" si="169"/>
        <v xml:space="preserve">  </v>
      </c>
      <c r="E486" s="224"/>
      <c r="F486" s="224" t="str">
        <f t="shared" si="170"/>
        <v xml:space="preserve">  </v>
      </c>
      <c r="G486" s="224"/>
      <c r="H486" s="380"/>
      <c r="I486" s="516" t="e">
        <f>IF(VLOOKUP(C31,list!$AA$5:$AS$14,15,FALSE)=0," ",(VLOOKUP(C31,list!$AA$5:$AS$14,15,FALSE)))</f>
        <v>#N/A</v>
      </c>
      <c r="J486" s="955" t="e">
        <f t="shared" si="166"/>
        <v>#N/A</v>
      </c>
      <c r="K486" s="955" t="e">
        <f t="shared" si="167"/>
        <v>#N/A</v>
      </c>
      <c r="L486" s="969" t="e">
        <f>IF(I486=" "," ",VLOOKUP(J486,list!$J$4:$M$117,4,FALSE))</f>
        <v>#N/A</v>
      </c>
      <c r="M486" s="66"/>
      <c r="N486" s="1297" t="str">
        <f>IF(SUMIFS('Level of Efficiency Assumptions'!$J:$J,'Level of Efficiency Assumptions'!$H:$H,$I486,'Level of Efficiency Assumptions'!$I:$I,N$51)=0," ",SUMIFS('Level of Efficiency Assumptions'!$J:$J,'Level of Efficiency Assumptions'!$H:$H,$I486,'Level of Efficiency Assumptions'!$I:$I,N$51))</f>
        <v xml:space="preserve"> </v>
      </c>
      <c r="O486" s="1298" t="str">
        <f>IF(SUMIFS('Level of Efficiency Assumptions'!$J:$J,'Level of Efficiency Assumptions'!$H:$H,$I486,'Level of Efficiency Assumptions'!$I:$I,O$51)=0," ",SUMIFS('Level of Efficiency Assumptions'!$J:$J,'Level of Efficiency Assumptions'!$H:$H,$I486,'Level of Efficiency Assumptions'!$I:$I,O$51))</f>
        <v xml:space="preserve"> </v>
      </c>
      <c r="P486" s="1299" t="str">
        <f>IF(SUMIFS('Level of Efficiency Assumptions'!$J:$J,'Level of Efficiency Assumptions'!$H:$H,$I486,'Level of Efficiency Assumptions'!$I:$I,P$51)=0," ",SUMIFS('Level of Efficiency Assumptions'!$J:$J,'Level of Efficiency Assumptions'!$H:$H,$I486,'Level of Efficiency Assumptions'!$I:$I,P$51))</f>
        <v xml:space="preserve"> </v>
      </c>
      <c r="Q486" s="971" t="e">
        <f>IF(I486=" "," ",(VLOOKUP(I486,list!$B$81:$C$111,2,FALSE)))</f>
        <v>#N/A</v>
      </c>
      <c r="R486" s="243">
        <f t="shared" si="165"/>
        <v>0</v>
      </c>
      <c r="S486" s="64">
        <v>1</v>
      </c>
      <c r="T486" s="68">
        <v>0</v>
      </c>
      <c r="U486" s="244">
        <f t="shared" si="168"/>
        <v>1</v>
      </c>
    </row>
    <row r="487" spans="2:24" ht="15" thickBot="1" x14ac:dyDescent="0.35">
      <c r="C487" s="520"/>
      <c r="D487" s="224" t="str">
        <f t="shared" si="169"/>
        <v xml:space="preserve">  </v>
      </c>
      <c r="E487" s="224"/>
      <c r="F487" s="224" t="str">
        <f t="shared" si="170"/>
        <v xml:space="preserve">  </v>
      </c>
      <c r="G487" s="224"/>
      <c r="H487" s="380"/>
      <c r="I487" s="516" t="e">
        <f>IF(VLOOKUP(C31,list!$AA$5:$AS$14,16,FALSE)=0," ",(VLOOKUP(C31,list!$AA$5:$AS$14,16,FALSE)))</f>
        <v>#N/A</v>
      </c>
      <c r="J487" s="955" t="e">
        <f t="shared" si="166"/>
        <v>#N/A</v>
      </c>
      <c r="K487" s="955" t="e">
        <f t="shared" si="167"/>
        <v>#N/A</v>
      </c>
      <c r="L487" s="969" t="e">
        <f>IF(I487=" "," ",VLOOKUP(J487,list!$J$4:$M$117,4,FALSE))</f>
        <v>#N/A</v>
      </c>
      <c r="M487" s="66"/>
      <c r="N487" s="1297" t="str">
        <f>IF(SUMIFS('Level of Efficiency Assumptions'!$J:$J,'Level of Efficiency Assumptions'!$H:$H,$I487,'Level of Efficiency Assumptions'!$I:$I,N$51)=0," ",SUMIFS('Level of Efficiency Assumptions'!$J:$J,'Level of Efficiency Assumptions'!$H:$H,$I487,'Level of Efficiency Assumptions'!$I:$I,N$51))</f>
        <v xml:space="preserve"> </v>
      </c>
      <c r="O487" s="1298" t="str">
        <f>IF(SUMIFS('Level of Efficiency Assumptions'!$J:$J,'Level of Efficiency Assumptions'!$H:$H,$I487,'Level of Efficiency Assumptions'!$I:$I,O$51)=0," ",SUMIFS('Level of Efficiency Assumptions'!$J:$J,'Level of Efficiency Assumptions'!$H:$H,$I487,'Level of Efficiency Assumptions'!$I:$I,O$51))</f>
        <v xml:space="preserve"> </v>
      </c>
      <c r="P487" s="1299" t="str">
        <f>IF(SUMIFS('Level of Efficiency Assumptions'!$J:$J,'Level of Efficiency Assumptions'!$H:$H,$I487,'Level of Efficiency Assumptions'!$I:$I,P$51)=0," ",SUMIFS('Level of Efficiency Assumptions'!$J:$J,'Level of Efficiency Assumptions'!$H:$H,$I487,'Level of Efficiency Assumptions'!$I:$I,P$51))</f>
        <v xml:space="preserve"> </v>
      </c>
      <c r="Q487" s="971" t="e">
        <f>IF(I487=" "," ",(VLOOKUP(I487,list!$B$81:$C$111,2,FALSE)))</f>
        <v>#N/A</v>
      </c>
      <c r="R487" s="243">
        <f t="shared" si="165"/>
        <v>0</v>
      </c>
      <c r="S487" s="64">
        <v>1</v>
      </c>
      <c r="T487" s="68">
        <v>0</v>
      </c>
      <c r="U487" s="244">
        <f t="shared" si="168"/>
        <v>1</v>
      </c>
    </row>
    <row r="488" spans="2:24" ht="15" thickBot="1" x14ac:dyDescent="0.35">
      <c r="C488" s="520"/>
      <c r="D488" s="224" t="str">
        <f t="shared" si="169"/>
        <v xml:space="preserve">  </v>
      </c>
      <c r="E488" s="224"/>
      <c r="F488" s="224" t="str">
        <f t="shared" si="170"/>
        <v xml:space="preserve">  </v>
      </c>
      <c r="G488" s="224"/>
      <c r="H488" s="380"/>
      <c r="I488" s="516" t="e">
        <f>IF(VLOOKUP(C31,list!$AA$5:$AS$14,17,FALSE)=0," ",(VLOOKUP(C31,list!$AA$5:$AS$14,17,FALSE)))</f>
        <v>#N/A</v>
      </c>
      <c r="J488" s="955" t="e">
        <f t="shared" si="166"/>
        <v>#N/A</v>
      </c>
      <c r="K488" s="955" t="e">
        <f t="shared" si="167"/>
        <v>#N/A</v>
      </c>
      <c r="L488" s="969" t="e">
        <f>IF(I488=" "," ",VLOOKUP(J488,list!$J$4:$M$117,4,FALSE))</f>
        <v>#N/A</v>
      </c>
      <c r="M488" s="66"/>
      <c r="N488" s="1297" t="str">
        <f>IF(SUMIFS('Level of Efficiency Assumptions'!$J:$J,'Level of Efficiency Assumptions'!$H:$H,$I488,'Level of Efficiency Assumptions'!$I:$I,N$51)=0," ",SUMIFS('Level of Efficiency Assumptions'!$J:$J,'Level of Efficiency Assumptions'!$H:$H,$I488,'Level of Efficiency Assumptions'!$I:$I,N$51))</f>
        <v xml:space="preserve"> </v>
      </c>
      <c r="O488" s="1298" t="str">
        <f>IF(SUMIFS('Level of Efficiency Assumptions'!$J:$J,'Level of Efficiency Assumptions'!$H:$H,$I488,'Level of Efficiency Assumptions'!$I:$I,O$51)=0," ",SUMIFS('Level of Efficiency Assumptions'!$J:$J,'Level of Efficiency Assumptions'!$H:$H,$I488,'Level of Efficiency Assumptions'!$I:$I,O$51))</f>
        <v xml:space="preserve"> </v>
      </c>
      <c r="P488" s="1299" t="str">
        <f>IF(SUMIFS('Level of Efficiency Assumptions'!$J:$J,'Level of Efficiency Assumptions'!$H:$H,$I488,'Level of Efficiency Assumptions'!$I:$I,P$51)=0," ",SUMIFS('Level of Efficiency Assumptions'!$J:$J,'Level of Efficiency Assumptions'!$H:$H,$I488,'Level of Efficiency Assumptions'!$I:$I,P$51))</f>
        <v xml:space="preserve"> </v>
      </c>
      <c r="Q488" s="971" t="e">
        <f>IF(I488=" "," ",(VLOOKUP(I488,list!$B$81:$C$111,2,FALSE)))</f>
        <v>#N/A</v>
      </c>
      <c r="R488" s="243">
        <f t="shared" si="165"/>
        <v>0</v>
      </c>
      <c r="S488" s="64">
        <v>1</v>
      </c>
      <c r="T488" s="68">
        <v>0</v>
      </c>
      <c r="U488" s="244">
        <f t="shared" si="168"/>
        <v>1</v>
      </c>
    </row>
    <row r="489" spans="2:24" ht="15" thickBot="1" x14ac:dyDescent="0.35">
      <c r="C489" s="520"/>
      <c r="D489" s="224" t="str">
        <f t="shared" si="169"/>
        <v xml:space="preserve">  </v>
      </c>
      <c r="E489" s="224"/>
      <c r="F489" s="224" t="str">
        <f t="shared" si="170"/>
        <v xml:space="preserve">  </v>
      </c>
      <c r="G489" s="224"/>
      <c r="H489" s="380"/>
      <c r="I489" s="516" t="e">
        <f>IF(VLOOKUP(C31,list!$AA$5:$AS$14,18,FALSE)=0," ",(VLOOKUP(C31,list!$AA$5:$AS$14,18,FALSE)))</f>
        <v>#N/A</v>
      </c>
      <c r="J489" s="955" t="e">
        <f t="shared" si="166"/>
        <v>#N/A</v>
      </c>
      <c r="K489" s="955" t="e">
        <f t="shared" si="167"/>
        <v>#N/A</v>
      </c>
      <c r="L489" s="969" t="e">
        <f>IF(I489=" "," ",VLOOKUP(J489,list!$J$4:$M$117,4,FALSE))</f>
        <v>#N/A</v>
      </c>
      <c r="M489" s="66"/>
      <c r="N489" s="1297" t="str">
        <f>IF(SUMIFS('Level of Efficiency Assumptions'!$J:$J,'Level of Efficiency Assumptions'!$H:$H,$I489,'Level of Efficiency Assumptions'!$I:$I,N$51)=0," ",SUMIFS('Level of Efficiency Assumptions'!$J:$J,'Level of Efficiency Assumptions'!$H:$H,$I489,'Level of Efficiency Assumptions'!$I:$I,N$51))</f>
        <v xml:space="preserve"> </v>
      </c>
      <c r="O489" s="1298" t="str">
        <f>IF(SUMIFS('Level of Efficiency Assumptions'!$J:$J,'Level of Efficiency Assumptions'!$H:$H,$I489,'Level of Efficiency Assumptions'!$I:$I,O$51)=0," ",SUMIFS('Level of Efficiency Assumptions'!$J:$J,'Level of Efficiency Assumptions'!$H:$H,$I489,'Level of Efficiency Assumptions'!$I:$I,O$51))</f>
        <v xml:space="preserve"> </v>
      </c>
      <c r="P489" s="1299" t="str">
        <f>IF(SUMIFS('Level of Efficiency Assumptions'!$J:$J,'Level of Efficiency Assumptions'!$H:$H,$I489,'Level of Efficiency Assumptions'!$I:$I,P$51)=0," ",SUMIFS('Level of Efficiency Assumptions'!$J:$J,'Level of Efficiency Assumptions'!$H:$H,$I489,'Level of Efficiency Assumptions'!$I:$I,P$51))</f>
        <v xml:space="preserve"> </v>
      </c>
      <c r="Q489" s="971" t="e">
        <f>IF(I489=" "," ",(VLOOKUP(I489,list!$B$81:$C$111,2,FALSE)))</f>
        <v>#N/A</v>
      </c>
      <c r="R489" s="243">
        <f t="shared" si="165"/>
        <v>0</v>
      </c>
      <c r="S489" s="64">
        <v>1</v>
      </c>
      <c r="T489" s="68">
        <v>0</v>
      </c>
      <c r="U489" s="244">
        <f t="shared" si="168"/>
        <v>1</v>
      </c>
    </row>
    <row r="490" spans="2:24" ht="15" thickBot="1" x14ac:dyDescent="0.35">
      <c r="C490" s="632"/>
      <c r="D490" s="226" t="str">
        <f t="shared" si="169"/>
        <v xml:space="preserve">  </v>
      </c>
      <c r="E490" s="226"/>
      <c r="F490" s="226" t="str">
        <f t="shared" si="170"/>
        <v xml:space="preserve">  </v>
      </c>
      <c r="G490" s="226"/>
      <c r="H490" s="976"/>
      <c r="I490" s="516" t="e">
        <f>IF(VLOOKUP(C31,list!$AA$5:$AS$14,19,FALSE)=0," ",(VLOOKUP(C31,list!$AA$5:$AS$14,19,FALSE)))</f>
        <v>#N/A</v>
      </c>
      <c r="J490" s="955" t="e">
        <f>IF(I490=" "," ",(D490&amp;"-"&amp;I490))</f>
        <v>#N/A</v>
      </c>
      <c r="K490" s="955" t="e">
        <f t="shared" si="167"/>
        <v>#N/A</v>
      </c>
      <c r="L490" s="969" t="e">
        <f>IF(I490=" "," ",VLOOKUP(J490,list!$J$4:$M$117,4,FALSE))</f>
        <v>#N/A</v>
      </c>
      <c r="M490" s="67"/>
      <c r="N490" s="1303" t="str">
        <f>IF(SUMIFS('Level of Efficiency Assumptions'!$J:$J,'Level of Efficiency Assumptions'!$H:$H,$I490,'Level of Efficiency Assumptions'!$I:$I,N$51)=0," ",SUMIFS('Level of Efficiency Assumptions'!$J:$J,'Level of Efficiency Assumptions'!$H:$H,$I490,'Level of Efficiency Assumptions'!$I:$I,N$51))</f>
        <v xml:space="preserve"> </v>
      </c>
      <c r="O490" s="1304" t="str">
        <f>IF(SUMIFS('Level of Efficiency Assumptions'!$J:$J,'Level of Efficiency Assumptions'!$H:$H,$I490,'Level of Efficiency Assumptions'!$I:$I,O$51)=0," ",SUMIFS('Level of Efficiency Assumptions'!$J:$J,'Level of Efficiency Assumptions'!$H:$H,$I490,'Level of Efficiency Assumptions'!$I:$I,O$51))</f>
        <v xml:space="preserve"> </v>
      </c>
      <c r="P490" s="1305" t="str">
        <f>IF(SUMIFS('Level of Efficiency Assumptions'!$J:$J,'Level of Efficiency Assumptions'!$H:$H,$I490,'Level of Efficiency Assumptions'!$I:$I,P$51)=0," ",SUMIFS('Level of Efficiency Assumptions'!$J:$J,'Level of Efficiency Assumptions'!$H:$H,$I490,'Level of Efficiency Assumptions'!$I:$I,P$51))</f>
        <v xml:space="preserve"> </v>
      </c>
      <c r="Q490" s="977" t="e">
        <f>IF(I490=" "," ",(VLOOKUP(I490,list!$B$81:$C$111,2,FALSE)))</f>
        <v>#N/A</v>
      </c>
      <c r="R490" s="245">
        <f t="shared" si="165"/>
        <v>0</v>
      </c>
      <c r="S490" s="65">
        <v>1</v>
      </c>
      <c r="T490" s="69">
        <v>0</v>
      </c>
      <c r="U490" s="246">
        <f t="shared" si="168"/>
        <v>1</v>
      </c>
    </row>
    <row r="491" spans="2:24" x14ac:dyDescent="0.3">
      <c r="D491" s="846"/>
      <c r="F491" s="82"/>
      <c r="J491" s="846"/>
      <c r="K491" s="846"/>
      <c r="N491" s="1179"/>
      <c r="O491" s="1179"/>
      <c r="P491" s="1179"/>
      <c r="R491" s="176" t="s">
        <v>295</v>
      </c>
      <c r="S491" s="176"/>
      <c r="T491" s="176"/>
      <c r="U491" s="176"/>
    </row>
    <row r="492" spans="2:24" ht="15" thickBot="1" x14ac:dyDescent="0.35">
      <c r="D492" s="846"/>
      <c r="F492" s="82"/>
      <c r="J492" s="846"/>
      <c r="K492" s="846"/>
      <c r="N492" s="1179"/>
      <c r="O492" s="1179"/>
      <c r="P492" s="1179"/>
    </row>
    <row r="493" spans="2:24" ht="15" thickBot="1" x14ac:dyDescent="0.35">
      <c r="B493" s="814">
        <v>23</v>
      </c>
      <c r="C493" s="967" t="str">
        <f t="shared" ref="C493:H493" si="171">C32</f>
        <v xml:space="preserve">  </v>
      </c>
      <c r="D493" s="967" t="str">
        <f t="shared" si="171"/>
        <v xml:space="preserve">  </v>
      </c>
      <c r="E493" s="967" t="str">
        <f t="shared" si="171"/>
        <v xml:space="preserve">  </v>
      </c>
      <c r="F493" s="967" t="str">
        <f t="shared" si="171"/>
        <v xml:space="preserve">  </v>
      </c>
      <c r="G493" s="967">
        <f t="shared" si="171"/>
        <v>0</v>
      </c>
      <c r="H493" s="968">
        <f t="shared" si="171"/>
        <v>0</v>
      </c>
      <c r="I493" s="516" t="e">
        <f>IF(VLOOKUP(C32,list!$AA$5:$AS$14,2,FALSE)=0," ",(VLOOKUP(C32,list!$AA$5:$AS$14,2,FALSE)))</f>
        <v>#N/A</v>
      </c>
      <c r="J493" s="955" t="e">
        <f>IF(I493=" "," ",(D32&amp;"-"&amp;I493))</f>
        <v>#N/A</v>
      </c>
      <c r="K493" s="955" t="e">
        <f>IF(I493=" "," ",(F32&amp;"-"&amp;I493))</f>
        <v>#N/A</v>
      </c>
      <c r="L493" s="969" t="e">
        <f>IF(I493=" "," ",VLOOKUP(J493,list!$J$4:$M$117,4,FALSE))</f>
        <v>#N/A</v>
      </c>
      <c r="M493" s="70"/>
      <c r="N493" s="1300" t="str">
        <f>IF(SUMIFS('Level of Efficiency Assumptions'!$J:$J,'Level of Efficiency Assumptions'!$H:$H,$I493,'Level of Efficiency Assumptions'!$I:$I,N$51)=0," ",SUMIFS('Level of Efficiency Assumptions'!$J:$J,'Level of Efficiency Assumptions'!$H:$H,$I493,'Level of Efficiency Assumptions'!$I:$I,N$51))</f>
        <v xml:space="preserve"> </v>
      </c>
      <c r="O493" s="1301" t="str">
        <f>IF(SUMIFS('Level of Efficiency Assumptions'!$J:$J,'Level of Efficiency Assumptions'!$H:$H,$I493,'Level of Efficiency Assumptions'!$I:$I,O$51)=0," ",SUMIFS('Level of Efficiency Assumptions'!$J:$J,'Level of Efficiency Assumptions'!$H:$H,$I493,'Level of Efficiency Assumptions'!$I:$I,O$51))</f>
        <v xml:space="preserve"> </v>
      </c>
      <c r="P493" s="1302" t="str">
        <f>IF(SUMIFS('Level of Efficiency Assumptions'!$J:$J,'Level of Efficiency Assumptions'!$H:$H,$I493,'Level of Efficiency Assumptions'!$I:$I,P$51)=0," ",SUMIFS('Level of Efficiency Assumptions'!$J:$J,'Level of Efficiency Assumptions'!$H:$H,$I493,'Level of Efficiency Assumptions'!$I:$I,P$51))</f>
        <v xml:space="preserve"> </v>
      </c>
      <c r="Q493" s="970" t="e">
        <f>IF(I493=" "," ",(VLOOKUP(I493,list!$B$81:$C$111,2,FALSE)))</f>
        <v>#N/A</v>
      </c>
      <c r="R493" s="241">
        <f t="shared" ref="R493:R510" si="172">1-S493-T493</f>
        <v>0</v>
      </c>
      <c r="S493" s="83">
        <v>1</v>
      </c>
      <c r="T493" s="84">
        <v>0</v>
      </c>
      <c r="U493" s="242">
        <f>SUM(R493:T493)</f>
        <v>1</v>
      </c>
      <c r="W493" s="250" t="s">
        <v>367</v>
      </c>
      <c r="X493" s="251" t="s">
        <v>366</v>
      </c>
    </row>
    <row r="494" spans="2:24" ht="15" thickBot="1" x14ac:dyDescent="0.35">
      <c r="C494" s="520"/>
      <c r="D494" s="224" t="str">
        <f>D32</f>
        <v xml:space="preserve">  </v>
      </c>
      <c r="E494" s="224"/>
      <c r="F494" s="224" t="str">
        <f>F32</f>
        <v xml:space="preserve">  </v>
      </c>
      <c r="G494" s="224"/>
      <c r="H494" s="380"/>
      <c r="I494" s="516" t="e">
        <f>IF(VLOOKUP(C32,list!$AA$5:$AS$14,3,FALSE)=0," ",(VLOOKUP(C32,list!$AA$5:$AS$14,3,FALSE)))</f>
        <v>#N/A</v>
      </c>
      <c r="J494" s="955" t="e">
        <f t="shared" ref="J494:J509" si="173">IF(I494=" "," ",(D494&amp;"-"&amp;I494))</f>
        <v>#N/A</v>
      </c>
      <c r="K494" s="955" t="e">
        <f t="shared" ref="K494:K510" si="174">IF(I494=" "," ",(F494&amp;"-"&amp;I494))</f>
        <v>#N/A</v>
      </c>
      <c r="L494" s="969" t="e">
        <f>IF(I494=" "," ",VLOOKUP(J494,list!$J$4:$M$117,4,FALSE))</f>
        <v>#N/A</v>
      </c>
      <c r="M494" s="66"/>
      <c r="N494" s="1297" t="str">
        <f>IF(SUMIFS('Level of Efficiency Assumptions'!$J:$J,'Level of Efficiency Assumptions'!$H:$H,$I494,'Level of Efficiency Assumptions'!$I:$I,N$51)=0," ",SUMIFS('Level of Efficiency Assumptions'!$J:$J,'Level of Efficiency Assumptions'!$H:$H,$I494,'Level of Efficiency Assumptions'!$I:$I,N$51))</f>
        <v xml:space="preserve"> </v>
      </c>
      <c r="O494" s="1298" t="str">
        <f>IF(SUMIFS('Level of Efficiency Assumptions'!$J:$J,'Level of Efficiency Assumptions'!$H:$H,$I494,'Level of Efficiency Assumptions'!$I:$I,O$51)=0," ",SUMIFS('Level of Efficiency Assumptions'!$J:$J,'Level of Efficiency Assumptions'!$H:$H,$I494,'Level of Efficiency Assumptions'!$I:$I,O$51))</f>
        <v xml:space="preserve"> </v>
      </c>
      <c r="P494" s="1299" t="str">
        <f>IF(SUMIFS('Level of Efficiency Assumptions'!$J:$J,'Level of Efficiency Assumptions'!$H:$H,$I494,'Level of Efficiency Assumptions'!$I:$I,P$51)=0," ",SUMIFS('Level of Efficiency Assumptions'!$J:$J,'Level of Efficiency Assumptions'!$H:$H,$I494,'Level of Efficiency Assumptions'!$I:$I,P$51))</f>
        <v xml:space="preserve"> </v>
      </c>
      <c r="Q494" s="971" t="e">
        <f>IF(I494=" "," ",(VLOOKUP(I494,list!$B$81:$C$111,2,FALSE)))</f>
        <v>#N/A</v>
      </c>
      <c r="R494" s="243">
        <f t="shared" si="172"/>
        <v>0</v>
      </c>
      <c r="S494" s="64">
        <v>1</v>
      </c>
      <c r="T494" s="68">
        <v>0</v>
      </c>
      <c r="U494" s="244">
        <f t="shared" ref="U494:U510" si="175">SUM(R494:T494)</f>
        <v>1</v>
      </c>
      <c r="V494" s="82" t="e">
        <f>F494&amp;"-"&amp;W494</f>
        <v>#N/A</v>
      </c>
      <c r="W494" s="247" t="e">
        <f>HLOOKUP(D494,list!$O$34:$X$38,2,FALSE)</f>
        <v>#N/A</v>
      </c>
      <c r="X494" s="972">
        <v>1</v>
      </c>
    </row>
    <row r="495" spans="2:24" ht="15" thickBot="1" x14ac:dyDescent="0.35">
      <c r="C495" s="520"/>
      <c r="D495" s="224" t="str">
        <f>D494</f>
        <v xml:space="preserve">  </v>
      </c>
      <c r="E495" s="224"/>
      <c r="F495" s="224" t="str">
        <f>F494</f>
        <v xml:space="preserve">  </v>
      </c>
      <c r="G495" s="224"/>
      <c r="H495" s="380"/>
      <c r="I495" s="516" t="e">
        <f>IF(VLOOKUP(C32,list!$AA$5:$AS$14,4,FALSE)=0," ",(VLOOKUP(C32,list!$AA$5:$AS$14,4,FALSE)))</f>
        <v>#N/A</v>
      </c>
      <c r="J495" s="955" t="e">
        <f t="shared" si="173"/>
        <v>#N/A</v>
      </c>
      <c r="K495" s="955" t="e">
        <f t="shared" si="174"/>
        <v>#N/A</v>
      </c>
      <c r="L495" s="969" t="e">
        <f>IF(I495=" "," ",VLOOKUP(J495,list!$J$4:$M$117,4,FALSE))</f>
        <v>#N/A</v>
      </c>
      <c r="M495" s="66"/>
      <c r="N495" s="1297" t="str">
        <f>IF(SUMIFS('Level of Efficiency Assumptions'!$J:$J,'Level of Efficiency Assumptions'!$H:$H,$I495,'Level of Efficiency Assumptions'!$I:$I,N$51)=0," ",SUMIFS('Level of Efficiency Assumptions'!$J:$J,'Level of Efficiency Assumptions'!$H:$H,$I495,'Level of Efficiency Assumptions'!$I:$I,N$51))</f>
        <v xml:space="preserve"> </v>
      </c>
      <c r="O495" s="1298" t="str">
        <f>IF(SUMIFS('Level of Efficiency Assumptions'!$J:$J,'Level of Efficiency Assumptions'!$H:$H,$I495,'Level of Efficiency Assumptions'!$I:$I,O$51)=0," ",SUMIFS('Level of Efficiency Assumptions'!$J:$J,'Level of Efficiency Assumptions'!$H:$H,$I495,'Level of Efficiency Assumptions'!$I:$I,O$51))</f>
        <v xml:space="preserve"> </v>
      </c>
      <c r="P495" s="1299" t="str">
        <f>IF(SUMIFS('Level of Efficiency Assumptions'!$J:$J,'Level of Efficiency Assumptions'!$H:$H,$I495,'Level of Efficiency Assumptions'!$I:$I,P$51)=0," ",SUMIFS('Level of Efficiency Assumptions'!$J:$J,'Level of Efficiency Assumptions'!$H:$H,$I495,'Level of Efficiency Assumptions'!$I:$I,P$51))</f>
        <v xml:space="preserve"> </v>
      </c>
      <c r="Q495" s="971" t="e">
        <f>IF(I495=" "," ",(VLOOKUP(I495,list!$B$81:$C$111,2,FALSE)))</f>
        <v>#N/A</v>
      </c>
      <c r="R495" s="243">
        <f t="shared" si="172"/>
        <v>0</v>
      </c>
      <c r="S495" s="64">
        <v>1</v>
      </c>
      <c r="T495" s="68">
        <v>0</v>
      </c>
      <c r="U495" s="244">
        <f t="shared" si="175"/>
        <v>1</v>
      </c>
      <c r="V495" s="82" t="e">
        <f>F495&amp;"-"&amp;W495</f>
        <v>#N/A</v>
      </c>
      <c r="W495" s="248" t="e">
        <f>HLOOKUP(D495,list!$O$34:$X$38,3,FALSE)</f>
        <v>#N/A</v>
      </c>
      <c r="X495" s="973">
        <v>0.5</v>
      </c>
    </row>
    <row r="496" spans="2:24" ht="15" thickBot="1" x14ac:dyDescent="0.35">
      <c r="C496" s="520"/>
      <c r="D496" s="224" t="str">
        <f t="shared" ref="D496:D510" si="176">D495</f>
        <v xml:space="preserve">  </v>
      </c>
      <c r="E496" s="224"/>
      <c r="F496" s="224" t="str">
        <f t="shared" ref="F496:F510" si="177">F495</f>
        <v xml:space="preserve">  </v>
      </c>
      <c r="G496" s="224"/>
      <c r="H496" s="380"/>
      <c r="I496" s="516" t="e">
        <f>IF(VLOOKUP(C32,list!$AA$5:$AS$14,5,FALSE)=0," ",(VLOOKUP(C32,list!$AA$5:$AS$14,5,FALSE)))</f>
        <v>#N/A</v>
      </c>
      <c r="J496" s="955" t="e">
        <f t="shared" si="173"/>
        <v>#N/A</v>
      </c>
      <c r="K496" s="955" t="e">
        <f t="shared" si="174"/>
        <v>#N/A</v>
      </c>
      <c r="L496" s="969" t="e">
        <f>IF(I496=" "," ",VLOOKUP(J496,list!$J$4:$M$117,4,FALSE))</f>
        <v>#N/A</v>
      </c>
      <c r="M496" s="66"/>
      <c r="N496" s="1297" t="str">
        <f>IF(SUMIFS('Level of Efficiency Assumptions'!$J:$J,'Level of Efficiency Assumptions'!$H:$H,$I496,'Level of Efficiency Assumptions'!$I:$I,N$51)=0," ",SUMIFS('Level of Efficiency Assumptions'!$J:$J,'Level of Efficiency Assumptions'!$H:$H,$I496,'Level of Efficiency Assumptions'!$I:$I,N$51))</f>
        <v xml:space="preserve"> </v>
      </c>
      <c r="O496" s="1298" t="str">
        <f>IF(SUMIFS('Level of Efficiency Assumptions'!$J:$J,'Level of Efficiency Assumptions'!$H:$H,$I496,'Level of Efficiency Assumptions'!$I:$I,O$51)=0," ",SUMIFS('Level of Efficiency Assumptions'!$J:$J,'Level of Efficiency Assumptions'!$H:$H,$I496,'Level of Efficiency Assumptions'!$I:$I,O$51))</f>
        <v xml:space="preserve"> </v>
      </c>
      <c r="P496" s="1299" t="str">
        <f>IF(SUMIFS('Level of Efficiency Assumptions'!$J:$J,'Level of Efficiency Assumptions'!$H:$H,$I496,'Level of Efficiency Assumptions'!$I:$I,P$51)=0," ",SUMIFS('Level of Efficiency Assumptions'!$J:$J,'Level of Efficiency Assumptions'!$H:$H,$I496,'Level of Efficiency Assumptions'!$I:$I,P$51))</f>
        <v xml:space="preserve"> </v>
      </c>
      <c r="Q496" s="971" t="e">
        <f>IF(I496=" "," ",(VLOOKUP(I496,list!$B$81:$C$111,2,FALSE)))</f>
        <v>#N/A</v>
      </c>
      <c r="R496" s="243">
        <f t="shared" si="172"/>
        <v>0</v>
      </c>
      <c r="S496" s="64">
        <v>1</v>
      </c>
      <c r="T496" s="68">
        <v>0</v>
      </c>
      <c r="U496" s="244">
        <f t="shared" si="175"/>
        <v>1</v>
      </c>
      <c r="V496" s="82" t="e">
        <f>F496&amp;"-"&amp;W496</f>
        <v>#N/A</v>
      </c>
      <c r="W496" s="248" t="e">
        <f>HLOOKUP(D496,list!$O$34:$X$38,4,FALSE)</f>
        <v>#N/A</v>
      </c>
      <c r="X496" s="973">
        <v>0.5</v>
      </c>
    </row>
    <row r="497" spans="3:24" ht="15" thickBot="1" x14ac:dyDescent="0.35">
      <c r="C497" s="520"/>
      <c r="D497" s="224" t="str">
        <f t="shared" si="176"/>
        <v xml:space="preserve">  </v>
      </c>
      <c r="E497" s="224"/>
      <c r="F497" s="224" t="str">
        <f t="shared" si="177"/>
        <v xml:space="preserve">  </v>
      </c>
      <c r="G497" s="224"/>
      <c r="H497" s="380"/>
      <c r="I497" s="516" t="e">
        <f>IF(VLOOKUP(C32,list!$AA$5:$AS$14,6,FALSE)=0," ",(VLOOKUP(C32,list!$AA$5:$AS$14,6,FALSE)))</f>
        <v>#N/A</v>
      </c>
      <c r="J497" s="955" t="e">
        <f t="shared" si="173"/>
        <v>#N/A</v>
      </c>
      <c r="K497" s="955" t="e">
        <f t="shared" si="174"/>
        <v>#N/A</v>
      </c>
      <c r="L497" s="969" t="e">
        <f>IF(I497=" "," ",VLOOKUP(J497,list!$J$4:$M$117,4,FALSE))</f>
        <v>#N/A</v>
      </c>
      <c r="M497" s="66"/>
      <c r="N497" s="1297" t="str">
        <f>IF(SUMIFS('Level of Efficiency Assumptions'!$J:$J,'Level of Efficiency Assumptions'!$H:$H,$I497,'Level of Efficiency Assumptions'!$I:$I,N$51)=0," ",SUMIFS('Level of Efficiency Assumptions'!$J:$J,'Level of Efficiency Assumptions'!$H:$H,$I497,'Level of Efficiency Assumptions'!$I:$I,N$51))</f>
        <v xml:space="preserve"> </v>
      </c>
      <c r="O497" s="1298" t="str">
        <f>IF(SUMIFS('Level of Efficiency Assumptions'!$J:$J,'Level of Efficiency Assumptions'!$H:$H,$I497,'Level of Efficiency Assumptions'!$I:$I,O$51)=0," ",SUMIFS('Level of Efficiency Assumptions'!$J:$J,'Level of Efficiency Assumptions'!$H:$H,$I497,'Level of Efficiency Assumptions'!$I:$I,O$51))</f>
        <v xml:space="preserve"> </v>
      </c>
      <c r="P497" s="1299" t="str">
        <f>IF(SUMIFS('Level of Efficiency Assumptions'!$J:$J,'Level of Efficiency Assumptions'!$H:$H,$I497,'Level of Efficiency Assumptions'!$I:$I,P$51)=0," ",SUMIFS('Level of Efficiency Assumptions'!$J:$J,'Level of Efficiency Assumptions'!$H:$H,$I497,'Level of Efficiency Assumptions'!$I:$I,P$51))</f>
        <v xml:space="preserve"> </v>
      </c>
      <c r="Q497" s="971" t="e">
        <f>IF(I497=" "," ",(VLOOKUP(I497,list!$B$81:$C$111,2,FALSE)))</f>
        <v>#N/A</v>
      </c>
      <c r="R497" s="243">
        <f t="shared" si="172"/>
        <v>0</v>
      </c>
      <c r="S497" s="64">
        <v>1</v>
      </c>
      <c r="T497" s="68">
        <v>0</v>
      </c>
      <c r="U497" s="244">
        <f t="shared" si="175"/>
        <v>1</v>
      </c>
      <c r="V497" s="82" t="e">
        <f>F497&amp;"-"&amp;W497</f>
        <v>#N/A</v>
      </c>
      <c r="W497" s="249" t="e">
        <f>HLOOKUP(D497,list!$O$34:$X$38,5,FALSE)</f>
        <v>#N/A</v>
      </c>
      <c r="X497" s="974">
        <v>0.5</v>
      </c>
    </row>
    <row r="498" spans="3:24" ht="15" thickBot="1" x14ac:dyDescent="0.35">
      <c r="C498" s="520"/>
      <c r="D498" s="224" t="str">
        <f t="shared" si="176"/>
        <v xml:space="preserve">  </v>
      </c>
      <c r="E498" s="224"/>
      <c r="F498" s="224" t="str">
        <f t="shared" si="177"/>
        <v xml:space="preserve">  </v>
      </c>
      <c r="G498" s="224"/>
      <c r="H498" s="380"/>
      <c r="I498" s="516" t="e">
        <f>IF(VLOOKUP(C32,list!$AA$5:$AS$14,7,FALSE)=0," ",(VLOOKUP(C32,list!$AA$5:$AS$14,7,FALSE)))</f>
        <v>#N/A</v>
      </c>
      <c r="J498" s="955" t="e">
        <f t="shared" si="173"/>
        <v>#N/A</v>
      </c>
      <c r="K498" s="955" t="e">
        <f t="shared" si="174"/>
        <v>#N/A</v>
      </c>
      <c r="L498" s="969" t="e">
        <f>IF(I498=" "," ",VLOOKUP(J498,list!$J$4:$M$117,4,FALSE))</f>
        <v>#N/A</v>
      </c>
      <c r="M498" s="66"/>
      <c r="N498" s="1297" t="str">
        <f>IF(SUMIFS('Level of Efficiency Assumptions'!$J:$J,'Level of Efficiency Assumptions'!$H:$H,$I498,'Level of Efficiency Assumptions'!$I:$I,N$51)=0," ",SUMIFS('Level of Efficiency Assumptions'!$J:$J,'Level of Efficiency Assumptions'!$H:$H,$I498,'Level of Efficiency Assumptions'!$I:$I,N$51))</f>
        <v xml:space="preserve"> </v>
      </c>
      <c r="O498" s="1298" t="str">
        <f>IF(SUMIFS('Level of Efficiency Assumptions'!$J:$J,'Level of Efficiency Assumptions'!$H:$H,$I498,'Level of Efficiency Assumptions'!$I:$I,O$51)=0," ",SUMIFS('Level of Efficiency Assumptions'!$J:$J,'Level of Efficiency Assumptions'!$H:$H,$I498,'Level of Efficiency Assumptions'!$I:$I,O$51))</f>
        <v xml:space="preserve"> </v>
      </c>
      <c r="P498" s="1299" t="str">
        <f>IF(SUMIFS('Level of Efficiency Assumptions'!$J:$J,'Level of Efficiency Assumptions'!$H:$H,$I498,'Level of Efficiency Assumptions'!$I:$I,P$51)=0," ",SUMIFS('Level of Efficiency Assumptions'!$J:$J,'Level of Efficiency Assumptions'!$H:$H,$I498,'Level of Efficiency Assumptions'!$I:$I,P$51))</f>
        <v xml:space="preserve"> </v>
      </c>
      <c r="Q498" s="971" t="e">
        <f>IF(I498=" "," ",(VLOOKUP(I498,list!$B$81:$C$111,2,FALSE)))</f>
        <v>#N/A</v>
      </c>
      <c r="R498" s="243">
        <f t="shared" si="172"/>
        <v>0</v>
      </c>
      <c r="S498" s="64">
        <v>1</v>
      </c>
      <c r="T498" s="68">
        <v>0</v>
      </c>
      <c r="U498" s="244">
        <f t="shared" si="175"/>
        <v>1</v>
      </c>
      <c r="W498" s="182"/>
      <c r="X498" s="975"/>
    </row>
    <row r="499" spans="3:24" ht="15" thickBot="1" x14ac:dyDescent="0.35">
      <c r="C499" s="520"/>
      <c r="D499" s="224" t="str">
        <f t="shared" si="176"/>
        <v xml:space="preserve">  </v>
      </c>
      <c r="E499" s="224"/>
      <c r="F499" s="224" t="str">
        <f t="shared" si="177"/>
        <v xml:space="preserve">  </v>
      </c>
      <c r="G499" s="224"/>
      <c r="H499" s="380"/>
      <c r="I499" s="516" t="e">
        <f>IF(VLOOKUP(C32,list!$AA$5:$AS$14,8,FALSE)=0," ",(VLOOKUP(C32,list!$AA$5:$AS$14,8,FALSE)))</f>
        <v>#N/A</v>
      </c>
      <c r="J499" s="955" t="e">
        <f t="shared" si="173"/>
        <v>#N/A</v>
      </c>
      <c r="K499" s="955" t="e">
        <f t="shared" si="174"/>
        <v>#N/A</v>
      </c>
      <c r="L499" s="969" t="e">
        <f>IF(I499=" "," ",VLOOKUP(J499,list!$J$4:$M$117,4,FALSE))</f>
        <v>#N/A</v>
      </c>
      <c r="M499" s="66"/>
      <c r="N499" s="1297" t="str">
        <f>IF(SUMIFS('Level of Efficiency Assumptions'!$J:$J,'Level of Efficiency Assumptions'!$H:$H,$I499,'Level of Efficiency Assumptions'!$I:$I,N$51)=0," ",SUMIFS('Level of Efficiency Assumptions'!$J:$J,'Level of Efficiency Assumptions'!$H:$H,$I499,'Level of Efficiency Assumptions'!$I:$I,N$51))</f>
        <v xml:space="preserve"> </v>
      </c>
      <c r="O499" s="1298" t="str">
        <f>IF(SUMIFS('Level of Efficiency Assumptions'!$J:$J,'Level of Efficiency Assumptions'!$H:$H,$I499,'Level of Efficiency Assumptions'!$I:$I,O$51)=0," ",SUMIFS('Level of Efficiency Assumptions'!$J:$J,'Level of Efficiency Assumptions'!$H:$H,$I499,'Level of Efficiency Assumptions'!$I:$I,O$51))</f>
        <v xml:space="preserve"> </v>
      </c>
      <c r="P499" s="1299" t="str">
        <f>IF(SUMIFS('Level of Efficiency Assumptions'!$J:$J,'Level of Efficiency Assumptions'!$H:$H,$I499,'Level of Efficiency Assumptions'!$I:$I,P$51)=0," ",SUMIFS('Level of Efficiency Assumptions'!$J:$J,'Level of Efficiency Assumptions'!$H:$H,$I499,'Level of Efficiency Assumptions'!$I:$I,P$51))</f>
        <v xml:space="preserve"> </v>
      </c>
      <c r="Q499" s="971" t="e">
        <f>IF(I499=" "," ",(VLOOKUP(I499,list!$B$81:$C$111,2,FALSE)))</f>
        <v>#N/A</v>
      </c>
      <c r="R499" s="243">
        <f t="shared" si="172"/>
        <v>0</v>
      </c>
      <c r="S499" s="64">
        <v>1</v>
      </c>
      <c r="T499" s="68">
        <v>0</v>
      </c>
      <c r="U499" s="244">
        <f t="shared" si="175"/>
        <v>1</v>
      </c>
      <c r="W499" s="182"/>
      <c r="X499" s="975"/>
    </row>
    <row r="500" spans="3:24" ht="15" thickBot="1" x14ac:dyDescent="0.35">
      <c r="C500" s="520"/>
      <c r="D500" s="224" t="str">
        <f t="shared" si="176"/>
        <v xml:space="preserve">  </v>
      </c>
      <c r="E500" s="224"/>
      <c r="F500" s="224" t="str">
        <f t="shared" si="177"/>
        <v xml:space="preserve">  </v>
      </c>
      <c r="G500" s="224"/>
      <c r="H500" s="380"/>
      <c r="I500" s="516" t="e">
        <f>IF(VLOOKUP(C32,list!$AA$5:$AS$14,9,FALSE)=0," ",(VLOOKUP(C32,list!$AA$5:$AS$14,9,FALSE)))</f>
        <v>#N/A</v>
      </c>
      <c r="J500" s="955" t="e">
        <f t="shared" si="173"/>
        <v>#N/A</v>
      </c>
      <c r="K500" s="955" t="e">
        <f t="shared" si="174"/>
        <v>#N/A</v>
      </c>
      <c r="L500" s="969" t="e">
        <f>IF(I500=" "," ",VLOOKUP(J500,list!$J$4:$M$117,4,FALSE))</f>
        <v>#N/A</v>
      </c>
      <c r="M500" s="66"/>
      <c r="N500" s="1297" t="str">
        <f>IF(SUMIFS('Level of Efficiency Assumptions'!$J:$J,'Level of Efficiency Assumptions'!$H:$H,$I500,'Level of Efficiency Assumptions'!$I:$I,N$51)=0," ",SUMIFS('Level of Efficiency Assumptions'!$J:$J,'Level of Efficiency Assumptions'!$H:$H,$I500,'Level of Efficiency Assumptions'!$I:$I,N$51))</f>
        <v xml:space="preserve"> </v>
      </c>
      <c r="O500" s="1298" t="str">
        <f>IF(SUMIFS('Level of Efficiency Assumptions'!$J:$J,'Level of Efficiency Assumptions'!$H:$H,$I500,'Level of Efficiency Assumptions'!$I:$I,O$51)=0," ",SUMIFS('Level of Efficiency Assumptions'!$J:$J,'Level of Efficiency Assumptions'!$H:$H,$I500,'Level of Efficiency Assumptions'!$I:$I,O$51))</f>
        <v xml:space="preserve"> </v>
      </c>
      <c r="P500" s="1299" t="str">
        <f>IF(SUMIFS('Level of Efficiency Assumptions'!$J:$J,'Level of Efficiency Assumptions'!$H:$H,$I500,'Level of Efficiency Assumptions'!$I:$I,P$51)=0," ",SUMIFS('Level of Efficiency Assumptions'!$J:$J,'Level of Efficiency Assumptions'!$H:$H,$I500,'Level of Efficiency Assumptions'!$I:$I,P$51))</f>
        <v xml:space="preserve"> </v>
      </c>
      <c r="Q500" s="971" t="e">
        <f>IF(I500=" "," ",(VLOOKUP(I500,list!$B$81:$C$111,2,FALSE)))</f>
        <v>#N/A</v>
      </c>
      <c r="R500" s="243">
        <f t="shared" si="172"/>
        <v>0</v>
      </c>
      <c r="S500" s="64">
        <v>1</v>
      </c>
      <c r="T500" s="68">
        <v>0</v>
      </c>
      <c r="U500" s="244">
        <f t="shared" si="175"/>
        <v>1</v>
      </c>
    </row>
    <row r="501" spans="3:24" ht="15" thickBot="1" x14ac:dyDescent="0.35">
      <c r="C501" s="520"/>
      <c r="D501" s="224" t="str">
        <f t="shared" si="176"/>
        <v xml:space="preserve">  </v>
      </c>
      <c r="E501" s="224"/>
      <c r="F501" s="224" t="str">
        <f t="shared" si="177"/>
        <v xml:space="preserve">  </v>
      </c>
      <c r="G501" s="224"/>
      <c r="H501" s="380"/>
      <c r="I501" s="516" t="e">
        <f>IF(VLOOKUP(C32,list!$AA$5:$AS$14,10,FALSE)=0," ",(VLOOKUP(C32,list!$AA$5:$AS$14,10,FALSE)))</f>
        <v>#N/A</v>
      </c>
      <c r="J501" s="955" t="e">
        <f t="shared" si="173"/>
        <v>#N/A</v>
      </c>
      <c r="K501" s="955" t="e">
        <f t="shared" si="174"/>
        <v>#N/A</v>
      </c>
      <c r="L501" s="969" t="e">
        <f>IF(I501=" "," ",VLOOKUP(J501,list!$J$4:$M$117,4,FALSE))</f>
        <v>#N/A</v>
      </c>
      <c r="M501" s="66"/>
      <c r="N501" s="1297" t="str">
        <f>IF(SUMIFS('Level of Efficiency Assumptions'!$J:$J,'Level of Efficiency Assumptions'!$H:$H,$I501,'Level of Efficiency Assumptions'!$I:$I,N$51)=0," ",SUMIFS('Level of Efficiency Assumptions'!$J:$J,'Level of Efficiency Assumptions'!$H:$H,$I501,'Level of Efficiency Assumptions'!$I:$I,N$51))</f>
        <v xml:space="preserve"> </v>
      </c>
      <c r="O501" s="1298" t="str">
        <f>IF(SUMIFS('Level of Efficiency Assumptions'!$J:$J,'Level of Efficiency Assumptions'!$H:$H,$I501,'Level of Efficiency Assumptions'!$I:$I,O$51)=0," ",SUMIFS('Level of Efficiency Assumptions'!$J:$J,'Level of Efficiency Assumptions'!$H:$H,$I501,'Level of Efficiency Assumptions'!$I:$I,O$51))</f>
        <v xml:space="preserve"> </v>
      </c>
      <c r="P501" s="1299" t="str">
        <f>IF(SUMIFS('Level of Efficiency Assumptions'!$J:$J,'Level of Efficiency Assumptions'!$H:$H,$I501,'Level of Efficiency Assumptions'!$I:$I,P$51)=0," ",SUMIFS('Level of Efficiency Assumptions'!$J:$J,'Level of Efficiency Assumptions'!$H:$H,$I501,'Level of Efficiency Assumptions'!$I:$I,P$51))</f>
        <v xml:space="preserve"> </v>
      </c>
      <c r="Q501" s="971" t="e">
        <f>IF(I501=" "," ",(VLOOKUP(I501,list!$B$81:$C$111,2,FALSE)))</f>
        <v>#N/A</v>
      </c>
      <c r="R501" s="243">
        <f t="shared" si="172"/>
        <v>0</v>
      </c>
      <c r="S501" s="64">
        <v>1</v>
      </c>
      <c r="T501" s="68">
        <v>0</v>
      </c>
      <c r="U501" s="244">
        <f t="shared" si="175"/>
        <v>1</v>
      </c>
    </row>
    <row r="502" spans="3:24" ht="15" thickBot="1" x14ac:dyDescent="0.35">
      <c r="C502" s="520"/>
      <c r="D502" s="224" t="str">
        <f t="shared" si="176"/>
        <v xml:space="preserve">  </v>
      </c>
      <c r="E502" s="224"/>
      <c r="F502" s="224" t="str">
        <f t="shared" si="177"/>
        <v xml:space="preserve">  </v>
      </c>
      <c r="G502" s="224"/>
      <c r="H502" s="380"/>
      <c r="I502" s="516" t="e">
        <f>IF(VLOOKUP(C32,list!$AA$5:$AS$14,11,FALSE)=0," ",(VLOOKUP(C32,list!$AA$5:$AS$14,11,FALSE)))</f>
        <v>#N/A</v>
      </c>
      <c r="J502" s="955" t="e">
        <f t="shared" si="173"/>
        <v>#N/A</v>
      </c>
      <c r="K502" s="955" t="e">
        <f t="shared" si="174"/>
        <v>#N/A</v>
      </c>
      <c r="L502" s="969" t="e">
        <f>IF(I502=" "," ",VLOOKUP(J502,list!$J$4:$M$117,4,FALSE))</f>
        <v>#N/A</v>
      </c>
      <c r="M502" s="66"/>
      <c r="N502" s="1297" t="str">
        <f>IF(SUMIFS('Level of Efficiency Assumptions'!$J:$J,'Level of Efficiency Assumptions'!$H:$H,$I502,'Level of Efficiency Assumptions'!$I:$I,N$51)=0," ",SUMIFS('Level of Efficiency Assumptions'!$J:$J,'Level of Efficiency Assumptions'!$H:$H,$I502,'Level of Efficiency Assumptions'!$I:$I,N$51))</f>
        <v xml:space="preserve"> </v>
      </c>
      <c r="O502" s="1298" t="str">
        <f>IF(SUMIFS('Level of Efficiency Assumptions'!$J:$J,'Level of Efficiency Assumptions'!$H:$H,$I502,'Level of Efficiency Assumptions'!$I:$I,O$51)=0," ",SUMIFS('Level of Efficiency Assumptions'!$J:$J,'Level of Efficiency Assumptions'!$H:$H,$I502,'Level of Efficiency Assumptions'!$I:$I,O$51))</f>
        <v xml:space="preserve"> </v>
      </c>
      <c r="P502" s="1299" t="str">
        <f>IF(SUMIFS('Level of Efficiency Assumptions'!$J:$J,'Level of Efficiency Assumptions'!$H:$H,$I502,'Level of Efficiency Assumptions'!$I:$I,P$51)=0," ",SUMIFS('Level of Efficiency Assumptions'!$J:$J,'Level of Efficiency Assumptions'!$H:$H,$I502,'Level of Efficiency Assumptions'!$I:$I,P$51))</f>
        <v xml:space="preserve"> </v>
      </c>
      <c r="Q502" s="971" t="e">
        <f>IF(I502=" "," ",(VLOOKUP(I502,list!$B$81:$C$111,2,FALSE)))</f>
        <v>#N/A</v>
      </c>
      <c r="R502" s="243">
        <f t="shared" si="172"/>
        <v>0</v>
      </c>
      <c r="S502" s="64">
        <v>1</v>
      </c>
      <c r="T502" s="68">
        <v>0</v>
      </c>
      <c r="U502" s="244">
        <f t="shared" si="175"/>
        <v>1</v>
      </c>
    </row>
    <row r="503" spans="3:24" ht="15" thickBot="1" x14ac:dyDescent="0.35">
      <c r="C503" s="520"/>
      <c r="D503" s="224" t="str">
        <f t="shared" si="176"/>
        <v xml:space="preserve">  </v>
      </c>
      <c r="E503" s="224"/>
      <c r="F503" s="224" t="str">
        <f t="shared" si="177"/>
        <v xml:space="preserve">  </v>
      </c>
      <c r="G503" s="224"/>
      <c r="H503" s="380"/>
      <c r="I503" s="516" t="e">
        <f>IF(VLOOKUP(C32,list!$AA$5:$AS$14,12,FALSE)=0," ",(VLOOKUP(C32,list!$AA$5:$AS$14,12,FALSE)))</f>
        <v>#N/A</v>
      </c>
      <c r="J503" s="955" t="e">
        <f t="shared" si="173"/>
        <v>#N/A</v>
      </c>
      <c r="K503" s="955" t="e">
        <f t="shared" si="174"/>
        <v>#N/A</v>
      </c>
      <c r="L503" s="969" t="e">
        <f>IF(I503=" "," ",VLOOKUP(J503,list!$J$4:$M$117,4,FALSE))</f>
        <v>#N/A</v>
      </c>
      <c r="M503" s="66"/>
      <c r="N503" s="1297" t="str">
        <f>IF(SUMIFS('Level of Efficiency Assumptions'!$J:$J,'Level of Efficiency Assumptions'!$H:$H,$I503,'Level of Efficiency Assumptions'!$I:$I,N$51)=0," ",SUMIFS('Level of Efficiency Assumptions'!$J:$J,'Level of Efficiency Assumptions'!$H:$H,$I503,'Level of Efficiency Assumptions'!$I:$I,N$51))</f>
        <v xml:space="preserve"> </v>
      </c>
      <c r="O503" s="1298" t="str">
        <f>IF(SUMIFS('Level of Efficiency Assumptions'!$J:$J,'Level of Efficiency Assumptions'!$H:$H,$I503,'Level of Efficiency Assumptions'!$I:$I,O$51)=0," ",SUMIFS('Level of Efficiency Assumptions'!$J:$J,'Level of Efficiency Assumptions'!$H:$H,$I503,'Level of Efficiency Assumptions'!$I:$I,O$51))</f>
        <v xml:space="preserve"> </v>
      </c>
      <c r="P503" s="1299" t="str">
        <f>IF(SUMIFS('Level of Efficiency Assumptions'!$J:$J,'Level of Efficiency Assumptions'!$H:$H,$I503,'Level of Efficiency Assumptions'!$I:$I,P$51)=0," ",SUMIFS('Level of Efficiency Assumptions'!$J:$J,'Level of Efficiency Assumptions'!$H:$H,$I503,'Level of Efficiency Assumptions'!$I:$I,P$51))</f>
        <v xml:space="preserve"> </v>
      </c>
      <c r="Q503" s="971" t="e">
        <f>IF(I503=" "," ",(VLOOKUP(I503,list!$B$81:$C$111,2,FALSE)))</f>
        <v>#N/A</v>
      </c>
      <c r="R503" s="243">
        <f t="shared" si="172"/>
        <v>0</v>
      </c>
      <c r="S503" s="64">
        <v>1</v>
      </c>
      <c r="T503" s="68">
        <v>0</v>
      </c>
      <c r="U503" s="244">
        <f t="shared" si="175"/>
        <v>1</v>
      </c>
    </row>
    <row r="504" spans="3:24" ht="15" thickBot="1" x14ac:dyDescent="0.35">
      <c r="C504" s="520"/>
      <c r="D504" s="224" t="str">
        <f t="shared" si="176"/>
        <v xml:space="preserve">  </v>
      </c>
      <c r="E504" s="224"/>
      <c r="F504" s="224" t="str">
        <f t="shared" si="177"/>
        <v xml:space="preserve">  </v>
      </c>
      <c r="G504" s="224"/>
      <c r="H504" s="380"/>
      <c r="I504" s="516" t="e">
        <f>IF(VLOOKUP(C32,list!$AA$5:$AS$14,13,FALSE)=0," ",(VLOOKUP(C32,list!$AA$5:$AS$14,13,FALSE)))</f>
        <v>#N/A</v>
      </c>
      <c r="J504" s="955" t="e">
        <f t="shared" si="173"/>
        <v>#N/A</v>
      </c>
      <c r="K504" s="955" t="e">
        <f t="shared" si="174"/>
        <v>#N/A</v>
      </c>
      <c r="L504" s="969" t="e">
        <f>IF(I504=" "," ",VLOOKUP(J504,list!$J$4:$M$117,4,FALSE))</f>
        <v>#N/A</v>
      </c>
      <c r="M504" s="66"/>
      <c r="N504" s="1297" t="str">
        <f>IF(SUMIFS('Level of Efficiency Assumptions'!$J:$J,'Level of Efficiency Assumptions'!$H:$H,$I504,'Level of Efficiency Assumptions'!$I:$I,N$51)=0," ",SUMIFS('Level of Efficiency Assumptions'!$J:$J,'Level of Efficiency Assumptions'!$H:$H,$I504,'Level of Efficiency Assumptions'!$I:$I,N$51))</f>
        <v xml:space="preserve"> </v>
      </c>
      <c r="O504" s="1298" t="str">
        <f>IF(SUMIFS('Level of Efficiency Assumptions'!$J:$J,'Level of Efficiency Assumptions'!$H:$H,$I504,'Level of Efficiency Assumptions'!$I:$I,O$51)=0," ",SUMIFS('Level of Efficiency Assumptions'!$J:$J,'Level of Efficiency Assumptions'!$H:$H,$I504,'Level of Efficiency Assumptions'!$I:$I,O$51))</f>
        <v xml:space="preserve"> </v>
      </c>
      <c r="P504" s="1299" t="str">
        <f>IF(SUMIFS('Level of Efficiency Assumptions'!$J:$J,'Level of Efficiency Assumptions'!$H:$H,$I504,'Level of Efficiency Assumptions'!$I:$I,P$51)=0," ",SUMIFS('Level of Efficiency Assumptions'!$J:$J,'Level of Efficiency Assumptions'!$H:$H,$I504,'Level of Efficiency Assumptions'!$I:$I,P$51))</f>
        <v xml:space="preserve"> </v>
      </c>
      <c r="Q504" s="971" t="e">
        <f>IF(I504=" "," ",(VLOOKUP(I504,list!$B$81:$C$111,2,FALSE)))</f>
        <v>#N/A</v>
      </c>
      <c r="R504" s="243">
        <f t="shared" si="172"/>
        <v>0</v>
      </c>
      <c r="S504" s="64">
        <v>1</v>
      </c>
      <c r="T504" s="68">
        <v>0</v>
      </c>
      <c r="U504" s="244">
        <f t="shared" si="175"/>
        <v>1</v>
      </c>
    </row>
    <row r="505" spans="3:24" ht="15" thickBot="1" x14ac:dyDescent="0.35">
      <c r="C505" s="520"/>
      <c r="D505" s="224" t="str">
        <f t="shared" si="176"/>
        <v xml:space="preserve">  </v>
      </c>
      <c r="E505" s="224"/>
      <c r="F505" s="224" t="str">
        <f t="shared" si="177"/>
        <v xml:space="preserve">  </v>
      </c>
      <c r="G505" s="224"/>
      <c r="H505" s="380"/>
      <c r="I505" s="516" t="e">
        <f>IF(VLOOKUP(C32,list!$AA$5:$AS$14,14,FALSE)=0," ",(VLOOKUP(C32,list!$AA$5:$AS$14,14,FALSE)))</f>
        <v>#N/A</v>
      </c>
      <c r="J505" s="955" t="e">
        <f t="shared" si="173"/>
        <v>#N/A</v>
      </c>
      <c r="K505" s="955" t="e">
        <f t="shared" si="174"/>
        <v>#N/A</v>
      </c>
      <c r="L505" s="969" t="e">
        <f>IF(I505=" "," ",VLOOKUP(J505,list!$J$4:$M$117,4,FALSE))</f>
        <v>#N/A</v>
      </c>
      <c r="M505" s="66"/>
      <c r="N505" s="1297" t="str">
        <f>IF(SUMIFS('Level of Efficiency Assumptions'!$J:$J,'Level of Efficiency Assumptions'!$H:$H,$I505,'Level of Efficiency Assumptions'!$I:$I,N$51)=0," ",SUMIFS('Level of Efficiency Assumptions'!$J:$J,'Level of Efficiency Assumptions'!$H:$H,$I505,'Level of Efficiency Assumptions'!$I:$I,N$51))</f>
        <v xml:space="preserve"> </v>
      </c>
      <c r="O505" s="1298" t="str">
        <f>IF(SUMIFS('Level of Efficiency Assumptions'!$J:$J,'Level of Efficiency Assumptions'!$H:$H,$I505,'Level of Efficiency Assumptions'!$I:$I,O$51)=0," ",SUMIFS('Level of Efficiency Assumptions'!$J:$J,'Level of Efficiency Assumptions'!$H:$H,$I505,'Level of Efficiency Assumptions'!$I:$I,O$51))</f>
        <v xml:space="preserve"> </v>
      </c>
      <c r="P505" s="1299" t="str">
        <f>IF(SUMIFS('Level of Efficiency Assumptions'!$J:$J,'Level of Efficiency Assumptions'!$H:$H,$I505,'Level of Efficiency Assumptions'!$I:$I,P$51)=0," ",SUMIFS('Level of Efficiency Assumptions'!$J:$J,'Level of Efficiency Assumptions'!$H:$H,$I505,'Level of Efficiency Assumptions'!$I:$I,P$51))</f>
        <v xml:space="preserve"> </v>
      </c>
      <c r="Q505" s="971" t="e">
        <f>IF(I505=" "," ",(VLOOKUP(I505,list!$B$81:$C$111,2,FALSE)))</f>
        <v>#N/A</v>
      </c>
      <c r="R505" s="243">
        <f t="shared" si="172"/>
        <v>0</v>
      </c>
      <c r="S505" s="64">
        <v>1</v>
      </c>
      <c r="T505" s="68">
        <v>0</v>
      </c>
      <c r="U505" s="244">
        <f t="shared" si="175"/>
        <v>1</v>
      </c>
    </row>
    <row r="506" spans="3:24" ht="15" thickBot="1" x14ac:dyDescent="0.35">
      <c r="C506" s="520"/>
      <c r="D506" s="224" t="str">
        <f t="shared" si="176"/>
        <v xml:space="preserve">  </v>
      </c>
      <c r="E506" s="224"/>
      <c r="F506" s="224" t="str">
        <f t="shared" si="177"/>
        <v xml:space="preserve">  </v>
      </c>
      <c r="G506" s="224"/>
      <c r="H506" s="380"/>
      <c r="I506" s="516" t="e">
        <f>IF(VLOOKUP(C32,list!$AA$5:$AS$14,15,FALSE)=0," ",(VLOOKUP(C32,list!$AA$5:$AS$14,15,FALSE)))</f>
        <v>#N/A</v>
      </c>
      <c r="J506" s="955" t="e">
        <f t="shared" si="173"/>
        <v>#N/A</v>
      </c>
      <c r="K506" s="955" t="e">
        <f t="shared" si="174"/>
        <v>#N/A</v>
      </c>
      <c r="L506" s="969" t="e">
        <f>IF(I506=" "," ",VLOOKUP(J506,list!$J$4:$M$117,4,FALSE))</f>
        <v>#N/A</v>
      </c>
      <c r="M506" s="66"/>
      <c r="N506" s="1297" t="str">
        <f>IF(SUMIFS('Level of Efficiency Assumptions'!$J:$J,'Level of Efficiency Assumptions'!$H:$H,$I506,'Level of Efficiency Assumptions'!$I:$I,N$51)=0," ",SUMIFS('Level of Efficiency Assumptions'!$J:$J,'Level of Efficiency Assumptions'!$H:$H,$I506,'Level of Efficiency Assumptions'!$I:$I,N$51))</f>
        <v xml:space="preserve"> </v>
      </c>
      <c r="O506" s="1298" t="str">
        <f>IF(SUMIFS('Level of Efficiency Assumptions'!$J:$J,'Level of Efficiency Assumptions'!$H:$H,$I506,'Level of Efficiency Assumptions'!$I:$I,O$51)=0," ",SUMIFS('Level of Efficiency Assumptions'!$J:$J,'Level of Efficiency Assumptions'!$H:$H,$I506,'Level of Efficiency Assumptions'!$I:$I,O$51))</f>
        <v xml:space="preserve"> </v>
      </c>
      <c r="P506" s="1299" t="str">
        <f>IF(SUMIFS('Level of Efficiency Assumptions'!$J:$J,'Level of Efficiency Assumptions'!$H:$H,$I506,'Level of Efficiency Assumptions'!$I:$I,P$51)=0," ",SUMIFS('Level of Efficiency Assumptions'!$J:$J,'Level of Efficiency Assumptions'!$H:$H,$I506,'Level of Efficiency Assumptions'!$I:$I,P$51))</f>
        <v xml:space="preserve"> </v>
      </c>
      <c r="Q506" s="971" t="e">
        <f>IF(I506=" "," ",(VLOOKUP(I506,list!$B$81:$C$111,2,FALSE)))</f>
        <v>#N/A</v>
      </c>
      <c r="R506" s="243">
        <f t="shared" si="172"/>
        <v>0</v>
      </c>
      <c r="S506" s="64">
        <v>1</v>
      </c>
      <c r="T506" s="68">
        <v>0</v>
      </c>
      <c r="U506" s="244">
        <f t="shared" si="175"/>
        <v>1</v>
      </c>
    </row>
    <row r="507" spans="3:24" ht="15" thickBot="1" x14ac:dyDescent="0.35">
      <c r="C507" s="520"/>
      <c r="D507" s="224" t="str">
        <f t="shared" si="176"/>
        <v xml:space="preserve">  </v>
      </c>
      <c r="E507" s="224"/>
      <c r="F507" s="224" t="str">
        <f t="shared" si="177"/>
        <v xml:space="preserve">  </v>
      </c>
      <c r="G507" s="224"/>
      <c r="H507" s="380"/>
      <c r="I507" s="516" t="e">
        <f>IF(VLOOKUP(C32,list!$AA$5:$AS$14,16,FALSE)=0," ",(VLOOKUP(C32,list!$AA$5:$AS$14,16,FALSE)))</f>
        <v>#N/A</v>
      </c>
      <c r="J507" s="955" t="e">
        <f t="shared" si="173"/>
        <v>#N/A</v>
      </c>
      <c r="K507" s="955" t="e">
        <f t="shared" si="174"/>
        <v>#N/A</v>
      </c>
      <c r="L507" s="969" t="e">
        <f>IF(I507=" "," ",VLOOKUP(J507,list!$J$4:$M$117,4,FALSE))</f>
        <v>#N/A</v>
      </c>
      <c r="M507" s="66"/>
      <c r="N507" s="1297" t="str">
        <f>IF(SUMIFS('Level of Efficiency Assumptions'!$J:$J,'Level of Efficiency Assumptions'!$H:$H,$I507,'Level of Efficiency Assumptions'!$I:$I,N$51)=0," ",SUMIFS('Level of Efficiency Assumptions'!$J:$J,'Level of Efficiency Assumptions'!$H:$H,$I507,'Level of Efficiency Assumptions'!$I:$I,N$51))</f>
        <v xml:space="preserve"> </v>
      </c>
      <c r="O507" s="1298" t="str">
        <f>IF(SUMIFS('Level of Efficiency Assumptions'!$J:$J,'Level of Efficiency Assumptions'!$H:$H,$I507,'Level of Efficiency Assumptions'!$I:$I,O$51)=0," ",SUMIFS('Level of Efficiency Assumptions'!$J:$J,'Level of Efficiency Assumptions'!$H:$H,$I507,'Level of Efficiency Assumptions'!$I:$I,O$51))</f>
        <v xml:space="preserve"> </v>
      </c>
      <c r="P507" s="1299" t="str">
        <f>IF(SUMIFS('Level of Efficiency Assumptions'!$J:$J,'Level of Efficiency Assumptions'!$H:$H,$I507,'Level of Efficiency Assumptions'!$I:$I,P$51)=0," ",SUMIFS('Level of Efficiency Assumptions'!$J:$J,'Level of Efficiency Assumptions'!$H:$H,$I507,'Level of Efficiency Assumptions'!$I:$I,P$51))</f>
        <v xml:space="preserve"> </v>
      </c>
      <c r="Q507" s="971" t="e">
        <f>IF(I507=" "," ",(VLOOKUP(I507,list!$B$81:$C$111,2,FALSE)))</f>
        <v>#N/A</v>
      </c>
      <c r="R507" s="243">
        <f t="shared" si="172"/>
        <v>0</v>
      </c>
      <c r="S507" s="64">
        <v>1</v>
      </c>
      <c r="T507" s="68">
        <v>0</v>
      </c>
      <c r="U507" s="244">
        <f t="shared" si="175"/>
        <v>1</v>
      </c>
    </row>
    <row r="508" spans="3:24" ht="15" thickBot="1" x14ac:dyDescent="0.35">
      <c r="C508" s="520"/>
      <c r="D508" s="224" t="str">
        <f t="shared" si="176"/>
        <v xml:space="preserve">  </v>
      </c>
      <c r="E508" s="224"/>
      <c r="F508" s="224" t="str">
        <f t="shared" si="177"/>
        <v xml:space="preserve">  </v>
      </c>
      <c r="G508" s="224"/>
      <c r="H508" s="380"/>
      <c r="I508" s="516" t="e">
        <f>IF(VLOOKUP(C32,list!$AA$5:$AS$14,17,FALSE)=0," ",(VLOOKUP(C32,list!$AA$5:$AS$14,17,FALSE)))</f>
        <v>#N/A</v>
      </c>
      <c r="J508" s="955" t="e">
        <f t="shared" si="173"/>
        <v>#N/A</v>
      </c>
      <c r="K508" s="955" t="e">
        <f t="shared" si="174"/>
        <v>#N/A</v>
      </c>
      <c r="L508" s="969" t="e">
        <f>IF(I508=" "," ",VLOOKUP(J508,list!$J$4:$M$117,4,FALSE))</f>
        <v>#N/A</v>
      </c>
      <c r="M508" s="66"/>
      <c r="N508" s="1297" t="str">
        <f>IF(SUMIFS('Level of Efficiency Assumptions'!$J:$J,'Level of Efficiency Assumptions'!$H:$H,$I508,'Level of Efficiency Assumptions'!$I:$I,N$51)=0," ",SUMIFS('Level of Efficiency Assumptions'!$J:$J,'Level of Efficiency Assumptions'!$H:$H,$I508,'Level of Efficiency Assumptions'!$I:$I,N$51))</f>
        <v xml:space="preserve"> </v>
      </c>
      <c r="O508" s="1298" t="str">
        <f>IF(SUMIFS('Level of Efficiency Assumptions'!$J:$J,'Level of Efficiency Assumptions'!$H:$H,$I508,'Level of Efficiency Assumptions'!$I:$I,O$51)=0," ",SUMIFS('Level of Efficiency Assumptions'!$J:$J,'Level of Efficiency Assumptions'!$H:$H,$I508,'Level of Efficiency Assumptions'!$I:$I,O$51))</f>
        <v xml:space="preserve"> </v>
      </c>
      <c r="P508" s="1299" t="str">
        <f>IF(SUMIFS('Level of Efficiency Assumptions'!$J:$J,'Level of Efficiency Assumptions'!$H:$H,$I508,'Level of Efficiency Assumptions'!$I:$I,P$51)=0," ",SUMIFS('Level of Efficiency Assumptions'!$J:$J,'Level of Efficiency Assumptions'!$H:$H,$I508,'Level of Efficiency Assumptions'!$I:$I,P$51))</f>
        <v xml:space="preserve"> </v>
      </c>
      <c r="Q508" s="971" t="e">
        <f>IF(I508=" "," ",(VLOOKUP(I508,list!$B$81:$C$111,2,FALSE)))</f>
        <v>#N/A</v>
      </c>
      <c r="R508" s="243">
        <f t="shared" si="172"/>
        <v>0</v>
      </c>
      <c r="S508" s="64">
        <v>1</v>
      </c>
      <c r="T508" s="68">
        <v>0</v>
      </c>
      <c r="U508" s="244">
        <f t="shared" si="175"/>
        <v>1</v>
      </c>
    </row>
    <row r="509" spans="3:24" ht="15" thickBot="1" x14ac:dyDescent="0.35">
      <c r="C509" s="520"/>
      <c r="D509" s="224" t="str">
        <f t="shared" si="176"/>
        <v xml:space="preserve">  </v>
      </c>
      <c r="E509" s="224"/>
      <c r="F509" s="224" t="str">
        <f t="shared" si="177"/>
        <v xml:space="preserve">  </v>
      </c>
      <c r="G509" s="224"/>
      <c r="H509" s="380"/>
      <c r="I509" s="516" t="e">
        <f>IF(VLOOKUP(C32,list!$AA$5:$AS$14,18,FALSE)=0," ",(VLOOKUP(C32,list!$AA$5:$AS$14,18,FALSE)))</f>
        <v>#N/A</v>
      </c>
      <c r="J509" s="955" t="e">
        <f t="shared" si="173"/>
        <v>#N/A</v>
      </c>
      <c r="K509" s="955" t="e">
        <f t="shared" si="174"/>
        <v>#N/A</v>
      </c>
      <c r="L509" s="969" t="e">
        <f>IF(I509=" "," ",VLOOKUP(J509,list!$J$4:$M$117,4,FALSE))</f>
        <v>#N/A</v>
      </c>
      <c r="M509" s="66"/>
      <c r="N509" s="1297" t="str">
        <f>IF(SUMIFS('Level of Efficiency Assumptions'!$J:$J,'Level of Efficiency Assumptions'!$H:$H,$I509,'Level of Efficiency Assumptions'!$I:$I,N$51)=0," ",SUMIFS('Level of Efficiency Assumptions'!$J:$J,'Level of Efficiency Assumptions'!$H:$H,$I509,'Level of Efficiency Assumptions'!$I:$I,N$51))</f>
        <v xml:space="preserve"> </v>
      </c>
      <c r="O509" s="1298" t="str">
        <f>IF(SUMIFS('Level of Efficiency Assumptions'!$J:$J,'Level of Efficiency Assumptions'!$H:$H,$I509,'Level of Efficiency Assumptions'!$I:$I,O$51)=0," ",SUMIFS('Level of Efficiency Assumptions'!$J:$J,'Level of Efficiency Assumptions'!$H:$H,$I509,'Level of Efficiency Assumptions'!$I:$I,O$51))</f>
        <v xml:space="preserve"> </v>
      </c>
      <c r="P509" s="1299" t="str">
        <f>IF(SUMIFS('Level of Efficiency Assumptions'!$J:$J,'Level of Efficiency Assumptions'!$H:$H,$I509,'Level of Efficiency Assumptions'!$I:$I,P$51)=0," ",SUMIFS('Level of Efficiency Assumptions'!$J:$J,'Level of Efficiency Assumptions'!$H:$H,$I509,'Level of Efficiency Assumptions'!$I:$I,P$51))</f>
        <v xml:space="preserve"> </v>
      </c>
      <c r="Q509" s="971" t="e">
        <f>IF(I509=" "," ",(VLOOKUP(I509,list!$B$81:$C$111,2,FALSE)))</f>
        <v>#N/A</v>
      </c>
      <c r="R509" s="243">
        <f t="shared" si="172"/>
        <v>0</v>
      </c>
      <c r="S509" s="64">
        <v>1</v>
      </c>
      <c r="T509" s="68">
        <v>0</v>
      </c>
      <c r="U509" s="244">
        <f t="shared" si="175"/>
        <v>1</v>
      </c>
    </row>
    <row r="510" spans="3:24" ht="15" thickBot="1" x14ac:dyDescent="0.35">
      <c r="C510" s="632"/>
      <c r="D510" s="226" t="str">
        <f t="shared" si="176"/>
        <v xml:space="preserve">  </v>
      </c>
      <c r="E510" s="226"/>
      <c r="F510" s="226" t="str">
        <f t="shared" si="177"/>
        <v xml:space="preserve">  </v>
      </c>
      <c r="G510" s="226"/>
      <c r="H510" s="976"/>
      <c r="I510" s="516" t="e">
        <f>IF(VLOOKUP(C32,list!$AA$5:$AS$14,19,FALSE)=0," ",(VLOOKUP(C32,list!$AA$5:$AS$14,19,FALSE)))</f>
        <v>#N/A</v>
      </c>
      <c r="J510" s="955" t="e">
        <f>IF(I510=" "," ",(D510&amp;"-"&amp;I510))</f>
        <v>#N/A</v>
      </c>
      <c r="K510" s="955" t="e">
        <f t="shared" si="174"/>
        <v>#N/A</v>
      </c>
      <c r="L510" s="969" t="e">
        <f>IF(I510=" "," ",VLOOKUP(J510,list!$J$4:$M$117,4,FALSE))</f>
        <v>#N/A</v>
      </c>
      <c r="M510" s="67"/>
      <c r="N510" s="1303" t="str">
        <f>IF(SUMIFS('Level of Efficiency Assumptions'!$J:$J,'Level of Efficiency Assumptions'!$H:$H,$I510,'Level of Efficiency Assumptions'!$I:$I,N$51)=0," ",SUMIFS('Level of Efficiency Assumptions'!$J:$J,'Level of Efficiency Assumptions'!$H:$H,$I510,'Level of Efficiency Assumptions'!$I:$I,N$51))</f>
        <v xml:space="preserve"> </v>
      </c>
      <c r="O510" s="1304" t="str">
        <f>IF(SUMIFS('Level of Efficiency Assumptions'!$J:$J,'Level of Efficiency Assumptions'!$H:$H,$I510,'Level of Efficiency Assumptions'!$I:$I,O$51)=0," ",SUMIFS('Level of Efficiency Assumptions'!$J:$J,'Level of Efficiency Assumptions'!$H:$H,$I510,'Level of Efficiency Assumptions'!$I:$I,O$51))</f>
        <v xml:space="preserve"> </v>
      </c>
      <c r="P510" s="1305" t="str">
        <f>IF(SUMIFS('Level of Efficiency Assumptions'!$J:$J,'Level of Efficiency Assumptions'!$H:$H,$I510,'Level of Efficiency Assumptions'!$I:$I,P$51)=0," ",SUMIFS('Level of Efficiency Assumptions'!$J:$J,'Level of Efficiency Assumptions'!$H:$H,$I510,'Level of Efficiency Assumptions'!$I:$I,P$51))</f>
        <v xml:space="preserve"> </v>
      </c>
      <c r="Q510" s="977" t="e">
        <f>IF(I510=" "," ",(VLOOKUP(I510,list!$B$81:$C$111,2,FALSE)))</f>
        <v>#N/A</v>
      </c>
      <c r="R510" s="245">
        <f t="shared" si="172"/>
        <v>0</v>
      </c>
      <c r="S510" s="65">
        <v>1</v>
      </c>
      <c r="T510" s="69">
        <v>0</v>
      </c>
      <c r="U510" s="246">
        <f t="shared" si="175"/>
        <v>1</v>
      </c>
    </row>
    <row r="511" spans="3:24" x14ac:dyDescent="0.3">
      <c r="D511" s="846"/>
      <c r="F511" s="82"/>
      <c r="J511" s="846"/>
      <c r="K511" s="846"/>
      <c r="N511" s="1179"/>
      <c r="O511" s="1179"/>
      <c r="P511" s="1179"/>
      <c r="R511" s="176" t="s">
        <v>295</v>
      </c>
      <c r="S511" s="176"/>
      <c r="T511" s="176"/>
      <c r="U511" s="176"/>
    </row>
    <row r="512" spans="3:24" ht="15" thickBot="1" x14ac:dyDescent="0.35">
      <c r="D512" s="846"/>
      <c r="F512" s="82"/>
      <c r="J512" s="846"/>
      <c r="K512" s="846"/>
      <c r="N512" s="1179"/>
      <c r="O512" s="1179"/>
      <c r="P512" s="1179"/>
    </row>
    <row r="513" spans="2:24" ht="15" thickBot="1" x14ac:dyDescent="0.35">
      <c r="B513" s="814">
        <v>24</v>
      </c>
      <c r="C513" s="967" t="str">
        <f t="shared" ref="C513:H513" si="178">C33</f>
        <v xml:space="preserve">  </v>
      </c>
      <c r="D513" s="967" t="str">
        <f t="shared" si="178"/>
        <v xml:space="preserve">  </v>
      </c>
      <c r="E513" s="967" t="str">
        <f t="shared" si="178"/>
        <v xml:space="preserve">  </v>
      </c>
      <c r="F513" s="967" t="str">
        <f t="shared" si="178"/>
        <v xml:space="preserve">  </v>
      </c>
      <c r="G513" s="967">
        <f t="shared" si="178"/>
        <v>0</v>
      </c>
      <c r="H513" s="968">
        <f t="shared" si="178"/>
        <v>0</v>
      </c>
      <c r="I513" s="516" t="e">
        <f>IF(VLOOKUP(C33,list!$AA$5:$AS$14,2,FALSE)=0," ",(VLOOKUP(C33,list!$AA$5:$AS$14,2,FALSE)))</f>
        <v>#N/A</v>
      </c>
      <c r="J513" s="955" t="e">
        <f>IF(I513=" "," ",(D33&amp;"-"&amp;I513))</f>
        <v>#N/A</v>
      </c>
      <c r="K513" s="955" t="e">
        <f>IF(I513=" "," ",(F33&amp;"-"&amp;I513))</f>
        <v>#N/A</v>
      </c>
      <c r="L513" s="969" t="e">
        <f>IF(I513=" "," ",VLOOKUP(J513,list!$J$4:$M$117,4,FALSE))</f>
        <v>#N/A</v>
      </c>
      <c r="M513" s="70"/>
      <c r="N513" s="1300" t="str">
        <f>IF(SUMIFS('Level of Efficiency Assumptions'!$J:$J,'Level of Efficiency Assumptions'!$H:$H,$I513,'Level of Efficiency Assumptions'!$I:$I,N$51)=0," ",SUMIFS('Level of Efficiency Assumptions'!$J:$J,'Level of Efficiency Assumptions'!$H:$H,$I513,'Level of Efficiency Assumptions'!$I:$I,N$51))</f>
        <v xml:space="preserve"> </v>
      </c>
      <c r="O513" s="1301" t="str">
        <f>IF(SUMIFS('Level of Efficiency Assumptions'!$J:$J,'Level of Efficiency Assumptions'!$H:$H,$I513,'Level of Efficiency Assumptions'!$I:$I,O$51)=0," ",SUMIFS('Level of Efficiency Assumptions'!$J:$J,'Level of Efficiency Assumptions'!$H:$H,$I513,'Level of Efficiency Assumptions'!$I:$I,O$51))</f>
        <v xml:space="preserve"> </v>
      </c>
      <c r="P513" s="1302" t="str">
        <f>IF(SUMIFS('Level of Efficiency Assumptions'!$J:$J,'Level of Efficiency Assumptions'!$H:$H,$I513,'Level of Efficiency Assumptions'!$I:$I,P$51)=0," ",SUMIFS('Level of Efficiency Assumptions'!$J:$J,'Level of Efficiency Assumptions'!$H:$H,$I513,'Level of Efficiency Assumptions'!$I:$I,P$51))</f>
        <v xml:space="preserve"> </v>
      </c>
      <c r="Q513" s="970" t="e">
        <f>IF(I513=" "," ",(VLOOKUP(I513,list!$B$81:$C$111,2,FALSE)))</f>
        <v>#N/A</v>
      </c>
      <c r="R513" s="241">
        <f t="shared" ref="R513:R530" si="179">1-S513-T513</f>
        <v>0</v>
      </c>
      <c r="S513" s="83">
        <v>1</v>
      </c>
      <c r="T513" s="84">
        <v>0</v>
      </c>
      <c r="U513" s="242">
        <f>SUM(R513:T513)</f>
        <v>1</v>
      </c>
      <c r="W513" s="250" t="s">
        <v>367</v>
      </c>
      <c r="X513" s="251" t="s">
        <v>366</v>
      </c>
    </row>
    <row r="514" spans="2:24" ht="15" thickBot="1" x14ac:dyDescent="0.35">
      <c r="C514" s="520"/>
      <c r="D514" s="224" t="str">
        <f>D33</f>
        <v xml:space="preserve">  </v>
      </c>
      <c r="E514" s="224"/>
      <c r="F514" s="224" t="str">
        <f>F33</f>
        <v xml:space="preserve">  </v>
      </c>
      <c r="G514" s="224"/>
      <c r="H514" s="380"/>
      <c r="I514" s="516" t="e">
        <f>IF(VLOOKUP(C33,list!$AA$5:$AS$14,3,FALSE)=0," ",(VLOOKUP(C33,list!$AA$5:$AS$14,3,FALSE)))</f>
        <v>#N/A</v>
      </c>
      <c r="J514" s="955" t="e">
        <f t="shared" ref="J514:J529" si="180">IF(I514=" "," ",(D514&amp;"-"&amp;I514))</f>
        <v>#N/A</v>
      </c>
      <c r="K514" s="955" t="e">
        <f t="shared" ref="K514:K530" si="181">IF(I514=" "," ",(F514&amp;"-"&amp;I514))</f>
        <v>#N/A</v>
      </c>
      <c r="L514" s="969" t="e">
        <f>IF(I514=" "," ",VLOOKUP(J514,list!$J$4:$M$117,4,FALSE))</f>
        <v>#N/A</v>
      </c>
      <c r="M514" s="66"/>
      <c r="N514" s="1297" t="str">
        <f>IF(SUMIFS('Level of Efficiency Assumptions'!$J:$J,'Level of Efficiency Assumptions'!$H:$H,$I514,'Level of Efficiency Assumptions'!$I:$I,N$51)=0," ",SUMIFS('Level of Efficiency Assumptions'!$J:$J,'Level of Efficiency Assumptions'!$H:$H,$I514,'Level of Efficiency Assumptions'!$I:$I,N$51))</f>
        <v xml:space="preserve"> </v>
      </c>
      <c r="O514" s="1298" t="str">
        <f>IF(SUMIFS('Level of Efficiency Assumptions'!$J:$J,'Level of Efficiency Assumptions'!$H:$H,$I514,'Level of Efficiency Assumptions'!$I:$I,O$51)=0," ",SUMIFS('Level of Efficiency Assumptions'!$J:$J,'Level of Efficiency Assumptions'!$H:$H,$I514,'Level of Efficiency Assumptions'!$I:$I,O$51))</f>
        <v xml:space="preserve"> </v>
      </c>
      <c r="P514" s="1299" t="str">
        <f>IF(SUMIFS('Level of Efficiency Assumptions'!$J:$J,'Level of Efficiency Assumptions'!$H:$H,$I514,'Level of Efficiency Assumptions'!$I:$I,P$51)=0," ",SUMIFS('Level of Efficiency Assumptions'!$J:$J,'Level of Efficiency Assumptions'!$H:$H,$I514,'Level of Efficiency Assumptions'!$I:$I,P$51))</f>
        <v xml:space="preserve"> </v>
      </c>
      <c r="Q514" s="971" t="e">
        <f>IF(I514=" "," ",(VLOOKUP(I514,list!$B$81:$C$111,2,FALSE)))</f>
        <v>#N/A</v>
      </c>
      <c r="R514" s="243">
        <f t="shared" si="179"/>
        <v>0</v>
      </c>
      <c r="S514" s="64">
        <v>1</v>
      </c>
      <c r="T514" s="68">
        <v>0</v>
      </c>
      <c r="U514" s="244">
        <f t="shared" ref="U514:U530" si="182">SUM(R514:T514)</f>
        <v>1</v>
      </c>
      <c r="V514" s="82" t="e">
        <f>F514&amp;"-"&amp;W514</f>
        <v>#N/A</v>
      </c>
      <c r="W514" s="247" t="e">
        <f>HLOOKUP(D514,list!$O$34:$X$38,2,FALSE)</f>
        <v>#N/A</v>
      </c>
      <c r="X514" s="972">
        <v>1</v>
      </c>
    </row>
    <row r="515" spans="2:24" ht="15" thickBot="1" x14ac:dyDescent="0.35">
      <c r="C515" s="520"/>
      <c r="D515" s="224" t="str">
        <f>D514</f>
        <v xml:space="preserve">  </v>
      </c>
      <c r="E515" s="224"/>
      <c r="F515" s="224" t="str">
        <f>F514</f>
        <v xml:space="preserve">  </v>
      </c>
      <c r="G515" s="224"/>
      <c r="H515" s="380"/>
      <c r="I515" s="516" t="e">
        <f>IF(VLOOKUP(C33,list!$AA$5:$AS$14,4,FALSE)=0," ",(VLOOKUP(C33,list!$AA$5:$AS$14,4,FALSE)))</f>
        <v>#N/A</v>
      </c>
      <c r="J515" s="955" t="e">
        <f t="shared" si="180"/>
        <v>#N/A</v>
      </c>
      <c r="K515" s="955" t="e">
        <f t="shared" si="181"/>
        <v>#N/A</v>
      </c>
      <c r="L515" s="969" t="e">
        <f>IF(I515=" "," ",VLOOKUP(J515,list!$J$4:$M$117,4,FALSE))</f>
        <v>#N/A</v>
      </c>
      <c r="M515" s="66"/>
      <c r="N515" s="1297" t="str">
        <f>IF(SUMIFS('Level of Efficiency Assumptions'!$J:$J,'Level of Efficiency Assumptions'!$H:$H,$I515,'Level of Efficiency Assumptions'!$I:$I,N$51)=0," ",SUMIFS('Level of Efficiency Assumptions'!$J:$J,'Level of Efficiency Assumptions'!$H:$H,$I515,'Level of Efficiency Assumptions'!$I:$I,N$51))</f>
        <v xml:space="preserve"> </v>
      </c>
      <c r="O515" s="1298" t="str">
        <f>IF(SUMIFS('Level of Efficiency Assumptions'!$J:$J,'Level of Efficiency Assumptions'!$H:$H,$I515,'Level of Efficiency Assumptions'!$I:$I,O$51)=0," ",SUMIFS('Level of Efficiency Assumptions'!$J:$J,'Level of Efficiency Assumptions'!$H:$H,$I515,'Level of Efficiency Assumptions'!$I:$I,O$51))</f>
        <v xml:space="preserve"> </v>
      </c>
      <c r="P515" s="1299" t="str">
        <f>IF(SUMIFS('Level of Efficiency Assumptions'!$J:$J,'Level of Efficiency Assumptions'!$H:$H,$I515,'Level of Efficiency Assumptions'!$I:$I,P$51)=0," ",SUMIFS('Level of Efficiency Assumptions'!$J:$J,'Level of Efficiency Assumptions'!$H:$H,$I515,'Level of Efficiency Assumptions'!$I:$I,P$51))</f>
        <v xml:space="preserve"> </v>
      </c>
      <c r="Q515" s="971" t="e">
        <f>IF(I515=" "," ",(VLOOKUP(I515,list!$B$81:$C$111,2,FALSE)))</f>
        <v>#N/A</v>
      </c>
      <c r="R515" s="243">
        <f t="shared" si="179"/>
        <v>0</v>
      </c>
      <c r="S515" s="64">
        <v>1</v>
      </c>
      <c r="T515" s="68">
        <v>0</v>
      </c>
      <c r="U515" s="244">
        <f t="shared" si="182"/>
        <v>1</v>
      </c>
      <c r="V515" s="82" t="e">
        <f>F515&amp;"-"&amp;W515</f>
        <v>#N/A</v>
      </c>
      <c r="W515" s="248" t="e">
        <f>HLOOKUP(D515,list!$O$34:$X$38,3,FALSE)</f>
        <v>#N/A</v>
      </c>
      <c r="X515" s="973">
        <v>0.5</v>
      </c>
    </row>
    <row r="516" spans="2:24" ht="15" thickBot="1" x14ac:dyDescent="0.35">
      <c r="C516" s="520"/>
      <c r="D516" s="224" t="str">
        <f t="shared" ref="D516:D530" si="183">D515</f>
        <v xml:space="preserve">  </v>
      </c>
      <c r="E516" s="224"/>
      <c r="F516" s="224" t="str">
        <f t="shared" ref="F516:F530" si="184">F515</f>
        <v xml:space="preserve">  </v>
      </c>
      <c r="G516" s="224"/>
      <c r="H516" s="380"/>
      <c r="I516" s="516" t="e">
        <f>IF(VLOOKUP(C33,list!$AA$5:$AS$14,5,FALSE)=0," ",(VLOOKUP(C33,list!$AA$5:$AS$14,5,FALSE)))</f>
        <v>#N/A</v>
      </c>
      <c r="J516" s="955" t="e">
        <f t="shared" si="180"/>
        <v>#N/A</v>
      </c>
      <c r="K516" s="955" t="e">
        <f t="shared" si="181"/>
        <v>#N/A</v>
      </c>
      <c r="L516" s="969" t="e">
        <f>IF(I516=" "," ",VLOOKUP(J516,list!$J$4:$M$117,4,FALSE))</f>
        <v>#N/A</v>
      </c>
      <c r="M516" s="66"/>
      <c r="N516" s="1297" t="str">
        <f>IF(SUMIFS('Level of Efficiency Assumptions'!$J:$J,'Level of Efficiency Assumptions'!$H:$H,$I516,'Level of Efficiency Assumptions'!$I:$I,N$51)=0," ",SUMIFS('Level of Efficiency Assumptions'!$J:$J,'Level of Efficiency Assumptions'!$H:$H,$I516,'Level of Efficiency Assumptions'!$I:$I,N$51))</f>
        <v xml:space="preserve"> </v>
      </c>
      <c r="O516" s="1298" t="str">
        <f>IF(SUMIFS('Level of Efficiency Assumptions'!$J:$J,'Level of Efficiency Assumptions'!$H:$H,$I516,'Level of Efficiency Assumptions'!$I:$I,O$51)=0," ",SUMIFS('Level of Efficiency Assumptions'!$J:$J,'Level of Efficiency Assumptions'!$H:$H,$I516,'Level of Efficiency Assumptions'!$I:$I,O$51))</f>
        <v xml:space="preserve"> </v>
      </c>
      <c r="P516" s="1299" t="str">
        <f>IF(SUMIFS('Level of Efficiency Assumptions'!$J:$J,'Level of Efficiency Assumptions'!$H:$H,$I516,'Level of Efficiency Assumptions'!$I:$I,P$51)=0," ",SUMIFS('Level of Efficiency Assumptions'!$J:$J,'Level of Efficiency Assumptions'!$H:$H,$I516,'Level of Efficiency Assumptions'!$I:$I,P$51))</f>
        <v xml:space="preserve"> </v>
      </c>
      <c r="Q516" s="971" t="e">
        <f>IF(I516=" "," ",(VLOOKUP(I516,list!$B$81:$C$111,2,FALSE)))</f>
        <v>#N/A</v>
      </c>
      <c r="R516" s="243">
        <f t="shared" si="179"/>
        <v>0</v>
      </c>
      <c r="S516" s="64">
        <v>1</v>
      </c>
      <c r="T516" s="68">
        <v>0</v>
      </c>
      <c r="U516" s="244">
        <f t="shared" si="182"/>
        <v>1</v>
      </c>
      <c r="V516" s="82" t="e">
        <f>F516&amp;"-"&amp;W516</f>
        <v>#N/A</v>
      </c>
      <c r="W516" s="248" t="e">
        <f>HLOOKUP(D516,list!$O$34:$X$38,4,FALSE)</f>
        <v>#N/A</v>
      </c>
      <c r="X516" s="973">
        <v>0.5</v>
      </c>
    </row>
    <row r="517" spans="2:24" ht="15" thickBot="1" x14ac:dyDescent="0.35">
      <c r="C517" s="520"/>
      <c r="D517" s="224" t="str">
        <f t="shared" si="183"/>
        <v xml:space="preserve">  </v>
      </c>
      <c r="E517" s="224"/>
      <c r="F517" s="224" t="str">
        <f t="shared" si="184"/>
        <v xml:space="preserve">  </v>
      </c>
      <c r="G517" s="224"/>
      <c r="H517" s="380"/>
      <c r="I517" s="516" t="e">
        <f>IF(VLOOKUP(C33,list!$AA$5:$AS$14,6,FALSE)=0," ",(VLOOKUP(C33,list!$AA$5:$AS$14,6,FALSE)))</f>
        <v>#N/A</v>
      </c>
      <c r="J517" s="955" t="e">
        <f t="shared" si="180"/>
        <v>#N/A</v>
      </c>
      <c r="K517" s="955" t="e">
        <f t="shared" si="181"/>
        <v>#N/A</v>
      </c>
      <c r="L517" s="969" t="e">
        <f>IF(I517=" "," ",VLOOKUP(J517,list!$J$4:$M$117,4,FALSE))</f>
        <v>#N/A</v>
      </c>
      <c r="M517" s="66"/>
      <c r="N517" s="1297" t="str">
        <f>IF(SUMIFS('Level of Efficiency Assumptions'!$J:$J,'Level of Efficiency Assumptions'!$H:$H,$I517,'Level of Efficiency Assumptions'!$I:$I,N$51)=0," ",SUMIFS('Level of Efficiency Assumptions'!$J:$J,'Level of Efficiency Assumptions'!$H:$H,$I517,'Level of Efficiency Assumptions'!$I:$I,N$51))</f>
        <v xml:space="preserve"> </v>
      </c>
      <c r="O517" s="1298" t="str">
        <f>IF(SUMIFS('Level of Efficiency Assumptions'!$J:$J,'Level of Efficiency Assumptions'!$H:$H,$I517,'Level of Efficiency Assumptions'!$I:$I,O$51)=0," ",SUMIFS('Level of Efficiency Assumptions'!$J:$J,'Level of Efficiency Assumptions'!$H:$H,$I517,'Level of Efficiency Assumptions'!$I:$I,O$51))</f>
        <v xml:space="preserve"> </v>
      </c>
      <c r="P517" s="1299" t="str">
        <f>IF(SUMIFS('Level of Efficiency Assumptions'!$J:$J,'Level of Efficiency Assumptions'!$H:$H,$I517,'Level of Efficiency Assumptions'!$I:$I,P$51)=0," ",SUMIFS('Level of Efficiency Assumptions'!$J:$J,'Level of Efficiency Assumptions'!$H:$H,$I517,'Level of Efficiency Assumptions'!$I:$I,P$51))</f>
        <v xml:space="preserve"> </v>
      </c>
      <c r="Q517" s="971" t="e">
        <f>IF(I517=" "," ",(VLOOKUP(I517,list!$B$81:$C$111,2,FALSE)))</f>
        <v>#N/A</v>
      </c>
      <c r="R517" s="243">
        <f t="shared" si="179"/>
        <v>0</v>
      </c>
      <c r="S517" s="64">
        <v>1</v>
      </c>
      <c r="T517" s="68">
        <v>0</v>
      </c>
      <c r="U517" s="244">
        <f t="shared" si="182"/>
        <v>1</v>
      </c>
      <c r="V517" s="82" t="e">
        <f>F517&amp;"-"&amp;W517</f>
        <v>#N/A</v>
      </c>
      <c r="W517" s="249" t="e">
        <f>HLOOKUP(D517,list!$O$34:$X$38,5,FALSE)</f>
        <v>#N/A</v>
      </c>
      <c r="X517" s="974">
        <v>0.5</v>
      </c>
    </row>
    <row r="518" spans="2:24" ht="15" thickBot="1" x14ac:dyDescent="0.35">
      <c r="C518" s="520"/>
      <c r="D518" s="224" t="str">
        <f t="shared" si="183"/>
        <v xml:space="preserve">  </v>
      </c>
      <c r="E518" s="224"/>
      <c r="F518" s="224" t="str">
        <f t="shared" si="184"/>
        <v xml:space="preserve">  </v>
      </c>
      <c r="G518" s="224"/>
      <c r="H518" s="380"/>
      <c r="I518" s="516" t="e">
        <f>IF(VLOOKUP(C33,list!$AA$5:$AS$14,7,FALSE)=0," ",(VLOOKUP(C33,list!$AA$5:$AS$14,7,FALSE)))</f>
        <v>#N/A</v>
      </c>
      <c r="J518" s="955" t="e">
        <f t="shared" si="180"/>
        <v>#N/A</v>
      </c>
      <c r="K518" s="955" t="e">
        <f t="shared" si="181"/>
        <v>#N/A</v>
      </c>
      <c r="L518" s="969" t="e">
        <f>IF(I518=" "," ",VLOOKUP(J518,list!$J$4:$M$117,4,FALSE))</f>
        <v>#N/A</v>
      </c>
      <c r="M518" s="66"/>
      <c r="N518" s="1297" t="str">
        <f>IF(SUMIFS('Level of Efficiency Assumptions'!$J:$J,'Level of Efficiency Assumptions'!$H:$H,$I518,'Level of Efficiency Assumptions'!$I:$I,N$51)=0," ",SUMIFS('Level of Efficiency Assumptions'!$J:$J,'Level of Efficiency Assumptions'!$H:$H,$I518,'Level of Efficiency Assumptions'!$I:$I,N$51))</f>
        <v xml:space="preserve"> </v>
      </c>
      <c r="O518" s="1298" t="str">
        <f>IF(SUMIFS('Level of Efficiency Assumptions'!$J:$J,'Level of Efficiency Assumptions'!$H:$H,$I518,'Level of Efficiency Assumptions'!$I:$I,O$51)=0," ",SUMIFS('Level of Efficiency Assumptions'!$J:$J,'Level of Efficiency Assumptions'!$H:$H,$I518,'Level of Efficiency Assumptions'!$I:$I,O$51))</f>
        <v xml:space="preserve"> </v>
      </c>
      <c r="P518" s="1299" t="str">
        <f>IF(SUMIFS('Level of Efficiency Assumptions'!$J:$J,'Level of Efficiency Assumptions'!$H:$H,$I518,'Level of Efficiency Assumptions'!$I:$I,P$51)=0," ",SUMIFS('Level of Efficiency Assumptions'!$J:$J,'Level of Efficiency Assumptions'!$H:$H,$I518,'Level of Efficiency Assumptions'!$I:$I,P$51))</f>
        <v xml:space="preserve"> </v>
      </c>
      <c r="Q518" s="971" t="e">
        <f>IF(I518=" "," ",(VLOOKUP(I518,list!$B$81:$C$111,2,FALSE)))</f>
        <v>#N/A</v>
      </c>
      <c r="R518" s="243">
        <f t="shared" si="179"/>
        <v>0</v>
      </c>
      <c r="S518" s="64">
        <v>1</v>
      </c>
      <c r="T518" s="68">
        <v>0</v>
      </c>
      <c r="U518" s="244">
        <f t="shared" si="182"/>
        <v>1</v>
      </c>
      <c r="W518" s="182"/>
      <c r="X518" s="975"/>
    </row>
    <row r="519" spans="2:24" ht="15" thickBot="1" x14ac:dyDescent="0.35">
      <c r="C519" s="520"/>
      <c r="D519" s="224" t="str">
        <f t="shared" si="183"/>
        <v xml:space="preserve">  </v>
      </c>
      <c r="E519" s="224"/>
      <c r="F519" s="224" t="str">
        <f t="shared" si="184"/>
        <v xml:space="preserve">  </v>
      </c>
      <c r="G519" s="224"/>
      <c r="H519" s="380"/>
      <c r="I519" s="516" t="e">
        <f>IF(VLOOKUP(C33,list!$AA$5:$AS$14,8,FALSE)=0," ",(VLOOKUP(C33,list!$AA$5:$AS$14,8,FALSE)))</f>
        <v>#N/A</v>
      </c>
      <c r="J519" s="955" t="e">
        <f t="shared" si="180"/>
        <v>#N/A</v>
      </c>
      <c r="K519" s="955" t="e">
        <f t="shared" si="181"/>
        <v>#N/A</v>
      </c>
      <c r="L519" s="969" t="e">
        <f>IF(I519=" "," ",VLOOKUP(J519,list!$J$4:$M$117,4,FALSE))</f>
        <v>#N/A</v>
      </c>
      <c r="M519" s="66"/>
      <c r="N519" s="1297" t="str">
        <f>IF(SUMIFS('Level of Efficiency Assumptions'!$J:$J,'Level of Efficiency Assumptions'!$H:$H,$I519,'Level of Efficiency Assumptions'!$I:$I,N$51)=0," ",SUMIFS('Level of Efficiency Assumptions'!$J:$J,'Level of Efficiency Assumptions'!$H:$H,$I519,'Level of Efficiency Assumptions'!$I:$I,N$51))</f>
        <v xml:space="preserve"> </v>
      </c>
      <c r="O519" s="1298" t="str">
        <f>IF(SUMIFS('Level of Efficiency Assumptions'!$J:$J,'Level of Efficiency Assumptions'!$H:$H,$I519,'Level of Efficiency Assumptions'!$I:$I,O$51)=0," ",SUMIFS('Level of Efficiency Assumptions'!$J:$J,'Level of Efficiency Assumptions'!$H:$H,$I519,'Level of Efficiency Assumptions'!$I:$I,O$51))</f>
        <v xml:space="preserve"> </v>
      </c>
      <c r="P519" s="1299" t="str">
        <f>IF(SUMIFS('Level of Efficiency Assumptions'!$J:$J,'Level of Efficiency Assumptions'!$H:$H,$I519,'Level of Efficiency Assumptions'!$I:$I,P$51)=0," ",SUMIFS('Level of Efficiency Assumptions'!$J:$J,'Level of Efficiency Assumptions'!$H:$H,$I519,'Level of Efficiency Assumptions'!$I:$I,P$51))</f>
        <v xml:space="preserve"> </v>
      </c>
      <c r="Q519" s="971" t="e">
        <f>IF(I519=" "," ",(VLOOKUP(I519,list!$B$81:$C$111,2,FALSE)))</f>
        <v>#N/A</v>
      </c>
      <c r="R519" s="243">
        <f t="shared" si="179"/>
        <v>0</v>
      </c>
      <c r="S519" s="64">
        <v>1</v>
      </c>
      <c r="T519" s="68">
        <v>0</v>
      </c>
      <c r="U519" s="244">
        <f t="shared" si="182"/>
        <v>1</v>
      </c>
      <c r="W519" s="182"/>
      <c r="X519" s="975"/>
    </row>
    <row r="520" spans="2:24" ht="15" thickBot="1" x14ac:dyDescent="0.35">
      <c r="C520" s="520"/>
      <c r="D520" s="224" t="str">
        <f t="shared" si="183"/>
        <v xml:space="preserve">  </v>
      </c>
      <c r="E520" s="224"/>
      <c r="F520" s="224" t="str">
        <f t="shared" si="184"/>
        <v xml:space="preserve">  </v>
      </c>
      <c r="G520" s="224"/>
      <c r="H520" s="380"/>
      <c r="I520" s="516" t="e">
        <f>IF(VLOOKUP(C33,list!$AA$5:$AS$14,9,FALSE)=0," ",(VLOOKUP(C33,list!$AA$5:$AS$14,9,FALSE)))</f>
        <v>#N/A</v>
      </c>
      <c r="J520" s="955" t="e">
        <f t="shared" si="180"/>
        <v>#N/A</v>
      </c>
      <c r="K520" s="955" t="e">
        <f t="shared" si="181"/>
        <v>#N/A</v>
      </c>
      <c r="L520" s="969" t="e">
        <f>IF(I520=" "," ",VLOOKUP(J520,list!$J$4:$M$117,4,FALSE))</f>
        <v>#N/A</v>
      </c>
      <c r="M520" s="66"/>
      <c r="N520" s="1297" t="str">
        <f>IF(SUMIFS('Level of Efficiency Assumptions'!$J:$J,'Level of Efficiency Assumptions'!$H:$H,$I520,'Level of Efficiency Assumptions'!$I:$I,N$51)=0," ",SUMIFS('Level of Efficiency Assumptions'!$J:$J,'Level of Efficiency Assumptions'!$H:$H,$I520,'Level of Efficiency Assumptions'!$I:$I,N$51))</f>
        <v xml:space="preserve"> </v>
      </c>
      <c r="O520" s="1298" t="str">
        <f>IF(SUMIFS('Level of Efficiency Assumptions'!$J:$J,'Level of Efficiency Assumptions'!$H:$H,$I520,'Level of Efficiency Assumptions'!$I:$I,O$51)=0," ",SUMIFS('Level of Efficiency Assumptions'!$J:$J,'Level of Efficiency Assumptions'!$H:$H,$I520,'Level of Efficiency Assumptions'!$I:$I,O$51))</f>
        <v xml:space="preserve"> </v>
      </c>
      <c r="P520" s="1299" t="str">
        <f>IF(SUMIFS('Level of Efficiency Assumptions'!$J:$J,'Level of Efficiency Assumptions'!$H:$H,$I520,'Level of Efficiency Assumptions'!$I:$I,P$51)=0," ",SUMIFS('Level of Efficiency Assumptions'!$J:$J,'Level of Efficiency Assumptions'!$H:$H,$I520,'Level of Efficiency Assumptions'!$I:$I,P$51))</f>
        <v xml:space="preserve"> </v>
      </c>
      <c r="Q520" s="971" t="e">
        <f>IF(I520=" "," ",(VLOOKUP(I520,list!$B$81:$C$111,2,FALSE)))</f>
        <v>#N/A</v>
      </c>
      <c r="R520" s="243">
        <f t="shared" si="179"/>
        <v>0</v>
      </c>
      <c r="S520" s="64">
        <v>1</v>
      </c>
      <c r="T520" s="68">
        <v>0</v>
      </c>
      <c r="U520" s="244">
        <f t="shared" si="182"/>
        <v>1</v>
      </c>
    </row>
    <row r="521" spans="2:24" ht="15" thickBot="1" x14ac:dyDescent="0.35">
      <c r="C521" s="520"/>
      <c r="D521" s="224" t="str">
        <f t="shared" si="183"/>
        <v xml:space="preserve">  </v>
      </c>
      <c r="E521" s="224"/>
      <c r="F521" s="224" t="str">
        <f t="shared" si="184"/>
        <v xml:space="preserve">  </v>
      </c>
      <c r="G521" s="224"/>
      <c r="H521" s="380"/>
      <c r="I521" s="516" t="e">
        <f>IF(VLOOKUP(C33,list!$AA$5:$AS$14,10,FALSE)=0," ",(VLOOKUP(C33,list!$AA$5:$AS$14,10,FALSE)))</f>
        <v>#N/A</v>
      </c>
      <c r="J521" s="955" t="e">
        <f t="shared" si="180"/>
        <v>#N/A</v>
      </c>
      <c r="K521" s="955" t="e">
        <f t="shared" si="181"/>
        <v>#N/A</v>
      </c>
      <c r="L521" s="969" t="e">
        <f>IF(I521=" "," ",VLOOKUP(J521,list!$J$4:$M$117,4,FALSE))</f>
        <v>#N/A</v>
      </c>
      <c r="M521" s="66"/>
      <c r="N521" s="1297" t="str">
        <f>IF(SUMIFS('Level of Efficiency Assumptions'!$J:$J,'Level of Efficiency Assumptions'!$H:$H,$I521,'Level of Efficiency Assumptions'!$I:$I,N$51)=0," ",SUMIFS('Level of Efficiency Assumptions'!$J:$J,'Level of Efficiency Assumptions'!$H:$H,$I521,'Level of Efficiency Assumptions'!$I:$I,N$51))</f>
        <v xml:space="preserve"> </v>
      </c>
      <c r="O521" s="1298" t="str">
        <f>IF(SUMIFS('Level of Efficiency Assumptions'!$J:$J,'Level of Efficiency Assumptions'!$H:$H,$I521,'Level of Efficiency Assumptions'!$I:$I,O$51)=0," ",SUMIFS('Level of Efficiency Assumptions'!$J:$J,'Level of Efficiency Assumptions'!$H:$H,$I521,'Level of Efficiency Assumptions'!$I:$I,O$51))</f>
        <v xml:space="preserve"> </v>
      </c>
      <c r="P521" s="1299" t="str">
        <f>IF(SUMIFS('Level of Efficiency Assumptions'!$J:$J,'Level of Efficiency Assumptions'!$H:$H,$I521,'Level of Efficiency Assumptions'!$I:$I,P$51)=0," ",SUMIFS('Level of Efficiency Assumptions'!$J:$J,'Level of Efficiency Assumptions'!$H:$H,$I521,'Level of Efficiency Assumptions'!$I:$I,P$51))</f>
        <v xml:space="preserve"> </v>
      </c>
      <c r="Q521" s="971" t="e">
        <f>IF(I521=" "," ",(VLOOKUP(I521,list!$B$81:$C$111,2,FALSE)))</f>
        <v>#N/A</v>
      </c>
      <c r="R521" s="243">
        <f t="shared" si="179"/>
        <v>0</v>
      </c>
      <c r="S521" s="64">
        <v>1</v>
      </c>
      <c r="T521" s="68">
        <v>0</v>
      </c>
      <c r="U521" s="244">
        <f t="shared" si="182"/>
        <v>1</v>
      </c>
    </row>
    <row r="522" spans="2:24" ht="15" thickBot="1" x14ac:dyDescent="0.35">
      <c r="C522" s="520"/>
      <c r="D522" s="224" t="str">
        <f t="shared" si="183"/>
        <v xml:space="preserve">  </v>
      </c>
      <c r="E522" s="224"/>
      <c r="F522" s="224" t="str">
        <f t="shared" si="184"/>
        <v xml:space="preserve">  </v>
      </c>
      <c r="G522" s="224"/>
      <c r="H522" s="380"/>
      <c r="I522" s="516" t="e">
        <f>IF(VLOOKUP(C33,list!$AA$5:$AS$14,11,FALSE)=0," ",(VLOOKUP(C33,list!$AA$5:$AS$14,11,FALSE)))</f>
        <v>#N/A</v>
      </c>
      <c r="J522" s="955" t="e">
        <f t="shared" si="180"/>
        <v>#N/A</v>
      </c>
      <c r="K522" s="955" t="e">
        <f t="shared" si="181"/>
        <v>#N/A</v>
      </c>
      <c r="L522" s="969" t="e">
        <f>IF(I522=" "," ",VLOOKUP(J522,list!$J$4:$M$117,4,FALSE))</f>
        <v>#N/A</v>
      </c>
      <c r="M522" s="66"/>
      <c r="N522" s="1297" t="str">
        <f>IF(SUMIFS('Level of Efficiency Assumptions'!$J:$J,'Level of Efficiency Assumptions'!$H:$H,$I522,'Level of Efficiency Assumptions'!$I:$I,N$51)=0," ",SUMIFS('Level of Efficiency Assumptions'!$J:$J,'Level of Efficiency Assumptions'!$H:$H,$I522,'Level of Efficiency Assumptions'!$I:$I,N$51))</f>
        <v xml:space="preserve"> </v>
      </c>
      <c r="O522" s="1298" t="str">
        <f>IF(SUMIFS('Level of Efficiency Assumptions'!$J:$J,'Level of Efficiency Assumptions'!$H:$H,$I522,'Level of Efficiency Assumptions'!$I:$I,O$51)=0," ",SUMIFS('Level of Efficiency Assumptions'!$J:$J,'Level of Efficiency Assumptions'!$H:$H,$I522,'Level of Efficiency Assumptions'!$I:$I,O$51))</f>
        <v xml:space="preserve"> </v>
      </c>
      <c r="P522" s="1299" t="str">
        <f>IF(SUMIFS('Level of Efficiency Assumptions'!$J:$J,'Level of Efficiency Assumptions'!$H:$H,$I522,'Level of Efficiency Assumptions'!$I:$I,P$51)=0," ",SUMIFS('Level of Efficiency Assumptions'!$J:$J,'Level of Efficiency Assumptions'!$H:$H,$I522,'Level of Efficiency Assumptions'!$I:$I,P$51))</f>
        <v xml:space="preserve"> </v>
      </c>
      <c r="Q522" s="971" t="e">
        <f>IF(I522=" "," ",(VLOOKUP(I522,list!$B$81:$C$111,2,FALSE)))</f>
        <v>#N/A</v>
      </c>
      <c r="R522" s="243">
        <f t="shared" si="179"/>
        <v>0</v>
      </c>
      <c r="S522" s="64">
        <v>1</v>
      </c>
      <c r="T522" s="68">
        <v>0</v>
      </c>
      <c r="U522" s="244">
        <f t="shared" si="182"/>
        <v>1</v>
      </c>
    </row>
    <row r="523" spans="2:24" ht="15" thickBot="1" x14ac:dyDescent="0.35">
      <c r="C523" s="520"/>
      <c r="D523" s="224" t="str">
        <f t="shared" si="183"/>
        <v xml:space="preserve">  </v>
      </c>
      <c r="E523" s="224"/>
      <c r="F523" s="224" t="str">
        <f t="shared" si="184"/>
        <v xml:space="preserve">  </v>
      </c>
      <c r="G523" s="224"/>
      <c r="H523" s="380"/>
      <c r="I523" s="516" t="e">
        <f>IF(VLOOKUP(C33,list!$AA$5:$AS$14,12,FALSE)=0," ",(VLOOKUP(C33,list!$AA$5:$AS$14,12,FALSE)))</f>
        <v>#N/A</v>
      </c>
      <c r="J523" s="955" t="e">
        <f t="shared" si="180"/>
        <v>#N/A</v>
      </c>
      <c r="K523" s="955" t="e">
        <f t="shared" si="181"/>
        <v>#N/A</v>
      </c>
      <c r="L523" s="969" t="e">
        <f>IF(I523=" "," ",VLOOKUP(J523,list!$J$4:$M$117,4,FALSE))</f>
        <v>#N/A</v>
      </c>
      <c r="M523" s="66"/>
      <c r="N523" s="1297" t="str">
        <f>IF(SUMIFS('Level of Efficiency Assumptions'!$J:$J,'Level of Efficiency Assumptions'!$H:$H,$I523,'Level of Efficiency Assumptions'!$I:$I,N$51)=0," ",SUMIFS('Level of Efficiency Assumptions'!$J:$J,'Level of Efficiency Assumptions'!$H:$H,$I523,'Level of Efficiency Assumptions'!$I:$I,N$51))</f>
        <v xml:space="preserve"> </v>
      </c>
      <c r="O523" s="1298" t="str">
        <f>IF(SUMIFS('Level of Efficiency Assumptions'!$J:$J,'Level of Efficiency Assumptions'!$H:$H,$I523,'Level of Efficiency Assumptions'!$I:$I,O$51)=0," ",SUMIFS('Level of Efficiency Assumptions'!$J:$J,'Level of Efficiency Assumptions'!$H:$H,$I523,'Level of Efficiency Assumptions'!$I:$I,O$51))</f>
        <v xml:space="preserve"> </v>
      </c>
      <c r="P523" s="1299" t="str">
        <f>IF(SUMIFS('Level of Efficiency Assumptions'!$J:$J,'Level of Efficiency Assumptions'!$H:$H,$I523,'Level of Efficiency Assumptions'!$I:$I,P$51)=0," ",SUMIFS('Level of Efficiency Assumptions'!$J:$J,'Level of Efficiency Assumptions'!$H:$H,$I523,'Level of Efficiency Assumptions'!$I:$I,P$51))</f>
        <v xml:space="preserve"> </v>
      </c>
      <c r="Q523" s="971" t="e">
        <f>IF(I523=" "," ",(VLOOKUP(I523,list!$B$81:$C$111,2,FALSE)))</f>
        <v>#N/A</v>
      </c>
      <c r="R523" s="243">
        <f t="shared" si="179"/>
        <v>0</v>
      </c>
      <c r="S523" s="64">
        <v>1</v>
      </c>
      <c r="T523" s="68">
        <v>0</v>
      </c>
      <c r="U523" s="244">
        <f t="shared" si="182"/>
        <v>1</v>
      </c>
    </row>
    <row r="524" spans="2:24" ht="15" thickBot="1" x14ac:dyDescent="0.35">
      <c r="C524" s="520"/>
      <c r="D524" s="224" t="str">
        <f t="shared" si="183"/>
        <v xml:space="preserve">  </v>
      </c>
      <c r="E524" s="224"/>
      <c r="F524" s="224" t="str">
        <f t="shared" si="184"/>
        <v xml:space="preserve">  </v>
      </c>
      <c r="G524" s="224"/>
      <c r="H524" s="380"/>
      <c r="I524" s="516" t="e">
        <f>IF(VLOOKUP(C33,list!$AA$5:$AS$14,13,FALSE)=0," ",(VLOOKUP(C33,list!$AA$5:$AS$14,13,FALSE)))</f>
        <v>#N/A</v>
      </c>
      <c r="J524" s="955" t="e">
        <f t="shared" si="180"/>
        <v>#N/A</v>
      </c>
      <c r="K524" s="955" t="e">
        <f t="shared" si="181"/>
        <v>#N/A</v>
      </c>
      <c r="L524" s="969" t="e">
        <f>IF(I524=" "," ",VLOOKUP(J524,list!$J$4:$M$117,4,FALSE))</f>
        <v>#N/A</v>
      </c>
      <c r="M524" s="66"/>
      <c r="N524" s="1297" t="str">
        <f>IF(SUMIFS('Level of Efficiency Assumptions'!$J:$J,'Level of Efficiency Assumptions'!$H:$H,$I524,'Level of Efficiency Assumptions'!$I:$I,N$51)=0," ",SUMIFS('Level of Efficiency Assumptions'!$J:$J,'Level of Efficiency Assumptions'!$H:$H,$I524,'Level of Efficiency Assumptions'!$I:$I,N$51))</f>
        <v xml:space="preserve"> </v>
      </c>
      <c r="O524" s="1298" t="str">
        <f>IF(SUMIFS('Level of Efficiency Assumptions'!$J:$J,'Level of Efficiency Assumptions'!$H:$H,$I524,'Level of Efficiency Assumptions'!$I:$I,O$51)=0," ",SUMIFS('Level of Efficiency Assumptions'!$J:$J,'Level of Efficiency Assumptions'!$H:$H,$I524,'Level of Efficiency Assumptions'!$I:$I,O$51))</f>
        <v xml:space="preserve"> </v>
      </c>
      <c r="P524" s="1299" t="str">
        <f>IF(SUMIFS('Level of Efficiency Assumptions'!$J:$J,'Level of Efficiency Assumptions'!$H:$H,$I524,'Level of Efficiency Assumptions'!$I:$I,P$51)=0," ",SUMIFS('Level of Efficiency Assumptions'!$J:$J,'Level of Efficiency Assumptions'!$H:$H,$I524,'Level of Efficiency Assumptions'!$I:$I,P$51))</f>
        <v xml:space="preserve"> </v>
      </c>
      <c r="Q524" s="971" t="e">
        <f>IF(I524=" "," ",(VLOOKUP(I524,list!$B$81:$C$111,2,FALSE)))</f>
        <v>#N/A</v>
      </c>
      <c r="R524" s="243">
        <f t="shared" si="179"/>
        <v>0</v>
      </c>
      <c r="S524" s="64">
        <v>1</v>
      </c>
      <c r="T524" s="68">
        <v>0</v>
      </c>
      <c r="U524" s="244">
        <f t="shared" si="182"/>
        <v>1</v>
      </c>
    </row>
    <row r="525" spans="2:24" ht="15" thickBot="1" x14ac:dyDescent="0.35">
      <c r="C525" s="520"/>
      <c r="D525" s="224" t="str">
        <f t="shared" si="183"/>
        <v xml:space="preserve">  </v>
      </c>
      <c r="E525" s="224"/>
      <c r="F525" s="224" t="str">
        <f t="shared" si="184"/>
        <v xml:space="preserve">  </v>
      </c>
      <c r="G525" s="224"/>
      <c r="H525" s="380"/>
      <c r="I525" s="516" t="e">
        <f>IF(VLOOKUP(C33,list!$AA$5:$AS$14,14,FALSE)=0," ",(VLOOKUP(C33,list!$AA$5:$AS$14,14,FALSE)))</f>
        <v>#N/A</v>
      </c>
      <c r="J525" s="955" t="e">
        <f t="shared" si="180"/>
        <v>#N/A</v>
      </c>
      <c r="K525" s="955" t="e">
        <f t="shared" si="181"/>
        <v>#N/A</v>
      </c>
      <c r="L525" s="969" t="e">
        <f>IF(I525=" "," ",VLOOKUP(J525,list!$J$4:$M$117,4,FALSE))</f>
        <v>#N/A</v>
      </c>
      <c r="M525" s="66"/>
      <c r="N525" s="1297" t="str">
        <f>IF(SUMIFS('Level of Efficiency Assumptions'!$J:$J,'Level of Efficiency Assumptions'!$H:$H,$I525,'Level of Efficiency Assumptions'!$I:$I,N$51)=0," ",SUMIFS('Level of Efficiency Assumptions'!$J:$J,'Level of Efficiency Assumptions'!$H:$H,$I525,'Level of Efficiency Assumptions'!$I:$I,N$51))</f>
        <v xml:space="preserve"> </v>
      </c>
      <c r="O525" s="1298" t="str">
        <f>IF(SUMIFS('Level of Efficiency Assumptions'!$J:$J,'Level of Efficiency Assumptions'!$H:$H,$I525,'Level of Efficiency Assumptions'!$I:$I,O$51)=0," ",SUMIFS('Level of Efficiency Assumptions'!$J:$J,'Level of Efficiency Assumptions'!$H:$H,$I525,'Level of Efficiency Assumptions'!$I:$I,O$51))</f>
        <v xml:space="preserve"> </v>
      </c>
      <c r="P525" s="1299" t="str">
        <f>IF(SUMIFS('Level of Efficiency Assumptions'!$J:$J,'Level of Efficiency Assumptions'!$H:$H,$I525,'Level of Efficiency Assumptions'!$I:$I,P$51)=0," ",SUMIFS('Level of Efficiency Assumptions'!$J:$J,'Level of Efficiency Assumptions'!$H:$H,$I525,'Level of Efficiency Assumptions'!$I:$I,P$51))</f>
        <v xml:space="preserve"> </v>
      </c>
      <c r="Q525" s="971" t="e">
        <f>IF(I525=" "," ",(VLOOKUP(I525,list!$B$81:$C$111,2,FALSE)))</f>
        <v>#N/A</v>
      </c>
      <c r="R525" s="243">
        <f t="shared" si="179"/>
        <v>0</v>
      </c>
      <c r="S525" s="64">
        <v>1</v>
      </c>
      <c r="T525" s="68">
        <v>0</v>
      </c>
      <c r="U525" s="244">
        <f t="shared" si="182"/>
        <v>1</v>
      </c>
    </row>
    <row r="526" spans="2:24" ht="15" thickBot="1" x14ac:dyDescent="0.35">
      <c r="C526" s="520"/>
      <c r="D526" s="224" t="str">
        <f t="shared" si="183"/>
        <v xml:space="preserve">  </v>
      </c>
      <c r="E526" s="224"/>
      <c r="F526" s="224" t="str">
        <f t="shared" si="184"/>
        <v xml:space="preserve">  </v>
      </c>
      <c r="G526" s="224"/>
      <c r="H526" s="380"/>
      <c r="I526" s="516" t="e">
        <f>IF(VLOOKUP(C33,list!$AA$5:$AS$14,15,FALSE)=0," ",(VLOOKUP(C33,list!$AA$5:$AS$14,15,FALSE)))</f>
        <v>#N/A</v>
      </c>
      <c r="J526" s="955" t="e">
        <f t="shared" si="180"/>
        <v>#N/A</v>
      </c>
      <c r="K526" s="955" t="e">
        <f t="shared" si="181"/>
        <v>#N/A</v>
      </c>
      <c r="L526" s="969" t="e">
        <f>IF(I526=" "," ",VLOOKUP(J526,list!$J$4:$M$117,4,FALSE))</f>
        <v>#N/A</v>
      </c>
      <c r="M526" s="66"/>
      <c r="N526" s="1297" t="str">
        <f>IF(SUMIFS('Level of Efficiency Assumptions'!$J:$J,'Level of Efficiency Assumptions'!$H:$H,$I526,'Level of Efficiency Assumptions'!$I:$I,N$51)=0," ",SUMIFS('Level of Efficiency Assumptions'!$J:$J,'Level of Efficiency Assumptions'!$H:$H,$I526,'Level of Efficiency Assumptions'!$I:$I,N$51))</f>
        <v xml:space="preserve"> </v>
      </c>
      <c r="O526" s="1298" t="str">
        <f>IF(SUMIFS('Level of Efficiency Assumptions'!$J:$J,'Level of Efficiency Assumptions'!$H:$H,$I526,'Level of Efficiency Assumptions'!$I:$I,O$51)=0," ",SUMIFS('Level of Efficiency Assumptions'!$J:$J,'Level of Efficiency Assumptions'!$H:$H,$I526,'Level of Efficiency Assumptions'!$I:$I,O$51))</f>
        <v xml:space="preserve"> </v>
      </c>
      <c r="P526" s="1299" t="str">
        <f>IF(SUMIFS('Level of Efficiency Assumptions'!$J:$J,'Level of Efficiency Assumptions'!$H:$H,$I526,'Level of Efficiency Assumptions'!$I:$I,P$51)=0," ",SUMIFS('Level of Efficiency Assumptions'!$J:$J,'Level of Efficiency Assumptions'!$H:$H,$I526,'Level of Efficiency Assumptions'!$I:$I,P$51))</f>
        <v xml:space="preserve"> </v>
      </c>
      <c r="Q526" s="971" t="e">
        <f>IF(I526=" "," ",(VLOOKUP(I526,list!$B$81:$C$111,2,FALSE)))</f>
        <v>#N/A</v>
      </c>
      <c r="R526" s="243">
        <f t="shared" si="179"/>
        <v>0</v>
      </c>
      <c r="S526" s="64">
        <v>1</v>
      </c>
      <c r="T526" s="68">
        <v>0</v>
      </c>
      <c r="U526" s="244">
        <f t="shared" si="182"/>
        <v>1</v>
      </c>
    </row>
    <row r="527" spans="2:24" ht="15" thickBot="1" x14ac:dyDescent="0.35">
      <c r="C527" s="520"/>
      <c r="D527" s="224" t="str">
        <f t="shared" si="183"/>
        <v xml:space="preserve">  </v>
      </c>
      <c r="E527" s="224"/>
      <c r="F527" s="224" t="str">
        <f t="shared" si="184"/>
        <v xml:space="preserve">  </v>
      </c>
      <c r="G527" s="224"/>
      <c r="H527" s="380"/>
      <c r="I527" s="516" t="e">
        <f>IF(VLOOKUP(C33,list!$AA$5:$AS$14,16,FALSE)=0," ",(VLOOKUP(C33,list!$AA$5:$AS$14,16,FALSE)))</f>
        <v>#N/A</v>
      </c>
      <c r="J527" s="955" t="e">
        <f t="shared" si="180"/>
        <v>#N/A</v>
      </c>
      <c r="K527" s="955" t="e">
        <f t="shared" si="181"/>
        <v>#N/A</v>
      </c>
      <c r="L527" s="969" t="e">
        <f>IF(I527=" "," ",VLOOKUP(J527,list!$J$4:$M$117,4,FALSE))</f>
        <v>#N/A</v>
      </c>
      <c r="M527" s="66"/>
      <c r="N527" s="1297" t="str">
        <f>IF(SUMIFS('Level of Efficiency Assumptions'!$J:$J,'Level of Efficiency Assumptions'!$H:$H,$I527,'Level of Efficiency Assumptions'!$I:$I,N$51)=0," ",SUMIFS('Level of Efficiency Assumptions'!$J:$J,'Level of Efficiency Assumptions'!$H:$H,$I527,'Level of Efficiency Assumptions'!$I:$I,N$51))</f>
        <v xml:space="preserve"> </v>
      </c>
      <c r="O527" s="1298" t="str">
        <f>IF(SUMIFS('Level of Efficiency Assumptions'!$J:$J,'Level of Efficiency Assumptions'!$H:$H,$I527,'Level of Efficiency Assumptions'!$I:$I,O$51)=0," ",SUMIFS('Level of Efficiency Assumptions'!$J:$J,'Level of Efficiency Assumptions'!$H:$H,$I527,'Level of Efficiency Assumptions'!$I:$I,O$51))</f>
        <v xml:space="preserve"> </v>
      </c>
      <c r="P527" s="1299" t="str">
        <f>IF(SUMIFS('Level of Efficiency Assumptions'!$J:$J,'Level of Efficiency Assumptions'!$H:$H,$I527,'Level of Efficiency Assumptions'!$I:$I,P$51)=0," ",SUMIFS('Level of Efficiency Assumptions'!$J:$J,'Level of Efficiency Assumptions'!$H:$H,$I527,'Level of Efficiency Assumptions'!$I:$I,P$51))</f>
        <v xml:space="preserve"> </v>
      </c>
      <c r="Q527" s="971" t="e">
        <f>IF(I527=" "," ",(VLOOKUP(I527,list!$B$81:$C$111,2,FALSE)))</f>
        <v>#N/A</v>
      </c>
      <c r="R527" s="243">
        <f t="shared" si="179"/>
        <v>0</v>
      </c>
      <c r="S527" s="64">
        <v>1</v>
      </c>
      <c r="T527" s="68">
        <v>0</v>
      </c>
      <c r="U527" s="244">
        <f t="shared" si="182"/>
        <v>1</v>
      </c>
    </row>
    <row r="528" spans="2:24" ht="15" thickBot="1" x14ac:dyDescent="0.35">
      <c r="C528" s="520"/>
      <c r="D528" s="224" t="str">
        <f t="shared" si="183"/>
        <v xml:space="preserve">  </v>
      </c>
      <c r="E528" s="224"/>
      <c r="F528" s="224" t="str">
        <f t="shared" si="184"/>
        <v xml:space="preserve">  </v>
      </c>
      <c r="G528" s="224"/>
      <c r="H528" s="380"/>
      <c r="I528" s="516" t="e">
        <f>IF(VLOOKUP(C33,list!$AA$5:$AS$14,17,FALSE)=0," ",(VLOOKUP(C33,list!$AA$5:$AS$14,17,FALSE)))</f>
        <v>#N/A</v>
      </c>
      <c r="J528" s="955" t="e">
        <f t="shared" si="180"/>
        <v>#N/A</v>
      </c>
      <c r="K528" s="955" t="e">
        <f t="shared" si="181"/>
        <v>#N/A</v>
      </c>
      <c r="L528" s="969" t="e">
        <f>IF(I528=" "," ",VLOOKUP(J528,list!$J$4:$M$117,4,FALSE))</f>
        <v>#N/A</v>
      </c>
      <c r="M528" s="66"/>
      <c r="N528" s="1297" t="str">
        <f>IF(SUMIFS('Level of Efficiency Assumptions'!$J:$J,'Level of Efficiency Assumptions'!$H:$H,$I528,'Level of Efficiency Assumptions'!$I:$I,N$51)=0," ",SUMIFS('Level of Efficiency Assumptions'!$J:$J,'Level of Efficiency Assumptions'!$H:$H,$I528,'Level of Efficiency Assumptions'!$I:$I,N$51))</f>
        <v xml:space="preserve"> </v>
      </c>
      <c r="O528" s="1298" t="str">
        <f>IF(SUMIFS('Level of Efficiency Assumptions'!$J:$J,'Level of Efficiency Assumptions'!$H:$H,$I528,'Level of Efficiency Assumptions'!$I:$I,O$51)=0," ",SUMIFS('Level of Efficiency Assumptions'!$J:$J,'Level of Efficiency Assumptions'!$H:$H,$I528,'Level of Efficiency Assumptions'!$I:$I,O$51))</f>
        <v xml:space="preserve"> </v>
      </c>
      <c r="P528" s="1299" t="str">
        <f>IF(SUMIFS('Level of Efficiency Assumptions'!$J:$J,'Level of Efficiency Assumptions'!$H:$H,$I528,'Level of Efficiency Assumptions'!$I:$I,P$51)=0," ",SUMIFS('Level of Efficiency Assumptions'!$J:$J,'Level of Efficiency Assumptions'!$H:$H,$I528,'Level of Efficiency Assumptions'!$I:$I,P$51))</f>
        <v xml:space="preserve"> </v>
      </c>
      <c r="Q528" s="971" t="e">
        <f>IF(I528=" "," ",(VLOOKUP(I528,list!$B$81:$C$111,2,FALSE)))</f>
        <v>#N/A</v>
      </c>
      <c r="R528" s="243">
        <f t="shared" si="179"/>
        <v>0</v>
      </c>
      <c r="S528" s="64">
        <v>1</v>
      </c>
      <c r="T528" s="68">
        <v>0</v>
      </c>
      <c r="U528" s="244">
        <f t="shared" si="182"/>
        <v>1</v>
      </c>
    </row>
    <row r="529" spans="2:24" ht="15" thickBot="1" x14ac:dyDescent="0.35">
      <c r="C529" s="520"/>
      <c r="D529" s="224" t="str">
        <f t="shared" si="183"/>
        <v xml:space="preserve">  </v>
      </c>
      <c r="E529" s="224"/>
      <c r="F529" s="224" t="str">
        <f t="shared" si="184"/>
        <v xml:space="preserve">  </v>
      </c>
      <c r="G529" s="224"/>
      <c r="H529" s="380"/>
      <c r="I529" s="516" t="e">
        <f>IF(VLOOKUP(C33,list!$AA$5:$AS$14,18,FALSE)=0," ",(VLOOKUP(C33,list!$AA$5:$AS$14,18,FALSE)))</f>
        <v>#N/A</v>
      </c>
      <c r="J529" s="955" t="e">
        <f t="shared" si="180"/>
        <v>#N/A</v>
      </c>
      <c r="K529" s="955" t="e">
        <f t="shared" si="181"/>
        <v>#N/A</v>
      </c>
      <c r="L529" s="969" t="e">
        <f>IF(I529=" "," ",VLOOKUP(J529,list!$J$4:$M$117,4,FALSE))</f>
        <v>#N/A</v>
      </c>
      <c r="M529" s="66"/>
      <c r="N529" s="1297" t="str">
        <f>IF(SUMIFS('Level of Efficiency Assumptions'!$J:$J,'Level of Efficiency Assumptions'!$H:$H,$I529,'Level of Efficiency Assumptions'!$I:$I,N$51)=0," ",SUMIFS('Level of Efficiency Assumptions'!$J:$J,'Level of Efficiency Assumptions'!$H:$H,$I529,'Level of Efficiency Assumptions'!$I:$I,N$51))</f>
        <v xml:space="preserve"> </v>
      </c>
      <c r="O529" s="1298" t="str">
        <f>IF(SUMIFS('Level of Efficiency Assumptions'!$J:$J,'Level of Efficiency Assumptions'!$H:$H,$I529,'Level of Efficiency Assumptions'!$I:$I,O$51)=0," ",SUMIFS('Level of Efficiency Assumptions'!$J:$J,'Level of Efficiency Assumptions'!$H:$H,$I529,'Level of Efficiency Assumptions'!$I:$I,O$51))</f>
        <v xml:space="preserve"> </v>
      </c>
      <c r="P529" s="1299" t="str">
        <f>IF(SUMIFS('Level of Efficiency Assumptions'!$J:$J,'Level of Efficiency Assumptions'!$H:$H,$I529,'Level of Efficiency Assumptions'!$I:$I,P$51)=0," ",SUMIFS('Level of Efficiency Assumptions'!$J:$J,'Level of Efficiency Assumptions'!$H:$H,$I529,'Level of Efficiency Assumptions'!$I:$I,P$51))</f>
        <v xml:space="preserve"> </v>
      </c>
      <c r="Q529" s="971" t="e">
        <f>IF(I529=" "," ",(VLOOKUP(I529,list!$B$81:$C$111,2,FALSE)))</f>
        <v>#N/A</v>
      </c>
      <c r="R529" s="243">
        <f t="shared" si="179"/>
        <v>0</v>
      </c>
      <c r="S529" s="64">
        <v>1</v>
      </c>
      <c r="T529" s="68">
        <v>0</v>
      </c>
      <c r="U529" s="244">
        <f t="shared" si="182"/>
        <v>1</v>
      </c>
    </row>
    <row r="530" spans="2:24" ht="15" thickBot="1" x14ac:dyDescent="0.35">
      <c r="C530" s="632"/>
      <c r="D530" s="226" t="str">
        <f t="shared" si="183"/>
        <v xml:space="preserve">  </v>
      </c>
      <c r="E530" s="226"/>
      <c r="F530" s="226" t="str">
        <f t="shared" si="184"/>
        <v xml:space="preserve">  </v>
      </c>
      <c r="G530" s="226"/>
      <c r="H530" s="976"/>
      <c r="I530" s="516" t="e">
        <f>IF(VLOOKUP(C33,list!$AA$5:$AS$14,19,FALSE)=0," ",(VLOOKUP(C33,list!$AA$5:$AS$14,19,FALSE)))</f>
        <v>#N/A</v>
      </c>
      <c r="J530" s="955" t="e">
        <f>IF(I530=" "," ",(D530&amp;"-"&amp;I530))</f>
        <v>#N/A</v>
      </c>
      <c r="K530" s="955" t="e">
        <f t="shared" si="181"/>
        <v>#N/A</v>
      </c>
      <c r="L530" s="969" t="e">
        <f>IF(I530=" "," ",VLOOKUP(J530,list!$J$4:$M$117,4,FALSE))</f>
        <v>#N/A</v>
      </c>
      <c r="M530" s="67"/>
      <c r="N530" s="1303" t="str">
        <f>IF(SUMIFS('Level of Efficiency Assumptions'!$J:$J,'Level of Efficiency Assumptions'!$H:$H,$I530,'Level of Efficiency Assumptions'!$I:$I,N$51)=0," ",SUMIFS('Level of Efficiency Assumptions'!$J:$J,'Level of Efficiency Assumptions'!$H:$H,$I530,'Level of Efficiency Assumptions'!$I:$I,N$51))</f>
        <v xml:space="preserve"> </v>
      </c>
      <c r="O530" s="1304" t="str">
        <f>IF(SUMIFS('Level of Efficiency Assumptions'!$J:$J,'Level of Efficiency Assumptions'!$H:$H,$I530,'Level of Efficiency Assumptions'!$I:$I,O$51)=0," ",SUMIFS('Level of Efficiency Assumptions'!$J:$J,'Level of Efficiency Assumptions'!$H:$H,$I530,'Level of Efficiency Assumptions'!$I:$I,O$51))</f>
        <v xml:space="preserve"> </v>
      </c>
      <c r="P530" s="1305" t="str">
        <f>IF(SUMIFS('Level of Efficiency Assumptions'!$J:$J,'Level of Efficiency Assumptions'!$H:$H,$I530,'Level of Efficiency Assumptions'!$I:$I,P$51)=0," ",SUMIFS('Level of Efficiency Assumptions'!$J:$J,'Level of Efficiency Assumptions'!$H:$H,$I530,'Level of Efficiency Assumptions'!$I:$I,P$51))</f>
        <v xml:space="preserve"> </v>
      </c>
      <c r="Q530" s="977" t="e">
        <f>IF(I530=" "," ",(VLOOKUP(I530,list!$B$81:$C$111,2,FALSE)))</f>
        <v>#N/A</v>
      </c>
      <c r="R530" s="245">
        <f t="shared" si="179"/>
        <v>0</v>
      </c>
      <c r="S530" s="65">
        <v>1</v>
      </c>
      <c r="T530" s="69">
        <v>0</v>
      </c>
      <c r="U530" s="246">
        <f t="shared" si="182"/>
        <v>1</v>
      </c>
    </row>
    <row r="531" spans="2:24" x14ac:dyDescent="0.3">
      <c r="D531" s="846"/>
      <c r="F531" s="82"/>
      <c r="J531" s="846"/>
      <c r="K531" s="846"/>
      <c r="N531" s="1179"/>
      <c r="O531" s="1179"/>
      <c r="P531" s="1179"/>
      <c r="R531" s="176" t="s">
        <v>295</v>
      </c>
      <c r="S531" s="176"/>
      <c r="T531" s="176"/>
      <c r="U531" s="176"/>
    </row>
    <row r="532" spans="2:24" ht="15" thickBot="1" x14ac:dyDescent="0.35">
      <c r="D532" s="846"/>
      <c r="F532" s="82"/>
      <c r="J532" s="846"/>
      <c r="K532" s="846"/>
      <c r="N532" s="1179"/>
      <c r="O532" s="1179"/>
      <c r="P532" s="1179"/>
    </row>
    <row r="533" spans="2:24" ht="15" thickBot="1" x14ac:dyDescent="0.35">
      <c r="B533" s="814">
        <v>25</v>
      </c>
      <c r="C533" s="967" t="str">
        <f t="shared" ref="C533:H533" si="185">C34</f>
        <v xml:space="preserve">  </v>
      </c>
      <c r="D533" s="967" t="str">
        <f t="shared" si="185"/>
        <v xml:space="preserve">  </v>
      </c>
      <c r="E533" s="967" t="str">
        <f t="shared" si="185"/>
        <v xml:space="preserve">  </v>
      </c>
      <c r="F533" s="967" t="str">
        <f t="shared" si="185"/>
        <v xml:space="preserve">  </v>
      </c>
      <c r="G533" s="967">
        <f t="shared" si="185"/>
        <v>0</v>
      </c>
      <c r="H533" s="968">
        <f t="shared" si="185"/>
        <v>0</v>
      </c>
      <c r="I533" s="516" t="e">
        <f>IF(VLOOKUP(C34,list!$AA$5:$AS$14,2,FALSE)=0," ",(VLOOKUP(C34,list!$AA$5:$AS$14,2,FALSE)))</f>
        <v>#N/A</v>
      </c>
      <c r="J533" s="955" t="e">
        <f>IF(I533=" "," ",(D34&amp;"-"&amp;I533))</f>
        <v>#N/A</v>
      </c>
      <c r="K533" s="955" t="e">
        <f>IF(I533=" "," ",(F34&amp;"-"&amp;I533))</f>
        <v>#N/A</v>
      </c>
      <c r="L533" s="969" t="e">
        <f>IF(I533=" "," ",VLOOKUP(J533,list!$J$4:$M$117,4,FALSE))</f>
        <v>#N/A</v>
      </c>
      <c r="M533" s="70"/>
      <c r="N533" s="1300" t="str">
        <f>IF(SUMIFS('Level of Efficiency Assumptions'!$J:$J,'Level of Efficiency Assumptions'!$H:$H,$I533,'Level of Efficiency Assumptions'!$I:$I,N$51)=0," ",SUMIFS('Level of Efficiency Assumptions'!$J:$J,'Level of Efficiency Assumptions'!$H:$H,$I533,'Level of Efficiency Assumptions'!$I:$I,N$51))</f>
        <v xml:space="preserve"> </v>
      </c>
      <c r="O533" s="1301" t="str">
        <f>IF(SUMIFS('Level of Efficiency Assumptions'!$J:$J,'Level of Efficiency Assumptions'!$H:$H,$I533,'Level of Efficiency Assumptions'!$I:$I,O$51)=0," ",SUMIFS('Level of Efficiency Assumptions'!$J:$J,'Level of Efficiency Assumptions'!$H:$H,$I533,'Level of Efficiency Assumptions'!$I:$I,O$51))</f>
        <v xml:space="preserve"> </v>
      </c>
      <c r="P533" s="1302" t="str">
        <f>IF(SUMIFS('Level of Efficiency Assumptions'!$J:$J,'Level of Efficiency Assumptions'!$H:$H,$I533,'Level of Efficiency Assumptions'!$I:$I,P$51)=0," ",SUMIFS('Level of Efficiency Assumptions'!$J:$J,'Level of Efficiency Assumptions'!$H:$H,$I533,'Level of Efficiency Assumptions'!$I:$I,P$51))</f>
        <v xml:space="preserve"> </v>
      </c>
      <c r="Q533" s="970" t="e">
        <f>IF(I533=" "," ",(VLOOKUP(I533,list!$B$81:$C$111,2,FALSE)))</f>
        <v>#N/A</v>
      </c>
      <c r="R533" s="241">
        <f t="shared" ref="R533:R550" si="186">1-S533-T533</f>
        <v>0</v>
      </c>
      <c r="S533" s="83">
        <v>1</v>
      </c>
      <c r="T533" s="84">
        <v>0</v>
      </c>
      <c r="U533" s="242">
        <f>SUM(R533:T533)</f>
        <v>1</v>
      </c>
      <c r="W533" s="250" t="s">
        <v>367</v>
      </c>
      <c r="X533" s="251" t="s">
        <v>366</v>
      </c>
    </row>
    <row r="534" spans="2:24" ht="15" thickBot="1" x14ac:dyDescent="0.35">
      <c r="C534" s="520"/>
      <c r="D534" s="224" t="str">
        <f>D34</f>
        <v xml:space="preserve">  </v>
      </c>
      <c r="E534" s="224"/>
      <c r="F534" s="224" t="str">
        <f>F34</f>
        <v xml:space="preserve">  </v>
      </c>
      <c r="G534" s="224"/>
      <c r="H534" s="380"/>
      <c r="I534" s="516" t="e">
        <f>IF(VLOOKUP(C34,list!$AA$5:$AS$14,3,FALSE)=0," ",(VLOOKUP(C34,list!$AA$5:$AS$14,3,FALSE)))</f>
        <v>#N/A</v>
      </c>
      <c r="J534" s="955" t="e">
        <f t="shared" ref="J534:J549" si="187">IF(I534=" "," ",(D534&amp;"-"&amp;I534))</f>
        <v>#N/A</v>
      </c>
      <c r="K534" s="955" t="e">
        <f t="shared" ref="K534:K550" si="188">IF(I534=" "," ",(F534&amp;"-"&amp;I534))</f>
        <v>#N/A</v>
      </c>
      <c r="L534" s="969" t="e">
        <f>IF(I534=" "," ",VLOOKUP(J534,list!$J$4:$M$117,4,FALSE))</f>
        <v>#N/A</v>
      </c>
      <c r="M534" s="66"/>
      <c r="N534" s="1297" t="str">
        <f>IF(SUMIFS('Level of Efficiency Assumptions'!$J:$J,'Level of Efficiency Assumptions'!$H:$H,$I534,'Level of Efficiency Assumptions'!$I:$I,N$51)=0," ",SUMIFS('Level of Efficiency Assumptions'!$J:$J,'Level of Efficiency Assumptions'!$H:$H,$I534,'Level of Efficiency Assumptions'!$I:$I,N$51))</f>
        <v xml:space="preserve"> </v>
      </c>
      <c r="O534" s="1298" t="str">
        <f>IF(SUMIFS('Level of Efficiency Assumptions'!$J:$J,'Level of Efficiency Assumptions'!$H:$H,$I534,'Level of Efficiency Assumptions'!$I:$I,O$51)=0," ",SUMIFS('Level of Efficiency Assumptions'!$J:$J,'Level of Efficiency Assumptions'!$H:$H,$I534,'Level of Efficiency Assumptions'!$I:$I,O$51))</f>
        <v xml:space="preserve"> </v>
      </c>
      <c r="P534" s="1299" t="str">
        <f>IF(SUMIFS('Level of Efficiency Assumptions'!$J:$J,'Level of Efficiency Assumptions'!$H:$H,$I534,'Level of Efficiency Assumptions'!$I:$I,P$51)=0," ",SUMIFS('Level of Efficiency Assumptions'!$J:$J,'Level of Efficiency Assumptions'!$H:$H,$I534,'Level of Efficiency Assumptions'!$I:$I,P$51))</f>
        <v xml:space="preserve"> </v>
      </c>
      <c r="Q534" s="971" t="e">
        <f>IF(I534=" "," ",(VLOOKUP(I534,list!$B$81:$C$111,2,FALSE)))</f>
        <v>#N/A</v>
      </c>
      <c r="R534" s="243">
        <f t="shared" si="186"/>
        <v>0</v>
      </c>
      <c r="S534" s="64">
        <v>1</v>
      </c>
      <c r="T534" s="68">
        <v>0</v>
      </c>
      <c r="U534" s="244">
        <f t="shared" ref="U534:U550" si="189">SUM(R534:T534)</f>
        <v>1</v>
      </c>
      <c r="V534" s="82" t="e">
        <f>F534&amp;"-"&amp;W534</f>
        <v>#N/A</v>
      </c>
      <c r="W534" s="247" t="e">
        <f>HLOOKUP(D534,list!$O$34:$X$38,2,FALSE)</f>
        <v>#N/A</v>
      </c>
      <c r="X534" s="972">
        <v>1</v>
      </c>
    </row>
    <row r="535" spans="2:24" ht="15" thickBot="1" x14ac:dyDescent="0.35">
      <c r="C535" s="520"/>
      <c r="D535" s="224" t="str">
        <f>D534</f>
        <v xml:space="preserve">  </v>
      </c>
      <c r="E535" s="224"/>
      <c r="F535" s="224" t="str">
        <f>F534</f>
        <v xml:space="preserve">  </v>
      </c>
      <c r="G535" s="224"/>
      <c r="H535" s="380"/>
      <c r="I535" s="516" t="e">
        <f>IF(VLOOKUP(C34,list!$AA$5:$AS$14,4,FALSE)=0," ",(VLOOKUP(C34,list!$AA$5:$AS$14,4,FALSE)))</f>
        <v>#N/A</v>
      </c>
      <c r="J535" s="955" t="e">
        <f t="shared" si="187"/>
        <v>#N/A</v>
      </c>
      <c r="K535" s="955" t="e">
        <f t="shared" si="188"/>
        <v>#N/A</v>
      </c>
      <c r="L535" s="969" t="e">
        <f>IF(I535=" "," ",VLOOKUP(J535,list!$J$4:$M$117,4,FALSE))</f>
        <v>#N/A</v>
      </c>
      <c r="M535" s="66"/>
      <c r="N535" s="1297" t="str">
        <f>IF(SUMIFS('Level of Efficiency Assumptions'!$J:$J,'Level of Efficiency Assumptions'!$H:$H,$I535,'Level of Efficiency Assumptions'!$I:$I,N$51)=0," ",SUMIFS('Level of Efficiency Assumptions'!$J:$J,'Level of Efficiency Assumptions'!$H:$H,$I535,'Level of Efficiency Assumptions'!$I:$I,N$51))</f>
        <v xml:space="preserve"> </v>
      </c>
      <c r="O535" s="1298" t="str">
        <f>IF(SUMIFS('Level of Efficiency Assumptions'!$J:$J,'Level of Efficiency Assumptions'!$H:$H,$I535,'Level of Efficiency Assumptions'!$I:$I,O$51)=0," ",SUMIFS('Level of Efficiency Assumptions'!$J:$J,'Level of Efficiency Assumptions'!$H:$H,$I535,'Level of Efficiency Assumptions'!$I:$I,O$51))</f>
        <v xml:space="preserve"> </v>
      </c>
      <c r="P535" s="1299" t="str">
        <f>IF(SUMIFS('Level of Efficiency Assumptions'!$J:$J,'Level of Efficiency Assumptions'!$H:$H,$I535,'Level of Efficiency Assumptions'!$I:$I,P$51)=0," ",SUMIFS('Level of Efficiency Assumptions'!$J:$J,'Level of Efficiency Assumptions'!$H:$H,$I535,'Level of Efficiency Assumptions'!$I:$I,P$51))</f>
        <v xml:space="preserve"> </v>
      </c>
      <c r="Q535" s="971" t="e">
        <f>IF(I535=" "," ",(VLOOKUP(I535,list!$B$81:$C$111,2,FALSE)))</f>
        <v>#N/A</v>
      </c>
      <c r="R535" s="243">
        <f t="shared" si="186"/>
        <v>0</v>
      </c>
      <c r="S535" s="64">
        <v>1</v>
      </c>
      <c r="T535" s="68">
        <v>0</v>
      </c>
      <c r="U535" s="244">
        <f t="shared" si="189"/>
        <v>1</v>
      </c>
      <c r="V535" s="82" t="e">
        <f>F535&amp;"-"&amp;W535</f>
        <v>#N/A</v>
      </c>
      <c r="W535" s="248" t="e">
        <f>HLOOKUP(D535,list!$O$34:$X$38,3,FALSE)</f>
        <v>#N/A</v>
      </c>
      <c r="X535" s="973">
        <v>0.5</v>
      </c>
    </row>
    <row r="536" spans="2:24" ht="15" thickBot="1" x14ac:dyDescent="0.35">
      <c r="C536" s="520"/>
      <c r="D536" s="224" t="str">
        <f t="shared" ref="D536:D550" si="190">D535</f>
        <v xml:space="preserve">  </v>
      </c>
      <c r="E536" s="224"/>
      <c r="F536" s="224" t="str">
        <f t="shared" ref="F536:F550" si="191">F535</f>
        <v xml:space="preserve">  </v>
      </c>
      <c r="G536" s="224"/>
      <c r="H536" s="380"/>
      <c r="I536" s="516" t="e">
        <f>IF(VLOOKUP(C34,list!$AA$5:$AS$14,5,FALSE)=0," ",(VLOOKUP(C34,list!$AA$5:$AS$14,5,FALSE)))</f>
        <v>#N/A</v>
      </c>
      <c r="J536" s="955" t="e">
        <f t="shared" si="187"/>
        <v>#N/A</v>
      </c>
      <c r="K536" s="955" t="e">
        <f t="shared" si="188"/>
        <v>#N/A</v>
      </c>
      <c r="L536" s="969" t="e">
        <f>IF(I536=" "," ",VLOOKUP(J536,list!$J$4:$M$117,4,FALSE))</f>
        <v>#N/A</v>
      </c>
      <c r="M536" s="66"/>
      <c r="N536" s="1297" t="str">
        <f>IF(SUMIFS('Level of Efficiency Assumptions'!$J:$J,'Level of Efficiency Assumptions'!$H:$H,$I536,'Level of Efficiency Assumptions'!$I:$I,N$51)=0," ",SUMIFS('Level of Efficiency Assumptions'!$J:$J,'Level of Efficiency Assumptions'!$H:$H,$I536,'Level of Efficiency Assumptions'!$I:$I,N$51))</f>
        <v xml:space="preserve"> </v>
      </c>
      <c r="O536" s="1298" t="str">
        <f>IF(SUMIFS('Level of Efficiency Assumptions'!$J:$J,'Level of Efficiency Assumptions'!$H:$H,$I536,'Level of Efficiency Assumptions'!$I:$I,O$51)=0," ",SUMIFS('Level of Efficiency Assumptions'!$J:$J,'Level of Efficiency Assumptions'!$H:$H,$I536,'Level of Efficiency Assumptions'!$I:$I,O$51))</f>
        <v xml:space="preserve"> </v>
      </c>
      <c r="P536" s="1299" t="str">
        <f>IF(SUMIFS('Level of Efficiency Assumptions'!$J:$J,'Level of Efficiency Assumptions'!$H:$H,$I536,'Level of Efficiency Assumptions'!$I:$I,P$51)=0," ",SUMIFS('Level of Efficiency Assumptions'!$J:$J,'Level of Efficiency Assumptions'!$H:$H,$I536,'Level of Efficiency Assumptions'!$I:$I,P$51))</f>
        <v xml:space="preserve"> </v>
      </c>
      <c r="Q536" s="971" t="e">
        <f>IF(I536=" "," ",(VLOOKUP(I536,list!$B$81:$C$111,2,FALSE)))</f>
        <v>#N/A</v>
      </c>
      <c r="R536" s="243">
        <f t="shared" si="186"/>
        <v>0</v>
      </c>
      <c r="S536" s="64">
        <v>1</v>
      </c>
      <c r="T536" s="68">
        <v>0</v>
      </c>
      <c r="U536" s="244">
        <f t="shared" si="189"/>
        <v>1</v>
      </c>
      <c r="V536" s="82" t="e">
        <f>F536&amp;"-"&amp;W536</f>
        <v>#N/A</v>
      </c>
      <c r="W536" s="248" t="e">
        <f>HLOOKUP(D536,list!$O$34:$X$38,4,FALSE)</f>
        <v>#N/A</v>
      </c>
      <c r="X536" s="973">
        <v>0.5</v>
      </c>
    </row>
    <row r="537" spans="2:24" ht="15" thickBot="1" x14ac:dyDescent="0.35">
      <c r="C537" s="520"/>
      <c r="D537" s="224" t="str">
        <f t="shared" si="190"/>
        <v xml:space="preserve">  </v>
      </c>
      <c r="E537" s="224"/>
      <c r="F537" s="224" t="str">
        <f t="shared" si="191"/>
        <v xml:space="preserve">  </v>
      </c>
      <c r="G537" s="224"/>
      <c r="H537" s="380"/>
      <c r="I537" s="516" t="e">
        <f>IF(VLOOKUP(C34,list!$AA$5:$AS$14,6,FALSE)=0," ",(VLOOKUP(C34,list!$AA$5:$AS$14,6,FALSE)))</f>
        <v>#N/A</v>
      </c>
      <c r="J537" s="955" t="e">
        <f t="shared" si="187"/>
        <v>#N/A</v>
      </c>
      <c r="K537" s="955" t="e">
        <f t="shared" si="188"/>
        <v>#N/A</v>
      </c>
      <c r="L537" s="969" t="e">
        <f>IF(I537=" "," ",VLOOKUP(J537,list!$J$4:$M$117,4,FALSE))</f>
        <v>#N/A</v>
      </c>
      <c r="M537" s="66"/>
      <c r="N537" s="1297" t="str">
        <f>IF(SUMIFS('Level of Efficiency Assumptions'!$J:$J,'Level of Efficiency Assumptions'!$H:$H,$I537,'Level of Efficiency Assumptions'!$I:$I,N$51)=0," ",SUMIFS('Level of Efficiency Assumptions'!$J:$J,'Level of Efficiency Assumptions'!$H:$H,$I537,'Level of Efficiency Assumptions'!$I:$I,N$51))</f>
        <v xml:space="preserve"> </v>
      </c>
      <c r="O537" s="1298" t="str">
        <f>IF(SUMIFS('Level of Efficiency Assumptions'!$J:$J,'Level of Efficiency Assumptions'!$H:$H,$I537,'Level of Efficiency Assumptions'!$I:$I,O$51)=0," ",SUMIFS('Level of Efficiency Assumptions'!$J:$J,'Level of Efficiency Assumptions'!$H:$H,$I537,'Level of Efficiency Assumptions'!$I:$I,O$51))</f>
        <v xml:space="preserve"> </v>
      </c>
      <c r="P537" s="1299" t="str">
        <f>IF(SUMIFS('Level of Efficiency Assumptions'!$J:$J,'Level of Efficiency Assumptions'!$H:$H,$I537,'Level of Efficiency Assumptions'!$I:$I,P$51)=0," ",SUMIFS('Level of Efficiency Assumptions'!$J:$J,'Level of Efficiency Assumptions'!$H:$H,$I537,'Level of Efficiency Assumptions'!$I:$I,P$51))</f>
        <v xml:space="preserve"> </v>
      </c>
      <c r="Q537" s="971" t="e">
        <f>IF(I537=" "," ",(VLOOKUP(I537,list!$B$81:$C$111,2,FALSE)))</f>
        <v>#N/A</v>
      </c>
      <c r="R537" s="243">
        <f t="shared" si="186"/>
        <v>0</v>
      </c>
      <c r="S537" s="64">
        <v>1</v>
      </c>
      <c r="T537" s="68">
        <v>0</v>
      </c>
      <c r="U537" s="244">
        <f t="shared" si="189"/>
        <v>1</v>
      </c>
      <c r="V537" s="82" t="e">
        <f>F537&amp;"-"&amp;W537</f>
        <v>#N/A</v>
      </c>
      <c r="W537" s="249" t="e">
        <f>HLOOKUP(D537,list!$O$34:$X$38,5,FALSE)</f>
        <v>#N/A</v>
      </c>
      <c r="X537" s="974">
        <v>0.5</v>
      </c>
    </row>
    <row r="538" spans="2:24" ht="15" thickBot="1" x14ac:dyDescent="0.35">
      <c r="C538" s="520"/>
      <c r="D538" s="224" t="str">
        <f t="shared" si="190"/>
        <v xml:space="preserve">  </v>
      </c>
      <c r="E538" s="224"/>
      <c r="F538" s="224" t="str">
        <f t="shared" si="191"/>
        <v xml:space="preserve">  </v>
      </c>
      <c r="G538" s="224"/>
      <c r="H538" s="380"/>
      <c r="I538" s="516" t="e">
        <f>IF(VLOOKUP(C34,list!$AA$5:$AS$14,7,FALSE)=0," ",(VLOOKUP(C34,list!$AA$5:$AS$14,7,FALSE)))</f>
        <v>#N/A</v>
      </c>
      <c r="J538" s="955" t="e">
        <f t="shared" si="187"/>
        <v>#N/A</v>
      </c>
      <c r="K538" s="955" t="e">
        <f t="shared" si="188"/>
        <v>#N/A</v>
      </c>
      <c r="L538" s="969" t="e">
        <f>IF(I538=" "," ",VLOOKUP(J538,list!$J$4:$M$117,4,FALSE))</f>
        <v>#N/A</v>
      </c>
      <c r="M538" s="66"/>
      <c r="N538" s="1297" t="str">
        <f>IF(SUMIFS('Level of Efficiency Assumptions'!$J:$J,'Level of Efficiency Assumptions'!$H:$H,$I538,'Level of Efficiency Assumptions'!$I:$I,N$51)=0," ",SUMIFS('Level of Efficiency Assumptions'!$J:$J,'Level of Efficiency Assumptions'!$H:$H,$I538,'Level of Efficiency Assumptions'!$I:$I,N$51))</f>
        <v xml:space="preserve"> </v>
      </c>
      <c r="O538" s="1298" t="str">
        <f>IF(SUMIFS('Level of Efficiency Assumptions'!$J:$J,'Level of Efficiency Assumptions'!$H:$H,$I538,'Level of Efficiency Assumptions'!$I:$I,O$51)=0," ",SUMIFS('Level of Efficiency Assumptions'!$J:$J,'Level of Efficiency Assumptions'!$H:$H,$I538,'Level of Efficiency Assumptions'!$I:$I,O$51))</f>
        <v xml:space="preserve"> </v>
      </c>
      <c r="P538" s="1299" t="str">
        <f>IF(SUMIFS('Level of Efficiency Assumptions'!$J:$J,'Level of Efficiency Assumptions'!$H:$H,$I538,'Level of Efficiency Assumptions'!$I:$I,P$51)=0," ",SUMIFS('Level of Efficiency Assumptions'!$J:$J,'Level of Efficiency Assumptions'!$H:$H,$I538,'Level of Efficiency Assumptions'!$I:$I,P$51))</f>
        <v xml:space="preserve"> </v>
      </c>
      <c r="Q538" s="971" t="e">
        <f>IF(I538=" "," ",(VLOOKUP(I538,list!$B$81:$C$111,2,FALSE)))</f>
        <v>#N/A</v>
      </c>
      <c r="R538" s="243">
        <f t="shared" si="186"/>
        <v>0</v>
      </c>
      <c r="S538" s="64">
        <v>1</v>
      </c>
      <c r="T538" s="68">
        <v>0</v>
      </c>
      <c r="U538" s="244">
        <f t="shared" si="189"/>
        <v>1</v>
      </c>
      <c r="W538" s="182"/>
      <c r="X538" s="975"/>
    </row>
    <row r="539" spans="2:24" ht="15" thickBot="1" x14ac:dyDescent="0.35">
      <c r="C539" s="520"/>
      <c r="D539" s="224" t="str">
        <f t="shared" si="190"/>
        <v xml:space="preserve">  </v>
      </c>
      <c r="E539" s="224"/>
      <c r="F539" s="224" t="str">
        <f t="shared" si="191"/>
        <v xml:space="preserve">  </v>
      </c>
      <c r="G539" s="224"/>
      <c r="H539" s="380"/>
      <c r="I539" s="516" t="e">
        <f>IF(VLOOKUP(C34,list!$AA$5:$AS$14,8,FALSE)=0," ",(VLOOKUP(C34,list!$AA$5:$AS$14,8,FALSE)))</f>
        <v>#N/A</v>
      </c>
      <c r="J539" s="955" t="e">
        <f t="shared" si="187"/>
        <v>#N/A</v>
      </c>
      <c r="K539" s="955" t="e">
        <f t="shared" si="188"/>
        <v>#N/A</v>
      </c>
      <c r="L539" s="969" t="e">
        <f>IF(I539=" "," ",VLOOKUP(J539,list!$J$4:$M$117,4,FALSE))</f>
        <v>#N/A</v>
      </c>
      <c r="M539" s="66"/>
      <c r="N539" s="1297" t="str">
        <f>IF(SUMIFS('Level of Efficiency Assumptions'!$J:$J,'Level of Efficiency Assumptions'!$H:$H,$I539,'Level of Efficiency Assumptions'!$I:$I,N$51)=0," ",SUMIFS('Level of Efficiency Assumptions'!$J:$J,'Level of Efficiency Assumptions'!$H:$H,$I539,'Level of Efficiency Assumptions'!$I:$I,N$51))</f>
        <v xml:space="preserve"> </v>
      </c>
      <c r="O539" s="1298" t="str">
        <f>IF(SUMIFS('Level of Efficiency Assumptions'!$J:$J,'Level of Efficiency Assumptions'!$H:$H,$I539,'Level of Efficiency Assumptions'!$I:$I,O$51)=0," ",SUMIFS('Level of Efficiency Assumptions'!$J:$J,'Level of Efficiency Assumptions'!$H:$H,$I539,'Level of Efficiency Assumptions'!$I:$I,O$51))</f>
        <v xml:space="preserve"> </v>
      </c>
      <c r="P539" s="1299" t="str">
        <f>IF(SUMIFS('Level of Efficiency Assumptions'!$J:$J,'Level of Efficiency Assumptions'!$H:$H,$I539,'Level of Efficiency Assumptions'!$I:$I,P$51)=0," ",SUMIFS('Level of Efficiency Assumptions'!$J:$J,'Level of Efficiency Assumptions'!$H:$H,$I539,'Level of Efficiency Assumptions'!$I:$I,P$51))</f>
        <v xml:space="preserve"> </v>
      </c>
      <c r="Q539" s="971" t="e">
        <f>IF(I539=" "," ",(VLOOKUP(I539,list!$B$81:$C$111,2,FALSE)))</f>
        <v>#N/A</v>
      </c>
      <c r="R539" s="243">
        <f t="shared" si="186"/>
        <v>0</v>
      </c>
      <c r="S539" s="64">
        <v>1</v>
      </c>
      <c r="T539" s="68">
        <v>0</v>
      </c>
      <c r="U539" s="244">
        <f t="shared" si="189"/>
        <v>1</v>
      </c>
      <c r="W539" s="182"/>
      <c r="X539" s="975"/>
    </row>
    <row r="540" spans="2:24" ht="15" thickBot="1" x14ac:dyDescent="0.35">
      <c r="C540" s="520"/>
      <c r="D540" s="224" t="str">
        <f t="shared" si="190"/>
        <v xml:space="preserve">  </v>
      </c>
      <c r="E540" s="224"/>
      <c r="F540" s="224" t="str">
        <f t="shared" si="191"/>
        <v xml:space="preserve">  </v>
      </c>
      <c r="G540" s="224"/>
      <c r="H540" s="380"/>
      <c r="I540" s="516" t="e">
        <f>IF(VLOOKUP(C34,list!$AA$5:$AS$14,9,FALSE)=0," ",(VLOOKUP(C34,list!$AA$5:$AS$14,9,FALSE)))</f>
        <v>#N/A</v>
      </c>
      <c r="J540" s="955" t="e">
        <f t="shared" si="187"/>
        <v>#N/A</v>
      </c>
      <c r="K540" s="955" t="e">
        <f t="shared" si="188"/>
        <v>#N/A</v>
      </c>
      <c r="L540" s="969" t="e">
        <f>IF(I540=" "," ",VLOOKUP(J540,list!$J$4:$M$117,4,FALSE))</f>
        <v>#N/A</v>
      </c>
      <c r="M540" s="66"/>
      <c r="N540" s="1297" t="str">
        <f>IF(SUMIFS('Level of Efficiency Assumptions'!$J:$J,'Level of Efficiency Assumptions'!$H:$H,$I540,'Level of Efficiency Assumptions'!$I:$I,N$51)=0," ",SUMIFS('Level of Efficiency Assumptions'!$J:$J,'Level of Efficiency Assumptions'!$H:$H,$I540,'Level of Efficiency Assumptions'!$I:$I,N$51))</f>
        <v xml:space="preserve"> </v>
      </c>
      <c r="O540" s="1298" t="str">
        <f>IF(SUMIFS('Level of Efficiency Assumptions'!$J:$J,'Level of Efficiency Assumptions'!$H:$H,$I540,'Level of Efficiency Assumptions'!$I:$I,O$51)=0," ",SUMIFS('Level of Efficiency Assumptions'!$J:$J,'Level of Efficiency Assumptions'!$H:$H,$I540,'Level of Efficiency Assumptions'!$I:$I,O$51))</f>
        <v xml:space="preserve"> </v>
      </c>
      <c r="P540" s="1299" t="str">
        <f>IF(SUMIFS('Level of Efficiency Assumptions'!$J:$J,'Level of Efficiency Assumptions'!$H:$H,$I540,'Level of Efficiency Assumptions'!$I:$I,P$51)=0," ",SUMIFS('Level of Efficiency Assumptions'!$J:$J,'Level of Efficiency Assumptions'!$H:$H,$I540,'Level of Efficiency Assumptions'!$I:$I,P$51))</f>
        <v xml:space="preserve"> </v>
      </c>
      <c r="Q540" s="971" t="e">
        <f>IF(I540=" "," ",(VLOOKUP(I540,list!$B$81:$C$111,2,FALSE)))</f>
        <v>#N/A</v>
      </c>
      <c r="R540" s="243">
        <f t="shared" si="186"/>
        <v>0</v>
      </c>
      <c r="S540" s="64">
        <v>1</v>
      </c>
      <c r="T540" s="68">
        <v>0</v>
      </c>
      <c r="U540" s="244">
        <f t="shared" si="189"/>
        <v>1</v>
      </c>
    </row>
    <row r="541" spans="2:24" ht="15" thickBot="1" x14ac:dyDescent="0.35">
      <c r="C541" s="520"/>
      <c r="D541" s="224" t="str">
        <f t="shared" si="190"/>
        <v xml:space="preserve">  </v>
      </c>
      <c r="E541" s="224"/>
      <c r="F541" s="224" t="str">
        <f t="shared" si="191"/>
        <v xml:space="preserve">  </v>
      </c>
      <c r="G541" s="224"/>
      <c r="H541" s="380"/>
      <c r="I541" s="516" t="e">
        <f>IF(VLOOKUP(C34,list!$AA$5:$AS$14,10,FALSE)=0," ",(VLOOKUP(C34,list!$AA$5:$AS$14,10,FALSE)))</f>
        <v>#N/A</v>
      </c>
      <c r="J541" s="955" t="e">
        <f t="shared" si="187"/>
        <v>#N/A</v>
      </c>
      <c r="K541" s="955" t="e">
        <f t="shared" si="188"/>
        <v>#N/A</v>
      </c>
      <c r="L541" s="969" t="e">
        <f>IF(I541=" "," ",VLOOKUP(J541,list!$J$4:$M$117,4,FALSE))</f>
        <v>#N/A</v>
      </c>
      <c r="M541" s="66"/>
      <c r="N541" s="1297" t="str">
        <f>IF(SUMIFS('Level of Efficiency Assumptions'!$J:$J,'Level of Efficiency Assumptions'!$H:$H,$I541,'Level of Efficiency Assumptions'!$I:$I,N$51)=0," ",SUMIFS('Level of Efficiency Assumptions'!$J:$J,'Level of Efficiency Assumptions'!$H:$H,$I541,'Level of Efficiency Assumptions'!$I:$I,N$51))</f>
        <v xml:space="preserve"> </v>
      </c>
      <c r="O541" s="1298" t="str">
        <f>IF(SUMIFS('Level of Efficiency Assumptions'!$J:$J,'Level of Efficiency Assumptions'!$H:$H,$I541,'Level of Efficiency Assumptions'!$I:$I,O$51)=0," ",SUMIFS('Level of Efficiency Assumptions'!$J:$J,'Level of Efficiency Assumptions'!$H:$H,$I541,'Level of Efficiency Assumptions'!$I:$I,O$51))</f>
        <v xml:space="preserve"> </v>
      </c>
      <c r="P541" s="1299" t="str">
        <f>IF(SUMIFS('Level of Efficiency Assumptions'!$J:$J,'Level of Efficiency Assumptions'!$H:$H,$I541,'Level of Efficiency Assumptions'!$I:$I,P$51)=0," ",SUMIFS('Level of Efficiency Assumptions'!$J:$J,'Level of Efficiency Assumptions'!$H:$H,$I541,'Level of Efficiency Assumptions'!$I:$I,P$51))</f>
        <v xml:space="preserve"> </v>
      </c>
      <c r="Q541" s="971" t="e">
        <f>IF(I541=" "," ",(VLOOKUP(I541,list!$B$81:$C$111,2,FALSE)))</f>
        <v>#N/A</v>
      </c>
      <c r="R541" s="243">
        <f t="shared" si="186"/>
        <v>0</v>
      </c>
      <c r="S541" s="64">
        <v>1</v>
      </c>
      <c r="T541" s="68">
        <v>0</v>
      </c>
      <c r="U541" s="244">
        <f t="shared" si="189"/>
        <v>1</v>
      </c>
    </row>
    <row r="542" spans="2:24" ht="15" thickBot="1" x14ac:dyDescent="0.35">
      <c r="C542" s="520"/>
      <c r="D542" s="224" t="str">
        <f t="shared" si="190"/>
        <v xml:space="preserve">  </v>
      </c>
      <c r="E542" s="224"/>
      <c r="F542" s="224" t="str">
        <f t="shared" si="191"/>
        <v xml:space="preserve">  </v>
      </c>
      <c r="G542" s="224"/>
      <c r="H542" s="380"/>
      <c r="I542" s="516" t="e">
        <f>IF(VLOOKUP(C34,list!$AA$5:$AS$14,11,FALSE)=0," ",(VLOOKUP(C34,list!$AA$5:$AS$14,11,FALSE)))</f>
        <v>#N/A</v>
      </c>
      <c r="J542" s="955" t="e">
        <f t="shared" si="187"/>
        <v>#N/A</v>
      </c>
      <c r="K542" s="955" t="e">
        <f t="shared" si="188"/>
        <v>#N/A</v>
      </c>
      <c r="L542" s="969" t="e">
        <f>IF(I542=" "," ",VLOOKUP(J542,list!$J$4:$M$117,4,FALSE))</f>
        <v>#N/A</v>
      </c>
      <c r="M542" s="66"/>
      <c r="N542" s="1297" t="str">
        <f>IF(SUMIFS('Level of Efficiency Assumptions'!$J:$J,'Level of Efficiency Assumptions'!$H:$H,$I542,'Level of Efficiency Assumptions'!$I:$I,N$51)=0," ",SUMIFS('Level of Efficiency Assumptions'!$J:$J,'Level of Efficiency Assumptions'!$H:$H,$I542,'Level of Efficiency Assumptions'!$I:$I,N$51))</f>
        <v xml:space="preserve"> </v>
      </c>
      <c r="O542" s="1298" t="str">
        <f>IF(SUMIFS('Level of Efficiency Assumptions'!$J:$J,'Level of Efficiency Assumptions'!$H:$H,$I542,'Level of Efficiency Assumptions'!$I:$I,O$51)=0," ",SUMIFS('Level of Efficiency Assumptions'!$J:$J,'Level of Efficiency Assumptions'!$H:$H,$I542,'Level of Efficiency Assumptions'!$I:$I,O$51))</f>
        <v xml:space="preserve"> </v>
      </c>
      <c r="P542" s="1299" t="str">
        <f>IF(SUMIFS('Level of Efficiency Assumptions'!$J:$J,'Level of Efficiency Assumptions'!$H:$H,$I542,'Level of Efficiency Assumptions'!$I:$I,P$51)=0," ",SUMIFS('Level of Efficiency Assumptions'!$J:$J,'Level of Efficiency Assumptions'!$H:$H,$I542,'Level of Efficiency Assumptions'!$I:$I,P$51))</f>
        <v xml:space="preserve"> </v>
      </c>
      <c r="Q542" s="971" t="e">
        <f>IF(I542=" "," ",(VLOOKUP(I542,list!$B$81:$C$111,2,FALSE)))</f>
        <v>#N/A</v>
      </c>
      <c r="R542" s="243">
        <f t="shared" si="186"/>
        <v>0</v>
      </c>
      <c r="S542" s="64">
        <v>1</v>
      </c>
      <c r="T542" s="68">
        <v>0</v>
      </c>
      <c r="U542" s="244">
        <f t="shared" si="189"/>
        <v>1</v>
      </c>
    </row>
    <row r="543" spans="2:24" ht="15" thickBot="1" x14ac:dyDescent="0.35">
      <c r="C543" s="520"/>
      <c r="D543" s="224" t="str">
        <f t="shared" si="190"/>
        <v xml:space="preserve">  </v>
      </c>
      <c r="E543" s="224"/>
      <c r="F543" s="224" t="str">
        <f t="shared" si="191"/>
        <v xml:space="preserve">  </v>
      </c>
      <c r="G543" s="224"/>
      <c r="H543" s="380"/>
      <c r="I543" s="516" t="e">
        <f>IF(VLOOKUP(C34,list!$AA$5:$AS$14,12,FALSE)=0," ",(VLOOKUP(C34,list!$AA$5:$AS$14,12,FALSE)))</f>
        <v>#N/A</v>
      </c>
      <c r="J543" s="955" t="e">
        <f t="shared" si="187"/>
        <v>#N/A</v>
      </c>
      <c r="K543" s="955" t="e">
        <f t="shared" si="188"/>
        <v>#N/A</v>
      </c>
      <c r="L543" s="969" t="e">
        <f>IF(I543=" "," ",VLOOKUP(J543,list!$J$4:$M$117,4,FALSE))</f>
        <v>#N/A</v>
      </c>
      <c r="M543" s="66"/>
      <c r="N543" s="1297" t="str">
        <f>IF(SUMIFS('Level of Efficiency Assumptions'!$J:$J,'Level of Efficiency Assumptions'!$H:$H,$I543,'Level of Efficiency Assumptions'!$I:$I,N$51)=0," ",SUMIFS('Level of Efficiency Assumptions'!$J:$J,'Level of Efficiency Assumptions'!$H:$H,$I543,'Level of Efficiency Assumptions'!$I:$I,N$51))</f>
        <v xml:space="preserve"> </v>
      </c>
      <c r="O543" s="1298" t="str">
        <f>IF(SUMIFS('Level of Efficiency Assumptions'!$J:$J,'Level of Efficiency Assumptions'!$H:$H,$I543,'Level of Efficiency Assumptions'!$I:$I,O$51)=0," ",SUMIFS('Level of Efficiency Assumptions'!$J:$J,'Level of Efficiency Assumptions'!$H:$H,$I543,'Level of Efficiency Assumptions'!$I:$I,O$51))</f>
        <v xml:space="preserve"> </v>
      </c>
      <c r="P543" s="1299" t="str">
        <f>IF(SUMIFS('Level of Efficiency Assumptions'!$J:$J,'Level of Efficiency Assumptions'!$H:$H,$I543,'Level of Efficiency Assumptions'!$I:$I,P$51)=0," ",SUMIFS('Level of Efficiency Assumptions'!$J:$J,'Level of Efficiency Assumptions'!$H:$H,$I543,'Level of Efficiency Assumptions'!$I:$I,P$51))</f>
        <v xml:space="preserve"> </v>
      </c>
      <c r="Q543" s="971" t="e">
        <f>IF(I543=" "," ",(VLOOKUP(I543,list!$B$81:$C$111,2,FALSE)))</f>
        <v>#N/A</v>
      </c>
      <c r="R543" s="243">
        <f t="shared" si="186"/>
        <v>0</v>
      </c>
      <c r="S543" s="64">
        <v>1</v>
      </c>
      <c r="T543" s="68">
        <v>0</v>
      </c>
      <c r="U543" s="244">
        <f t="shared" si="189"/>
        <v>1</v>
      </c>
    </row>
    <row r="544" spans="2:24" ht="15" thickBot="1" x14ac:dyDescent="0.35">
      <c r="C544" s="520"/>
      <c r="D544" s="224" t="str">
        <f t="shared" si="190"/>
        <v xml:space="preserve">  </v>
      </c>
      <c r="E544" s="224"/>
      <c r="F544" s="224" t="str">
        <f t="shared" si="191"/>
        <v xml:space="preserve">  </v>
      </c>
      <c r="G544" s="224"/>
      <c r="H544" s="380"/>
      <c r="I544" s="516" t="e">
        <f>IF(VLOOKUP(C34,list!$AA$5:$AS$14,13,FALSE)=0," ",(VLOOKUP(C34,list!$AA$5:$AS$14,13,FALSE)))</f>
        <v>#N/A</v>
      </c>
      <c r="J544" s="955" t="e">
        <f t="shared" si="187"/>
        <v>#N/A</v>
      </c>
      <c r="K544" s="955" t="e">
        <f t="shared" si="188"/>
        <v>#N/A</v>
      </c>
      <c r="L544" s="969" t="e">
        <f>IF(I544=" "," ",VLOOKUP(J544,list!$J$4:$M$117,4,FALSE))</f>
        <v>#N/A</v>
      </c>
      <c r="M544" s="66"/>
      <c r="N544" s="1297" t="str">
        <f>IF(SUMIFS('Level of Efficiency Assumptions'!$J:$J,'Level of Efficiency Assumptions'!$H:$H,$I544,'Level of Efficiency Assumptions'!$I:$I,N$51)=0," ",SUMIFS('Level of Efficiency Assumptions'!$J:$J,'Level of Efficiency Assumptions'!$H:$H,$I544,'Level of Efficiency Assumptions'!$I:$I,N$51))</f>
        <v xml:space="preserve"> </v>
      </c>
      <c r="O544" s="1298" t="str">
        <f>IF(SUMIFS('Level of Efficiency Assumptions'!$J:$J,'Level of Efficiency Assumptions'!$H:$H,$I544,'Level of Efficiency Assumptions'!$I:$I,O$51)=0," ",SUMIFS('Level of Efficiency Assumptions'!$J:$J,'Level of Efficiency Assumptions'!$H:$H,$I544,'Level of Efficiency Assumptions'!$I:$I,O$51))</f>
        <v xml:space="preserve"> </v>
      </c>
      <c r="P544" s="1299" t="str">
        <f>IF(SUMIFS('Level of Efficiency Assumptions'!$J:$J,'Level of Efficiency Assumptions'!$H:$H,$I544,'Level of Efficiency Assumptions'!$I:$I,P$51)=0," ",SUMIFS('Level of Efficiency Assumptions'!$J:$J,'Level of Efficiency Assumptions'!$H:$H,$I544,'Level of Efficiency Assumptions'!$I:$I,P$51))</f>
        <v xml:space="preserve"> </v>
      </c>
      <c r="Q544" s="971" t="e">
        <f>IF(I544=" "," ",(VLOOKUP(I544,list!$B$81:$C$111,2,FALSE)))</f>
        <v>#N/A</v>
      </c>
      <c r="R544" s="243">
        <f t="shared" si="186"/>
        <v>0</v>
      </c>
      <c r="S544" s="64">
        <v>1</v>
      </c>
      <c r="T544" s="68">
        <v>0</v>
      </c>
      <c r="U544" s="244">
        <f t="shared" si="189"/>
        <v>1</v>
      </c>
    </row>
    <row r="545" spans="2:24" ht="15" thickBot="1" x14ac:dyDescent="0.35">
      <c r="C545" s="520"/>
      <c r="D545" s="224" t="str">
        <f t="shared" si="190"/>
        <v xml:space="preserve">  </v>
      </c>
      <c r="E545" s="224"/>
      <c r="F545" s="224" t="str">
        <f t="shared" si="191"/>
        <v xml:space="preserve">  </v>
      </c>
      <c r="G545" s="224"/>
      <c r="H545" s="380"/>
      <c r="I545" s="516" t="e">
        <f>IF(VLOOKUP(C34,list!$AA$5:$AS$14,14,FALSE)=0," ",(VLOOKUP(C34,list!$AA$5:$AS$14,14,FALSE)))</f>
        <v>#N/A</v>
      </c>
      <c r="J545" s="955" t="e">
        <f t="shared" si="187"/>
        <v>#N/A</v>
      </c>
      <c r="K545" s="955" t="e">
        <f t="shared" si="188"/>
        <v>#N/A</v>
      </c>
      <c r="L545" s="969" t="e">
        <f>IF(I545=" "," ",VLOOKUP(J545,list!$J$4:$M$117,4,FALSE))</f>
        <v>#N/A</v>
      </c>
      <c r="M545" s="66"/>
      <c r="N545" s="1297" t="str">
        <f>IF(SUMIFS('Level of Efficiency Assumptions'!$J:$J,'Level of Efficiency Assumptions'!$H:$H,$I545,'Level of Efficiency Assumptions'!$I:$I,N$51)=0," ",SUMIFS('Level of Efficiency Assumptions'!$J:$J,'Level of Efficiency Assumptions'!$H:$H,$I545,'Level of Efficiency Assumptions'!$I:$I,N$51))</f>
        <v xml:space="preserve"> </v>
      </c>
      <c r="O545" s="1298" t="str">
        <f>IF(SUMIFS('Level of Efficiency Assumptions'!$J:$J,'Level of Efficiency Assumptions'!$H:$H,$I545,'Level of Efficiency Assumptions'!$I:$I,O$51)=0," ",SUMIFS('Level of Efficiency Assumptions'!$J:$J,'Level of Efficiency Assumptions'!$H:$H,$I545,'Level of Efficiency Assumptions'!$I:$I,O$51))</f>
        <v xml:space="preserve"> </v>
      </c>
      <c r="P545" s="1299" t="str">
        <f>IF(SUMIFS('Level of Efficiency Assumptions'!$J:$J,'Level of Efficiency Assumptions'!$H:$H,$I545,'Level of Efficiency Assumptions'!$I:$I,P$51)=0," ",SUMIFS('Level of Efficiency Assumptions'!$J:$J,'Level of Efficiency Assumptions'!$H:$H,$I545,'Level of Efficiency Assumptions'!$I:$I,P$51))</f>
        <v xml:space="preserve"> </v>
      </c>
      <c r="Q545" s="971" t="e">
        <f>IF(I545=" "," ",(VLOOKUP(I545,list!$B$81:$C$111,2,FALSE)))</f>
        <v>#N/A</v>
      </c>
      <c r="R545" s="243">
        <f t="shared" si="186"/>
        <v>0</v>
      </c>
      <c r="S545" s="64">
        <v>1</v>
      </c>
      <c r="T545" s="68">
        <v>0</v>
      </c>
      <c r="U545" s="244">
        <f t="shared" si="189"/>
        <v>1</v>
      </c>
    </row>
    <row r="546" spans="2:24" ht="15" thickBot="1" x14ac:dyDescent="0.35">
      <c r="C546" s="520"/>
      <c r="D546" s="224" t="str">
        <f t="shared" si="190"/>
        <v xml:space="preserve">  </v>
      </c>
      <c r="E546" s="224"/>
      <c r="F546" s="224" t="str">
        <f t="shared" si="191"/>
        <v xml:space="preserve">  </v>
      </c>
      <c r="G546" s="224"/>
      <c r="H546" s="380"/>
      <c r="I546" s="516" t="e">
        <f>IF(VLOOKUP(C34,list!$AA$5:$AS$14,15,FALSE)=0," ",(VLOOKUP(C34,list!$AA$5:$AS$14,15,FALSE)))</f>
        <v>#N/A</v>
      </c>
      <c r="J546" s="955" t="e">
        <f t="shared" si="187"/>
        <v>#N/A</v>
      </c>
      <c r="K546" s="955" t="e">
        <f t="shared" si="188"/>
        <v>#N/A</v>
      </c>
      <c r="L546" s="969" t="e">
        <f>IF(I546=" "," ",VLOOKUP(J546,list!$J$4:$M$117,4,FALSE))</f>
        <v>#N/A</v>
      </c>
      <c r="M546" s="66"/>
      <c r="N546" s="1297" t="str">
        <f>IF(SUMIFS('Level of Efficiency Assumptions'!$J:$J,'Level of Efficiency Assumptions'!$H:$H,$I546,'Level of Efficiency Assumptions'!$I:$I,N$51)=0," ",SUMIFS('Level of Efficiency Assumptions'!$J:$J,'Level of Efficiency Assumptions'!$H:$H,$I546,'Level of Efficiency Assumptions'!$I:$I,N$51))</f>
        <v xml:space="preserve"> </v>
      </c>
      <c r="O546" s="1298" t="str">
        <f>IF(SUMIFS('Level of Efficiency Assumptions'!$J:$J,'Level of Efficiency Assumptions'!$H:$H,$I546,'Level of Efficiency Assumptions'!$I:$I,O$51)=0," ",SUMIFS('Level of Efficiency Assumptions'!$J:$J,'Level of Efficiency Assumptions'!$H:$H,$I546,'Level of Efficiency Assumptions'!$I:$I,O$51))</f>
        <v xml:space="preserve"> </v>
      </c>
      <c r="P546" s="1299" t="str">
        <f>IF(SUMIFS('Level of Efficiency Assumptions'!$J:$J,'Level of Efficiency Assumptions'!$H:$H,$I546,'Level of Efficiency Assumptions'!$I:$I,P$51)=0," ",SUMIFS('Level of Efficiency Assumptions'!$J:$J,'Level of Efficiency Assumptions'!$H:$H,$I546,'Level of Efficiency Assumptions'!$I:$I,P$51))</f>
        <v xml:space="preserve"> </v>
      </c>
      <c r="Q546" s="971" t="e">
        <f>IF(I546=" "," ",(VLOOKUP(I546,list!$B$81:$C$111,2,FALSE)))</f>
        <v>#N/A</v>
      </c>
      <c r="R546" s="243">
        <f t="shared" si="186"/>
        <v>0</v>
      </c>
      <c r="S546" s="64">
        <v>1</v>
      </c>
      <c r="T546" s="68">
        <v>0</v>
      </c>
      <c r="U546" s="244">
        <f t="shared" si="189"/>
        <v>1</v>
      </c>
    </row>
    <row r="547" spans="2:24" ht="15" thickBot="1" x14ac:dyDescent="0.35">
      <c r="C547" s="520"/>
      <c r="D547" s="224" t="str">
        <f t="shared" si="190"/>
        <v xml:space="preserve">  </v>
      </c>
      <c r="E547" s="224"/>
      <c r="F547" s="224" t="str">
        <f t="shared" si="191"/>
        <v xml:space="preserve">  </v>
      </c>
      <c r="G547" s="224"/>
      <c r="H547" s="380"/>
      <c r="I547" s="516" t="e">
        <f>IF(VLOOKUP(C34,list!$AA$5:$AS$14,16,FALSE)=0," ",(VLOOKUP(C34,list!$AA$5:$AS$14,16,FALSE)))</f>
        <v>#N/A</v>
      </c>
      <c r="J547" s="955" t="e">
        <f t="shared" si="187"/>
        <v>#N/A</v>
      </c>
      <c r="K547" s="955" t="e">
        <f t="shared" si="188"/>
        <v>#N/A</v>
      </c>
      <c r="L547" s="969" t="e">
        <f>IF(I547=" "," ",VLOOKUP(J547,list!$J$4:$M$117,4,FALSE))</f>
        <v>#N/A</v>
      </c>
      <c r="M547" s="66"/>
      <c r="N547" s="1297" t="str">
        <f>IF(SUMIFS('Level of Efficiency Assumptions'!$J:$J,'Level of Efficiency Assumptions'!$H:$H,$I547,'Level of Efficiency Assumptions'!$I:$I,N$51)=0," ",SUMIFS('Level of Efficiency Assumptions'!$J:$J,'Level of Efficiency Assumptions'!$H:$H,$I547,'Level of Efficiency Assumptions'!$I:$I,N$51))</f>
        <v xml:space="preserve"> </v>
      </c>
      <c r="O547" s="1298" t="str">
        <f>IF(SUMIFS('Level of Efficiency Assumptions'!$J:$J,'Level of Efficiency Assumptions'!$H:$H,$I547,'Level of Efficiency Assumptions'!$I:$I,O$51)=0," ",SUMIFS('Level of Efficiency Assumptions'!$J:$J,'Level of Efficiency Assumptions'!$H:$H,$I547,'Level of Efficiency Assumptions'!$I:$I,O$51))</f>
        <v xml:space="preserve"> </v>
      </c>
      <c r="P547" s="1299" t="str">
        <f>IF(SUMIFS('Level of Efficiency Assumptions'!$J:$J,'Level of Efficiency Assumptions'!$H:$H,$I547,'Level of Efficiency Assumptions'!$I:$I,P$51)=0," ",SUMIFS('Level of Efficiency Assumptions'!$J:$J,'Level of Efficiency Assumptions'!$H:$H,$I547,'Level of Efficiency Assumptions'!$I:$I,P$51))</f>
        <v xml:space="preserve"> </v>
      </c>
      <c r="Q547" s="971" t="e">
        <f>IF(I547=" "," ",(VLOOKUP(I547,list!$B$81:$C$111,2,FALSE)))</f>
        <v>#N/A</v>
      </c>
      <c r="R547" s="243">
        <f t="shared" si="186"/>
        <v>0</v>
      </c>
      <c r="S547" s="64">
        <v>1</v>
      </c>
      <c r="T547" s="68">
        <v>0</v>
      </c>
      <c r="U547" s="244">
        <f t="shared" si="189"/>
        <v>1</v>
      </c>
    </row>
    <row r="548" spans="2:24" ht="15" thickBot="1" x14ac:dyDescent="0.35">
      <c r="C548" s="520"/>
      <c r="D548" s="224" t="str">
        <f t="shared" si="190"/>
        <v xml:space="preserve">  </v>
      </c>
      <c r="E548" s="224"/>
      <c r="F548" s="224" t="str">
        <f t="shared" si="191"/>
        <v xml:space="preserve">  </v>
      </c>
      <c r="G548" s="224"/>
      <c r="H548" s="380"/>
      <c r="I548" s="516" t="e">
        <f>IF(VLOOKUP(C34,list!$AA$5:$AS$14,17,FALSE)=0," ",(VLOOKUP(C34,list!$AA$5:$AS$14,17,FALSE)))</f>
        <v>#N/A</v>
      </c>
      <c r="J548" s="955" t="e">
        <f t="shared" si="187"/>
        <v>#N/A</v>
      </c>
      <c r="K548" s="955" t="e">
        <f t="shared" si="188"/>
        <v>#N/A</v>
      </c>
      <c r="L548" s="969" t="e">
        <f>IF(I548=" "," ",VLOOKUP(J548,list!$J$4:$M$117,4,FALSE))</f>
        <v>#N/A</v>
      </c>
      <c r="M548" s="66"/>
      <c r="N548" s="1297" t="str">
        <f>IF(SUMIFS('Level of Efficiency Assumptions'!$J:$J,'Level of Efficiency Assumptions'!$H:$H,$I548,'Level of Efficiency Assumptions'!$I:$I,N$51)=0," ",SUMIFS('Level of Efficiency Assumptions'!$J:$J,'Level of Efficiency Assumptions'!$H:$H,$I548,'Level of Efficiency Assumptions'!$I:$I,N$51))</f>
        <v xml:space="preserve"> </v>
      </c>
      <c r="O548" s="1298" t="str">
        <f>IF(SUMIFS('Level of Efficiency Assumptions'!$J:$J,'Level of Efficiency Assumptions'!$H:$H,$I548,'Level of Efficiency Assumptions'!$I:$I,O$51)=0," ",SUMIFS('Level of Efficiency Assumptions'!$J:$J,'Level of Efficiency Assumptions'!$H:$H,$I548,'Level of Efficiency Assumptions'!$I:$I,O$51))</f>
        <v xml:space="preserve"> </v>
      </c>
      <c r="P548" s="1299" t="str">
        <f>IF(SUMIFS('Level of Efficiency Assumptions'!$J:$J,'Level of Efficiency Assumptions'!$H:$H,$I548,'Level of Efficiency Assumptions'!$I:$I,P$51)=0," ",SUMIFS('Level of Efficiency Assumptions'!$J:$J,'Level of Efficiency Assumptions'!$H:$H,$I548,'Level of Efficiency Assumptions'!$I:$I,P$51))</f>
        <v xml:space="preserve"> </v>
      </c>
      <c r="Q548" s="971" t="e">
        <f>IF(I548=" "," ",(VLOOKUP(I548,list!$B$81:$C$111,2,FALSE)))</f>
        <v>#N/A</v>
      </c>
      <c r="R548" s="243">
        <f t="shared" si="186"/>
        <v>0</v>
      </c>
      <c r="S548" s="64">
        <v>1</v>
      </c>
      <c r="T548" s="68">
        <v>0</v>
      </c>
      <c r="U548" s="244">
        <f t="shared" si="189"/>
        <v>1</v>
      </c>
    </row>
    <row r="549" spans="2:24" ht="15" thickBot="1" x14ac:dyDescent="0.35">
      <c r="C549" s="520"/>
      <c r="D549" s="224" t="str">
        <f t="shared" si="190"/>
        <v xml:space="preserve">  </v>
      </c>
      <c r="E549" s="224"/>
      <c r="F549" s="224" t="str">
        <f t="shared" si="191"/>
        <v xml:space="preserve">  </v>
      </c>
      <c r="G549" s="224"/>
      <c r="H549" s="380"/>
      <c r="I549" s="516" t="e">
        <f>IF(VLOOKUP(C34,list!$AA$5:$AS$14,18,FALSE)=0," ",(VLOOKUP(C34,list!$AA$5:$AS$14,18,FALSE)))</f>
        <v>#N/A</v>
      </c>
      <c r="J549" s="955" t="e">
        <f t="shared" si="187"/>
        <v>#N/A</v>
      </c>
      <c r="K549" s="955" t="e">
        <f t="shared" si="188"/>
        <v>#N/A</v>
      </c>
      <c r="L549" s="969" t="e">
        <f>IF(I549=" "," ",VLOOKUP(J549,list!$J$4:$M$117,4,FALSE))</f>
        <v>#N/A</v>
      </c>
      <c r="M549" s="66"/>
      <c r="N549" s="1297" t="str">
        <f>IF(SUMIFS('Level of Efficiency Assumptions'!$J:$J,'Level of Efficiency Assumptions'!$H:$H,$I549,'Level of Efficiency Assumptions'!$I:$I,N$51)=0," ",SUMIFS('Level of Efficiency Assumptions'!$J:$J,'Level of Efficiency Assumptions'!$H:$H,$I549,'Level of Efficiency Assumptions'!$I:$I,N$51))</f>
        <v xml:space="preserve"> </v>
      </c>
      <c r="O549" s="1298" t="str">
        <f>IF(SUMIFS('Level of Efficiency Assumptions'!$J:$J,'Level of Efficiency Assumptions'!$H:$H,$I549,'Level of Efficiency Assumptions'!$I:$I,O$51)=0," ",SUMIFS('Level of Efficiency Assumptions'!$J:$J,'Level of Efficiency Assumptions'!$H:$H,$I549,'Level of Efficiency Assumptions'!$I:$I,O$51))</f>
        <v xml:space="preserve"> </v>
      </c>
      <c r="P549" s="1299" t="str">
        <f>IF(SUMIFS('Level of Efficiency Assumptions'!$J:$J,'Level of Efficiency Assumptions'!$H:$H,$I549,'Level of Efficiency Assumptions'!$I:$I,P$51)=0," ",SUMIFS('Level of Efficiency Assumptions'!$J:$J,'Level of Efficiency Assumptions'!$H:$H,$I549,'Level of Efficiency Assumptions'!$I:$I,P$51))</f>
        <v xml:space="preserve"> </v>
      </c>
      <c r="Q549" s="971" t="e">
        <f>IF(I549=" "," ",(VLOOKUP(I549,list!$B$81:$C$111,2,FALSE)))</f>
        <v>#N/A</v>
      </c>
      <c r="R549" s="243">
        <f t="shared" si="186"/>
        <v>0</v>
      </c>
      <c r="S549" s="64">
        <v>1</v>
      </c>
      <c r="T549" s="68">
        <v>0</v>
      </c>
      <c r="U549" s="244">
        <f t="shared" si="189"/>
        <v>1</v>
      </c>
    </row>
    <row r="550" spans="2:24" ht="15" thickBot="1" x14ac:dyDescent="0.35">
      <c r="C550" s="632"/>
      <c r="D550" s="226" t="str">
        <f t="shared" si="190"/>
        <v xml:space="preserve">  </v>
      </c>
      <c r="E550" s="226"/>
      <c r="F550" s="226" t="str">
        <f t="shared" si="191"/>
        <v xml:space="preserve">  </v>
      </c>
      <c r="G550" s="226"/>
      <c r="H550" s="976"/>
      <c r="I550" s="516" t="e">
        <f>IF(VLOOKUP(C34,list!$AA$5:$AS$14,19,FALSE)=0," ",(VLOOKUP(C34,list!$AA$5:$AS$14,19,FALSE)))</f>
        <v>#N/A</v>
      </c>
      <c r="J550" s="955" t="e">
        <f>IF(I550=" "," ",(D550&amp;"-"&amp;I550))</f>
        <v>#N/A</v>
      </c>
      <c r="K550" s="955" t="e">
        <f t="shared" si="188"/>
        <v>#N/A</v>
      </c>
      <c r="L550" s="969" t="e">
        <f>IF(I550=" "," ",VLOOKUP(J550,list!$J$4:$M$117,4,FALSE))</f>
        <v>#N/A</v>
      </c>
      <c r="M550" s="67"/>
      <c r="N550" s="1303" t="str">
        <f>IF(SUMIFS('Level of Efficiency Assumptions'!$J:$J,'Level of Efficiency Assumptions'!$H:$H,$I550,'Level of Efficiency Assumptions'!$I:$I,N$51)=0," ",SUMIFS('Level of Efficiency Assumptions'!$J:$J,'Level of Efficiency Assumptions'!$H:$H,$I550,'Level of Efficiency Assumptions'!$I:$I,N$51))</f>
        <v xml:space="preserve"> </v>
      </c>
      <c r="O550" s="1304" t="str">
        <f>IF(SUMIFS('Level of Efficiency Assumptions'!$J:$J,'Level of Efficiency Assumptions'!$H:$H,$I550,'Level of Efficiency Assumptions'!$I:$I,O$51)=0," ",SUMIFS('Level of Efficiency Assumptions'!$J:$J,'Level of Efficiency Assumptions'!$H:$H,$I550,'Level of Efficiency Assumptions'!$I:$I,O$51))</f>
        <v xml:space="preserve"> </v>
      </c>
      <c r="P550" s="1305" t="str">
        <f>IF(SUMIFS('Level of Efficiency Assumptions'!$J:$J,'Level of Efficiency Assumptions'!$H:$H,$I550,'Level of Efficiency Assumptions'!$I:$I,P$51)=0," ",SUMIFS('Level of Efficiency Assumptions'!$J:$J,'Level of Efficiency Assumptions'!$H:$H,$I550,'Level of Efficiency Assumptions'!$I:$I,P$51))</f>
        <v xml:space="preserve"> </v>
      </c>
      <c r="Q550" s="977" t="e">
        <f>IF(I550=" "," ",(VLOOKUP(I550,list!$B$81:$C$111,2,FALSE)))</f>
        <v>#N/A</v>
      </c>
      <c r="R550" s="245">
        <f t="shared" si="186"/>
        <v>0</v>
      </c>
      <c r="S550" s="65">
        <v>1</v>
      </c>
      <c r="T550" s="69">
        <v>0</v>
      </c>
      <c r="U550" s="246">
        <f t="shared" si="189"/>
        <v>1</v>
      </c>
    </row>
    <row r="551" spans="2:24" x14ac:dyDescent="0.3">
      <c r="D551" s="846"/>
      <c r="F551" s="82"/>
      <c r="J551" s="846"/>
      <c r="K551" s="846"/>
      <c r="N551" s="1179"/>
      <c r="O551" s="1179"/>
      <c r="P551" s="1179"/>
      <c r="R551" s="176" t="s">
        <v>295</v>
      </c>
      <c r="S551" s="176"/>
      <c r="T551" s="176"/>
      <c r="U551" s="176"/>
    </row>
    <row r="552" spans="2:24" ht="15" thickBot="1" x14ac:dyDescent="0.35">
      <c r="D552" s="846"/>
      <c r="F552" s="82"/>
      <c r="J552" s="846"/>
      <c r="K552" s="846"/>
      <c r="N552" s="1179"/>
      <c r="O552" s="1179"/>
      <c r="P552" s="1179"/>
    </row>
    <row r="553" spans="2:24" ht="15" thickBot="1" x14ac:dyDescent="0.35">
      <c r="B553" s="814">
        <v>26</v>
      </c>
      <c r="C553" s="967" t="str">
        <f t="shared" ref="C553:H553" si="192">C35</f>
        <v xml:space="preserve">  </v>
      </c>
      <c r="D553" s="967" t="str">
        <f t="shared" si="192"/>
        <v xml:space="preserve">  </v>
      </c>
      <c r="E553" s="967" t="str">
        <f t="shared" si="192"/>
        <v xml:space="preserve">  </v>
      </c>
      <c r="F553" s="967" t="str">
        <f t="shared" si="192"/>
        <v xml:space="preserve">  </v>
      </c>
      <c r="G553" s="967">
        <f t="shared" si="192"/>
        <v>0</v>
      </c>
      <c r="H553" s="968">
        <f t="shared" si="192"/>
        <v>0</v>
      </c>
      <c r="I553" s="516" t="e">
        <f>IF(VLOOKUP(C35,list!$AA$5:$AS$14,2,FALSE)=0," ",(VLOOKUP(C35,list!$AA$5:$AS$14,2,FALSE)))</f>
        <v>#N/A</v>
      </c>
      <c r="J553" s="955" t="e">
        <f>IF(I553=" "," ",(D35&amp;"-"&amp;I553))</f>
        <v>#N/A</v>
      </c>
      <c r="K553" s="955" t="e">
        <f>IF(I553=" "," ",(F35&amp;"-"&amp;I553))</f>
        <v>#N/A</v>
      </c>
      <c r="L553" s="969" t="e">
        <f>IF(I553=" "," ",VLOOKUP(J553,list!$J$4:$M$117,4,FALSE))</f>
        <v>#N/A</v>
      </c>
      <c r="M553" s="70"/>
      <c r="N553" s="1300" t="str">
        <f>IF(SUMIFS('Level of Efficiency Assumptions'!$J:$J,'Level of Efficiency Assumptions'!$H:$H,$I553,'Level of Efficiency Assumptions'!$I:$I,N$51)=0," ",SUMIFS('Level of Efficiency Assumptions'!$J:$J,'Level of Efficiency Assumptions'!$H:$H,$I553,'Level of Efficiency Assumptions'!$I:$I,N$51))</f>
        <v xml:space="preserve"> </v>
      </c>
      <c r="O553" s="1301" t="str">
        <f>IF(SUMIFS('Level of Efficiency Assumptions'!$J:$J,'Level of Efficiency Assumptions'!$H:$H,$I553,'Level of Efficiency Assumptions'!$I:$I,O$51)=0," ",SUMIFS('Level of Efficiency Assumptions'!$J:$J,'Level of Efficiency Assumptions'!$H:$H,$I553,'Level of Efficiency Assumptions'!$I:$I,O$51))</f>
        <v xml:space="preserve"> </v>
      </c>
      <c r="P553" s="1302" t="str">
        <f>IF(SUMIFS('Level of Efficiency Assumptions'!$J:$J,'Level of Efficiency Assumptions'!$H:$H,$I553,'Level of Efficiency Assumptions'!$I:$I,P$51)=0," ",SUMIFS('Level of Efficiency Assumptions'!$J:$J,'Level of Efficiency Assumptions'!$H:$H,$I553,'Level of Efficiency Assumptions'!$I:$I,P$51))</f>
        <v xml:space="preserve"> </v>
      </c>
      <c r="Q553" s="970" t="e">
        <f>IF(I553=" "," ",(VLOOKUP(I553,list!$B$81:$C$111,2,FALSE)))</f>
        <v>#N/A</v>
      </c>
      <c r="R553" s="241">
        <f t="shared" ref="R553:R570" si="193">1-S553-T553</f>
        <v>0</v>
      </c>
      <c r="S553" s="83">
        <v>1</v>
      </c>
      <c r="T553" s="84">
        <v>0</v>
      </c>
      <c r="U553" s="242">
        <f>SUM(R553:T553)</f>
        <v>1</v>
      </c>
      <c r="W553" s="250" t="s">
        <v>367</v>
      </c>
      <c r="X553" s="251" t="s">
        <v>366</v>
      </c>
    </row>
    <row r="554" spans="2:24" ht="15" thickBot="1" x14ac:dyDescent="0.35">
      <c r="C554" s="520"/>
      <c r="D554" s="224" t="str">
        <f>D35</f>
        <v xml:space="preserve">  </v>
      </c>
      <c r="E554" s="224"/>
      <c r="F554" s="224" t="str">
        <f>F35</f>
        <v xml:space="preserve">  </v>
      </c>
      <c r="G554" s="224"/>
      <c r="H554" s="380"/>
      <c r="I554" s="516" t="e">
        <f>IF(VLOOKUP(C35,list!$AA$5:$AS$14,3,FALSE)=0," ",(VLOOKUP(C35,list!$AA$5:$AS$14,3,FALSE)))</f>
        <v>#N/A</v>
      </c>
      <c r="J554" s="955" t="e">
        <f t="shared" ref="J554:J569" si="194">IF(I554=" "," ",(D554&amp;"-"&amp;I554))</f>
        <v>#N/A</v>
      </c>
      <c r="K554" s="955" t="e">
        <f t="shared" ref="K554:K570" si="195">IF(I554=" "," ",(F554&amp;"-"&amp;I554))</f>
        <v>#N/A</v>
      </c>
      <c r="L554" s="969" t="e">
        <f>IF(I554=" "," ",VLOOKUP(J554,list!$J$4:$M$117,4,FALSE))</f>
        <v>#N/A</v>
      </c>
      <c r="M554" s="66"/>
      <c r="N554" s="1297" t="str">
        <f>IF(SUMIFS('Level of Efficiency Assumptions'!$J:$J,'Level of Efficiency Assumptions'!$H:$H,$I554,'Level of Efficiency Assumptions'!$I:$I,N$51)=0," ",SUMIFS('Level of Efficiency Assumptions'!$J:$J,'Level of Efficiency Assumptions'!$H:$H,$I554,'Level of Efficiency Assumptions'!$I:$I,N$51))</f>
        <v xml:space="preserve"> </v>
      </c>
      <c r="O554" s="1298" t="str">
        <f>IF(SUMIFS('Level of Efficiency Assumptions'!$J:$J,'Level of Efficiency Assumptions'!$H:$H,$I554,'Level of Efficiency Assumptions'!$I:$I,O$51)=0," ",SUMIFS('Level of Efficiency Assumptions'!$J:$J,'Level of Efficiency Assumptions'!$H:$H,$I554,'Level of Efficiency Assumptions'!$I:$I,O$51))</f>
        <v xml:space="preserve"> </v>
      </c>
      <c r="P554" s="1299" t="str">
        <f>IF(SUMIFS('Level of Efficiency Assumptions'!$J:$J,'Level of Efficiency Assumptions'!$H:$H,$I554,'Level of Efficiency Assumptions'!$I:$I,P$51)=0," ",SUMIFS('Level of Efficiency Assumptions'!$J:$J,'Level of Efficiency Assumptions'!$H:$H,$I554,'Level of Efficiency Assumptions'!$I:$I,P$51))</f>
        <v xml:space="preserve"> </v>
      </c>
      <c r="Q554" s="971" t="e">
        <f>IF(I554=" "," ",(VLOOKUP(I554,list!$B$81:$C$111,2,FALSE)))</f>
        <v>#N/A</v>
      </c>
      <c r="R554" s="243">
        <f t="shared" si="193"/>
        <v>0</v>
      </c>
      <c r="S554" s="64">
        <v>1</v>
      </c>
      <c r="T554" s="68">
        <v>0</v>
      </c>
      <c r="U554" s="244">
        <f t="shared" ref="U554:U570" si="196">SUM(R554:T554)</f>
        <v>1</v>
      </c>
      <c r="V554" s="82" t="e">
        <f>F554&amp;"-"&amp;W554</f>
        <v>#N/A</v>
      </c>
      <c r="W554" s="247" t="e">
        <f>HLOOKUP(D554,list!$O$34:$X$38,2,FALSE)</f>
        <v>#N/A</v>
      </c>
      <c r="X554" s="972">
        <v>1</v>
      </c>
    </row>
    <row r="555" spans="2:24" ht="15" thickBot="1" x14ac:dyDescent="0.35">
      <c r="C555" s="520"/>
      <c r="D555" s="224" t="str">
        <f>D554</f>
        <v xml:space="preserve">  </v>
      </c>
      <c r="E555" s="224"/>
      <c r="F555" s="224" t="str">
        <f>F554</f>
        <v xml:space="preserve">  </v>
      </c>
      <c r="G555" s="224"/>
      <c r="H555" s="380"/>
      <c r="I555" s="516" t="e">
        <f>IF(VLOOKUP(C35,list!$AA$5:$AS$14,4,FALSE)=0," ",(VLOOKUP(C35,list!$AA$5:$AS$14,4,FALSE)))</f>
        <v>#N/A</v>
      </c>
      <c r="J555" s="955" t="e">
        <f t="shared" si="194"/>
        <v>#N/A</v>
      </c>
      <c r="K555" s="955" t="e">
        <f t="shared" si="195"/>
        <v>#N/A</v>
      </c>
      <c r="L555" s="969" t="e">
        <f>IF(I555=" "," ",VLOOKUP(J555,list!$J$4:$M$117,4,FALSE))</f>
        <v>#N/A</v>
      </c>
      <c r="M555" s="66"/>
      <c r="N555" s="1297" t="str">
        <f>IF(SUMIFS('Level of Efficiency Assumptions'!$J:$J,'Level of Efficiency Assumptions'!$H:$H,$I555,'Level of Efficiency Assumptions'!$I:$I,N$51)=0," ",SUMIFS('Level of Efficiency Assumptions'!$J:$J,'Level of Efficiency Assumptions'!$H:$H,$I555,'Level of Efficiency Assumptions'!$I:$I,N$51))</f>
        <v xml:space="preserve"> </v>
      </c>
      <c r="O555" s="1298" t="str">
        <f>IF(SUMIFS('Level of Efficiency Assumptions'!$J:$J,'Level of Efficiency Assumptions'!$H:$H,$I555,'Level of Efficiency Assumptions'!$I:$I,O$51)=0," ",SUMIFS('Level of Efficiency Assumptions'!$J:$J,'Level of Efficiency Assumptions'!$H:$H,$I555,'Level of Efficiency Assumptions'!$I:$I,O$51))</f>
        <v xml:space="preserve"> </v>
      </c>
      <c r="P555" s="1299" t="str">
        <f>IF(SUMIFS('Level of Efficiency Assumptions'!$J:$J,'Level of Efficiency Assumptions'!$H:$H,$I555,'Level of Efficiency Assumptions'!$I:$I,P$51)=0," ",SUMIFS('Level of Efficiency Assumptions'!$J:$J,'Level of Efficiency Assumptions'!$H:$H,$I555,'Level of Efficiency Assumptions'!$I:$I,P$51))</f>
        <v xml:space="preserve"> </v>
      </c>
      <c r="Q555" s="971" t="e">
        <f>IF(I555=" "," ",(VLOOKUP(I555,list!$B$81:$C$111,2,FALSE)))</f>
        <v>#N/A</v>
      </c>
      <c r="R555" s="243">
        <f t="shared" si="193"/>
        <v>0</v>
      </c>
      <c r="S555" s="64">
        <v>1</v>
      </c>
      <c r="T555" s="68">
        <v>0</v>
      </c>
      <c r="U555" s="244">
        <f t="shared" si="196"/>
        <v>1</v>
      </c>
      <c r="V555" s="82" t="e">
        <f>F555&amp;"-"&amp;W555</f>
        <v>#N/A</v>
      </c>
      <c r="W555" s="248" t="e">
        <f>HLOOKUP(D555,list!$O$34:$X$38,3,FALSE)</f>
        <v>#N/A</v>
      </c>
      <c r="X555" s="973">
        <v>0.5</v>
      </c>
    </row>
    <row r="556" spans="2:24" ht="15" thickBot="1" x14ac:dyDescent="0.35">
      <c r="C556" s="520"/>
      <c r="D556" s="224" t="str">
        <f t="shared" ref="D556:D570" si="197">D555</f>
        <v xml:space="preserve">  </v>
      </c>
      <c r="E556" s="224"/>
      <c r="F556" s="224" t="str">
        <f t="shared" ref="F556:F570" si="198">F555</f>
        <v xml:space="preserve">  </v>
      </c>
      <c r="G556" s="224"/>
      <c r="H556" s="380"/>
      <c r="I556" s="516" t="e">
        <f>IF(VLOOKUP(C35,list!$AA$5:$AS$14,5,FALSE)=0," ",(VLOOKUP(C35,list!$AA$5:$AS$14,5,FALSE)))</f>
        <v>#N/A</v>
      </c>
      <c r="J556" s="955" t="e">
        <f t="shared" si="194"/>
        <v>#N/A</v>
      </c>
      <c r="K556" s="955" t="e">
        <f t="shared" si="195"/>
        <v>#N/A</v>
      </c>
      <c r="L556" s="969" t="e">
        <f>IF(I556=" "," ",VLOOKUP(J556,list!$J$4:$M$117,4,FALSE))</f>
        <v>#N/A</v>
      </c>
      <c r="M556" s="66"/>
      <c r="N556" s="1297" t="str">
        <f>IF(SUMIFS('Level of Efficiency Assumptions'!$J:$J,'Level of Efficiency Assumptions'!$H:$H,$I556,'Level of Efficiency Assumptions'!$I:$I,N$51)=0," ",SUMIFS('Level of Efficiency Assumptions'!$J:$J,'Level of Efficiency Assumptions'!$H:$H,$I556,'Level of Efficiency Assumptions'!$I:$I,N$51))</f>
        <v xml:space="preserve"> </v>
      </c>
      <c r="O556" s="1298" t="str">
        <f>IF(SUMIFS('Level of Efficiency Assumptions'!$J:$J,'Level of Efficiency Assumptions'!$H:$H,$I556,'Level of Efficiency Assumptions'!$I:$I,O$51)=0," ",SUMIFS('Level of Efficiency Assumptions'!$J:$J,'Level of Efficiency Assumptions'!$H:$H,$I556,'Level of Efficiency Assumptions'!$I:$I,O$51))</f>
        <v xml:space="preserve"> </v>
      </c>
      <c r="P556" s="1299" t="str">
        <f>IF(SUMIFS('Level of Efficiency Assumptions'!$J:$J,'Level of Efficiency Assumptions'!$H:$H,$I556,'Level of Efficiency Assumptions'!$I:$I,P$51)=0," ",SUMIFS('Level of Efficiency Assumptions'!$J:$J,'Level of Efficiency Assumptions'!$H:$H,$I556,'Level of Efficiency Assumptions'!$I:$I,P$51))</f>
        <v xml:space="preserve"> </v>
      </c>
      <c r="Q556" s="971" t="e">
        <f>IF(I556=" "," ",(VLOOKUP(I556,list!$B$81:$C$111,2,FALSE)))</f>
        <v>#N/A</v>
      </c>
      <c r="R556" s="243">
        <f t="shared" si="193"/>
        <v>0</v>
      </c>
      <c r="S556" s="64">
        <v>1</v>
      </c>
      <c r="T556" s="68">
        <v>0</v>
      </c>
      <c r="U556" s="244">
        <f t="shared" si="196"/>
        <v>1</v>
      </c>
      <c r="V556" s="82" t="e">
        <f>F556&amp;"-"&amp;W556</f>
        <v>#N/A</v>
      </c>
      <c r="W556" s="248" t="e">
        <f>HLOOKUP(D556,list!$O$34:$X$38,4,FALSE)</f>
        <v>#N/A</v>
      </c>
      <c r="X556" s="973">
        <v>0.5</v>
      </c>
    </row>
    <row r="557" spans="2:24" ht="15" thickBot="1" x14ac:dyDescent="0.35">
      <c r="C557" s="520"/>
      <c r="D557" s="224" t="str">
        <f t="shared" si="197"/>
        <v xml:space="preserve">  </v>
      </c>
      <c r="E557" s="224"/>
      <c r="F557" s="224" t="str">
        <f t="shared" si="198"/>
        <v xml:space="preserve">  </v>
      </c>
      <c r="G557" s="224"/>
      <c r="H557" s="380"/>
      <c r="I557" s="516" t="e">
        <f>IF(VLOOKUP(C35,list!$AA$5:$AS$14,6,FALSE)=0," ",(VLOOKUP(C35,list!$AA$5:$AS$14,6,FALSE)))</f>
        <v>#N/A</v>
      </c>
      <c r="J557" s="955" t="e">
        <f t="shared" si="194"/>
        <v>#N/A</v>
      </c>
      <c r="K557" s="955" t="e">
        <f t="shared" si="195"/>
        <v>#N/A</v>
      </c>
      <c r="L557" s="969" t="e">
        <f>IF(I557=" "," ",VLOOKUP(J557,list!$J$4:$M$117,4,FALSE))</f>
        <v>#N/A</v>
      </c>
      <c r="M557" s="66"/>
      <c r="N557" s="1297" t="str">
        <f>IF(SUMIFS('Level of Efficiency Assumptions'!$J:$J,'Level of Efficiency Assumptions'!$H:$H,$I557,'Level of Efficiency Assumptions'!$I:$I,N$51)=0," ",SUMIFS('Level of Efficiency Assumptions'!$J:$J,'Level of Efficiency Assumptions'!$H:$H,$I557,'Level of Efficiency Assumptions'!$I:$I,N$51))</f>
        <v xml:space="preserve"> </v>
      </c>
      <c r="O557" s="1298" t="str">
        <f>IF(SUMIFS('Level of Efficiency Assumptions'!$J:$J,'Level of Efficiency Assumptions'!$H:$H,$I557,'Level of Efficiency Assumptions'!$I:$I,O$51)=0," ",SUMIFS('Level of Efficiency Assumptions'!$J:$J,'Level of Efficiency Assumptions'!$H:$H,$I557,'Level of Efficiency Assumptions'!$I:$I,O$51))</f>
        <v xml:space="preserve"> </v>
      </c>
      <c r="P557" s="1299" t="str">
        <f>IF(SUMIFS('Level of Efficiency Assumptions'!$J:$J,'Level of Efficiency Assumptions'!$H:$H,$I557,'Level of Efficiency Assumptions'!$I:$I,P$51)=0," ",SUMIFS('Level of Efficiency Assumptions'!$J:$J,'Level of Efficiency Assumptions'!$H:$H,$I557,'Level of Efficiency Assumptions'!$I:$I,P$51))</f>
        <v xml:space="preserve"> </v>
      </c>
      <c r="Q557" s="971" t="e">
        <f>IF(I557=" "," ",(VLOOKUP(I557,list!$B$81:$C$111,2,FALSE)))</f>
        <v>#N/A</v>
      </c>
      <c r="R557" s="243">
        <f t="shared" si="193"/>
        <v>0</v>
      </c>
      <c r="S557" s="64">
        <v>1</v>
      </c>
      <c r="T557" s="68">
        <v>0</v>
      </c>
      <c r="U557" s="244">
        <f t="shared" si="196"/>
        <v>1</v>
      </c>
      <c r="V557" s="82" t="e">
        <f>F557&amp;"-"&amp;W557</f>
        <v>#N/A</v>
      </c>
      <c r="W557" s="249" t="e">
        <f>HLOOKUP(D557,list!$O$34:$X$38,5,FALSE)</f>
        <v>#N/A</v>
      </c>
      <c r="X557" s="974">
        <v>0.5</v>
      </c>
    </row>
    <row r="558" spans="2:24" ht="15" thickBot="1" x14ac:dyDescent="0.35">
      <c r="C558" s="520"/>
      <c r="D558" s="224" t="str">
        <f t="shared" si="197"/>
        <v xml:space="preserve">  </v>
      </c>
      <c r="E558" s="224"/>
      <c r="F558" s="224" t="str">
        <f t="shared" si="198"/>
        <v xml:space="preserve">  </v>
      </c>
      <c r="G558" s="224"/>
      <c r="H558" s="380"/>
      <c r="I558" s="516" t="e">
        <f>IF(VLOOKUP(C35,list!$AA$5:$AS$14,7,FALSE)=0," ",(VLOOKUP(C35,list!$AA$5:$AS$14,7,FALSE)))</f>
        <v>#N/A</v>
      </c>
      <c r="J558" s="955" t="e">
        <f t="shared" si="194"/>
        <v>#N/A</v>
      </c>
      <c r="K558" s="955" t="e">
        <f t="shared" si="195"/>
        <v>#N/A</v>
      </c>
      <c r="L558" s="969" t="e">
        <f>IF(I558=" "," ",VLOOKUP(J558,list!$J$4:$M$117,4,FALSE))</f>
        <v>#N/A</v>
      </c>
      <c r="M558" s="66"/>
      <c r="N558" s="1297" t="str">
        <f>IF(SUMIFS('Level of Efficiency Assumptions'!$J:$J,'Level of Efficiency Assumptions'!$H:$H,$I558,'Level of Efficiency Assumptions'!$I:$I,N$51)=0," ",SUMIFS('Level of Efficiency Assumptions'!$J:$J,'Level of Efficiency Assumptions'!$H:$H,$I558,'Level of Efficiency Assumptions'!$I:$I,N$51))</f>
        <v xml:space="preserve"> </v>
      </c>
      <c r="O558" s="1298" t="str">
        <f>IF(SUMIFS('Level of Efficiency Assumptions'!$J:$J,'Level of Efficiency Assumptions'!$H:$H,$I558,'Level of Efficiency Assumptions'!$I:$I,O$51)=0," ",SUMIFS('Level of Efficiency Assumptions'!$J:$J,'Level of Efficiency Assumptions'!$H:$H,$I558,'Level of Efficiency Assumptions'!$I:$I,O$51))</f>
        <v xml:space="preserve"> </v>
      </c>
      <c r="P558" s="1299" t="str">
        <f>IF(SUMIFS('Level of Efficiency Assumptions'!$J:$J,'Level of Efficiency Assumptions'!$H:$H,$I558,'Level of Efficiency Assumptions'!$I:$I,P$51)=0," ",SUMIFS('Level of Efficiency Assumptions'!$J:$J,'Level of Efficiency Assumptions'!$H:$H,$I558,'Level of Efficiency Assumptions'!$I:$I,P$51))</f>
        <v xml:space="preserve"> </v>
      </c>
      <c r="Q558" s="971" t="e">
        <f>IF(I558=" "," ",(VLOOKUP(I558,list!$B$81:$C$111,2,FALSE)))</f>
        <v>#N/A</v>
      </c>
      <c r="R558" s="243">
        <f t="shared" si="193"/>
        <v>0</v>
      </c>
      <c r="S558" s="64">
        <v>1</v>
      </c>
      <c r="T558" s="68">
        <v>0</v>
      </c>
      <c r="U558" s="244">
        <f t="shared" si="196"/>
        <v>1</v>
      </c>
      <c r="W558" s="182"/>
      <c r="X558" s="975"/>
    </row>
    <row r="559" spans="2:24" ht="15" thickBot="1" x14ac:dyDescent="0.35">
      <c r="C559" s="520"/>
      <c r="D559" s="224" t="str">
        <f t="shared" si="197"/>
        <v xml:space="preserve">  </v>
      </c>
      <c r="E559" s="224"/>
      <c r="F559" s="224" t="str">
        <f t="shared" si="198"/>
        <v xml:space="preserve">  </v>
      </c>
      <c r="G559" s="224"/>
      <c r="H559" s="380"/>
      <c r="I559" s="516" t="e">
        <f>IF(VLOOKUP(C35,list!$AA$5:$AS$14,8,FALSE)=0," ",(VLOOKUP(C35,list!$AA$5:$AS$14,8,FALSE)))</f>
        <v>#N/A</v>
      </c>
      <c r="J559" s="955" t="e">
        <f t="shared" si="194"/>
        <v>#N/A</v>
      </c>
      <c r="K559" s="955" t="e">
        <f t="shared" si="195"/>
        <v>#N/A</v>
      </c>
      <c r="L559" s="969" t="e">
        <f>IF(I559=" "," ",VLOOKUP(J559,list!$J$4:$M$117,4,FALSE))</f>
        <v>#N/A</v>
      </c>
      <c r="M559" s="66"/>
      <c r="N559" s="1297" t="str">
        <f>IF(SUMIFS('Level of Efficiency Assumptions'!$J:$J,'Level of Efficiency Assumptions'!$H:$H,$I559,'Level of Efficiency Assumptions'!$I:$I,N$51)=0," ",SUMIFS('Level of Efficiency Assumptions'!$J:$J,'Level of Efficiency Assumptions'!$H:$H,$I559,'Level of Efficiency Assumptions'!$I:$I,N$51))</f>
        <v xml:space="preserve"> </v>
      </c>
      <c r="O559" s="1298" t="str">
        <f>IF(SUMIFS('Level of Efficiency Assumptions'!$J:$J,'Level of Efficiency Assumptions'!$H:$H,$I559,'Level of Efficiency Assumptions'!$I:$I,O$51)=0," ",SUMIFS('Level of Efficiency Assumptions'!$J:$J,'Level of Efficiency Assumptions'!$H:$H,$I559,'Level of Efficiency Assumptions'!$I:$I,O$51))</f>
        <v xml:space="preserve"> </v>
      </c>
      <c r="P559" s="1299" t="str">
        <f>IF(SUMIFS('Level of Efficiency Assumptions'!$J:$J,'Level of Efficiency Assumptions'!$H:$H,$I559,'Level of Efficiency Assumptions'!$I:$I,P$51)=0," ",SUMIFS('Level of Efficiency Assumptions'!$J:$J,'Level of Efficiency Assumptions'!$H:$H,$I559,'Level of Efficiency Assumptions'!$I:$I,P$51))</f>
        <v xml:space="preserve"> </v>
      </c>
      <c r="Q559" s="971" t="e">
        <f>IF(I559=" "," ",(VLOOKUP(I559,list!$B$81:$C$111,2,FALSE)))</f>
        <v>#N/A</v>
      </c>
      <c r="R559" s="243">
        <f t="shared" si="193"/>
        <v>0</v>
      </c>
      <c r="S559" s="64">
        <v>1</v>
      </c>
      <c r="T559" s="68">
        <v>0</v>
      </c>
      <c r="U559" s="244">
        <f t="shared" si="196"/>
        <v>1</v>
      </c>
      <c r="W559" s="182"/>
      <c r="X559" s="975"/>
    </row>
    <row r="560" spans="2:24" ht="15" thickBot="1" x14ac:dyDescent="0.35">
      <c r="C560" s="520"/>
      <c r="D560" s="224" t="str">
        <f t="shared" si="197"/>
        <v xml:space="preserve">  </v>
      </c>
      <c r="E560" s="224"/>
      <c r="F560" s="224" t="str">
        <f t="shared" si="198"/>
        <v xml:space="preserve">  </v>
      </c>
      <c r="G560" s="224"/>
      <c r="H560" s="380"/>
      <c r="I560" s="516" t="e">
        <f>IF(VLOOKUP(C35,list!$AA$5:$AS$14,9,FALSE)=0," ",(VLOOKUP(C35,list!$AA$5:$AS$14,9,FALSE)))</f>
        <v>#N/A</v>
      </c>
      <c r="J560" s="955" t="e">
        <f t="shared" si="194"/>
        <v>#N/A</v>
      </c>
      <c r="K560" s="955" t="e">
        <f t="shared" si="195"/>
        <v>#N/A</v>
      </c>
      <c r="L560" s="969" t="e">
        <f>IF(I560=" "," ",VLOOKUP(J560,list!$J$4:$M$117,4,FALSE))</f>
        <v>#N/A</v>
      </c>
      <c r="M560" s="66"/>
      <c r="N560" s="1297" t="str">
        <f>IF(SUMIFS('Level of Efficiency Assumptions'!$J:$J,'Level of Efficiency Assumptions'!$H:$H,$I560,'Level of Efficiency Assumptions'!$I:$I,N$51)=0," ",SUMIFS('Level of Efficiency Assumptions'!$J:$J,'Level of Efficiency Assumptions'!$H:$H,$I560,'Level of Efficiency Assumptions'!$I:$I,N$51))</f>
        <v xml:space="preserve"> </v>
      </c>
      <c r="O560" s="1298" t="str">
        <f>IF(SUMIFS('Level of Efficiency Assumptions'!$J:$J,'Level of Efficiency Assumptions'!$H:$H,$I560,'Level of Efficiency Assumptions'!$I:$I,O$51)=0," ",SUMIFS('Level of Efficiency Assumptions'!$J:$J,'Level of Efficiency Assumptions'!$H:$H,$I560,'Level of Efficiency Assumptions'!$I:$I,O$51))</f>
        <v xml:space="preserve"> </v>
      </c>
      <c r="P560" s="1299" t="str">
        <f>IF(SUMIFS('Level of Efficiency Assumptions'!$J:$J,'Level of Efficiency Assumptions'!$H:$H,$I560,'Level of Efficiency Assumptions'!$I:$I,P$51)=0," ",SUMIFS('Level of Efficiency Assumptions'!$J:$J,'Level of Efficiency Assumptions'!$H:$H,$I560,'Level of Efficiency Assumptions'!$I:$I,P$51))</f>
        <v xml:space="preserve"> </v>
      </c>
      <c r="Q560" s="971" t="e">
        <f>IF(I560=" "," ",(VLOOKUP(I560,list!$B$81:$C$111,2,FALSE)))</f>
        <v>#N/A</v>
      </c>
      <c r="R560" s="243">
        <f t="shared" si="193"/>
        <v>0</v>
      </c>
      <c r="S560" s="64">
        <v>1</v>
      </c>
      <c r="T560" s="68">
        <v>0</v>
      </c>
      <c r="U560" s="244">
        <f t="shared" si="196"/>
        <v>1</v>
      </c>
    </row>
    <row r="561" spans="2:24" ht="15" thickBot="1" x14ac:dyDescent="0.35">
      <c r="C561" s="520"/>
      <c r="D561" s="224" t="str">
        <f t="shared" si="197"/>
        <v xml:space="preserve">  </v>
      </c>
      <c r="E561" s="224"/>
      <c r="F561" s="224" t="str">
        <f t="shared" si="198"/>
        <v xml:space="preserve">  </v>
      </c>
      <c r="G561" s="224"/>
      <c r="H561" s="380"/>
      <c r="I561" s="516" t="e">
        <f>IF(VLOOKUP(C35,list!$AA$5:$AS$14,10,FALSE)=0," ",(VLOOKUP(C35,list!$AA$5:$AS$14,10,FALSE)))</f>
        <v>#N/A</v>
      </c>
      <c r="J561" s="955" t="e">
        <f t="shared" si="194"/>
        <v>#N/A</v>
      </c>
      <c r="K561" s="955" t="e">
        <f t="shared" si="195"/>
        <v>#N/A</v>
      </c>
      <c r="L561" s="969" t="e">
        <f>IF(I561=" "," ",VLOOKUP(J561,list!$J$4:$M$117,4,FALSE))</f>
        <v>#N/A</v>
      </c>
      <c r="M561" s="66"/>
      <c r="N561" s="1297" t="str">
        <f>IF(SUMIFS('Level of Efficiency Assumptions'!$J:$J,'Level of Efficiency Assumptions'!$H:$H,$I561,'Level of Efficiency Assumptions'!$I:$I,N$51)=0," ",SUMIFS('Level of Efficiency Assumptions'!$J:$J,'Level of Efficiency Assumptions'!$H:$H,$I561,'Level of Efficiency Assumptions'!$I:$I,N$51))</f>
        <v xml:space="preserve"> </v>
      </c>
      <c r="O561" s="1298" t="str">
        <f>IF(SUMIFS('Level of Efficiency Assumptions'!$J:$J,'Level of Efficiency Assumptions'!$H:$H,$I561,'Level of Efficiency Assumptions'!$I:$I,O$51)=0," ",SUMIFS('Level of Efficiency Assumptions'!$J:$J,'Level of Efficiency Assumptions'!$H:$H,$I561,'Level of Efficiency Assumptions'!$I:$I,O$51))</f>
        <v xml:space="preserve"> </v>
      </c>
      <c r="P561" s="1299" t="str">
        <f>IF(SUMIFS('Level of Efficiency Assumptions'!$J:$J,'Level of Efficiency Assumptions'!$H:$H,$I561,'Level of Efficiency Assumptions'!$I:$I,P$51)=0," ",SUMIFS('Level of Efficiency Assumptions'!$J:$J,'Level of Efficiency Assumptions'!$H:$H,$I561,'Level of Efficiency Assumptions'!$I:$I,P$51))</f>
        <v xml:space="preserve"> </v>
      </c>
      <c r="Q561" s="971" t="e">
        <f>IF(I561=" "," ",(VLOOKUP(I561,list!$B$81:$C$111,2,FALSE)))</f>
        <v>#N/A</v>
      </c>
      <c r="R561" s="243">
        <f t="shared" si="193"/>
        <v>0</v>
      </c>
      <c r="S561" s="64">
        <v>1</v>
      </c>
      <c r="T561" s="68">
        <v>0</v>
      </c>
      <c r="U561" s="244">
        <f t="shared" si="196"/>
        <v>1</v>
      </c>
    </row>
    <row r="562" spans="2:24" ht="15" thickBot="1" x14ac:dyDescent="0.35">
      <c r="C562" s="520"/>
      <c r="D562" s="224" t="str">
        <f t="shared" si="197"/>
        <v xml:space="preserve">  </v>
      </c>
      <c r="E562" s="224"/>
      <c r="F562" s="224" t="str">
        <f t="shared" si="198"/>
        <v xml:space="preserve">  </v>
      </c>
      <c r="G562" s="224"/>
      <c r="H562" s="380"/>
      <c r="I562" s="516" t="e">
        <f>IF(VLOOKUP(C35,list!$AA$5:$AS$14,11,FALSE)=0," ",(VLOOKUP(C35,list!$AA$5:$AS$14,11,FALSE)))</f>
        <v>#N/A</v>
      </c>
      <c r="J562" s="955" t="e">
        <f t="shared" si="194"/>
        <v>#N/A</v>
      </c>
      <c r="K562" s="955" t="e">
        <f t="shared" si="195"/>
        <v>#N/A</v>
      </c>
      <c r="L562" s="969" t="e">
        <f>IF(I562=" "," ",VLOOKUP(J562,list!$J$4:$M$117,4,FALSE))</f>
        <v>#N/A</v>
      </c>
      <c r="M562" s="66"/>
      <c r="N562" s="1297" t="str">
        <f>IF(SUMIFS('Level of Efficiency Assumptions'!$J:$J,'Level of Efficiency Assumptions'!$H:$H,$I562,'Level of Efficiency Assumptions'!$I:$I,N$51)=0," ",SUMIFS('Level of Efficiency Assumptions'!$J:$J,'Level of Efficiency Assumptions'!$H:$H,$I562,'Level of Efficiency Assumptions'!$I:$I,N$51))</f>
        <v xml:space="preserve"> </v>
      </c>
      <c r="O562" s="1298" t="str">
        <f>IF(SUMIFS('Level of Efficiency Assumptions'!$J:$J,'Level of Efficiency Assumptions'!$H:$H,$I562,'Level of Efficiency Assumptions'!$I:$I,O$51)=0," ",SUMIFS('Level of Efficiency Assumptions'!$J:$J,'Level of Efficiency Assumptions'!$H:$H,$I562,'Level of Efficiency Assumptions'!$I:$I,O$51))</f>
        <v xml:space="preserve"> </v>
      </c>
      <c r="P562" s="1299" t="str">
        <f>IF(SUMIFS('Level of Efficiency Assumptions'!$J:$J,'Level of Efficiency Assumptions'!$H:$H,$I562,'Level of Efficiency Assumptions'!$I:$I,P$51)=0," ",SUMIFS('Level of Efficiency Assumptions'!$J:$J,'Level of Efficiency Assumptions'!$H:$H,$I562,'Level of Efficiency Assumptions'!$I:$I,P$51))</f>
        <v xml:space="preserve"> </v>
      </c>
      <c r="Q562" s="971" t="e">
        <f>IF(I562=" "," ",(VLOOKUP(I562,list!$B$81:$C$111,2,FALSE)))</f>
        <v>#N/A</v>
      </c>
      <c r="R562" s="243">
        <f t="shared" si="193"/>
        <v>0</v>
      </c>
      <c r="S562" s="64">
        <v>1</v>
      </c>
      <c r="T562" s="68">
        <v>0</v>
      </c>
      <c r="U562" s="244">
        <f t="shared" si="196"/>
        <v>1</v>
      </c>
    </row>
    <row r="563" spans="2:24" ht="15" thickBot="1" x14ac:dyDescent="0.35">
      <c r="C563" s="520"/>
      <c r="D563" s="224" t="str">
        <f t="shared" si="197"/>
        <v xml:space="preserve">  </v>
      </c>
      <c r="E563" s="224"/>
      <c r="F563" s="224" t="str">
        <f t="shared" si="198"/>
        <v xml:space="preserve">  </v>
      </c>
      <c r="G563" s="224"/>
      <c r="H563" s="380"/>
      <c r="I563" s="516" t="e">
        <f>IF(VLOOKUP(C35,list!$AA$5:$AS$14,12,FALSE)=0," ",(VLOOKUP(C35,list!$AA$5:$AS$14,12,FALSE)))</f>
        <v>#N/A</v>
      </c>
      <c r="J563" s="955" t="e">
        <f t="shared" si="194"/>
        <v>#N/A</v>
      </c>
      <c r="K563" s="955" t="e">
        <f t="shared" si="195"/>
        <v>#N/A</v>
      </c>
      <c r="L563" s="969" t="e">
        <f>IF(I563=" "," ",VLOOKUP(J563,list!$J$4:$M$117,4,FALSE))</f>
        <v>#N/A</v>
      </c>
      <c r="M563" s="66"/>
      <c r="N563" s="1297" t="str">
        <f>IF(SUMIFS('Level of Efficiency Assumptions'!$J:$J,'Level of Efficiency Assumptions'!$H:$H,$I563,'Level of Efficiency Assumptions'!$I:$I,N$51)=0," ",SUMIFS('Level of Efficiency Assumptions'!$J:$J,'Level of Efficiency Assumptions'!$H:$H,$I563,'Level of Efficiency Assumptions'!$I:$I,N$51))</f>
        <v xml:space="preserve"> </v>
      </c>
      <c r="O563" s="1298" t="str">
        <f>IF(SUMIFS('Level of Efficiency Assumptions'!$J:$J,'Level of Efficiency Assumptions'!$H:$H,$I563,'Level of Efficiency Assumptions'!$I:$I,O$51)=0," ",SUMIFS('Level of Efficiency Assumptions'!$J:$J,'Level of Efficiency Assumptions'!$H:$H,$I563,'Level of Efficiency Assumptions'!$I:$I,O$51))</f>
        <v xml:space="preserve"> </v>
      </c>
      <c r="P563" s="1299" t="str">
        <f>IF(SUMIFS('Level of Efficiency Assumptions'!$J:$J,'Level of Efficiency Assumptions'!$H:$H,$I563,'Level of Efficiency Assumptions'!$I:$I,P$51)=0," ",SUMIFS('Level of Efficiency Assumptions'!$J:$J,'Level of Efficiency Assumptions'!$H:$H,$I563,'Level of Efficiency Assumptions'!$I:$I,P$51))</f>
        <v xml:space="preserve"> </v>
      </c>
      <c r="Q563" s="971" t="e">
        <f>IF(I563=" "," ",(VLOOKUP(I563,list!$B$81:$C$111,2,FALSE)))</f>
        <v>#N/A</v>
      </c>
      <c r="R563" s="243">
        <f t="shared" si="193"/>
        <v>0</v>
      </c>
      <c r="S563" s="64">
        <v>1</v>
      </c>
      <c r="T563" s="68">
        <v>0</v>
      </c>
      <c r="U563" s="244">
        <f t="shared" si="196"/>
        <v>1</v>
      </c>
    </row>
    <row r="564" spans="2:24" ht="15" thickBot="1" x14ac:dyDescent="0.35">
      <c r="C564" s="520"/>
      <c r="D564" s="224" t="str">
        <f t="shared" si="197"/>
        <v xml:space="preserve">  </v>
      </c>
      <c r="E564" s="224"/>
      <c r="F564" s="224" t="str">
        <f t="shared" si="198"/>
        <v xml:space="preserve">  </v>
      </c>
      <c r="G564" s="224"/>
      <c r="H564" s="380"/>
      <c r="I564" s="516" t="e">
        <f>IF(VLOOKUP(C35,list!$AA$5:$AS$14,13,FALSE)=0," ",(VLOOKUP(C35,list!$AA$5:$AS$14,13,FALSE)))</f>
        <v>#N/A</v>
      </c>
      <c r="J564" s="955" t="e">
        <f t="shared" si="194"/>
        <v>#N/A</v>
      </c>
      <c r="K564" s="955" t="e">
        <f t="shared" si="195"/>
        <v>#N/A</v>
      </c>
      <c r="L564" s="969" t="e">
        <f>IF(I564=" "," ",VLOOKUP(J564,list!$J$4:$M$117,4,FALSE))</f>
        <v>#N/A</v>
      </c>
      <c r="M564" s="66"/>
      <c r="N564" s="1297" t="str">
        <f>IF(SUMIFS('Level of Efficiency Assumptions'!$J:$J,'Level of Efficiency Assumptions'!$H:$H,$I564,'Level of Efficiency Assumptions'!$I:$I,N$51)=0," ",SUMIFS('Level of Efficiency Assumptions'!$J:$J,'Level of Efficiency Assumptions'!$H:$H,$I564,'Level of Efficiency Assumptions'!$I:$I,N$51))</f>
        <v xml:space="preserve"> </v>
      </c>
      <c r="O564" s="1298" t="str">
        <f>IF(SUMIFS('Level of Efficiency Assumptions'!$J:$J,'Level of Efficiency Assumptions'!$H:$H,$I564,'Level of Efficiency Assumptions'!$I:$I,O$51)=0," ",SUMIFS('Level of Efficiency Assumptions'!$J:$J,'Level of Efficiency Assumptions'!$H:$H,$I564,'Level of Efficiency Assumptions'!$I:$I,O$51))</f>
        <v xml:space="preserve"> </v>
      </c>
      <c r="P564" s="1299" t="str">
        <f>IF(SUMIFS('Level of Efficiency Assumptions'!$J:$J,'Level of Efficiency Assumptions'!$H:$H,$I564,'Level of Efficiency Assumptions'!$I:$I,P$51)=0," ",SUMIFS('Level of Efficiency Assumptions'!$J:$J,'Level of Efficiency Assumptions'!$H:$H,$I564,'Level of Efficiency Assumptions'!$I:$I,P$51))</f>
        <v xml:space="preserve"> </v>
      </c>
      <c r="Q564" s="971" t="e">
        <f>IF(I564=" "," ",(VLOOKUP(I564,list!$B$81:$C$111,2,FALSE)))</f>
        <v>#N/A</v>
      </c>
      <c r="R564" s="243">
        <f t="shared" si="193"/>
        <v>0</v>
      </c>
      <c r="S564" s="64">
        <v>1</v>
      </c>
      <c r="T564" s="68">
        <v>0</v>
      </c>
      <c r="U564" s="244">
        <f t="shared" si="196"/>
        <v>1</v>
      </c>
    </row>
    <row r="565" spans="2:24" ht="15" thickBot="1" x14ac:dyDescent="0.35">
      <c r="C565" s="520"/>
      <c r="D565" s="224" t="str">
        <f t="shared" si="197"/>
        <v xml:space="preserve">  </v>
      </c>
      <c r="E565" s="224"/>
      <c r="F565" s="224" t="str">
        <f t="shared" si="198"/>
        <v xml:space="preserve">  </v>
      </c>
      <c r="G565" s="224"/>
      <c r="H565" s="380"/>
      <c r="I565" s="516" t="e">
        <f>IF(VLOOKUP(C35,list!$AA$5:$AS$14,14,FALSE)=0," ",(VLOOKUP(C35,list!$AA$5:$AS$14,14,FALSE)))</f>
        <v>#N/A</v>
      </c>
      <c r="J565" s="955" t="e">
        <f t="shared" si="194"/>
        <v>#N/A</v>
      </c>
      <c r="K565" s="955" t="e">
        <f t="shared" si="195"/>
        <v>#N/A</v>
      </c>
      <c r="L565" s="969" t="e">
        <f>IF(I565=" "," ",VLOOKUP(J565,list!$J$4:$M$117,4,FALSE))</f>
        <v>#N/A</v>
      </c>
      <c r="M565" s="66"/>
      <c r="N565" s="1297" t="str">
        <f>IF(SUMIFS('Level of Efficiency Assumptions'!$J:$J,'Level of Efficiency Assumptions'!$H:$H,$I565,'Level of Efficiency Assumptions'!$I:$I,N$51)=0," ",SUMIFS('Level of Efficiency Assumptions'!$J:$J,'Level of Efficiency Assumptions'!$H:$H,$I565,'Level of Efficiency Assumptions'!$I:$I,N$51))</f>
        <v xml:space="preserve"> </v>
      </c>
      <c r="O565" s="1298" t="str">
        <f>IF(SUMIFS('Level of Efficiency Assumptions'!$J:$J,'Level of Efficiency Assumptions'!$H:$H,$I565,'Level of Efficiency Assumptions'!$I:$I,O$51)=0," ",SUMIFS('Level of Efficiency Assumptions'!$J:$J,'Level of Efficiency Assumptions'!$H:$H,$I565,'Level of Efficiency Assumptions'!$I:$I,O$51))</f>
        <v xml:space="preserve"> </v>
      </c>
      <c r="P565" s="1299" t="str">
        <f>IF(SUMIFS('Level of Efficiency Assumptions'!$J:$J,'Level of Efficiency Assumptions'!$H:$H,$I565,'Level of Efficiency Assumptions'!$I:$I,P$51)=0," ",SUMIFS('Level of Efficiency Assumptions'!$J:$J,'Level of Efficiency Assumptions'!$H:$H,$I565,'Level of Efficiency Assumptions'!$I:$I,P$51))</f>
        <v xml:space="preserve"> </v>
      </c>
      <c r="Q565" s="971" t="e">
        <f>IF(I565=" "," ",(VLOOKUP(I565,list!$B$81:$C$111,2,FALSE)))</f>
        <v>#N/A</v>
      </c>
      <c r="R565" s="243">
        <f t="shared" si="193"/>
        <v>0</v>
      </c>
      <c r="S565" s="64">
        <v>1</v>
      </c>
      <c r="T565" s="68">
        <v>0</v>
      </c>
      <c r="U565" s="244">
        <f t="shared" si="196"/>
        <v>1</v>
      </c>
    </row>
    <row r="566" spans="2:24" ht="15" thickBot="1" x14ac:dyDescent="0.35">
      <c r="C566" s="520"/>
      <c r="D566" s="224" t="str">
        <f t="shared" si="197"/>
        <v xml:space="preserve">  </v>
      </c>
      <c r="E566" s="224"/>
      <c r="F566" s="224" t="str">
        <f t="shared" si="198"/>
        <v xml:space="preserve">  </v>
      </c>
      <c r="G566" s="224"/>
      <c r="H566" s="380"/>
      <c r="I566" s="516" t="e">
        <f>IF(VLOOKUP(C35,list!$AA$5:$AS$14,15,FALSE)=0," ",(VLOOKUP(C35,list!$AA$5:$AS$14,15,FALSE)))</f>
        <v>#N/A</v>
      </c>
      <c r="J566" s="955" t="e">
        <f t="shared" si="194"/>
        <v>#N/A</v>
      </c>
      <c r="K566" s="955" t="e">
        <f t="shared" si="195"/>
        <v>#N/A</v>
      </c>
      <c r="L566" s="969" t="e">
        <f>IF(I566=" "," ",VLOOKUP(J566,list!$J$4:$M$117,4,FALSE))</f>
        <v>#N/A</v>
      </c>
      <c r="M566" s="66"/>
      <c r="N566" s="1297" t="str">
        <f>IF(SUMIFS('Level of Efficiency Assumptions'!$J:$J,'Level of Efficiency Assumptions'!$H:$H,$I566,'Level of Efficiency Assumptions'!$I:$I,N$51)=0," ",SUMIFS('Level of Efficiency Assumptions'!$J:$J,'Level of Efficiency Assumptions'!$H:$H,$I566,'Level of Efficiency Assumptions'!$I:$I,N$51))</f>
        <v xml:space="preserve"> </v>
      </c>
      <c r="O566" s="1298" t="str">
        <f>IF(SUMIFS('Level of Efficiency Assumptions'!$J:$J,'Level of Efficiency Assumptions'!$H:$H,$I566,'Level of Efficiency Assumptions'!$I:$I,O$51)=0," ",SUMIFS('Level of Efficiency Assumptions'!$J:$J,'Level of Efficiency Assumptions'!$H:$H,$I566,'Level of Efficiency Assumptions'!$I:$I,O$51))</f>
        <v xml:space="preserve"> </v>
      </c>
      <c r="P566" s="1299" t="str">
        <f>IF(SUMIFS('Level of Efficiency Assumptions'!$J:$J,'Level of Efficiency Assumptions'!$H:$H,$I566,'Level of Efficiency Assumptions'!$I:$I,P$51)=0," ",SUMIFS('Level of Efficiency Assumptions'!$J:$J,'Level of Efficiency Assumptions'!$H:$H,$I566,'Level of Efficiency Assumptions'!$I:$I,P$51))</f>
        <v xml:space="preserve"> </v>
      </c>
      <c r="Q566" s="971" t="e">
        <f>IF(I566=" "," ",(VLOOKUP(I566,list!$B$81:$C$111,2,FALSE)))</f>
        <v>#N/A</v>
      </c>
      <c r="R566" s="243">
        <f t="shared" si="193"/>
        <v>0</v>
      </c>
      <c r="S566" s="64">
        <v>1</v>
      </c>
      <c r="T566" s="68">
        <v>0</v>
      </c>
      <c r="U566" s="244">
        <f t="shared" si="196"/>
        <v>1</v>
      </c>
    </row>
    <row r="567" spans="2:24" ht="15" thickBot="1" x14ac:dyDescent="0.35">
      <c r="C567" s="520"/>
      <c r="D567" s="224" t="str">
        <f t="shared" si="197"/>
        <v xml:space="preserve">  </v>
      </c>
      <c r="E567" s="224"/>
      <c r="F567" s="224" t="str">
        <f t="shared" si="198"/>
        <v xml:space="preserve">  </v>
      </c>
      <c r="G567" s="224"/>
      <c r="H567" s="380"/>
      <c r="I567" s="516" t="e">
        <f>IF(VLOOKUP(C35,list!$AA$5:$AS$14,16,FALSE)=0," ",(VLOOKUP(C35,list!$AA$5:$AS$14,16,FALSE)))</f>
        <v>#N/A</v>
      </c>
      <c r="J567" s="955" t="e">
        <f t="shared" si="194"/>
        <v>#N/A</v>
      </c>
      <c r="K567" s="955" t="e">
        <f t="shared" si="195"/>
        <v>#N/A</v>
      </c>
      <c r="L567" s="969" t="e">
        <f>IF(I567=" "," ",VLOOKUP(J567,list!$J$4:$M$117,4,FALSE))</f>
        <v>#N/A</v>
      </c>
      <c r="M567" s="66"/>
      <c r="N567" s="1297" t="str">
        <f>IF(SUMIFS('Level of Efficiency Assumptions'!$J:$J,'Level of Efficiency Assumptions'!$H:$H,$I567,'Level of Efficiency Assumptions'!$I:$I,N$51)=0," ",SUMIFS('Level of Efficiency Assumptions'!$J:$J,'Level of Efficiency Assumptions'!$H:$H,$I567,'Level of Efficiency Assumptions'!$I:$I,N$51))</f>
        <v xml:space="preserve"> </v>
      </c>
      <c r="O567" s="1298" t="str">
        <f>IF(SUMIFS('Level of Efficiency Assumptions'!$J:$J,'Level of Efficiency Assumptions'!$H:$H,$I567,'Level of Efficiency Assumptions'!$I:$I,O$51)=0," ",SUMIFS('Level of Efficiency Assumptions'!$J:$J,'Level of Efficiency Assumptions'!$H:$H,$I567,'Level of Efficiency Assumptions'!$I:$I,O$51))</f>
        <v xml:space="preserve"> </v>
      </c>
      <c r="P567" s="1299" t="str">
        <f>IF(SUMIFS('Level of Efficiency Assumptions'!$J:$J,'Level of Efficiency Assumptions'!$H:$H,$I567,'Level of Efficiency Assumptions'!$I:$I,P$51)=0," ",SUMIFS('Level of Efficiency Assumptions'!$J:$J,'Level of Efficiency Assumptions'!$H:$H,$I567,'Level of Efficiency Assumptions'!$I:$I,P$51))</f>
        <v xml:space="preserve"> </v>
      </c>
      <c r="Q567" s="971" t="e">
        <f>IF(I567=" "," ",(VLOOKUP(I567,list!$B$81:$C$111,2,FALSE)))</f>
        <v>#N/A</v>
      </c>
      <c r="R567" s="243">
        <f t="shared" si="193"/>
        <v>0</v>
      </c>
      <c r="S567" s="64">
        <v>1</v>
      </c>
      <c r="T567" s="68">
        <v>0</v>
      </c>
      <c r="U567" s="244">
        <f t="shared" si="196"/>
        <v>1</v>
      </c>
    </row>
    <row r="568" spans="2:24" ht="15" thickBot="1" x14ac:dyDescent="0.35">
      <c r="C568" s="520"/>
      <c r="D568" s="224" t="str">
        <f t="shared" si="197"/>
        <v xml:space="preserve">  </v>
      </c>
      <c r="E568" s="224"/>
      <c r="F568" s="224" t="str">
        <f t="shared" si="198"/>
        <v xml:space="preserve">  </v>
      </c>
      <c r="G568" s="224"/>
      <c r="H568" s="380"/>
      <c r="I568" s="516" t="e">
        <f>IF(VLOOKUP(C35,list!$AA$5:$AS$14,17,FALSE)=0," ",(VLOOKUP(C35,list!$AA$5:$AS$14,17,FALSE)))</f>
        <v>#N/A</v>
      </c>
      <c r="J568" s="955" t="e">
        <f t="shared" si="194"/>
        <v>#N/A</v>
      </c>
      <c r="K568" s="955" t="e">
        <f t="shared" si="195"/>
        <v>#N/A</v>
      </c>
      <c r="L568" s="969" t="e">
        <f>IF(I568=" "," ",VLOOKUP(J568,list!$J$4:$M$117,4,FALSE))</f>
        <v>#N/A</v>
      </c>
      <c r="M568" s="66"/>
      <c r="N568" s="1297" t="str">
        <f>IF(SUMIFS('Level of Efficiency Assumptions'!$J:$J,'Level of Efficiency Assumptions'!$H:$H,$I568,'Level of Efficiency Assumptions'!$I:$I,N$51)=0," ",SUMIFS('Level of Efficiency Assumptions'!$J:$J,'Level of Efficiency Assumptions'!$H:$H,$I568,'Level of Efficiency Assumptions'!$I:$I,N$51))</f>
        <v xml:space="preserve"> </v>
      </c>
      <c r="O568" s="1298" t="str">
        <f>IF(SUMIFS('Level of Efficiency Assumptions'!$J:$J,'Level of Efficiency Assumptions'!$H:$H,$I568,'Level of Efficiency Assumptions'!$I:$I,O$51)=0," ",SUMIFS('Level of Efficiency Assumptions'!$J:$J,'Level of Efficiency Assumptions'!$H:$H,$I568,'Level of Efficiency Assumptions'!$I:$I,O$51))</f>
        <v xml:space="preserve"> </v>
      </c>
      <c r="P568" s="1299" t="str">
        <f>IF(SUMIFS('Level of Efficiency Assumptions'!$J:$J,'Level of Efficiency Assumptions'!$H:$H,$I568,'Level of Efficiency Assumptions'!$I:$I,P$51)=0," ",SUMIFS('Level of Efficiency Assumptions'!$J:$J,'Level of Efficiency Assumptions'!$H:$H,$I568,'Level of Efficiency Assumptions'!$I:$I,P$51))</f>
        <v xml:space="preserve"> </v>
      </c>
      <c r="Q568" s="971" t="e">
        <f>IF(I568=" "," ",(VLOOKUP(I568,list!$B$81:$C$111,2,FALSE)))</f>
        <v>#N/A</v>
      </c>
      <c r="R568" s="243">
        <f t="shared" si="193"/>
        <v>0</v>
      </c>
      <c r="S568" s="64">
        <v>1</v>
      </c>
      <c r="T568" s="68">
        <v>0</v>
      </c>
      <c r="U568" s="244">
        <f t="shared" si="196"/>
        <v>1</v>
      </c>
    </row>
    <row r="569" spans="2:24" ht="15" thickBot="1" x14ac:dyDescent="0.35">
      <c r="C569" s="520"/>
      <c r="D569" s="224" t="str">
        <f t="shared" si="197"/>
        <v xml:space="preserve">  </v>
      </c>
      <c r="E569" s="224"/>
      <c r="F569" s="224" t="str">
        <f t="shared" si="198"/>
        <v xml:space="preserve">  </v>
      </c>
      <c r="G569" s="224"/>
      <c r="H569" s="380"/>
      <c r="I569" s="516" t="e">
        <f>IF(VLOOKUP(C35,list!$AA$5:$AS$14,18,FALSE)=0," ",(VLOOKUP(C35,list!$AA$5:$AS$14,18,FALSE)))</f>
        <v>#N/A</v>
      </c>
      <c r="J569" s="955" t="e">
        <f t="shared" si="194"/>
        <v>#N/A</v>
      </c>
      <c r="K569" s="955" t="e">
        <f t="shared" si="195"/>
        <v>#N/A</v>
      </c>
      <c r="L569" s="969" t="e">
        <f>IF(I569=" "," ",VLOOKUP(J569,list!$J$4:$M$117,4,FALSE))</f>
        <v>#N/A</v>
      </c>
      <c r="M569" s="66"/>
      <c r="N569" s="1297" t="str">
        <f>IF(SUMIFS('Level of Efficiency Assumptions'!$J:$J,'Level of Efficiency Assumptions'!$H:$H,$I569,'Level of Efficiency Assumptions'!$I:$I,N$51)=0," ",SUMIFS('Level of Efficiency Assumptions'!$J:$J,'Level of Efficiency Assumptions'!$H:$H,$I569,'Level of Efficiency Assumptions'!$I:$I,N$51))</f>
        <v xml:space="preserve"> </v>
      </c>
      <c r="O569" s="1298" t="str">
        <f>IF(SUMIFS('Level of Efficiency Assumptions'!$J:$J,'Level of Efficiency Assumptions'!$H:$H,$I569,'Level of Efficiency Assumptions'!$I:$I,O$51)=0," ",SUMIFS('Level of Efficiency Assumptions'!$J:$J,'Level of Efficiency Assumptions'!$H:$H,$I569,'Level of Efficiency Assumptions'!$I:$I,O$51))</f>
        <v xml:space="preserve"> </v>
      </c>
      <c r="P569" s="1299" t="str">
        <f>IF(SUMIFS('Level of Efficiency Assumptions'!$J:$J,'Level of Efficiency Assumptions'!$H:$H,$I569,'Level of Efficiency Assumptions'!$I:$I,P$51)=0," ",SUMIFS('Level of Efficiency Assumptions'!$J:$J,'Level of Efficiency Assumptions'!$H:$H,$I569,'Level of Efficiency Assumptions'!$I:$I,P$51))</f>
        <v xml:space="preserve"> </v>
      </c>
      <c r="Q569" s="971" t="e">
        <f>IF(I569=" "," ",(VLOOKUP(I569,list!$B$81:$C$111,2,FALSE)))</f>
        <v>#N/A</v>
      </c>
      <c r="R569" s="243">
        <f t="shared" si="193"/>
        <v>0</v>
      </c>
      <c r="S569" s="64">
        <v>1</v>
      </c>
      <c r="T569" s="68">
        <v>0</v>
      </c>
      <c r="U569" s="244">
        <f t="shared" si="196"/>
        <v>1</v>
      </c>
    </row>
    <row r="570" spans="2:24" ht="15" thickBot="1" x14ac:dyDescent="0.35">
      <c r="C570" s="632"/>
      <c r="D570" s="226" t="str">
        <f t="shared" si="197"/>
        <v xml:space="preserve">  </v>
      </c>
      <c r="E570" s="226"/>
      <c r="F570" s="226" t="str">
        <f t="shared" si="198"/>
        <v xml:space="preserve">  </v>
      </c>
      <c r="G570" s="226"/>
      <c r="H570" s="976"/>
      <c r="I570" s="516" t="e">
        <f>IF(VLOOKUP(C35,list!$AA$5:$AS$14,19,FALSE)=0," ",(VLOOKUP(C35,list!$AA$5:$AS$14,19,FALSE)))</f>
        <v>#N/A</v>
      </c>
      <c r="J570" s="955" t="e">
        <f>IF(I570=" "," ",(D570&amp;"-"&amp;I570))</f>
        <v>#N/A</v>
      </c>
      <c r="K570" s="955" t="e">
        <f t="shared" si="195"/>
        <v>#N/A</v>
      </c>
      <c r="L570" s="969" t="e">
        <f>IF(I570=" "," ",VLOOKUP(J570,list!$J$4:$M$117,4,FALSE))</f>
        <v>#N/A</v>
      </c>
      <c r="M570" s="67"/>
      <c r="N570" s="1303" t="str">
        <f>IF(SUMIFS('Level of Efficiency Assumptions'!$J:$J,'Level of Efficiency Assumptions'!$H:$H,$I570,'Level of Efficiency Assumptions'!$I:$I,N$51)=0," ",SUMIFS('Level of Efficiency Assumptions'!$J:$J,'Level of Efficiency Assumptions'!$H:$H,$I570,'Level of Efficiency Assumptions'!$I:$I,N$51))</f>
        <v xml:space="preserve"> </v>
      </c>
      <c r="O570" s="1304" t="str">
        <f>IF(SUMIFS('Level of Efficiency Assumptions'!$J:$J,'Level of Efficiency Assumptions'!$H:$H,$I570,'Level of Efficiency Assumptions'!$I:$I,O$51)=0," ",SUMIFS('Level of Efficiency Assumptions'!$J:$J,'Level of Efficiency Assumptions'!$H:$H,$I570,'Level of Efficiency Assumptions'!$I:$I,O$51))</f>
        <v xml:space="preserve"> </v>
      </c>
      <c r="P570" s="1305" t="str">
        <f>IF(SUMIFS('Level of Efficiency Assumptions'!$J:$J,'Level of Efficiency Assumptions'!$H:$H,$I570,'Level of Efficiency Assumptions'!$I:$I,P$51)=0," ",SUMIFS('Level of Efficiency Assumptions'!$J:$J,'Level of Efficiency Assumptions'!$H:$H,$I570,'Level of Efficiency Assumptions'!$I:$I,P$51))</f>
        <v xml:space="preserve"> </v>
      </c>
      <c r="Q570" s="977" t="e">
        <f>IF(I570=" "," ",(VLOOKUP(I570,list!$B$81:$C$111,2,FALSE)))</f>
        <v>#N/A</v>
      </c>
      <c r="R570" s="245">
        <f t="shared" si="193"/>
        <v>0</v>
      </c>
      <c r="S570" s="65">
        <v>1</v>
      </c>
      <c r="T570" s="69">
        <v>0</v>
      </c>
      <c r="U570" s="246">
        <f t="shared" si="196"/>
        <v>1</v>
      </c>
    </row>
    <row r="571" spans="2:24" x14ac:dyDescent="0.3">
      <c r="D571" s="846"/>
      <c r="F571" s="82"/>
      <c r="J571" s="846"/>
      <c r="K571" s="846"/>
      <c r="N571" s="1179"/>
      <c r="O571" s="1179"/>
      <c r="P571" s="1179"/>
      <c r="R571" s="176" t="s">
        <v>295</v>
      </c>
      <c r="S571" s="176"/>
      <c r="T571" s="176"/>
      <c r="U571" s="176"/>
    </row>
    <row r="572" spans="2:24" ht="15" thickBot="1" x14ac:dyDescent="0.35">
      <c r="D572" s="846"/>
      <c r="F572" s="82"/>
      <c r="J572" s="846"/>
      <c r="K572" s="846"/>
      <c r="N572" s="1179"/>
      <c r="O572" s="1179"/>
      <c r="P572" s="1179"/>
    </row>
    <row r="573" spans="2:24" ht="15" thickBot="1" x14ac:dyDescent="0.35">
      <c r="B573" s="814">
        <v>27</v>
      </c>
      <c r="C573" s="967" t="str">
        <f t="shared" ref="C573:H573" si="199">C36</f>
        <v xml:space="preserve">  </v>
      </c>
      <c r="D573" s="967" t="str">
        <f t="shared" si="199"/>
        <v xml:space="preserve">  </v>
      </c>
      <c r="E573" s="967" t="str">
        <f t="shared" si="199"/>
        <v xml:space="preserve">  </v>
      </c>
      <c r="F573" s="967" t="str">
        <f t="shared" si="199"/>
        <v xml:space="preserve">  </v>
      </c>
      <c r="G573" s="967">
        <f t="shared" si="199"/>
        <v>0</v>
      </c>
      <c r="H573" s="968">
        <f t="shared" si="199"/>
        <v>0</v>
      </c>
      <c r="I573" s="516" t="e">
        <f>IF(VLOOKUP(C36,list!$AA$5:$AS$14,2,FALSE)=0," ",(VLOOKUP(C36,list!$AA$5:$AS$14,2,FALSE)))</f>
        <v>#N/A</v>
      </c>
      <c r="J573" s="955" t="e">
        <f>IF(I573=" "," ",(D36&amp;"-"&amp;I573))</f>
        <v>#N/A</v>
      </c>
      <c r="K573" s="955" t="e">
        <f>IF(I573=" "," ",(F36&amp;"-"&amp;I573))</f>
        <v>#N/A</v>
      </c>
      <c r="L573" s="969" t="e">
        <f>IF(I573=" "," ",VLOOKUP(J573,list!$J$4:$M$117,4,FALSE))</f>
        <v>#N/A</v>
      </c>
      <c r="M573" s="70"/>
      <c r="N573" s="1300" t="str">
        <f>IF(SUMIFS('Level of Efficiency Assumptions'!$J:$J,'Level of Efficiency Assumptions'!$H:$H,$I573,'Level of Efficiency Assumptions'!$I:$I,N$51)=0," ",SUMIFS('Level of Efficiency Assumptions'!$J:$J,'Level of Efficiency Assumptions'!$H:$H,$I573,'Level of Efficiency Assumptions'!$I:$I,N$51))</f>
        <v xml:space="preserve"> </v>
      </c>
      <c r="O573" s="1301" t="str">
        <f>IF(SUMIFS('Level of Efficiency Assumptions'!$J:$J,'Level of Efficiency Assumptions'!$H:$H,$I573,'Level of Efficiency Assumptions'!$I:$I,O$51)=0," ",SUMIFS('Level of Efficiency Assumptions'!$J:$J,'Level of Efficiency Assumptions'!$H:$H,$I573,'Level of Efficiency Assumptions'!$I:$I,O$51))</f>
        <v xml:space="preserve"> </v>
      </c>
      <c r="P573" s="1302" t="str">
        <f>IF(SUMIFS('Level of Efficiency Assumptions'!$J:$J,'Level of Efficiency Assumptions'!$H:$H,$I573,'Level of Efficiency Assumptions'!$I:$I,P$51)=0," ",SUMIFS('Level of Efficiency Assumptions'!$J:$J,'Level of Efficiency Assumptions'!$H:$H,$I573,'Level of Efficiency Assumptions'!$I:$I,P$51))</f>
        <v xml:space="preserve"> </v>
      </c>
      <c r="Q573" s="970" t="e">
        <f>IF(I573=" "," ",(VLOOKUP(I573,list!$B$81:$C$111,2,FALSE)))</f>
        <v>#N/A</v>
      </c>
      <c r="R573" s="241">
        <f t="shared" ref="R573:R590" si="200">1-S573-T573</f>
        <v>0</v>
      </c>
      <c r="S573" s="83">
        <v>1</v>
      </c>
      <c r="T573" s="84">
        <v>0</v>
      </c>
      <c r="U573" s="242">
        <f>SUM(R573:T573)</f>
        <v>1</v>
      </c>
      <c r="W573" s="250" t="s">
        <v>367</v>
      </c>
      <c r="X573" s="251" t="s">
        <v>366</v>
      </c>
    </row>
    <row r="574" spans="2:24" ht="15" thickBot="1" x14ac:dyDescent="0.35">
      <c r="C574" s="520"/>
      <c r="D574" s="224" t="str">
        <f>D36</f>
        <v xml:space="preserve">  </v>
      </c>
      <c r="E574" s="224"/>
      <c r="F574" s="224" t="str">
        <f>F36</f>
        <v xml:space="preserve">  </v>
      </c>
      <c r="G574" s="224"/>
      <c r="H574" s="380"/>
      <c r="I574" s="516" t="e">
        <f>IF(VLOOKUP(C36,list!$AA$5:$AS$14,3,FALSE)=0," ",(VLOOKUP(C36,list!$AA$5:$AS$14,3,FALSE)))</f>
        <v>#N/A</v>
      </c>
      <c r="J574" s="955" t="e">
        <f t="shared" ref="J574:J589" si="201">IF(I574=" "," ",(D574&amp;"-"&amp;I574))</f>
        <v>#N/A</v>
      </c>
      <c r="K574" s="955" t="e">
        <f t="shared" ref="K574:K590" si="202">IF(I574=" "," ",(F574&amp;"-"&amp;I574))</f>
        <v>#N/A</v>
      </c>
      <c r="L574" s="969" t="e">
        <f>IF(I574=" "," ",VLOOKUP(J574,list!$J$4:$M$117,4,FALSE))</f>
        <v>#N/A</v>
      </c>
      <c r="M574" s="66"/>
      <c r="N574" s="1297" t="str">
        <f>IF(SUMIFS('Level of Efficiency Assumptions'!$J:$J,'Level of Efficiency Assumptions'!$H:$H,$I574,'Level of Efficiency Assumptions'!$I:$I,N$51)=0," ",SUMIFS('Level of Efficiency Assumptions'!$J:$J,'Level of Efficiency Assumptions'!$H:$H,$I574,'Level of Efficiency Assumptions'!$I:$I,N$51))</f>
        <v xml:space="preserve"> </v>
      </c>
      <c r="O574" s="1298" t="str">
        <f>IF(SUMIFS('Level of Efficiency Assumptions'!$J:$J,'Level of Efficiency Assumptions'!$H:$H,$I574,'Level of Efficiency Assumptions'!$I:$I,O$51)=0," ",SUMIFS('Level of Efficiency Assumptions'!$J:$J,'Level of Efficiency Assumptions'!$H:$H,$I574,'Level of Efficiency Assumptions'!$I:$I,O$51))</f>
        <v xml:space="preserve"> </v>
      </c>
      <c r="P574" s="1299" t="str">
        <f>IF(SUMIFS('Level of Efficiency Assumptions'!$J:$J,'Level of Efficiency Assumptions'!$H:$H,$I574,'Level of Efficiency Assumptions'!$I:$I,P$51)=0," ",SUMIFS('Level of Efficiency Assumptions'!$J:$J,'Level of Efficiency Assumptions'!$H:$H,$I574,'Level of Efficiency Assumptions'!$I:$I,P$51))</f>
        <v xml:space="preserve"> </v>
      </c>
      <c r="Q574" s="971" t="e">
        <f>IF(I574=" "," ",(VLOOKUP(I574,list!$B$81:$C$111,2,FALSE)))</f>
        <v>#N/A</v>
      </c>
      <c r="R574" s="243">
        <f t="shared" si="200"/>
        <v>0</v>
      </c>
      <c r="S574" s="64">
        <v>1</v>
      </c>
      <c r="T574" s="68">
        <v>0</v>
      </c>
      <c r="U574" s="244">
        <f t="shared" ref="U574:U590" si="203">SUM(R574:T574)</f>
        <v>1</v>
      </c>
      <c r="V574" s="82" t="e">
        <f>F574&amp;"-"&amp;W574</f>
        <v>#N/A</v>
      </c>
      <c r="W574" s="247" t="e">
        <f>HLOOKUP(D574,list!$O$34:$X$38,2,FALSE)</f>
        <v>#N/A</v>
      </c>
      <c r="X574" s="972">
        <v>1</v>
      </c>
    </row>
    <row r="575" spans="2:24" ht="15" thickBot="1" x14ac:dyDescent="0.35">
      <c r="C575" s="520"/>
      <c r="D575" s="224" t="str">
        <f>D574</f>
        <v xml:space="preserve">  </v>
      </c>
      <c r="E575" s="224"/>
      <c r="F575" s="224" t="str">
        <f>F574</f>
        <v xml:space="preserve">  </v>
      </c>
      <c r="G575" s="224"/>
      <c r="H575" s="380"/>
      <c r="I575" s="516" t="e">
        <f>IF(VLOOKUP(C36,list!$AA$5:$AS$14,4,FALSE)=0," ",(VLOOKUP(C36,list!$AA$5:$AS$14,4,FALSE)))</f>
        <v>#N/A</v>
      </c>
      <c r="J575" s="955" t="e">
        <f t="shared" si="201"/>
        <v>#N/A</v>
      </c>
      <c r="K575" s="955" t="e">
        <f t="shared" si="202"/>
        <v>#N/A</v>
      </c>
      <c r="L575" s="969" t="e">
        <f>IF(I575=" "," ",VLOOKUP(J575,list!$J$4:$M$117,4,FALSE))</f>
        <v>#N/A</v>
      </c>
      <c r="M575" s="66"/>
      <c r="N575" s="1297" t="str">
        <f>IF(SUMIFS('Level of Efficiency Assumptions'!$J:$J,'Level of Efficiency Assumptions'!$H:$H,$I575,'Level of Efficiency Assumptions'!$I:$I,N$51)=0," ",SUMIFS('Level of Efficiency Assumptions'!$J:$J,'Level of Efficiency Assumptions'!$H:$H,$I575,'Level of Efficiency Assumptions'!$I:$I,N$51))</f>
        <v xml:space="preserve"> </v>
      </c>
      <c r="O575" s="1298" t="str">
        <f>IF(SUMIFS('Level of Efficiency Assumptions'!$J:$J,'Level of Efficiency Assumptions'!$H:$H,$I575,'Level of Efficiency Assumptions'!$I:$I,O$51)=0," ",SUMIFS('Level of Efficiency Assumptions'!$J:$J,'Level of Efficiency Assumptions'!$H:$H,$I575,'Level of Efficiency Assumptions'!$I:$I,O$51))</f>
        <v xml:space="preserve"> </v>
      </c>
      <c r="P575" s="1299" t="str">
        <f>IF(SUMIFS('Level of Efficiency Assumptions'!$J:$J,'Level of Efficiency Assumptions'!$H:$H,$I575,'Level of Efficiency Assumptions'!$I:$I,P$51)=0," ",SUMIFS('Level of Efficiency Assumptions'!$J:$J,'Level of Efficiency Assumptions'!$H:$H,$I575,'Level of Efficiency Assumptions'!$I:$I,P$51))</f>
        <v xml:space="preserve"> </v>
      </c>
      <c r="Q575" s="971" t="e">
        <f>IF(I575=" "," ",(VLOOKUP(I575,list!$B$81:$C$111,2,FALSE)))</f>
        <v>#N/A</v>
      </c>
      <c r="R575" s="243">
        <f t="shared" si="200"/>
        <v>0</v>
      </c>
      <c r="S575" s="64">
        <v>1</v>
      </c>
      <c r="T575" s="68">
        <v>0</v>
      </c>
      <c r="U575" s="244">
        <f t="shared" si="203"/>
        <v>1</v>
      </c>
      <c r="V575" s="82" t="e">
        <f>F575&amp;"-"&amp;W575</f>
        <v>#N/A</v>
      </c>
      <c r="W575" s="248" t="e">
        <f>HLOOKUP(D575,list!$O$34:$X$38,3,FALSE)</f>
        <v>#N/A</v>
      </c>
      <c r="X575" s="973">
        <v>0.5</v>
      </c>
    </row>
    <row r="576" spans="2:24" ht="15" thickBot="1" x14ac:dyDescent="0.35">
      <c r="C576" s="520"/>
      <c r="D576" s="224" t="str">
        <f t="shared" ref="D576:D590" si="204">D575</f>
        <v xml:space="preserve">  </v>
      </c>
      <c r="E576" s="224"/>
      <c r="F576" s="224" t="str">
        <f t="shared" ref="F576:F590" si="205">F575</f>
        <v xml:space="preserve">  </v>
      </c>
      <c r="G576" s="224"/>
      <c r="H576" s="380"/>
      <c r="I576" s="516" t="e">
        <f>IF(VLOOKUP(C36,list!$AA$5:$AS$14,5,FALSE)=0," ",(VLOOKUP(C36,list!$AA$5:$AS$14,5,FALSE)))</f>
        <v>#N/A</v>
      </c>
      <c r="J576" s="955" t="e">
        <f t="shared" si="201"/>
        <v>#N/A</v>
      </c>
      <c r="K576" s="955" t="e">
        <f t="shared" si="202"/>
        <v>#N/A</v>
      </c>
      <c r="L576" s="969" t="e">
        <f>IF(I576=" "," ",VLOOKUP(J576,list!$J$4:$M$117,4,FALSE))</f>
        <v>#N/A</v>
      </c>
      <c r="M576" s="66"/>
      <c r="N576" s="1297" t="str">
        <f>IF(SUMIFS('Level of Efficiency Assumptions'!$J:$J,'Level of Efficiency Assumptions'!$H:$H,$I576,'Level of Efficiency Assumptions'!$I:$I,N$51)=0," ",SUMIFS('Level of Efficiency Assumptions'!$J:$J,'Level of Efficiency Assumptions'!$H:$H,$I576,'Level of Efficiency Assumptions'!$I:$I,N$51))</f>
        <v xml:space="preserve"> </v>
      </c>
      <c r="O576" s="1298" t="str">
        <f>IF(SUMIFS('Level of Efficiency Assumptions'!$J:$J,'Level of Efficiency Assumptions'!$H:$H,$I576,'Level of Efficiency Assumptions'!$I:$I,O$51)=0," ",SUMIFS('Level of Efficiency Assumptions'!$J:$J,'Level of Efficiency Assumptions'!$H:$H,$I576,'Level of Efficiency Assumptions'!$I:$I,O$51))</f>
        <v xml:space="preserve"> </v>
      </c>
      <c r="P576" s="1299" t="str">
        <f>IF(SUMIFS('Level of Efficiency Assumptions'!$J:$J,'Level of Efficiency Assumptions'!$H:$H,$I576,'Level of Efficiency Assumptions'!$I:$I,P$51)=0," ",SUMIFS('Level of Efficiency Assumptions'!$J:$J,'Level of Efficiency Assumptions'!$H:$H,$I576,'Level of Efficiency Assumptions'!$I:$I,P$51))</f>
        <v xml:space="preserve"> </v>
      </c>
      <c r="Q576" s="971" t="e">
        <f>IF(I576=" "," ",(VLOOKUP(I576,list!$B$81:$C$111,2,FALSE)))</f>
        <v>#N/A</v>
      </c>
      <c r="R576" s="243">
        <f t="shared" si="200"/>
        <v>0</v>
      </c>
      <c r="S576" s="64">
        <v>1</v>
      </c>
      <c r="T576" s="68">
        <v>0</v>
      </c>
      <c r="U576" s="244">
        <f t="shared" si="203"/>
        <v>1</v>
      </c>
      <c r="V576" s="82" t="e">
        <f>F576&amp;"-"&amp;W576</f>
        <v>#N/A</v>
      </c>
      <c r="W576" s="248" t="e">
        <f>HLOOKUP(D576,list!$O$34:$X$38,4,FALSE)</f>
        <v>#N/A</v>
      </c>
      <c r="X576" s="973">
        <v>0.5</v>
      </c>
    </row>
    <row r="577" spans="3:24" ht="15" thickBot="1" x14ac:dyDescent="0.35">
      <c r="C577" s="520"/>
      <c r="D577" s="224" t="str">
        <f t="shared" si="204"/>
        <v xml:space="preserve">  </v>
      </c>
      <c r="E577" s="224"/>
      <c r="F577" s="224" t="str">
        <f t="shared" si="205"/>
        <v xml:space="preserve">  </v>
      </c>
      <c r="G577" s="224"/>
      <c r="H577" s="380"/>
      <c r="I577" s="516" t="e">
        <f>IF(VLOOKUP(C36,list!$AA$5:$AS$14,6,FALSE)=0," ",(VLOOKUP(C36,list!$AA$5:$AS$14,6,FALSE)))</f>
        <v>#N/A</v>
      </c>
      <c r="J577" s="955" t="e">
        <f t="shared" si="201"/>
        <v>#N/A</v>
      </c>
      <c r="K577" s="955" t="e">
        <f t="shared" si="202"/>
        <v>#N/A</v>
      </c>
      <c r="L577" s="969" t="e">
        <f>IF(I577=" "," ",VLOOKUP(J577,list!$J$4:$M$117,4,FALSE))</f>
        <v>#N/A</v>
      </c>
      <c r="M577" s="66"/>
      <c r="N577" s="1297" t="str">
        <f>IF(SUMIFS('Level of Efficiency Assumptions'!$J:$J,'Level of Efficiency Assumptions'!$H:$H,$I577,'Level of Efficiency Assumptions'!$I:$I,N$51)=0," ",SUMIFS('Level of Efficiency Assumptions'!$J:$J,'Level of Efficiency Assumptions'!$H:$H,$I577,'Level of Efficiency Assumptions'!$I:$I,N$51))</f>
        <v xml:space="preserve"> </v>
      </c>
      <c r="O577" s="1298" t="str">
        <f>IF(SUMIFS('Level of Efficiency Assumptions'!$J:$J,'Level of Efficiency Assumptions'!$H:$H,$I577,'Level of Efficiency Assumptions'!$I:$I,O$51)=0," ",SUMIFS('Level of Efficiency Assumptions'!$J:$J,'Level of Efficiency Assumptions'!$H:$H,$I577,'Level of Efficiency Assumptions'!$I:$I,O$51))</f>
        <v xml:space="preserve"> </v>
      </c>
      <c r="P577" s="1299" t="str">
        <f>IF(SUMIFS('Level of Efficiency Assumptions'!$J:$J,'Level of Efficiency Assumptions'!$H:$H,$I577,'Level of Efficiency Assumptions'!$I:$I,P$51)=0," ",SUMIFS('Level of Efficiency Assumptions'!$J:$J,'Level of Efficiency Assumptions'!$H:$H,$I577,'Level of Efficiency Assumptions'!$I:$I,P$51))</f>
        <v xml:space="preserve"> </v>
      </c>
      <c r="Q577" s="971" t="e">
        <f>IF(I577=" "," ",(VLOOKUP(I577,list!$B$81:$C$111,2,FALSE)))</f>
        <v>#N/A</v>
      </c>
      <c r="R577" s="243">
        <f t="shared" si="200"/>
        <v>0</v>
      </c>
      <c r="S577" s="64">
        <v>1</v>
      </c>
      <c r="T577" s="68">
        <v>0</v>
      </c>
      <c r="U577" s="244">
        <f t="shared" si="203"/>
        <v>1</v>
      </c>
      <c r="V577" s="82" t="e">
        <f>F577&amp;"-"&amp;W577</f>
        <v>#N/A</v>
      </c>
      <c r="W577" s="249" t="e">
        <f>HLOOKUP(D577,list!$O$34:$X$38,5,FALSE)</f>
        <v>#N/A</v>
      </c>
      <c r="X577" s="974">
        <v>0.5</v>
      </c>
    </row>
    <row r="578" spans="3:24" ht="15" thickBot="1" x14ac:dyDescent="0.35">
      <c r="C578" s="520"/>
      <c r="D578" s="224" t="str">
        <f t="shared" si="204"/>
        <v xml:space="preserve">  </v>
      </c>
      <c r="E578" s="224"/>
      <c r="F578" s="224" t="str">
        <f t="shared" si="205"/>
        <v xml:space="preserve">  </v>
      </c>
      <c r="G578" s="224"/>
      <c r="H578" s="380"/>
      <c r="I578" s="516" t="e">
        <f>IF(VLOOKUP(C36,list!$AA$5:$AS$14,7,FALSE)=0," ",(VLOOKUP(C36,list!$AA$5:$AS$14,7,FALSE)))</f>
        <v>#N/A</v>
      </c>
      <c r="J578" s="955" t="e">
        <f t="shared" si="201"/>
        <v>#N/A</v>
      </c>
      <c r="K578" s="955" t="e">
        <f t="shared" si="202"/>
        <v>#N/A</v>
      </c>
      <c r="L578" s="969" t="e">
        <f>IF(I578=" "," ",VLOOKUP(J578,list!$J$4:$M$117,4,FALSE))</f>
        <v>#N/A</v>
      </c>
      <c r="M578" s="66"/>
      <c r="N578" s="1297" t="str">
        <f>IF(SUMIFS('Level of Efficiency Assumptions'!$J:$J,'Level of Efficiency Assumptions'!$H:$H,$I578,'Level of Efficiency Assumptions'!$I:$I,N$51)=0," ",SUMIFS('Level of Efficiency Assumptions'!$J:$J,'Level of Efficiency Assumptions'!$H:$H,$I578,'Level of Efficiency Assumptions'!$I:$I,N$51))</f>
        <v xml:space="preserve"> </v>
      </c>
      <c r="O578" s="1298" t="str">
        <f>IF(SUMIFS('Level of Efficiency Assumptions'!$J:$J,'Level of Efficiency Assumptions'!$H:$H,$I578,'Level of Efficiency Assumptions'!$I:$I,O$51)=0," ",SUMIFS('Level of Efficiency Assumptions'!$J:$J,'Level of Efficiency Assumptions'!$H:$H,$I578,'Level of Efficiency Assumptions'!$I:$I,O$51))</f>
        <v xml:space="preserve"> </v>
      </c>
      <c r="P578" s="1299" t="str">
        <f>IF(SUMIFS('Level of Efficiency Assumptions'!$J:$J,'Level of Efficiency Assumptions'!$H:$H,$I578,'Level of Efficiency Assumptions'!$I:$I,P$51)=0," ",SUMIFS('Level of Efficiency Assumptions'!$J:$J,'Level of Efficiency Assumptions'!$H:$H,$I578,'Level of Efficiency Assumptions'!$I:$I,P$51))</f>
        <v xml:space="preserve"> </v>
      </c>
      <c r="Q578" s="971" t="e">
        <f>IF(I578=" "," ",(VLOOKUP(I578,list!$B$81:$C$111,2,FALSE)))</f>
        <v>#N/A</v>
      </c>
      <c r="R578" s="243">
        <f t="shared" si="200"/>
        <v>0</v>
      </c>
      <c r="S578" s="64">
        <v>1</v>
      </c>
      <c r="T578" s="68">
        <v>0</v>
      </c>
      <c r="U578" s="244">
        <f t="shared" si="203"/>
        <v>1</v>
      </c>
      <c r="W578" s="182"/>
      <c r="X578" s="975"/>
    </row>
    <row r="579" spans="3:24" ht="15" thickBot="1" x14ac:dyDescent="0.35">
      <c r="C579" s="520"/>
      <c r="D579" s="224" t="str">
        <f t="shared" si="204"/>
        <v xml:space="preserve">  </v>
      </c>
      <c r="E579" s="224"/>
      <c r="F579" s="224" t="str">
        <f t="shared" si="205"/>
        <v xml:space="preserve">  </v>
      </c>
      <c r="G579" s="224"/>
      <c r="H579" s="380"/>
      <c r="I579" s="516" t="e">
        <f>IF(VLOOKUP(C36,list!$AA$5:$AS$14,8,FALSE)=0," ",(VLOOKUP(C36,list!$AA$5:$AS$14,8,FALSE)))</f>
        <v>#N/A</v>
      </c>
      <c r="J579" s="955" t="e">
        <f t="shared" si="201"/>
        <v>#N/A</v>
      </c>
      <c r="K579" s="955" t="e">
        <f t="shared" si="202"/>
        <v>#N/A</v>
      </c>
      <c r="L579" s="969" t="e">
        <f>IF(I579=" "," ",VLOOKUP(J579,list!$J$4:$M$117,4,FALSE))</f>
        <v>#N/A</v>
      </c>
      <c r="M579" s="66"/>
      <c r="N579" s="1297" t="str">
        <f>IF(SUMIFS('Level of Efficiency Assumptions'!$J:$J,'Level of Efficiency Assumptions'!$H:$H,$I579,'Level of Efficiency Assumptions'!$I:$I,N$51)=0," ",SUMIFS('Level of Efficiency Assumptions'!$J:$J,'Level of Efficiency Assumptions'!$H:$H,$I579,'Level of Efficiency Assumptions'!$I:$I,N$51))</f>
        <v xml:space="preserve"> </v>
      </c>
      <c r="O579" s="1298" t="str">
        <f>IF(SUMIFS('Level of Efficiency Assumptions'!$J:$J,'Level of Efficiency Assumptions'!$H:$H,$I579,'Level of Efficiency Assumptions'!$I:$I,O$51)=0," ",SUMIFS('Level of Efficiency Assumptions'!$J:$J,'Level of Efficiency Assumptions'!$H:$H,$I579,'Level of Efficiency Assumptions'!$I:$I,O$51))</f>
        <v xml:space="preserve"> </v>
      </c>
      <c r="P579" s="1299" t="str">
        <f>IF(SUMIFS('Level of Efficiency Assumptions'!$J:$J,'Level of Efficiency Assumptions'!$H:$H,$I579,'Level of Efficiency Assumptions'!$I:$I,P$51)=0," ",SUMIFS('Level of Efficiency Assumptions'!$J:$J,'Level of Efficiency Assumptions'!$H:$H,$I579,'Level of Efficiency Assumptions'!$I:$I,P$51))</f>
        <v xml:space="preserve"> </v>
      </c>
      <c r="Q579" s="971" t="e">
        <f>IF(I579=" "," ",(VLOOKUP(I579,list!$B$81:$C$111,2,FALSE)))</f>
        <v>#N/A</v>
      </c>
      <c r="R579" s="243">
        <f t="shared" si="200"/>
        <v>0</v>
      </c>
      <c r="S579" s="64">
        <v>1</v>
      </c>
      <c r="T579" s="68">
        <v>0</v>
      </c>
      <c r="U579" s="244">
        <f t="shared" si="203"/>
        <v>1</v>
      </c>
      <c r="W579" s="182"/>
      <c r="X579" s="975"/>
    </row>
    <row r="580" spans="3:24" ht="15" thickBot="1" x14ac:dyDescent="0.35">
      <c r="C580" s="520"/>
      <c r="D580" s="224" t="str">
        <f t="shared" si="204"/>
        <v xml:space="preserve">  </v>
      </c>
      <c r="E580" s="224"/>
      <c r="F580" s="224" t="str">
        <f t="shared" si="205"/>
        <v xml:space="preserve">  </v>
      </c>
      <c r="G580" s="224"/>
      <c r="H580" s="380"/>
      <c r="I580" s="516" t="e">
        <f>IF(VLOOKUP(C36,list!$AA$5:$AS$14,9,FALSE)=0," ",(VLOOKUP(C36,list!$AA$5:$AS$14,9,FALSE)))</f>
        <v>#N/A</v>
      </c>
      <c r="J580" s="955" t="e">
        <f t="shared" si="201"/>
        <v>#N/A</v>
      </c>
      <c r="K580" s="955" t="e">
        <f t="shared" si="202"/>
        <v>#N/A</v>
      </c>
      <c r="L580" s="969" t="e">
        <f>IF(I580=" "," ",VLOOKUP(J580,list!$J$4:$M$117,4,FALSE))</f>
        <v>#N/A</v>
      </c>
      <c r="M580" s="66"/>
      <c r="N580" s="1297" t="str">
        <f>IF(SUMIFS('Level of Efficiency Assumptions'!$J:$J,'Level of Efficiency Assumptions'!$H:$H,$I580,'Level of Efficiency Assumptions'!$I:$I,N$51)=0," ",SUMIFS('Level of Efficiency Assumptions'!$J:$J,'Level of Efficiency Assumptions'!$H:$H,$I580,'Level of Efficiency Assumptions'!$I:$I,N$51))</f>
        <v xml:space="preserve"> </v>
      </c>
      <c r="O580" s="1298" t="str">
        <f>IF(SUMIFS('Level of Efficiency Assumptions'!$J:$J,'Level of Efficiency Assumptions'!$H:$H,$I580,'Level of Efficiency Assumptions'!$I:$I,O$51)=0," ",SUMIFS('Level of Efficiency Assumptions'!$J:$J,'Level of Efficiency Assumptions'!$H:$H,$I580,'Level of Efficiency Assumptions'!$I:$I,O$51))</f>
        <v xml:space="preserve"> </v>
      </c>
      <c r="P580" s="1299" t="str">
        <f>IF(SUMIFS('Level of Efficiency Assumptions'!$J:$J,'Level of Efficiency Assumptions'!$H:$H,$I580,'Level of Efficiency Assumptions'!$I:$I,P$51)=0," ",SUMIFS('Level of Efficiency Assumptions'!$J:$J,'Level of Efficiency Assumptions'!$H:$H,$I580,'Level of Efficiency Assumptions'!$I:$I,P$51))</f>
        <v xml:space="preserve"> </v>
      </c>
      <c r="Q580" s="971" t="e">
        <f>IF(I580=" "," ",(VLOOKUP(I580,list!$B$81:$C$111,2,FALSE)))</f>
        <v>#N/A</v>
      </c>
      <c r="R580" s="243">
        <f t="shared" si="200"/>
        <v>0</v>
      </c>
      <c r="S580" s="64">
        <v>1</v>
      </c>
      <c r="T580" s="68">
        <v>0</v>
      </c>
      <c r="U580" s="244">
        <f t="shared" si="203"/>
        <v>1</v>
      </c>
    </row>
    <row r="581" spans="3:24" ht="15" thickBot="1" x14ac:dyDescent="0.35">
      <c r="C581" s="520"/>
      <c r="D581" s="224" t="str">
        <f t="shared" si="204"/>
        <v xml:space="preserve">  </v>
      </c>
      <c r="E581" s="224"/>
      <c r="F581" s="224" t="str">
        <f t="shared" si="205"/>
        <v xml:space="preserve">  </v>
      </c>
      <c r="G581" s="224"/>
      <c r="H581" s="380"/>
      <c r="I581" s="516" t="e">
        <f>IF(VLOOKUP(C36,list!$AA$5:$AS$14,10,FALSE)=0," ",(VLOOKUP(C36,list!$AA$5:$AS$14,10,FALSE)))</f>
        <v>#N/A</v>
      </c>
      <c r="J581" s="955" t="e">
        <f t="shared" si="201"/>
        <v>#N/A</v>
      </c>
      <c r="K581" s="955" t="e">
        <f t="shared" si="202"/>
        <v>#N/A</v>
      </c>
      <c r="L581" s="969" t="e">
        <f>IF(I581=" "," ",VLOOKUP(J581,list!$J$4:$M$117,4,FALSE))</f>
        <v>#N/A</v>
      </c>
      <c r="M581" s="66"/>
      <c r="N581" s="1297" t="str">
        <f>IF(SUMIFS('Level of Efficiency Assumptions'!$J:$J,'Level of Efficiency Assumptions'!$H:$H,$I581,'Level of Efficiency Assumptions'!$I:$I,N$51)=0," ",SUMIFS('Level of Efficiency Assumptions'!$J:$J,'Level of Efficiency Assumptions'!$H:$H,$I581,'Level of Efficiency Assumptions'!$I:$I,N$51))</f>
        <v xml:space="preserve"> </v>
      </c>
      <c r="O581" s="1298" t="str">
        <f>IF(SUMIFS('Level of Efficiency Assumptions'!$J:$J,'Level of Efficiency Assumptions'!$H:$H,$I581,'Level of Efficiency Assumptions'!$I:$I,O$51)=0," ",SUMIFS('Level of Efficiency Assumptions'!$J:$J,'Level of Efficiency Assumptions'!$H:$H,$I581,'Level of Efficiency Assumptions'!$I:$I,O$51))</f>
        <v xml:space="preserve"> </v>
      </c>
      <c r="P581" s="1299" t="str">
        <f>IF(SUMIFS('Level of Efficiency Assumptions'!$J:$J,'Level of Efficiency Assumptions'!$H:$H,$I581,'Level of Efficiency Assumptions'!$I:$I,P$51)=0," ",SUMIFS('Level of Efficiency Assumptions'!$J:$J,'Level of Efficiency Assumptions'!$H:$H,$I581,'Level of Efficiency Assumptions'!$I:$I,P$51))</f>
        <v xml:space="preserve"> </v>
      </c>
      <c r="Q581" s="971" t="e">
        <f>IF(I581=" "," ",(VLOOKUP(I581,list!$B$81:$C$111,2,FALSE)))</f>
        <v>#N/A</v>
      </c>
      <c r="R581" s="243">
        <f t="shared" si="200"/>
        <v>0</v>
      </c>
      <c r="S581" s="64">
        <v>1</v>
      </c>
      <c r="T581" s="68">
        <v>0</v>
      </c>
      <c r="U581" s="244">
        <f t="shared" si="203"/>
        <v>1</v>
      </c>
    </row>
    <row r="582" spans="3:24" ht="15" thickBot="1" x14ac:dyDescent="0.35">
      <c r="C582" s="520"/>
      <c r="D582" s="224" t="str">
        <f t="shared" si="204"/>
        <v xml:space="preserve">  </v>
      </c>
      <c r="E582" s="224"/>
      <c r="F582" s="224" t="str">
        <f t="shared" si="205"/>
        <v xml:space="preserve">  </v>
      </c>
      <c r="G582" s="224"/>
      <c r="H582" s="380"/>
      <c r="I582" s="516" t="e">
        <f>IF(VLOOKUP(C36,list!$AA$5:$AS$14,11,FALSE)=0," ",(VLOOKUP(C36,list!$AA$5:$AS$14,11,FALSE)))</f>
        <v>#N/A</v>
      </c>
      <c r="J582" s="955" t="e">
        <f t="shared" si="201"/>
        <v>#N/A</v>
      </c>
      <c r="K582" s="955" t="e">
        <f t="shared" si="202"/>
        <v>#N/A</v>
      </c>
      <c r="L582" s="969" t="e">
        <f>IF(I582=" "," ",VLOOKUP(J582,list!$J$4:$M$117,4,FALSE))</f>
        <v>#N/A</v>
      </c>
      <c r="M582" s="66"/>
      <c r="N582" s="1297" t="str">
        <f>IF(SUMIFS('Level of Efficiency Assumptions'!$J:$J,'Level of Efficiency Assumptions'!$H:$H,$I582,'Level of Efficiency Assumptions'!$I:$I,N$51)=0," ",SUMIFS('Level of Efficiency Assumptions'!$J:$J,'Level of Efficiency Assumptions'!$H:$H,$I582,'Level of Efficiency Assumptions'!$I:$I,N$51))</f>
        <v xml:space="preserve"> </v>
      </c>
      <c r="O582" s="1298" t="str">
        <f>IF(SUMIFS('Level of Efficiency Assumptions'!$J:$J,'Level of Efficiency Assumptions'!$H:$H,$I582,'Level of Efficiency Assumptions'!$I:$I,O$51)=0," ",SUMIFS('Level of Efficiency Assumptions'!$J:$J,'Level of Efficiency Assumptions'!$H:$H,$I582,'Level of Efficiency Assumptions'!$I:$I,O$51))</f>
        <v xml:space="preserve"> </v>
      </c>
      <c r="P582" s="1299" t="str">
        <f>IF(SUMIFS('Level of Efficiency Assumptions'!$J:$J,'Level of Efficiency Assumptions'!$H:$H,$I582,'Level of Efficiency Assumptions'!$I:$I,P$51)=0," ",SUMIFS('Level of Efficiency Assumptions'!$J:$J,'Level of Efficiency Assumptions'!$H:$H,$I582,'Level of Efficiency Assumptions'!$I:$I,P$51))</f>
        <v xml:space="preserve"> </v>
      </c>
      <c r="Q582" s="971" t="e">
        <f>IF(I582=" "," ",(VLOOKUP(I582,list!$B$81:$C$111,2,FALSE)))</f>
        <v>#N/A</v>
      </c>
      <c r="R582" s="243">
        <f t="shared" si="200"/>
        <v>0</v>
      </c>
      <c r="S582" s="64">
        <v>1</v>
      </c>
      <c r="T582" s="68">
        <v>0</v>
      </c>
      <c r="U582" s="244">
        <f t="shared" si="203"/>
        <v>1</v>
      </c>
    </row>
    <row r="583" spans="3:24" ht="15" thickBot="1" x14ac:dyDescent="0.35">
      <c r="C583" s="520"/>
      <c r="D583" s="224" t="str">
        <f t="shared" si="204"/>
        <v xml:space="preserve">  </v>
      </c>
      <c r="E583" s="224"/>
      <c r="F583" s="224" t="str">
        <f t="shared" si="205"/>
        <v xml:space="preserve">  </v>
      </c>
      <c r="G583" s="224"/>
      <c r="H583" s="380"/>
      <c r="I583" s="516" t="e">
        <f>IF(VLOOKUP(C36,list!$AA$5:$AS$14,12,FALSE)=0," ",(VLOOKUP(C36,list!$AA$5:$AS$14,12,FALSE)))</f>
        <v>#N/A</v>
      </c>
      <c r="J583" s="955" t="e">
        <f t="shared" si="201"/>
        <v>#N/A</v>
      </c>
      <c r="K583" s="955" t="e">
        <f t="shared" si="202"/>
        <v>#N/A</v>
      </c>
      <c r="L583" s="969" t="e">
        <f>IF(I583=" "," ",VLOOKUP(J583,list!$J$4:$M$117,4,FALSE))</f>
        <v>#N/A</v>
      </c>
      <c r="M583" s="66"/>
      <c r="N583" s="1297" t="str">
        <f>IF(SUMIFS('Level of Efficiency Assumptions'!$J:$J,'Level of Efficiency Assumptions'!$H:$H,$I583,'Level of Efficiency Assumptions'!$I:$I,N$51)=0," ",SUMIFS('Level of Efficiency Assumptions'!$J:$J,'Level of Efficiency Assumptions'!$H:$H,$I583,'Level of Efficiency Assumptions'!$I:$I,N$51))</f>
        <v xml:space="preserve"> </v>
      </c>
      <c r="O583" s="1298" t="str">
        <f>IF(SUMIFS('Level of Efficiency Assumptions'!$J:$J,'Level of Efficiency Assumptions'!$H:$H,$I583,'Level of Efficiency Assumptions'!$I:$I,O$51)=0," ",SUMIFS('Level of Efficiency Assumptions'!$J:$J,'Level of Efficiency Assumptions'!$H:$H,$I583,'Level of Efficiency Assumptions'!$I:$I,O$51))</f>
        <v xml:space="preserve"> </v>
      </c>
      <c r="P583" s="1299" t="str">
        <f>IF(SUMIFS('Level of Efficiency Assumptions'!$J:$J,'Level of Efficiency Assumptions'!$H:$H,$I583,'Level of Efficiency Assumptions'!$I:$I,P$51)=0," ",SUMIFS('Level of Efficiency Assumptions'!$J:$J,'Level of Efficiency Assumptions'!$H:$H,$I583,'Level of Efficiency Assumptions'!$I:$I,P$51))</f>
        <v xml:space="preserve"> </v>
      </c>
      <c r="Q583" s="971" t="e">
        <f>IF(I583=" "," ",(VLOOKUP(I583,list!$B$81:$C$111,2,FALSE)))</f>
        <v>#N/A</v>
      </c>
      <c r="R583" s="243">
        <f t="shared" si="200"/>
        <v>0</v>
      </c>
      <c r="S583" s="64">
        <v>1</v>
      </c>
      <c r="T583" s="68">
        <v>0</v>
      </c>
      <c r="U583" s="244">
        <f t="shared" si="203"/>
        <v>1</v>
      </c>
    </row>
    <row r="584" spans="3:24" ht="15" thickBot="1" x14ac:dyDescent="0.35">
      <c r="C584" s="520"/>
      <c r="D584" s="224" t="str">
        <f t="shared" si="204"/>
        <v xml:space="preserve">  </v>
      </c>
      <c r="E584" s="224"/>
      <c r="F584" s="224" t="str">
        <f t="shared" si="205"/>
        <v xml:space="preserve">  </v>
      </c>
      <c r="G584" s="224"/>
      <c r="H584" s="380"/>
      <c r="I584" s="516" t="e">
        <f>IF(VLOOKUP(C36,list!$AA$5:$AS$14,13,FALSE)=0," ",(VLOOKUP(C36,list!$AA$5:$AS$14,13,FALSE)))</f>
        <v>#N/A</v>
      </c>
      <c r="J584" s="955" t="e">
        <f t="shared" si="201"/>
        <v>#N/A</v>
      </c>
      <c r="K584" s="955" t="e">
        <f t="shared" si="202"/>
        <v>#N/A</v>
      </c>
      <c r="L584" s="969" t="e">
        <f>IF(I584=" "," ",VLOOKUP(J584,list!$J$4:$M$117,4,FALSE))</f>
        <v>#N/A</v>
      </c>
      <c r="M584" s="66"/>
      <c r="N584" s="1297" t="str">
        <f>IF(SUMIFS('Level of Efficiency Assumptions'!$J:$J,'Level of Efficiency Assumptions'!$H:$H,$I584,'Level of Efficiency Assumptions'!$I:$I,N$51)=0," ",SUMIFS('Level of Efficiency Assumptions'!$J:$J,'Level of Efficiency Assumptions'!$H:$H,$I584,'Level of Efficiency Assumptions'!$I:$I,N$51))</f>
        <v xml:space="preserve"> </v>
      </c>
      <c r="O584" s="1298" t="str">
        <f>IF(SUMIFS('Level of Efficiency Assumptions'!$J:$J,'Level of Efficiency Assumptions'!$H:$H,$I584,'Level of Efficiency Assumptions'!$I:$I,O$51)=0," ",SUMIFS('Level of Efficiency Assumptions'!$J:$J,'Level of Efficiency Assumptions'!$H:$H,$I584,'Level of Efficiency Assumptions'!$I:$I,O$51))</f>
        <v xml:space="preserve"> </v>
      </c>
      <c r="P584" s="1299" t="str">
        <f>IF(SUMIFS('Level of Efficiency Assumptions'!$J:$J,'Level of Efficiency Assumptions'!$H:$H,$I584,'Level of Efficiency Assumptions'!$I:$I,P$51)=0," ",SUMIFS('Level of Efficiency Assumptions'!$J:$J,'Level of Efficiency Assumptions'!$H:$H,$I584,'Level of Efficiency Assumptions'!$I:$I,P$51))</f>
        <v xml:space="preserve"> </v>
      </c>
      <c r="Q584" s="971" t="e">
        <f>IF(I584=" "," ",(VLOOKUP(I584,list!$B$81:$C$111,2,FALSE)))</f>
        <v>#N/A</v>
      </c>
      <c r="R584" s="243">
        <f t="shared" si="200"/>
        <v>0</v>
      </c>
      <c r="S584" s="64">
        <v>1</v>
      </c>
      <c r="T584" s="68">
        <v>0</v>
      </c>
      <c r="U584" s="244">
        <f t="shared" si="203"/>
        <v>1</v>
      </c>
    </row>
    <row r="585" spans="3:24" ht="15" thickBot="1" x14ac:dyDescent="0.35">
      <c r="C585" s="520"/>
      <c r="D585" s="224" t="str">
        <f t="shared" si="204"/>
        <v xml:space="preserve">  </v>
      </c>
      <c r="E585" s="224"/>
      <c r="F585" s="224" t="str">
        <f t="shared" si="205"/>
        <v xml:space="preserve">  </v>
      </c>
      <c r="G585" s="224"/>
      <c r="H585" s="380"/>
      <c r="I585" s="516" t="e">
        <f>IF(VLOOKUP(C36,list!$AA$5:$AS$14,14,FALSE)=0," ",(VLOOKUP(C36,list!$AA$5:$AS$14,14,FALSE)))</f>
        <v>#N/A</v>
      </c>
      <c r="J585" s="955" t="e">
        <f t="shared" si="201"/>
        <v>#N/A</v>
      </c>
      <c r="K585" s="955" t="e">
        <f t="shared" si="202"/>
        <v>#N/A</v>
      </c>
      <c r="L585" s="969" t="e">
        <f>IF(I585=" "," ",VLOOKUP(J585,list!$J$4:$M$117,4,FALSE))</f>
        <v>#N/A</v>
      </c>
      <c r="M585" s="66"/>
      <c r="N585" s="1297" t="str">
        <f>IF(SUMIFS('Level of Efficiency Assumptions'!$J:$J,'Level of Efficiency Assumptions'!$H:$H,$I585,'Level of Efficiency Assumptions'!$I:$I,N$51)=0," ",SUMIFS('Level of Efficiency Assumptions'!$J:$J,'Level of Efficiency Assumptions'!$H:$H,$I585,'Level of Efficiency Assumptions'!$I:$I,N$51))</f>
        <v xml:space="preserve"> </v>
      </c>
      <c r="O585" s="1298" t="str">
        <f>IF(SUMIFS('Level of Efficiency Assumptions'!$J:$J,'Level of Efficiency Assumptions'!$H:$H,$I585,'Level of Efficiency Assumptions'!$I:$I,O$51)=0," ",SUMIFS('Level of Efficiency Assumptions'!$J:$J,'Level of Efficiency Assumptions'!$H:$H,$I585,'Level of Efficiency Assumptions'!$I:$I,O$51))</f>
        <v xml:space="preserve"> </v>
      </c>
      <c r="P585" s="1299" t="str">
        <f>IF(SUMIFS('Level of Efficiency Assumptions'!$J:$J,'Level of Efficiency Assumptions'!$H:$H,$I585,'Level of Efficiency Assumptions'!$I:$I,P$51)=0," ",SUMIFS('Level of Efficiency Assumptions'!$J:$J,'Level of Efficiency Assumptions'!$H:$H,$I585,'Level of Efficiency Assumptions'!$I:$I,P$51))</f>
        <v xml:space="preserve"> </v>
      </c>
      <c r="Q585" s="971" t="e">
        <f>IF(I585=" "," ",(VLOOKUP(I585,list!$B$81:$C$111,2,FALSE)))</f>
        <v>#N/A</v>
      </c>
      <c r="R585" s="243">
        <f t="shared" si="200"/>
        <v>0</v>
      </c>
      <c r="S585" s="64">
        <v>1</v>
      </c>
      <c r="T585" s="68">
        <v>0</v>
      </c>
      <c r="U585" s="244">
        <f t="shared" si="203"/>
        <v>1</v>
      </c>
    </row>
    <row r="586" spans="3:24" ht="15" thickBot="1" x14ac:dyDescent="0.35">
      <c r="C586" s="520"/>
      <c r="D586" s="224" t="str">
        <f t="shared" si="204"/>
        <v xml:space="preserve">  </v>
      </c>
      <c r="E586" s="224"/>
      <c r="F586" s="224" t="str">
        <f t="shared" si="205"/>
        <v xml:space="preserve">  </v>
      </c>
      <c r="G586" s="224"/>
      <c r="H586" s="380"/>
      <c r="I586" s="516" t="e">
        <f>IF(VLOOKUP(C36,list!$AA$5:$AS$14,15,FALSE)=0," ",(VLOOKUP(C36,list!$AA$5:$AS$14,15,FALSE)))</f>
        <v>#N/A</v>
      </c>
      <c r="J586" s="955" t="e">
        <f t="shared" si="201"/>
        <v>#N/A</v>
      </c>
      <c r="K586" s="955" t="e">
        <f t="shared" si="202"/>
        <v>#N/A</v>
      </c>
      <c r="L586" s="969" t="e">
        <f>IF(I586=" "," ",VLOOKUP(J586,list!$J$4:$M$117,4,FALSE))</f>
        <v>#N/A</v>
      </c>
      <c r="M586" s="66"/>
      <c r="N586" s="1297" t="str">
        <f>IF(SUMIFS('Level of Efficiency Assumptions'!$J:$J,'Level of Efficiency Assumptions'!$H:$H,$I586,'Level of Efficiency Assumptions'!$I:$I,N$51)=0," ",SUMIFS('Level of Efficiency Assumptions'!$J:$J,'Level of Efficiency Assumptions'!$H:$H,$I586,'Level of Efficiency Assumptions'!$I:$I,N$51))</f>
        <v xml:space="preserve"> </v>
      </c>
      <c r="O586" s="1298" t="str">
        <f>IF(SUMIFS('Level of Efficiency Assumptions'!$J:$J,'Level of Efficiency Assumptions'!$H:$H,$I586,'Level of Efficiency Assumptions'!$I:$I,O$51)=0," ",SUMIFS('Level of Efficiency Assumptions'!$J:$J,'Level of Efficiency Assumptions'!$H:$H,$I586,'Level of Efficiency Assumptions'!$I:$I,O$51))</f>
        <v xml:space="preserve"> </v>
      </c>
      <c r="P586" s="1299" t="str">
        <f>IF(SUMIFS('Level of Efficiency Assumptions'!$J:$J,'Level of Efficiency Assumptions'!$H:$H,$I586,'Level of Efficiency Assumptions'!$I:$I,P$51)=0," ",SUMIFS('Level of Efficiency Assumptions'!$J:$J,'Level of Efficiency Assumptions'!$H:$H,$I586,'Level of Efficiency Assumptions'!$I:$I,P$51))</f>
        <v xml:space="preserve"> </v>
      </c>
      <c r="Q586" s="971" t="e">
        <f>IF(I586=" "," ",(VLOOKUP(I586,list!$B$81:$C$111,2,FALSE)))</f>
        <v>#N/A</v>
      </c>
      <c r="R586" s="243">
        <f t="shared" si="200"/>
        <v>0</v>
      </c>
      <c r="S586" s="64">
        <v>1</v>
      </c>
      <c r="T586" s="68">
        <v>0</v>
      </c>
      <c r="U586" s="244">
        <f t="shared" si="203"/>
        <v>1</v>
      </c>
    </row>
    <row r="587" spans="3:24" ht="15" thickBot="1" x14ac:dyDescent="0.35">
      <c r="C587" s="520"/>
      <c r="D587" s="224" t="str">
        <f t="shared" si="204"/>
        <v xml:space="preserve">  </v>
      </c>
      <c r="E587" s="224"/>
      <c r="F587" s="224" t="str">
        <f t="shared" si="205"/>
        <v xml:space="preserve">  </v>
      </c>
      <c r="G587" s="224"/>
      <c r="H587" s="380"/>
      <c r="I587" s="516" t="e">
        <f>IF(VLOOKUP(C36,list!$AA$5:$AS$14,16,FALSE)=0," ",(VLOOKUP(C36,list!$AA$5:$AS$14,16,FALSE)))</f>
        <v>#N/A</v>
      </c>
      <c r="J587" s="955" t="e">
        <f t="shared" si="201"/>
        <v>#N/A</v>
      </c>
      <c r="K587" s="955" t="e">
        <f t="shared" si="202"/>
        <v>#N/A</v>
      </c>
      <c r="L587" s="969" t="e">
        <f>IF(I587=" "," ",VLOOKUP(J587,list!$J$4:$M$117,4,FALSE))</f>
        <v>#N/A</v>
      </c>
      <c r="M587" s="66"/>
      <c r="N587" s="1297" t="str">
        <f>IF(SUMIFS('Level of Efficiency Assumptions'!$J:$J,'Level of Efficiency Assumptions'!$H:$H,$I587,'Level of Efficiency Assumptions'!$I:$I,N$51)=0," ",SUMIFS('Level of Efficiency Assumptions'!$J:$J,'Level of Efficiency Assumptions'!$H:$H,$I587,'Level of Efficiency Assumptions'!$I:$I,N$51))</f>
        <v xml:space="preserve"> </v>
      </c>
      <c r="O587" s="1298" t="str">
        <f>IF(SUMIFS('Level of Efficiency Assumptions'!$J:$J,'Level of Efficiency Assumptions'!$H:$H,$I587,'Level of Efficiency Assumptions'!$I:$I,O$51)=0," ",SUMIFS('Level of Efficiency Assumptions'!$J:$J,'Level of Efficiency Assumptions'!$H:$H,$I587,'Level of Efficiency Assumptions'!$I:$I,O$51))</f>
        <v xml:space="preserve"> </v>
      </c>
      <c r="P587" s="1299" t="str">
        <f>IF(SUMIFS('Level of Efficiency Assumptions'!$J:$J,'Level of Efficiency Assumptions'!$H:$H,$I587,'Level of Efficiency Assumptions'!$I:$I,P$51)=0," ",SUMIFS('Level of Efficiency Assumptions'!$J:$J,'Level of Efficiency Assumptions'!$H:$H,$I587,'Level of Efficiency Assumptions'!$I:$I,P$51))</f>
        <v xml:space="preserve"> </v>
      </c>
      <c r="Q587" s="971" t="e">
        <f>IF(I587=" "," ",(VLOOKUP(I587,list!$B$81:$C$111,2,FALSE)))</f>
        <v>#N/A</v>
      </c>
      <c r="R587" s="243">
        <f t="shared" si="200"/>
        <v>0</v>
      </c>
      <c r="S587" s="64">
        <v>1</v>
      </c>
      <c r="T587" s="68">
        <v>0</v>
      </c>
      <c r="U587" s="244">
        <f t="shared" si="203"/>
        <v>1</v>
      </c>
    </row>
    <row r="588" spans="3:24" ht="15" thickBot="1" x14ac:dyDescent="0.35">
      <c r="C588" s="520"/>
      <c r="D588" s="224" t="str">
        <f t="shared" si="204"/>
        <v xml:space="preserve">  </v>
      </c>
      <c r="E588" s="224"/>
      <c r="F588" s="224" t="str">
        <f t="shared" si="205"/>
        <v xml:space="preserve">  </v>
      </c>
      <c r="G588" s="224"/>
      <c r="H588" s="380"/>
      <c r="I588" s="516" t="e">
        <f>IF(VLOOKUP(C36,list!$AA$5:$AS$14,17,FALSE)=0," ",(VLOOKUP(C36,list!$AA$5:$AS$14,17,FALSE)))</f>
        <v>#N/A</v>
      </c>
      <c r="J588" s="955" t="e">
        <f t="shared" si="201"/>
        <v>#N/A</v>
      </c>
      <c r="K588" s="955" t="e">
        <f t="shared" si="202"/>
        <v>#N/A</v>
      </c>
      <c r="L588" s="969" t="e">
        <f>IF(I588=" "," ",VLOOKUP(J588,list!$J$4:$M$117,4,FALSE))</f>
        <v>#N/A</v>
      </c>
      <c r="M588" s="66"/>
      <c r="N588" s="1297" t="str">
        <f>IF(SUMIFS('Level of Efficiency Assumptions'!$J:$J,'Level of Efficiency Assumptions'!$H:$H,$I588,'Level of Efficiency Assumptions'!$I:$I,N$51)=0," ",SUMIFS('Level of Efficiency Assumptions'!$J:$J,'Level of Efficiency Assumptions'!$H:$H,$I588,'Level of Efficiency Assumptions'!$I:$I,N$51))</f>
        <v xml:space="preserve"> </v>
      </c>
      <c r="O588" s="1298" t="str">
        <f>IF(SUMIFS('Level of Efficiency Assumptions'!$J:$J,'Level of Efficiency Assumptions'!$H:$H,$I588,'Level of Efficiency Assumptions'!$I:$I,O$51)=0," ",SUMIFS('Level of Efficiency Assumptions'!$J:$J,'Level of Efficiency Assumptions'!$H:$H,$I588,'Level of Efficiency Assumptions'!$I:$I,O$51))</f>
        <v xml:space="preserve"> </v>
      </c>
      <c r="P588" s="1299" t="str">
        <f>IF(SUMIFS('Level of Efficiency Assumptions'!$J:$J,'Level of Efficiency Assumptions'!$H:$H,$I588,'Level of Efficiency Assumptions'!$I:$I,P$51)=0," ",SUMIFS('Level of Efficiency Assumptions'!$J:$J,'Level of Efficiency Assumptions'!$H:$H,$I588,'Level of Efficiency Assumptions'!$I:$I,P$51))</f>
        <v xml:space="preserve"> </v>
      </c>
      <c r="Q588" s="971" t="e">
        <f>IF(I588=" "," ",(VLOOKUP(I588,list!$B$81:$C$111,2,FALSE)))</f>
        <v>#N/A</v>
      </c>
      <c r="R588" s="243">
        <f t="shared" si="200"/>
        <v>0</v>
      </c>
      <c r="S588" s="64">
        <v>1</v>
      </c>
      <c r="T588" s="68">
        <v>0</v>
      </c>
      <c r="U588" s="244">
        <f t="shared" si="203"/>
        <v>1</v>
      </c>
    </row>
    <row r="589" spans="3:24" ht="15" thickBot="1" x14ac:dyDescent="0.35">
      <c r="C589" s="520"/>
      <c r="D589" s="224" t="str">
        <f t="shared" si="204"/>
        <v xml:space="preserve">  </v>
      </c>
      <c r="E589" s="224"/>
      <c r="F589" s="224" t="str">
        <f t="shared" si="205"/>
        <v xml:space="preserve">  </v>
      </c>
      <c r="G589" s="224"/>
      <c r="H589" s="380"/>
      <c r="I589" s="516" t="e">
        <f>IF(VLOOKUP(C36,list!$AA$5:$AS$14,18,FALSE)=0," ",(VLOOKUP(C36,list!$AA$5:$AS$14,18,FALSE)))</f>
        <v>#N/A</v>
      </c>
      <c r="J589" s="955" t="e">
        <f t="shared" si="201"/>
        <v>#N/A</v>
      </c>
      <c r="K589" s="955" t="e">
        <f t="shared" si="202"/>
        <v>#N/A</v>
      </c>
      <c r="L589" s="969" t="e">
        <f>IF(I589=" "," ",VLOOKUP(J589,list!$J$4:$M$117,4,FALSE))</f>
        <v>#N/A</v>
      </c>
      <c r="M589" s="66"/>
      <c r="N589" s="1297" t="str">
        <f>IF(SUMIFS('Level of Efficiency Assumptions'!$J:$J,'Level of Efficiency Assumptions'!$H:$H,$I589,'Level of Efficiency Assumptions'!$I:$I,N$51)=0," ",SUMIFS('Level of Efficiency Assumptions'!$J:$J,'Level of Efficiency Assumptions'!$H:$H,$I589,'Level of Efficiency Assumptions'!$I:$I,N$51))</f>
        <v xml:space="preserve"> </v>
      </c>
      <c r="O589" s="1298" t="str">
        <f>IF(SUMIFS('Level of Efficiency Assumptions'!$J:$J,'Level of Efficiency Assumptions'!$H:$H,$I589,'Level of Efficiency Assumptions'!$I:$I,O$51)=0," ",SUMIFS('Level of Efficiency Assumptions'!$J:$J,'Level of Efficiency Assumptions'!$H:$H,$I589,'Level of Efficiency Assumptions'!$I:$I,O$51))</f>
        <v xml:space="preserve"> </v>
      </c>
      <c r="P589" s="1299" t="str">
        <f>IF(SUMIFS('Level of Efficiency Assumptions'!$J:$J,'Level of Efficiency Assumptions'!$H:$H,$I589,'Level of Efficiency Assumptions'!$I:$I,P$51)=0," ",SUMIFS('Level of Efficiency Assumptions'!$J:$J,'Level of Efficiency Assumptions'!$H:$H,$I589,'Level of Efficiency Assumptions'!$I:$I,P$51))</f>
        <v xml:space="preserve"> </v>
      </c>
      <c r="Q589" s="971" t="e">
        <f>IF(I589=" "," ",(VLOOKUP(I589,list!$B$81:$C$111,2,FALSE)))</f>
        <v>#N/A</v>
      </c>
      <c r="R589" s="243">
        <f t="shared" si="200"/>
        <v>0</v>
      </c>
      <c r="S589" s="64">
        <v>1</v>
      </c>
      <c r="T589" s="68">
        <v>0</v>
      </c>
      <c r="U589" s="244">
        <f t="shared" si="203"/>
        <v>1</v>
      </c>
    </row>
    <row r="590" spans="3:24" ht="15" thickBot="1" x14ac:dyDescent="0.35">
      <c r="C590" s="632"/>
      <c r="D590" s="226" t="str">
        <f t="shared" si="204"/>
        <v xml:space="preserve">  </v>
      </c>
      <c r="E590" s="226"/>
      <c r="F590" s="226" t="str">
        <f t="shared" si="205"/>
        <v xml:space="preserve">  </v>
      </c>
      <c r="G590" s="226"/>
      <c r="H590" s="976"/>
      <c r="I590" s="516" t="e">
        <f>IF(VLOOKUP(C36,list!$AA$5:$AS$14,19,FALSE)=0," ",(VLOOKUP(C36,list!$AA$5:$AS$14,19,FALSE)))</f>
        <v>#N/A</v>
      </c>
      <c r="J590" s="955" t="e">
        <f>IF(I590=" "," ",(D590&amp;"-"&amp;I590))</f>
        <v>#N/A</v>
      </c>
      <c r="K590" s="955" t="e">
        <f t="shared" si="202"/>
        <v>#N/A</v>
      </c>
      <c r="L590" s="969" t="e">
        <f>IF(I590=" "," ",VLOOKUP(J590,list!$J$4:$M$117,4,FALSE))</f>
        <v>#N/A</v>
      </c>
      <c r="M590" s="67"/>
      <c r="N590" s="1303" t="str">
        <f>IF(SUMIFS('Level of Efficiency Assumptions'!$J:$J,'Level of Efficiency Assumptions'!$H:$H,$I590,'Level of Efficiency Assumptions'!$I:$I,N$51)=0," ",SUMIFS('Level of Efficiency Assumptions'!$J:$J,'Level of Efficiency Assumptions'!$H:$H,$I590,'Level of Efficiency Assumptions'!$I:$I,N$51))</f>
        <v xml:space="preserve"> </v>
      </c>
      <c r="O590" s="1304" t="str">
        <f>IF(SUMIFS('Level of Efficiency Assumptions'!$J:$J,'Level of Efficiency Assumptions'!$H:$H,$I590,'Level of Efficiency Assumptions'!$I:$I,O$51)=0," ",SUMIFS('Level of Efficiency Assumptions'!$J:$J,'Level of Efficiency Assumptions'!$H:$H,$I590,'Level of Efficiency Assumptions'!$I:$I,O$51))</f>
        <v xml:space="preserve"> </v>
      </c>
      <c r="P590" s="1305" t="str">
        <f>IF(SUMIFS('Level of Efficiency Assumptions'!$J:$J,'Level of Efficiency Assumptions'!$H:$H,$I590,'Level of Efficiency Assumptions'!$I:$I,P$51)=0," ",SUMIFS('Level of Efficiency Assumptions'!$J:$J,'Level of Efficiency Assumptions'!$H:$H,$I590,'Level of Efficiency Assumptions'!$I:$I,P$51))</f>
        <v xml:space="preserve"> </v>
      </c>
      <c r="Q590" s="977" t="e">
        <f>IF(I590=" "," ",(VLOOKUP(I590,list!$B$81:$C$111,2,FALSE)))</f>
        <v>#N/A</v>
      </c>
      <c r="R590" s="245">
        <f t="shared" si="200"/>
        <v>0</v>
      </c>
      <c r="S590" s="65">
        <v>1</v>
      </c>
      <c r="T590" s="69">
        <v>0</v>
      </c>
      <c r="U590" s="246">
        <f t="shared" si="203"/>
        <v>1</v>
      </c>
    </row>
    <row r="591" spans="3:24" x14ac:dyDescent="0.3">
      <c r="D591" s="846"/>
      <c r="F591" s="82"/>
      <c r="J591" s="846"/>
      <c r="K591" s="846"/>
      <c r="N591" s="1179"/>
      <c r="O591" s="1179"/>
      <c r="P591" s="1179"/>
      <c r="R591" s="176" t="s">
        <v>295</v>
      </c>
      <c r="S591" s="176"/>
      <c r="T591" s="176"/>
      <c r="U591" s="176"/>
    </row>
    <row r="592" spans="3:24" ht="15" thickBot="1" x14ac:dyDescent="0.35">
      <c r="D592" s="846"/>
      <c r="F592" s="82"/>
      <c r="J592" s="846"/>
      <c r="K592" s="846"/>
      <c r="N592" s="1179"/>
      <c r="O592" s="1179"/>
      <c r="P592" s="1179"/>
    </row>
    <row r="593" spans="2:24" ht="15" thickBot="1" x14ac:dyDescent="0.35">
      <c r="B593" s="814">
        <v>28</v>
      </c>
      <c r="C593" s="967" t="str">
        <f t="shared" ref="C593:H593" si="206">C37</f>
        <v xml:space="preserve">  </v>
      </c>
      <c r="D593" s="967" t="str">
        <f t="shared" si="206"/>
        <v xml:space="preserve">  </v>
      </c>
      <c r="E593" s="967" t="str">
        <f t="shared" si="206"/>
        <v xml:space="preserve">  </v>
      </c>
      <c r="F593" s="967" t="str">
        <f t="shared" si="206"/>
        <v xml:space="preserve">  </v>
      </c>
      <c r="G593" s="967">
        <f t="shared" si="206"/>
        <v>0</v>
      </c>
      <c r="H593" s="968">
        <f t="shared" si="206"/>
        <v>0</v>
      </c>
      <c r="I593" s="516" t="e">
        <f>IF(VLOOKUP(C37,list!$AA$5:$AS$14,2,FALSE)=0," ",(VLOOKUP(C37,list!$AA$5:$AS$14,2,FALSE)))</f>
        <v>#N/A</v>
      </c>
      <c r="J593" s="955" t="e">
        <f>IF(I593=" "," ",(D37&amp;"-"&amp;I593))</f>
        <v>#N/A</v>
      </c>
      <c r="K593" s="955" t="e">
        <f>IF(I593=" "," ",(F37&amp;"-"&amp;I593))</f>
        <v>#N/A</v>
      </c>
      <c r="L593" s="969" t="e">
        <f>IF(I593=" "," ",VLOOKUP(J593,list!$J$4:$M$117,4,FALSE))</f>
        <v>#N/A</v>
      </c>
      <c r="M593" s="70"/>
      <c r="N593" s="1300" t="str">
        <f>IF(SUMIFS('Level of Efficiency Assumptions'!$J:$J,'Level of Efficiency Assumptions'!$H:$H,$I593,'Level of Efficiency Assumptions'!$I:$I,N$51)=0," ",SUMIFS('Level of Efficiency Assumptions'!$J:$J,'Level of Efficiency Assumptions'!$H:$H,$I593,'Level of Efficiency Assumptions'!$I:$I,N$51))</f>
        <v xml:space="preserve"> </v>
      </c>
      <c r="O593" s="1301" t="str">
        <f>IF(SUMIFS('Level of Efficiency Assumptions'!$J:$J,'Level of Efficiency Assumptions'!$H:$H,$I593,'Level of Efficiency Assumptions'!$I:$I,O$51)=0," ",SUMIFS('Level of Efficiency Assumptions'!$J:$J,'Level of Efficiency Assumptions'!$H:$H,$I593,'Level of Efficiency Assumptions'!$I:$I,O$51))</f>
        <v xml:space="preserve"> </v>
      </c>
      <c r="P593" s="1302" t="str">
        <f>IF(SUMIFS('Level of Efficiency Assumptions'!$J:$J,'Level of Efficiency Assumptions'!$H:$H,$I593,'Level of Efficiency Assumptions'!$I:$I,P$51)=0," ",SUMIFS('Level of Efficiency Assumptions'!$J:$J,'Level of Efficiency Assumptions'!$H:$H,$I593,'Level of Efficiency Assumptions'!$I:$I,P$51))</f>
        <v xml:space="preserve"> </v>
      </c>
      <c r="Q593" s="970" t="e">
        <f>IF(I593=" "," ",(VLOOKUP(I593,list!$B$81:$C$111,2,FALSE)))</f>
        <v>#N/A</v>
      </c>
      <c r="R593" s="241">
        <f t="shared" ref="R593:R610" si="207">1-S593-T593</f>
        <v>0</v>
      </c>
      <c r="S593" s="83">
        <v>1</v>
      </c>
      <c r="T593" s="84">
        <v>0</v>
      </c>
      <c r="U593" s="242">
        <f>SUM(R593:T593)</f>
        <v>1</v>
      </c>
      <c r="W593" s="250" t="s">
        <v>367</v>
      </c>
      <c r="X593" s="251" t="s">
        <v>366</v>
      </c>
    </row>
    <row r="594" spans="2:24" ht="15" thickBot="1" x14ac:dyDescent="0.35">
      <c r="C594" s="520"/>
      <c r="D594" s="224" t="str">
        <f>D37</f>
        <v xml:space="preserve">  </v>
      </c>
      <c r="E594" s="224"/>
      <c r="F594" s="224" t="str">
        <f>F37</f>
        <v xml:space="preserve">  </v>
      </c>
      <c r="G594" s="224"/>
      <c r="H594" s="380"/>
      <c r="I594" s="516" t="e">
        <f>IF(VLOOKUP(C37,list!$AA$5:$AS$14,3,FALSE)=0," ",(VLOOKUP(C37,list!$AA$5:$AS$14,3,FALSE)))</f>
        <v>#N/A</v>
      </c>
      <c r="J594" s="955" t="e">
        <f t="shared" ref="J594:J609" si="208">IF(I594=" "," ",(D594&amp;"-"&amp;I594))</f>
        <v>#N/A</v>
      </c>
      <c r="K594" s="955" t="e">
        <f t="shared" ref="K594:K610" si="209">IF(I594=" "," ",(F594&amp;"-"&amp;I594))</f>
        <v>#N/A</v>
      </c>
      <c r="L594" s="969" t="e">
        <f>IF(I594=" "," ",VLOOKUP(J594,list!$J$4:$M$117,4,FALSE))</f>
        <v>#N/A</v>
      </c>
      <c r="M594" s="66"/>
      <c r="N594" s="1297" t="str">
        <f>IF(SUMIFS('Level of Efficiency Assumptions'!$J:$J,'Level of Efficiency Assumptions'!$H:$H,$I594,'Level of Efficiency Assumptions'!$I:$I,N$51)=0," ",SUMIFS('Level of Efficiency Assumptions'!$J:$J,'Level of Efficiency Assumptions'!$H:$H,$I594,'Level of Efficiency Assumptions'!$I:$I,N$51))</f>
        <v xml:space="preserve"> </v>
      </c>
      <c r="O594" s="1298" t="str">
        <f>IF(SUMIFS('Level of Efficiency Assumptions'!$J:$J,'Level of Efficiency Assumptions'!$H:$H,$I594,'Level of Efficiency Assumptions'!$I:$I,O$51)=0," ",SUMIFS('Level of Efficiency Assumptions'!$J:$J,'Level of Efficiency Assumptions'!$H:$H,$I594,'Level of Efficiency Assumptions'!$I:$I,O$51))</f>
        <v xml:space="preserve"> </v>
      </c>
      <c r="P594" s="1299" t="str">
        <f>IF(SUMIFS('Level of Efficiency Assumptions'!$J:$J,'Level of Efficiency Assumptions'!$H:$H,$I594,'Level of Efficiency Assumptions'!$I:$I,P$51)=0," ",SUMIFS('Level of Efficiency Assumptions'!$J:$J,'Level of Efficiency Assumptions'!$H:$H,$I594,'Level of Efficiency Assumptions'!$I:$I,P$51))</f>
        <v xml:space="preserve"> </v>
      </c>
      <c r="Q594" s="971" t="e">
        <f>IF(I594=" "," ",(VLOOKUP(I594,list!$B$81:$C$111,2,FALSE)))</f>
        <v>#N/A</v>
      </c>
      <c r="R594" s="243">
        <f t="shared" si="207"/>
        <v>0</v>
      </c>
      <c r="S594" s="64">
        <v>1</v>
      </c>
      <c r="T594" s="68">
        <v>0</v>
      </c>
      <c r="U594" s="244">
        <f t="shared" ref="U594:U610" si="210">SUM(R594:T594)</f>
        <v>1</v>
      </c>
      <c r="V594" s="82" t="e">
        <f>F594&amp;"-"&amp;W594</f>
        <v>#N/A</v>
      </c>
      <c r="W594" s="247" t="e">
        <f>HLOOKUP(D594,list!$O$34:$X$38,2,FALSE)</f>
        <v>#N/A</v>
      </c>
      <c r="X594" s="972">
        <v>1</v>
      </c>
    </row>
    <row r="595" spans="2:24" ht="15" thickBot="1" x14ac:dyDescent="0.35">
      <c r="C595" s="520"/>
      <c r="D595" s="224" t="str">
        <f>D594</f>
        <v xml:space="preserve">  </v>
      </c>
      <c r="E595" s="224"/>
      <c r="F595" s="224" t="str">
        <f>F594</f>
        <v xml:space="preserve">  </v>
      </c>
      <c r="G595" s="224"/>
      <c r="H595" s="380"/>
      <c r="I595" s="516" t="e">
        <f>IF(VLOOKUP(C37,list!$AA$5:$AS$14,4,FALSE)=0," ",(VLOOKUP(C37,list!$AA$5:$AS$14,4,FALSE)))</f>
        <v>#N/A</v>
      </c>
      <c r="J595" s="955" t="e">
        <f t="shared" si="208"/>
        <v>#N/A</v>
      </c>
      <c r="K595" s="955" t="e">
        <f t="shared" si="209"/>
        <v>#N/A</v>
      </c>
      <c r="L595" s="969" t="e">
        <f>IF(I595=" "," ",VLOOKUP(J595,list!$J$4:$M$117,4,FALSE))</f>
        <v>#N/A</v>
      </c>
      <c r="M595" s="66"/>
      <c r="N595" s="1297" t="str">
        <f>IF(SUMIFS('Level of Efficiency Assumptions'!$J:$J,'Level of Efficiency Assumptions'!$H:$H,$I595,'Level of Efficiency Assumptions'!$I:$I,N$51)=0," ",SUMIFS('Level of Efficiency Assumptions'!$J:$J,'Level of Efficiency Assumptions'!$H:$H,$I595,'Level of Efficiency Assumptions'!$I:$I,N$51))</f>
        <v xml:space="preserve"> </v>
      </c>
      <c r="O595" s="1298" t="str">
        <f>IF(SUMIFS('Level of Efficiency Assumptions'!$J:$J,'Level of Efficiency Assumptions'!$H:$H,$I595,'Level of Efficiency Assumptions'!$I:$I,O$51)=0," ",SUMIFS('Level of Efficiency Assumptions'!$J:$J,'Level of Efficiency Assumptions'!$H:$H,$I595,'Level of Efficiency Assumptions'!$I:$I,O$51))</f>
        <v xml:space="preserve"> </v>
      </c>
      <c r="P595" s="1299" t="str">
        <f>IF(SUMIFS('Level of Efficiency Assumptions'!$J:$J,'Level of Efficiency Assumptions'!$H:$H,$I595,'Level of Efficiency Assumptions'!$I:$I,P$51)=0," ",SUMIFS('Level of Efficiency Assumptions'!$J:$J,'Level of Efficiency Assumptions'!$H:$H,$I595,'Level of Efficiency Assumptions'!$I:$I,P$51))</f>
        <v xml:space="preserve"> </v>
      </c>
      <c r="Q595" s="971" t="e">
        <f>IF(I595=" "," ",(VLOOKUP(I595,list!$B$81:$C$111,2,FALSE)))</f>
        <v>#N/A</v>
      </c>
      <c r="R595" s="243">
        <f t="shared" si="207"/>
        <v>0</v>
      </c>
      <c r="S595" s="64">
        <v>1</v>
      </c>
      <c r="T595" s="68">
        <v>0</v>
      </c>
      <c r="U595" s="244">
        <f t="shared" si="210"/>
        <v>1</v>
      </c>
      <c r="V595" s="82" t="e">
        <f>F595&amp;"-"&amp;W595</f>
        <v>#N/A</v>
      </c>
      <c r="W595" s="248" t="e">
        <f>HLOOKUP(D595,list!$O$34:$X$38,3,FALSE)</f>
        <v>#N/A</v>
      </c>
      <c r="X595" s="973">
        <v>0.5</v>
      </c>
    </row>
    <row r="596" spans="2:24" ht="15" thickBot="1" x14ac:dyDescent="0.35">
      <c r="C596" s="520"/>
      <c r="D596" s="224" t="str">
        <f t="shared" ref="D596:D610" si="211">D595</f>
        <v xml:space="preserve">  </v>
      </c>
      <c r="E596" s="224"/>
      <c r="F596" s="224" t="str">
        <f t="shared" ref="F596:F610" si="212">F595</f>
        <v xml:space="preserve">  </v>
      </c>
      <c r="G596" s="224"/>
      <c r="H596" s="380"/>
      <c r="I596" s="516" t="e">
        <f>IF(VLOOKUP(C37,list!$AA$5:$AS$14,5,FALSE)=0," ",(VLOOKUP(C37,list!$AA$5:$AS$14,5,FALSE)))</f>
        <v>#N/A</v>
      </c>
      <c r="J596" s="955" t="e">
        <f t="shared" si="208"/>
        <v>#N/A</v>
      </c>
      <c r="K596" s="955" t="e">
        <f t="shared" si="209"/>
        <v>#N/A</v>
      </c>
      <c r="L596" s="969" t="e">
        <f>IF(I596=" "," ",VLOOKUP(J596,list!$J$4:$M$117,4,FALSE))</f>
        <v>#N/A</v>
      </c>
      <c r="M596" s="66"/>
      <c r="N596" s="1297" t="str">
        <f>IF(SUMIFS('Level of Efficiency Assumptions'!$J:$J,'Level of Efficiency Assumptions'!$H:$H,$I596,'Level of Efficiency Assumptions'!$I:$I,N$51)=0," ",SUMIFS('Level of Efficiency Assumptions'!$J:$J,'Level of Efficiency Assumptions'!$H:$H,$I596,'Level of Efficiency Assumptions'!$I:$I,N$51))</f>
        <v xml:space="preserve"> </v>
      </c>
      <c r="O596" s="1298" t="str">
        <f>IF(SUMIFS('Level of Efficiency Assumptions'!$J:$J,'Level of Efficiency Assumptions'!$H:$H,$I596,'Level of Efficiency Assumptions'!$I:$I,O$51)=0," ",SUMIFS('Level of Efficiency Assumptions'!$J:$J,'Level of Efficiency Assumptions'!$H:$H,$I596,'Level of Efficiency Assumptions'!$I:$I,O$51))</f>
        <v xml:space="preserve"> </v>
      </c>
      <c r="P596" s="1299" t="str">
        <f>IF(SUMIFS('Level of Efficiency Assumptions'!$J:$J,'Level of Efficiency Assumptions'!$H:$H,$I596,'Level of Efficiency Assumptions'!$I:$I,P$51)=0," ",SUMIFS('Level of Efficiency Assumptions'!$J:$J,'Level of Efficiency Assumptions'!$H:$H,$I596,'Level of Efficiency Assumptions'!$I:$I,P$51))</f>
        <v xml:space="preserve"> </v>
      </c>
      <c r="Q596" s="971" t="e">
        <f>IF(I596=" "," ",(VLOOKUP(I596,list!$B$81:$C$111,2,FALSE)))</f>
        <v>#N/A</v>
      </c>
      <c r="R596" s="243">
        <f t="shared" si="207"/>
        <v>0</v>
      </c>
      <c r="S596" s="64">
        <v>1</v>
      </c>
      <c r="T596" s="68">
        <v>0</v>
      </c>
      <c r="U596" s="244">
        <f t="shared" si="210"/>
        <v>1</v>
      </c>
      <c r="V596" s="82" t="e">
        <f>F596&amp;"-"&amp;W596</f>
        <v>#N/A</v>
      </c>
      <c r="W596" s="248" t="e">
        <f>HLOOKUP(D596,list!$O$34:$X$38,4,FALSE)</f>
        <v>#N/A</v>
      </c>
      <c r="X596" s="973">
        <v>0.5</v>
      </c>
    </row>
    <row r="597" spans="2:24" ht="15" thickBot="1" x14ac:dyDescent="0.35">
      <c r="C597" s="520"/>
      <c r="D597" s="224" t="str">
        <f t="shared" si="211"/>
        <v xml:space="preserve">  </v>
      </c>
      <c r="E597" s="224"/>
      <c r="F597" s="224" t="str">
        <f t="shared" si="212"/>
        <v xml:space="preserve">  </v>
      </c>
      <c r="G597" s="224"/>
      <c r="H597" s="380"/>
      <c r="I597" s="516" t="e">
        <f>IF(VLOOKUP(C37,list!$AA$5:$AS$14,6,FALSE)=0," ",(VLOOKUP(C37,list!$AA$5:$AS$14,6,FALSE)))</f>
        <v>#N/A</v>
      </c>
      <c r="J597" s="955" t="e">
        <f t="shared" si="208"/>
        <v>#N/A</v>
      </c>
      <c r="K597" s="955" t="e">
        <f t="shared" si="209"/>
        <v>#N/A</v>
      </c>
      <c r="L597" s="969" t="e">
        <f>IF(I597=" "," ",VLOOKUP(J597,list!$J$4:$M$117,4,FALSE))</f>
        <v>#N/A</v>
      </c>
      <c r="M597" s="66"/>
      <c r="N597" s="1297" t="str">
        <f>IF(SUMIFS('Level of Efficiency Assumptions'!$J:$J,'Level of Efficiency Assumptions'!$H:$H,$I597,'Level of Efficiency Assumptions'!$I:$I,N$51)=0," ",SUMIFS('Level of Efficiency Assumptions'!$J:$J,'Level of Efficiency Assumptions'!$H:$H,$I597,'Level of Efficiency Assumptions'!$I:$I,N$51))</f>
        <v xml:space="preserve"> </v>
      </c>
      <c r="O597" s="1298" t="str">
        <f>IF(SUMIFS('Level of Efficiency Assumptions'!$J:$J,'Level of Efficiency Assumptions'!$H:$H,$I597,'Level of Efficiency Assumptions'!$I:$I,O$51)=0," ",SUMIFS('Level of Efficiency Assumptions'!$J:$J,'Level of Efficiency Assumptions'!$H:$H,$I597,'Level of Efficiency Assumptions'!$I:$I,O$51))</f>
        <v xml:space="preserve"> </v>
      </c>
      <c r="P597" s="1299" t="str">
        <f>IF(SUMIFS('Level of Efficiency Assumptions'!$J:$J,'Level of Efficiency Assumptions'!$H:$H,$I597,'Level of Efficiency Assumptions'!$I:$I,P$51)=0," ",SUMIFS('Level of Efficiency Assumptions'!$J:$J,'Level of Efficiency Assumptions'!$H:$H,$I597,'Level of Efficiency Assumptions'!$I:$I,P$51))</f>
        <v xml:space="preserve"> </v>
      </c>
      <c r="Q597" s="971" t="e">
        <f>IF(I597=" "," ",(VLOOKUP(I597,list!$B$81:$C$111,2,FALSE)))</f>
        <v>#N/A</v>
      </c>
      <c r="R597" s="243">
        <f t="shared" si="207"/>
        <v>0</v>
      </c>
      <c r="S597" s="64">
        <v>1</v>
      </c>
      <c r="T597" s="68">
        <v>0</v>
      </c>
      <c r="U597" s="244">
        <f t="shared" si="210"/>
        <v>1</v>
      </c>
      <c r="V597" s="82" t="e">
        <f>F597&amp;"-"&amp;W597</f>
        <v>#N/A</v>
      </c>
      <c r="W597" s="249" t="e">
        <f>HLOOKUP(D597,list!$O$34:$X$38,5,FALSE)</f>
        <v>#N/A</v>
      </c>
      <c r="X597" s="974">
        <v>0.5</v>
      </c>
    </row>
    <row r="598" spans="2:24" ht="15" thickBot="1" x14ac:dyDescent="0.35">
      <c r="C598" s="520"/>
      <c r="D598" s="224" t="str">
        <f t="shared" si="211"/>
        <v xml:space="preserve">  </v>
      </c>
      <c r="E598" s="224"/>
      <c r="F598" s="224" t="str">
        <f t="shared" si="212"/>
        <v xml:space="preserve">  </v>
      </c>
      <c r="G598" s="224"/>
      <c r="H598" s="380"/>
      <c r="I598" s="516" t="e">
        <f>IF(VLOOKUP(C37,list!$AA$5:$AS$14,7,FALSE)=0," ",(VLOOKUP(C37,list!$AA$5:$AS$14,7,FALSE)))</f>
        <v>#N/A</v>
      </c>
      <c r="J598" s="955" t="e">
        <f t="shared" si="208"/>
        <v>#N/A</v>
      </c>
      <c r="K598" s="955" t="e">
        <f t="shared" si="209"/>
        <v>#N/A</v>
      </c>
      <c r="L598" s="969" t="e">
        <f>IF(I598=" "," ",VLOOKUP(J598,list!$J$4:$M$117,4,FALSE))</f>
        <v>#N/A</v>
      </c>
      <c r="M598" s="66"/>
      <c r="N598" s="1297" t="str">
        <f>IF(SUMIFS('Level of Efficiency Assumptions'!$J:$J,'Level of Efficiency Assumptions'!$H:$H,$I598,'Level of Efficiency Assumptions'!$I:$I,N$51)=0," ",SUMIFS('Level of Efficiency Assumptions'!$J:$J,'Level of Efficiency Assumptions'!$H:$H,$I598,'Level of Efficiency Assumptions'!$I:$I,N$51))</f>
        <v xml:space="preserve"> </v>
      </c>
      <c r="O598" s="1298" t="str">
        <f>IF(SUMIFS('Level of Efficiency Assumptions'!$J:$J,'Level of Efficiency Assumptions'!$H:$H,$I598,'Level of Efficiency Assumptions'!$I:$I,O$51)=0," ",SUMIFS('Level of Efficiency Assumptions'!$J:$J,'Level of Efficiency Assumptions'!$H:$H,$I598,'Level of Efficiency Assumptions'!$I:$I,O$51))</f>
        <v xml:space="preserve"> </v>
      </c>
      <c r="P598" s="1299" t="str">
        <f>IF(SUMIFS('Level of Efficiency Assumptions'!$J:$J,'Level of Efficiency Assumptions'!$H:$H,$I598,'Level of Efficiency Assumptions'!$I:$I,P$51)=0," ",SUMIFS('Level of Efficiency Assumptions'!$J:$J,'Level of Efficiency Assumptions'!$H:$H,$I598,'Level of Efficiency Assumptions'!$I:$I,P$51))</f>
        <v xml:space="preserve"> </v>
      </c>
      <c r="Q598" s="971" t="e">
        <f>IF(I598=" "," ",(VLOOKUP(I598,list!$B$81:$C$111,2,FALSE)))</f>
        <v>#N/A</v>
      </c>
      <c r="R598" s="243">
        <f t="shared" si="207"/>
        <v>0</v>
      </c>
      <c r="S598" s="64">
        <v>1</v>
      </c>
      <c r="T598" s="68">
        <v>0</v>
      </c>
      <c r="U598" s="244">
        <f t="shared" si="210"/>
        <v>1</v>
      </c>
      <c r="W598" s="182"/>
      <c r="X598" s="975"/>
    </row>
    <row r="599" spans="2:24" ht="15" thickBot="1" x14ac:dyDescent="0.35">
      <c r="C599" s="520"/>
      <c r="D599" s="224" t="str">
        <f t="shared" si="211"/>
        <v xml:space="preserve">  </v>
      </c>
      <c r="E599" s="224"/>
      <c r="F599" s="224" t="str">
        <f t="shared" si="212"/>
        <v xml:space="preserve">  </v>
      </c>
      <c r="G599" s="224"/>
      <c r="H599" s="380"/>
      <c r="I599" s="516" t="e">
        <f>IF(VLOOKUP(C37,list!$AA$5:$AS$14,8,FALSE)=0," ",(VLOOKUP(C37,list!$AA$5:$AS$14,8,FALSE)))</f>
        <v>#N/A</v>
      </c>
      <c r="J599" s="955" t="e">
        <f t="shared" si="208"/>
        <v>#N/A</v>
      </c>
      <c r="K599" s="955" t="e">
        <f t="shared" si="209"/>
        <v>#N/A</v>
      </c>
      <c r="L599" s="969" t="e">
        <f>IF(I599=" "," ",VLOOKUP(J599,list!$J$4:$M$117,4,FALSE))</f>
        <v>#N/A</v>
      </c>
      <c r="M599" s="66"/>
      <c r="N599" s="1297" t="str">
        <f>IF(SUMIFS('Level of Efficiency Assumptions'!$J:$J,'Level of Efficiency Assumptions'!$H:$H,$I599,'Level of Efficiency Assumptions'!$I:$I,N$51)=0," ",SUMIFS('Level of Efficiency Assumptions'!$J:$J,'Level of Efficiency Assumptions'!$H:$H,$I599,'Level of Efficiency Assumptions'!$I:$I,N$51))</f>
        <v xml:space="preserve"> </v>
      </c>
      <c r="O599" s="1298" t="str">
        <f>IF(SUMIFS('Level of Efficiency Assumptions'!$J:$J,'Level of Efficiency Assumptions'!$H:$H,$I599,'Level of Efficiency Assumptions'!$I:$I,O$51)=0," ",SUMIFS('Level of Efficiency Assumptions'!$J:$J,'Level of Efficiency Assumptions'!$H:$H,$I599,'Level of Efficiency Assumptions'!$I:$I,O$51))</f>
        <v xml:space="preserve"> </v>
      </c>
      <c r="P599" s="1299" t="str">
        <f>IF(SUMIFS('Level of Efficiency Assumptions'!$J:$J,'Level of Efficiency Assumptions'!$H:$H,$I599,'Level of Efficiency Assumptions'!$I:$I,P$51)=0," ",SUMIFS('Level of Efficiency Assumptions'!$J:$J,'Level of Efficiency Assumptions'!$H:$H,$I599,'Level of Efficiency Assumptions'!$I:$I,P$51))</f>
        <v xml:space="preserve"> </v>
      </c>
      <c r="Q599" s="971" t="e">
        <f>IF(I599=" "," ",(VLOOKUP(I599,list!$B$81:$C$111,2,FALSE)))</f>
        <v>#N/A</v>
      </c>
      <c r="R599" s="243">
        <f t="shared" si="207"/>
        <v>0</v>
      </c>
      <c r="S599" s="64">
        <v>1</v>
      </c>
      <c r="T599" s="68">
        <v>0</v>
      </c>
      <c r="U599" s="244">
        <f t="shared" si="210"/>
        <v>1</v>
      </c>
      <c r="W599" s="182"/>
      <c r="X599" s="975"/>
    </row>
    <row r="600" spans="2:24" ht="15" thickBot="1" x14ac:dyDescent="0.35">
      <c r="C600" s="520"/>
      <c r="D600" s="224" t="str">
        <f t="shared" si="211"/>
        <v xml:space="preserve">  </v>
      </c>
      <c r="E600" s="224"/>
      <c r="F600" s="224" t="str">
        <f t="shared" si="212"/>
        <v xml:space="preserve">  </v>
      </c>
      <c r="G600" s="224"/>
      <c r="H600" s="380"/>
      <c r="I600" s="516" t="e">
        <f>IF(VLOOKUP(C37,list!$AA$5:$AS$14,9,FALSE)=0," ",(VLOOKUP(C37,list!$AA$5:$AS$14,9,FALSE)))</f>
        <v>#N/A</v>
      </c>
      <c r="J600" s="955" t="e">
        <f t="shared" si="208"/>
        <v>#N/A</v>
      </c>
      <c r="K600" s="955" t="e">
        <f t="shared" si="209"/>
        <v>#N/A</v>
      </c>
      <c r="L600" s="969" t="e">
        <f>IF(I600=" "," ",VLOOKUP(J600,list!$J$4:$M$117,4,FALSE))</f>
        <v>#N/A</v>
      </c>
      <c r="M600" s="66"/>
      <c r="N600" s="1297" t="str">
        <f>IF(SUMIFS('Level of Efficiency Assumptions'!$J:$J,'Level of Efficiency Assumptions'!$H:$H,$I600,'Level of Efficiency Assumptions'!$I:$I,N$51)=0," ",SUMIFS('Level of Efficiency Assumptions'!$J:$J,'Level of Efficiency Assumptions'!$H:$H,$I600,'Level of Efficiency Assumptions'!$I:$I,N$51))</f>
        <v xml:space="preserve"> </v>
      </c>
      <c r="O600" s="1298" t="str">
        <f>IF(SUMIFS('Level of Efficiency Assumptions'!$J:$J,'Level of Efficiency Assumptions'!$H:$H,$I600,'Level of Efficiency Assumptions'!$I:$I,O$51)=0," ",SUMIFS('Level of Efficiency Assumptions'!$J:$J,'Level of Efficiency Assumptions'!$H:$H,$I600,'Level of Efficiency Assumptions'!$I:$I,O$51))</f>
        <v xml:space="preserve"> </v>
      </c>
      <c r="P600" s="1299" t="str">
        <f>IF(SUMIFS('Level of Efficiency Assumptions'!$J:$J,'Level of Efficiency Assumptions'!$H:$H,$I600,'Level of Efficiency Assumptions'!$I:$I,P$51)=0," ",SUMIFS('Level of Efficiency Assumptions'!$J:$J,'Level of Efficiency Assumptions'!$H:$H,$I600,'Level of Efficiency Assumptions'!$I:$I,P$51))</f>
        <v xml:space="preserve"> </v>
      </c>
      <c r="Q600" s="971" t="e">
        <f>IF(I600=" "," ",(VLOOKUP(I600,list!$B$81:$C$111,2,FALSE)))</f>
        <v>#N/A</v>
      </c>
      <c r="R600" s="243">
        <f t="shared" si="207"/>
        <v>0</v>
      </c>
      <c r="S600" s="64">
        <v>1</v>
      </c>
      <c r="T600" s="68">
        <v>0</v>
      </c>
      <c r="U600" s="244">
        <f t="shared" si="210"/>
        <v>1</v>
      </c>
    </row>
    <row r="601" spans="2:24" ht="15" thickBot="1" x14ac:dyDescent="0.35">
      <c r="C601" s="520"/>
      <c r="D601" s="224" t="str">
        <f t="shared" si="211"/>
        <v xml:space="preserve">  </v>
      </c>
      <c r="E601" s="224"/>
      <c r="F601" s="224" t="str">
        <f t="shared" si="212"/>
        <v xml:space="preserve">  </v>
      </c>
      <c r="G601" s="224"/>
      <c r="H601" s="380"/>
      <c r="I601" s="516" t="e">
        <f>IF(VLOOKUP(C37,list!$AA$5:$AS$14,10,FALSE)=0," ",(VLOOKUP(C37,list!$AA$5:$AS$14,10,FALSE)))</f>
        <v>#N/A</v>
      </c>
      <c r="J601" s="955" t="e">
        <f t="shared" si="208"/>
        <v>#N/A</v>
      </c>
      <c r="K601" s="955" t="e">
        <f t="shared" si="209"/>
        <v>#N/A</v>
      </c>
      <c r="L601" s="969" t="e">
        <f>IF(I601=" "," ",VLOOKUP(J601,list!$J$4:$M$117,4,FALSE))</f>
        <v>#N/A</v>
      </c>
      <c r="M601" s="66"/>
      <c r="N601" s="1297" t="str">
        <f>IF(SUMIFS('Level of Efficiency Assumptions'!$J:$J,'Level of Efficiency Assumptions'!$H:$H,$I601,'Level of Efficiency Assumptions'!$I:$I,N$51)=0," ",SUMIFS('Level of Efficiency Assumptions'!$J:$J,'Level of Efficiency Assumptions'!$H:$H,$I601,'Level of Efficiency Assumptions'!$I:$I,N$51))</f>
        <v xml:space="preserve"> </v>
      </c>
      <c r="O601" s="1298" t="str">
        <f>IF(SUMIFS('Level of Efficiency Assumptions'!$J:$J,'Level of Efficiency Assumptions'!$H:$H,$I601,'Level of Efficiency Assumptions'!$I:$I,O$51)=0," ",SUMIFS('Level of Efficiency Assumptions'!$J:$J,'Level of Efficiency Assumptions'!$H:$H,$I601,'Level of Efficiency Assumptions'!$I:$I,O$51))</f>
        <v xml:space="preserve"> </v>
      </c>
      <c r="P601" s="1299" t="str">
        <f>IF(SUMIFS('Level of Efficiency Assumptions'!$J:$J,'Level of Efficiency Assumptions'!$H:$H,$I601,'Level of Efficiency Assumptions'!$I:$I,P$51)=0," ",SUMIFS('Level of Efficiency Assumptions'!$J:$J,'Level of Efficiency Assumptions'!$H:$H,$I601,'Level of Efficiency Assumptions'!$I:$I,P$51))</f>
        <v xml:space="preserve"> </v>
      </c>
      <c r="Q601" s="971" t="e">
        <f>IF(I601=" "," ",(VLOOKUP(I601,list!$B$81:$C$111,2,FALSE)))</f>
        <v>#N/A</v>
      </c>
      <c r="R601" s="243">
        <f t="shared" si="207"/>
        <v>0</v>
      </c>
      <c r="S601" s="64">
        <v>1</v>
      </c>
      <c r="T601" s="68">
        <v>0</v>
      </c>
      <c r="U601" s="244">
        <f t="shared" si="210"/>
        <v>1</v>
      </c>
    </row>
    <row r="602" spans="2:24" ht="15" thickBot="1" x14ac:dyDescent="0.35">
      <c r="C602" s="520"/>
      <c r="D602" s="224" t="str">
        <f t="shared" si="211"/>
        <v xml:space="preserve">  </v>
      </c>
      <c r="E602" s="224"/>
      <c r="F602" s="224" t="str">
        <f t="shared" si="212"/>
        <v xml:space="preserve">  </v>
      </c>
      <c r="G602" s="224"/>
      <c r="H602" s="380"/>
      <c r="I602" s="516" t="e">
        <f>IF(VLOOKUP(C37,list!$AA$5:$AS$14,11,FALSE)=0," ",(VLOOKUP(C37,list!$AA$5:$AS$14,11,FALSE)))</f>
        <v>#N/A</v>
      </c>
      <c r="J602" s="955" t="e">
        <f t="shared" si="208"/>
        <v>#N/A</v>
      </c>
      <c r="K602" s="955" t="e">
        <f t="shared" si="209"/>
        <v>#N/A</v>
      </c>
      <c r="L602" s="969" t="e">
        <f>IF(I602=" "," ",VLOOKUP(J602,list!$J$4:$M$117,4,FALSE))</f>
        <v>#N/A</v>
      </c>
      <c r="M602" s="66"/>
      <c r="N602" s="1297" t="str">
        <f>IF(SUMIFS('Level of Efficiency Assumptions'!$J:$J,'Level of Efficiency Assumptions'!$H:$H,$I602,'Level of Efficiency Assumptions'!$I:$I,N$51)=0," ",SUMIFS('Level of Efficiency Assumptions'!$J:$J,'Level of Efficiency Assumptions'!$H:$H,$I602,'Level of Efficiency Assumptions'!$I:$I,N$51))</f>
        <v xml:space="preserve"> </v>
      </c>
      <c r="O602" s="1298" t="str">
        <f>IF(SUMIFS('Level of Efficiency Assumptions'!$J:$J,'Level of Efficiency Assumptions'!$H:$H,$I602,'Level of Efficiency Assumptions'!$I:$I,O$51)=0," ",SUMIFS('Level of Efficiency Assumptions'!$J:$J,'Level of Efficiency Assumptions'!$H:$H,$I602,'Level of Efficiency Assumptions'!$I:$I,O$51))</f>
        <v xml:space="preserve"> </v>
      </c>
      <c r="P602" s="1299" t="str">
        <f>IF(SUMIFS('Level of Efficiency Assumptions'!$J:$J,'Level of Efficiency Assumptions'!$H:$H,$I602,'Level of Efficiency Assumptions'!$I:$I,P$51)=0," ",SUMIFS('Level of Efficiency Assumptions'!$J:$J,'Level of Efficiency Assumptions'!$H:$H,$I602,'Level of Efficiency Assumptions'!$I:$I,P$51))</f>
        <v xml:space="preserve"> </v>
      </c>
      <c r="Q602" s="971" t="e">
        <f>IF(I602=" "," ",(VLOOKUP(I602,list!$B$81:$C$111,2,FALSE)))</f>
        <v>#N/A</v>
      </c>
      <c r="R602" s="243">
        <f t="shared" si="207"/>
        <v>0</v>
      </c>
      <c r="S602" s="64">
        <v>1</v>
      </c>
      <c r="T602" s="68">
        <v>0</v>
      </c>
      <c r="U602" s="244">
        <f t="shared" si="210"/>
        <v>1</v>
      </c>
    </row>
    <row r="603" spans="2:24" ht="15" thickBot="1" x14ac:dyDescent="0.35">
      <c r="C603" s="520"/>
      <c r="D603" s="224" t="str">
        <f t="shared" si="211"/>
        <v xml:space="preserve">  </v>
      </c>
      <c r="E603" s="224"/>
      <c r="F603" s="224" t="str">
        <f t="shared" si="212"/>
        <v xml:space="preserve">  </v>
      </c>
      <c r="G603" s="224"/>
      <c r="H603" s="380"/>
      <c r="I603" s="516" t="e">
        <f>IF(VLOOKUP(C37,list!$AA$5:$AS$14,12,FALSE)=0," ",(VLOOKUP(C37,list!$AA$5:$AS$14,12,FALSE)))</f>
        <v>#N/A</v>
      </c>
      <c r="J603" s="955" t="e">
        <f t="shared" si="208"/>
        <v>#N/A</v>
      </c>
      <c r="K603" s="955" t="e">
        <f t="shared" si="209"/>
        <v>#N/A</v>
      </c>
      <c r="L603" s="969" t="e">
        <f>IF(I603=" "," ",VLOOKUP(J603,list!$J$4:$M$117,4,FALSE))</f>
        <v>#N/A</v>
      </c>
      <c r="M603" s="66"/>
      <c r="N603" s="1297" t="str">
        <f>IF(SUMIFS('Level of Efficiency Assumptions'!$J:$J,'Level of Efficiency Assumptions'!$H:$H,$I603,'Level of Efficiency Assumptions'!$I:$I,N$51)=0," ",SUMIFS('Level of Efficiency Assumptions'!$J:$J,'Level of Efficiency Assumptions'!$H:$H,$I603,'Level of Efficiency Assumptions'!$I:$I,N$51))</f>
        <v xml:space="preserve"> </v>
      </c>
      <c r="O603" s="1298" t="str">
        <f>IF(SUMIFS('Level of Efficiency Assumptions'!$J:$J,'Level of Efficiency Assumptions'!$H:$H,$I603,'Level of Efficiency Assumptions'!$I:$I,O$51)=0," ",SUMIFS('Level of Efficiency Assumptions'!$J:$J,'Level of Efficiency Assumptions'!$H:$H,$I603,'Level of Efficiency Assumptions'!$I:$I,O$51))</f>
        <v xml:space="preserve"> </v>
      </c>
      <c r="P603" s="1299" t="str">
        <f>IF(SUMIFS('Level of Efficiency Assumptions'!$J:$J,'Level of Efficiency Assumptions'!$H:$H,$I603,'Level of Efficiency Assumptions'!$I:$I,P$51)=0," ",SUMIFS('Level of Efficiency Assumptions'!$J:$J,'Level of Efficiency Assumptions'!$H:$H,$I603,'Level of Efficiency Assumptions'!$I:$I,P$51))</f>
        <v xml:space="preserve"> </v>
      </c>
      <c r="Q603" s="971" t="e">
        <f>IF(I603=" "," ",(VLOOKUP(I603,list!$B$81:$C$111,2,FALSE)))</f>
        <v>#N/A</v>
      </c>
      <c r="R603" s="243">
        <f t="shared" si="207"/>
        <v>0</v>
      </c>
      <c r="S603" s="64">
        <v>1</v>
      </c>
      <c r="T603" s="68">
        <v>0</v>
      </c>
      <c r="U603" s="244">
        <f t="shared" si="210"/>
        <v>1</v>
      </c>
    </row>
    <row r="604" spans="2:24" ht="15" thickBot="1" x14ac:dyDescent="0.35">
      <c r="C604" s="520"/>
      <c r="D604" s="224" t="str">
        <f t="shared" si="211"/>
        <v xml:space="preserve">  </v>
      </c>
      <c r="E604" s="224"/>
      <c r="F604" s="224" t="str">
        <f t="shared" si="212"/>
        <v xml:space="preserve">  </v>
      </c>
      <c r="G604" s="224"/>
      <c r="H604" s="380"/>
      <c r="I604" s="516" t="e">
        <f>IF(VLOOKUP(C37,list!$AA$5:$AS$14,13,FALSE)=0," ",(VLOOKUP(C37,list!$AA$5:$AS$14,13,FALSE)))</f>
        <v>#N/A</v>
      </c>
      <c r="J604" s="955" t="e">
        <f t="shared" si="208"/>
        <v>#N/A</v>
      </c>
      <c r="K604" s="955" t="e">
        <f t="shared" si="209"/>
        <v>#N/A</v>
      </c>
      <c r="L604" s="969" t="e">
        <f>IF(I604=" "," ",VLOOKUP(J604,list!$J$4:$M$117,4,FALSE))</f>
        <v>#N/A</v>
      </c>
      <c r="M604" s="66"/>
      <c r="N604" s="1297" t="str">
        <f>IF(SUMIFS('Level of Efficiency Assumptions'!$J:$J,'Level of Efficiency Assumptions'!$H:$H,$I604,'Level of Efficiency Assumptions'!$I:$I,N$51)=0," ",SUMIFS('Level of Efficiency Assumptions'!$J:$J,'Level of Efficiency Assumptions'!$H:$H,$I604,'Level of Efficiency Assumptions'!$I:$I,N$51))</f>
        <v xml:space="preserve"> </v>
      </c>
      <c r="O604" s="1298" t="str">
        <f>IF(SUMIFS('Level of Efficiency Assumptions'!$J:$J,'Level of Efficiency Assumptions'!$H:$H,$I604,'Level of Efficiency Assumptions'!$I:$I,O$51)=0," ",SUMIFS('Level of Efficiency Assumptions'!$J:$J,'Level of Efficiency Assumptions'!$H:$H,$I604,'Level of Efficiency Assumptions'!$I:$I,O$51))</f>
        <v xml:space="preserve"> </v>
      </c>
      <c r="P604" s="1299" t="str">
        <f>IF(SUMIFS('Level of Efficiency Assumptions'!$J:$J,'Level of Efficiency Assumptions'!$H:$H,$I604,'Level of Efficiency Assumptions'!$I:$I,P$51)=0," ",SUMIFS('Level of Efficiency Assumptions'!$J:$J,'Level of Efficiency Assumptions'!$H:$H,$I604,'Level of Efficiency Assumptions'!$I:$I,P$51))</f>
        <v xml:space="preserve"> </v>
      </c>
      <c r="Q604" s="971" t="e">
        <f>IF(I604=" "," ",(VLOOKUP(I604,list!$B$81:$C$111,2,FALSE)))</f>
        <v>#N/A</v>
      </c>
      <c r="R604" s="243">
        <f t="shared" si="207"/>
        <v>0</v>
      </c>
      <c r="S604" s="64">
        <v>1</v>
      </c>
      <c r="T604" s="68">
        <v>0</v>
      </c>
      <c r="U604" s="244">
        <f t="shared" si="210"/>
        <v>1</v>
      </c>
    </row>
    <row r="605" spans="2:24" ht="15" thickBot="1" x14ac:dyDescent="0.35">
      <c r="C605" s="520"/>
      <c r="D605" s="224" t="str">
        <f t="shared" si="211"/>
        <v xml:space="preserve">  </v>
      </c>
      <c r="E605" s="224"/>
      <c r="F605" s="224" t="str">
        <f t="shared" si="212"/>
        <v xml:space="preserve">  </v>
      </c>
      <c r="G605" s="224"/>
      <c r="H605" s="380"/>
      <c r="I605" s="516" t="e">
        <f>IF(VLOOKUP(C37,list!$AA$5:$AS$14,14,FALSE)=0," ",(VLOOKUP(C37,list!$AA$5:$AS$14,14,FALSE)))</f>
        <v>#N/A</v>
      </c>
      <c r="J605" s="955" t="e">
        <f t="shared" si="208"/>
        <v>#N/A</v>
      </c>
      <c r="K605" s="955" t="e">
        <f t="shared" si="209"/>
        <v>#N/A</v>
      </c>
      <c r="L605" s="969" t="e">
        <f>IF(I605=" "," ",VLOOKUP(J605,list!$J$4:$M$117,4,FALSE))</f>
        <v>#N/A</v>
      </c>
      <c r="M605" s="66"/>
      <c r="N605" s="1297" t="str">
        <f>IF(SUMIFS('Level of Efficiency Assumptions'!$J:$J,'Level of Efficiency Assumptions'!$H:$H,$I605,'Level of Efficiency Assumptions'!$I:$I,N$51)=0," ",SUMIFS('Level of Efficiency Assumptions'!$J:$J,'Level of Efficiency Assumptions'!$H:$H,$I605,'Level of Efficiency Assumptions'!$I:$I,N$51))</f>
        <v xml:space="preserve"> </v>
      </c>
      <c r="O605" s="1298" t="str">
        <f>IF(SUMIFS('Level of Efficiency Assumptions'!$J:$J,'Level of Efficiency Assumptions'!$H:$H,$I605,'Level of Efficiency Assumptions'!$I:$I,O$51)=0," ",SUMIFS('Level of Efficiency Assumptions'!$J:$J,'Level of Efficiency Assumptions'!$H:$H,$I605,'Level of Efficiency Assumptions'!$I:$I,O$51))</f>
        <v xml:space="preserve"> </v>
      </c>
      <c r="P605" s="1299" t="str">
        <f>IF(SUMIFS('Level of Efficiency Assumptions'!$J:$J,'Level of Efficiency Assumptions'!$H:$H,$I605,'Level of Efficiency Assumptions'!$I:$I,P$51)=0," ",SUMIFS('Level of Efficiency Assumptions'!$J:$J,'Level of Efficiency Assumptions'!$H:$H,$I605,'Level of Efficiency Assumptions'!$I:$I,P$51))</f>
        <v xml:space="preserve"> </v>
      </c>
      <c r="Q605" s="971" t="e">
        <f>IF(I605=" "," ",(VLOOKUP(I605,list!$B$81:$C$111,2,FALSE)))</f>
        <v>#N/A</v>
      </c>
      <c r="R605" s="243">
        <f t="shared" si="207"/>
        <v>0</v>
      </c>
      <c r="S605" s="64">
        <v>1</v>
      </c>
      <c r="T605" s="68">
        <v>0</v>
      </c>
      <c r="U605" s="244">
        <f t="shared" si="210"/>
        <v>1</v>
      </c>
    </row>
    <row r="606" spans="2:24" ht="15" thickBot="1" x14ac:dyDescent="0.35">
      <c r="C606" s="520"/>
      <c r="D606" s="224" t="str">
        <f t="shared" si="211"/>
        <v xml:space="preserve">  </v>
      </c>
      <c r="E606" s="224"/>
      <c r="F606" s="224" t="str">
        <f t="shared" si="212"/>
        <v xml:space="preserve">  </v>
      </c>
      <c r="G606" s="224"/>
      <c r="H606" s="380"/>
      <c r="I606" s="516" t="e">
        <f>IF(VLOOKUP(C37,list!$AA$5:$AS$14,15,FALSE)=0," ",(VLOOKUP(C37,list!$AA$5:$AS$14,15,FALSE)))</f>
        <v>#N/A</v>
      </c>
      <c r="J606" s="955" t="e">
        <f t="shared" si="208"/>
        <v>#N/A</v>
      </c>
      <c r="K606" s="955" t="e">
        <f t="shared" si="209"/>
        <v>#N/A</v>
      </c>
      <c r="L606" s="969" t="e">
        <f>IF(I606=" "," ",VLOOKUP(J606,list!$J$4:$M$117,4,FALSE))</f>
        <v>#N/A</v>
      </c>
      <c r="M606" s="66"/>
      <c r="N606" s="1297" t="str">
        <f>IF(SUMIFS('Level of Efficiency Assumptions'!$J:$J,'Level of Efficiency Assumptions'!$H:$H,$I606,'Level of Efficiency Assumptions'!$I:$I,N$51)=0," ",SUMIFS('Level of Efficiency Assumptions'!$J:$J,'Level of Efficiency Assumptions'!$H:$H,$I606,'Level of Efficiency Assumptions'!$I:$I,N$51))</f>
        <v xml:space="preserve"> </v>
      </c>
      <c r="O606" s="1298" t="str">
        <f>IF(SUMIFS('Level of Efficiency Assumptions'!$J:$J,'Level of Efficiency Assumptions'!$H:$H,$I606,'Level of Efficiency Assumptions'!$I:$I,O$51)=0," ",SUMIFS('Level of Efficiency Assumptions'!$J:$J,'Level of Efficiency Assumptions'!$H:$H,$I606,'Level of Efficiency Assumptions'!$I:$I,O$51))</f>
        <v xml:space="preserve"> </v>
      </c>
      <c r="P606" s="1299" t="str">
        <f>IF(SUMIFS('Level of Efficiency Assumptions'!$J:$J,'Level of Efficiency Assumptions'!$H:$H,$I606,'Level of Efficiency Assumptions'!$I:$I,P$51)=0," ",SUMIFS('Level of Efficiency Assumptions'!$J:$J,'Level of Efficiency Assumptions'!$H:$H,$I606,'Level of Efficiency Assumptions'!$I:$I,P$51))</f>
        <v xml:space="preserve"> </v>
      </c>
      <c r="Q606" s="971" t="e">
        <f>IF(I606=" "," ",(VLOOKUP(I606,list!$B$81:$C$111,2,FALSE)))</f>
        <v>#N/A</v>
      </c>
      <c r="R606" s="243">
        <f t="shared" si="207"/>
        <v>0</v>
      </c>
      <c r="S606" s="64">
        <v>1</v>
      </c>
      <c r="T606" s="68">
        <v>0</v>
      </c>
      <c r="U606" s="244">
        <f t="shared" si="210"/>
        <v>1</v>
      </c>
    </row>
    <row r="607" spans="2:24" ht="15" thickBot="1" x14ac:dyDescent="0.35">
      <c r="C607" s="520"/>
      <c r="D607" s="224" t="str">
        <f t="shared" si="211"/>
        <v xml:space="preserve">  </v>
      </c>
      <c r="E607" s="224"/>
      <c r="F607" s="224" t="str">
        <f t="shared" si="212"/>
        <v xml:space="preserve">  </v>
      </c>
      <c r="G607" s="224"/>
      <c r="H607" s="380"/>
      <c r="I607" s="516" t="e">
        <f>IF(VLOOKUP(C37,list!$AA$5:$AS$14,16,FALSE)=0," ",(VLOOKUP(C37,list!$AA$5:$AS$14,16,FALSE)))</f>
        <v>#N/A</v>
      </c>
      <c r="J607" s="955" t="e">
        <f t="shared" si="208"/>
        <v>#N/A</v>
      </c>
      <c r="K607" s="955" t="e">
        <f t="shared" si="209"/>
        <v>#N/A</v>
      </c>
      <c r="L607" s="969" t="e">
        <f>IF(I607=" "," ",VLOOKUP(J607,list!$J$4:$M$117,4,FALSE))</f>
        <v>#N/A</v>
      </c>
      <c r="M607" s="66"/>
      <c r="N607" s="1297" t="str">
        <f>IF(SUMIFS('Level of Efficiency Assumptions'!$J:$J,'Level of Efficiency Assumptions'!$H:$H,$I607,'Level of Efficiency Assumptions'!$I:$I,N$51)=0," ",SUMIFS('Level of Efficiency Assumptions'!$J:$J,'Level of Efficiency Assumptions'!$H:$H,$I607,'Level of Efficiency Assumptions'!$I:$I,N$51))</f>
        <v xml:space="preserve"> </v>
      </c>
      <c r="O607" s="1298" t="str">
        <f>IF(SUMIFS('Level of Efficiency Assumptions'!$J:$J,'Level of Efficiency Assumptions'!$H:$H,$I607,'Level of Efficiency Assumptions'!$I:$I,O$51)=0," ",SUMIFS('Level of Efficiency Assumptions'!$J:$J,'Level of Efficiency Assumptions'!$H:$H,$I607,'Level of Efficiency Assumptions'!$I:$I,O$51))</f>
        <v xml:space="preserve"> </v>
      </c>
      <c r="P607" s="1299" t="str">
        <f>IF(SUMIFS('Level of Efficiency Assumptions'!$J:$J,'Level of Efficiency Assumptions'!$H:$H,$I607,'Level of Efficiency Assumptions'!$I:$I,P$51)=0," ",SUMIFS('Level of Efficiency Assumptions'!$J:$J,'Level of Efficiency Assumptions'!$H:$H,$I607,'Level of Efficiency Assumptions'!$I:$I,P$51))</f>
        <v xml:space="preserve"> </v>
      </c>
      <c r="Q607" s="971" t="e">
        <f>IF(I607=" "," ",(VLOOKUP(I607,list!$B$81:$C$111,2,FALSE)))</f>
        <v>#N/A</v>
      </c>
      <c r="R607" s="243">
        <f t="shared" si="207"/>
        <v>0</v>
      </c>
      <c r="S607" s="64">
        <v>1</v>
      </c>
      <c r="T607" s="68">
        <v>0</v>
      </c>
      <c r="U607" s="244">
        <f t="shared" si="210"/>
        <v>1</v>
      </c>
    </row>
    <row r="608" spans="2:24" ht="15" thickBot="1" x14ac:dyDescent="0.35">
      <c r="C608" s="520"/>
      <c r="D608" s="224" t="str">
        <f t="shared" si="211"/>
        <v xml:space="preserve">  </v>
      </c>
      <c r="E608" s="224"/>
      <c r="F608" s="224" t="str">
        <f t="shared" si="212"/>
        <v xml:space="preserve">  </v>
      </c>
      <c r="G608" s="224"/>
      <c r="H608" s="380"/>
      <c r="I608" s="516" t="e">
        <f>IF(VLOOKUP(C37,list!$AA$5:$AS$14,17,FALSE)=0," ",(VLOOKUP(C37,list!$AA$5:$AS$14,17,FALSE)))</f>
        <v>#N/A</v>
      </c>
      <c r="J608" s="955" t="e">
        <f t="shared" si="208"/>
        <v>#N/A</v>
      </c>
      <c r="K608" s="955" t="e">
        <f t="shared" si="209"/>
        <v>#N/A</v>
      </c>
      <c r="L608" s="969" t="e">
        <f>IF(I608=" "," ",VLOOKUP(J608,list!$J$4:$M$117,4,FALSE))</f>
        <v>#N/A</v>
      </c>
      <c r="M608" s="66"/>
      <c r="N608" s="1297" t="str">
        <f>IF(SUMIFS('Level of Efficiency Assumptions'!$J:$J,'Level of Efficiency Assumptions'!$H:$H,$I608,'Level of Efficiency Assumptions'!$I:$I,N$51)=0," ",SUMIFS('Level of Efficiency Assumptions'!$J:$J,'Level of Efficiency Assumptions'!$H:$H,$I608,'Level of Efficiency Assumptions'!$I:$I,N$51))</f>
        <v xml:space="preserve"> </v>
      </c>
      <c r="O608" s="1298" t="str">
        <f>IF(SUMIFS('Level of Efficiency Assumptions'!$J:$J,'Level of Efficiency Assumptions'!$H:$H,$I608,'Level of Efficiency Assumptions'!$I:$I,O$51)=0," ",SUMIFS('Level of Efficiency Assumptions'!$J:$J,'Level of Efficiency Assumptions'!$H:$H,$I608,'Level of Efficiency Assumptions'!$I:$I,O$51))</f>
        <v xml:space="preserve"> </v>
      </c>
      <c r="P608" s="1299" t="str">
        <f>IF(SUMIFS('Level of Efficiency Assumptions'!$J:$J,'Level of Efficiency Assumptions'!$H:$H,$I608,'Level of Efficiency Assumptions'!$I:$I,P$51)=0," ",SUMIFS('Level of Efficiency Assumptions'!$J:$J,'Level of Efficiency Assumptions'!$H:$H,$I608,'Level of Efficiency Assumptions'!$I:$I,P$51))</f>
        <v xml:space="preserve"> </v>
      </c>
      <c r="Q608" s="971" t="e">
        <f>IF(I608=" "," ",(VLOOKUP(I608,list!$B$81:$C$111,2,FALSE)))</f>
        <v>#N/A</v>
      </c>
      <c r="R608" s="243">
        <f t="shared" si="207"/>
        <v>0</v>
      </c>
      <c r="S608" s="64">
        <v>1</v>
      </c>
      <c r="T608" s="68">
        <v>0</v>
      </c>
      <c r="U608" s="244">
        <f t="shared" si="210"/>
        <v>1</v>
      </c>
    </row>
    <row r="609" spans="2:24" ht="15" thickBot="1" x14ac:dyDescent="0.35">
      <c r="C609" s="520"/>
      <c r="D609" s="224" t="str">
        <f t="shared" si="211"/>
        <v xml:space="preserve">  </v>
      </c>
      <c r="E609" s="224"/>
      <c r="F609" s="224" t="str">
        <f t="shared" si="212"/>
        <v xml:space="preserve">  </v>
      </c>
      <c r="G609" s="224"/>
      <c r="H609" s="380"/>
      <c r="I609" s="516" t="e">
        <f>IF(VLOOKUP(C37,list!$AA$5:$AS$14,18,FALSE)=0," ",(VLOOKUP(C37,list!$AA$5:$AS$14,18,FALSE)))</f>
        <v>#N/A</v>
      </c>
      <c r="J609" s="955" t="e">
        <f t="shared" si="208"/>
        <v>#N/A</v>
      </c>
      <c r="K609" s="955" t="e">
        <f t="shared" si="209"/>
        <v>#N/A</v>
      </c>
      <c r="L609" s="969" t="e">
        <f>IF(I609=" "," ",VLOOKUP(J609,list!$J$4:$M$117,4,FALSE))</f>
        <v>#N/A</v>
      </c>
      <c r="M609" s="66"/>
      <c r="N609" s="1297" t="str">
        <f>IF(SUMIFS('Level of Efficiency Assumptions'!$J:$J,'Level of Efficiency Assumptions'!$H:$H,$I609,'Level of Efficiency Assumptions'!$I:$I,N$51)=0," ",SUMIFS('Level of Efficiency Assumptions'!$J:$J,'Level of Efficiency Assumptions'!$H:$H,$I609,'Level of Efficiency Assumptions'!$I:$I,N$51))</f>
        <v xml:space="preserve"> </v>
      </c>
      <c r="O609" s="1298" t="str">
        <f>IF(SUMIFS('Level of Efficiency Assumptions'!$J:$J,'Level of Efficiency Assumptions'!$H:$H,$I609,'Level of Efficiency Assumptions'!$I:$I,O$51)=0," ",SUMIFS('Level of Efficiency Assumptions'!$J:$J,'Level of Efficiency Assumptions'!$H:$H,$I609,'Level of Efficiency Assumptions'!$I:$I,O$51))</f>
        <v xml:space="preserve"> </v>
      </c>
      <c r="P609" s="1299" t="str">
        <f>IF(SUMIFS('Level of Efficiency Assumptions'!$J:$J,'Level of Efficiency Assumptions'!$H:$H,$I609,'Level of Efficiency Assumptions'!$I:$I,P$51)=0," ",SUMIFS('Level of Efficiency Assumptions'!$J:$J,'Level of Efficiency Assumptions'!$H:$H,$I609,'Level of Efficiency Assumptions'!$I:$I,P$51))</f>
        <v xml:space="preserve"> </v>
      </c>
      <c r="Q609" s="971" t="e">
        <f>IF(I609=" "," ",(VLOOKUP(I609,list!$B$81:$C$111,2,FALSE)))</f>
        <v>#N/A</v>
      </c>
      <c r="R609" s="243">
        <f t="shared" si="207"/>
        <v>0</v>
      </c>
      <c r="S609" s="64">
        <v>1</v>
      </c>
      <c r="T609" s="68">
        <v>0</v>
      </c>
      <c r="U609" s="244">
        <f t="shared" si="210"/>
        <v>1</v>
      </c>
    </row>
    <row r="610" spans="2:24" ht="15" thickBot="1" x14ac:dyDescent="0.35">
      <c r="C610" s="632"/>
      <c r="D610" s="226" t="str">
        <f t="shared" si="211"/>
        <v xml:space="preserve">  </v>
      </c>
      <c r="E610" s="226"/>
      <c r="F610" s="226" t="str">
        <f t="shared" si="212"/>
        <v xml:space="preserve">  </v>
      </c>
      <c r="G610" s="226"/>
      <c r="H610" s="976"/>
      <c r="I610" s="516" t="e">
        <f>IF(VLOOKUP(C37,list!$AA$5:$AS$14,19,FALSE)=0," ",(VLOOKUP(C37,list!$AA$5:$AS$14,19,FALSE)))</f>
        <v>#N/A</v>
      </c>
      <c r="J610" s="955" t="e">
        <f>IF(I610=" "," ",(D610&amp;"-"&amp;I610))</f>
        <v>#N/A</v>
      </c>
      <c r="K610" s="955" t="e">
        <f t="shared" si="209"/>
        <v>#N/A</v>
      </c>
      <c r="L610" s="969" t="e">
        <f>IF(I610=" "," ",VLOOKUP(J610,list!$J$4:$M$117,4,FALSE))</f>
        <v>#N/A</v>
      </c>
      <c r="M610" s="67"/>
      <c r="N610" s="1303" t="str">
        <f>IF(SUMIFS('Level of Efficiency Assumptions'!$J:$J,'Level of Efficiency Assumptions'!$H:$H,$I610,'Level of Efficiency Assumptions'!$I:$I,N$51)=0," ",SUMIFS('Level of Efficiency Assumptions'!$J:$J,'Level of Efficiency Assumptions'!$H:$H,$I610,'Level of Efficiency Assumptions'!$I:$I,N$51))</f>
        <v xml:space="preserve"> </v>
      </c>
      <c r="O610" s="1304" t="str">
        <f>IF(SUMIFS('Level of Efficiency Assumptions'!$J:$J,'Level of Efficiency Assumptions'!$H:$H,$I610,'Level of Efficiency Assumptions'!$I:$I,O$51)=0," ",SUMIFS('Level of Efficiency Assumptions'!$J:$J,'Level of Efficiency Assumptions'!$H:$H,$I610,'Level of Efficiency Assumptions'!$I:$I,O$51))</f>
        <v xml:space="preserve"> </v>
      </c>
      <c r="P610" s="1305" t="str">
        <f>IF(SUMIFS('Level of Efficiency Assumptions'!$J:$J,'Level of Efficiency Assumptions'!$H:$H,$I610,'Level of Efficiency Assumptions'!$I:$I,P$51)=0," ",SUMIFS('Level of Efficiency Assumptions'!$J:$J,'Level of Efficiency Assumptions'!$H:$H,$I610,'Level of Efficiency Assumptions'!$I:$I,P$51))</f>
        <v xml:space="preserve"> </v>
      </c>
      <c r="Q610" s="977" t="e">
        <f>IF(I610=" "," ",(VLOOKUP(I610,list!$B$81:$C$111,2,FALSE)))</f>
        <v>#N/A</v>
      </c>
      <c r="R610" s="245">
        <f t="shared" si="207"/>
        <v>0</v>
      </c>
      <c r="S610" s="65">
        <v>1</v>
      </c>
      <c r="T610" s="69">
        <v>0</v>
      </c>
      <c r="U610" s="246">
        <f t="shared" si="210"/>
        <v>1</v>
      </c>
    </row>
    <row r="611" spans="2:24" x14ac:dyDescent="0.3">
      <c r="D611" s="846"/>
      <c r="F611" s="82"/>
      <c r="J611" s="846"/>
      <c r="K611" s="846"/>
      <c r="N611" s="1179"/>
      <c r="O611" s="1179"/>
      <c r="P611" s="1179"/>
      <c r="R611" s="176" t="s">
        <v>295</v>
      </c>
      <c r="S611" s="176"/>
      <c r="T611" s="176"/>
      <c r="U611" s="176"/>
    </row>
    <row r="612" spans="2:24" ht="15" thickBot="1" x14ac:dyDescent="0.35">
      <c r="D612" s="846"/>
      <c r="F612" s="82"/>
      <c r="J612" s="846"/>
      <c r="K612" s="846"/>
      <c r="N612" s="1179"/>
      <c r="O612" s="1179"/>
      <c r="P612" s="1179"/>
    </row>
    <row r="613" spans="2:24" ht="15" thickBot="1" x14ac:dyDescent="0.35">
      <c r="B613" s="814">
        <v>29</v>
      </c>
      <c r="C613" s="967" t="str">
        <f t="shared" ref="C613:H613" si="213">C38</f>
        <v xml:space="preserve">  </v>
      </c>
      <c r="D613" s="967" t="str">
        <f t="shared" si="213"/>
        <v xml:space="preserve">  </v>
      </c>
      <c r="E613" s="967" t="str">
        <f t="shared" si="213"/>
        <v xml:space="preserve">  </v>
      </c>
      <c r="F613" s="967" t="str">
        <f t="shared" si="213"/>
        <v xml:space="preserve">  </v>
      </c>
      <c r="G613" s="967">
        <f t="shared" si="213"/>
        <v>0</v>
      </c>
      <c r="H613" s="968">
        <f t="shared" si="213"/>
        <v>0</v>
      </c>
      <c r="I613" s="516" t="e">
        <f>IF(VLOOKUP(C38,list!$AA$5:$AS$14,2,FALSE)=0," ",(VLOOKUP(C38,list!$AA$5:$AS$14,2,FALSE)))</f>
        <v>#N/A</v>
      </c>
      <c r="J613" s="955" t="e">
        <f>IF(I613=" "," ",(D38&amp;"-"&amp;I613))</f>
        <v>#N/A</v>
      </c>
      <c r="K613" s="955" t="e">
        <f>IF(I613=" "," ",(F38&amp;"-"&amp;I613))</f>
        <v>#N/A</v>
      </c>
      <c r="L613" s="969" t="e">
        <f>IF(I613=" "," ",VLOOKUP(J613,list!$J$4:$M$117,4,FALSE))</f>
        <v>#N/A</v>
      </c>
      <c r="M613" s="70"/>
      <c r="N613" s="1300" t="str">
        <f>IF(SUMIFS('Level of Efficiency Assumptions'!$J:$J,'Level of Efficiency Assumptions'!$H:$H,$I613,'Level of Efficiency Assumptions'!$I:$I,N$51)=0," ",SUMIFS('Level of Efficiency Assumptions'!$J:$J,'Level of Efficiency Assumptions'!$H:$H,$I613,'Level of Efficiency Assumptions'!$I:$I,N$51))</f>
        <v xml:space="preserve"> </v>
      </c>
      <c r="O613" s="1301" t="str">
        <f>IF(SUMIFS('Level of Efficiency Assumptions'!$J:$J,'Level of Efficiency Assumptions'!$H:$H,$I613,'Level of Efficiency Assumptions'!$I:$I,O$51)=0," ",SUMIFS('Level of Efficiency Assumptions'!$J:$J,'Level of Efficiency Assumptions'!$H:$H,$I613,'Level of Efficiency Assumptions'!$I:$I,O$51))</f>
        <v xml:space="preserve"> </v>
      </c>
      <c r="P613" s="1302" t="str">
        <f>IF(SUMIFS('Level of Efficiency Assumptions'!$J:$J,'Level of Efficiency Assumptions'!$H:$H,$I613,'Level of Efficiency Assumptions'!$I:$I,P$51)=0," ",SUMIFS('Level of Efficiency Assumptions'!$J:$J,'Level of Efficiency Assumptions'!$H:$H,$I613,'Level of Efficiency Assumptions'!$I:$I,P$51))</f>
        <v xml:space="preserve"> </v>
      </c>
      <c r="Q613" s="970" t="e">
        <f>IF(I613=" "," ",(VLOOKUP(I613,list!$B$81:$C$111,2,FALSE)))</f>
        <v>#N/A</v>
      </c>
      <c r="R613" s="241">
        <f t="shared" ref="R613:R630" si="214">1-S613-T613</f>
        <v>0</v>
      </c>
      <c r="S613" s="83">
        <v>1</v>
      </c>
      <c r="T613" s="84">
        <v>0</v>
      </c>
      <c r="U613" s="242">
        <f>SUM(R613:T613)</f>
        <v>1</v>
      </c>
      <c r="W613" s="250" t="s">
        <v>367</v>
      </c>
      <c r="X613" s="251" t="s">
        <v>366</v>
      </c>
    </row>
    <row r="614" spans="2:24" ht="15" thickBot="1" x14ac:dyDescent="0.35">
      <c r="C614" s="520"/>
      <c r="D614" s="224" t="str">
        <f>D38</f>
        <v xml:space="preserve">  </v>
      </c>
      <c r="E614" s="224"/>
      <c r="F614" s="224" t="str">
        <f>F38</f>
        <v xml:space="preserve">  </v>
      </c>
      <c r="G614" s="224"/>
      <c r="H614" s="380"/>
      <c r="I614" s="516" t="e">
        <f>IF(VLOOKUP(C38,list!$AA$5:$AS$14,3,FALSE)=0," ",(VLOOKUP(C38,list!$AA$5:$AS$14,3,FALSE)))</f>
        <v>#N/A</v>
      </c>
      <c r="J614" s="955" t="e">
        <f t="shared" ref="J614:J629" si="215">IF(I614=" "," ",(D614&amp;"-"&amp;I614))</f>
        <v>#N/A</v>
      </c>
      <c r="K614" s="955" t="e">
        <f t="shared" ref="K614:K630" si="216">IF(I614=" "," ",(F614&amp;"-"&amp;I614))</f>
        <v>#N/A</v>
      </c>
      <c r="L614" s="969" t="e">
        <f>IF(I614=" "," ",VLOOKUP(J614,list!$J$4:$M$117,4,FALSE))</f>
        <v>#N/A</v>
      </c>
      <c r="M614" s="66"/>
      <c r="N614" s="1297" t="str">
        <f>IF(SUMIFS('Level of Efficiency Assumptions'!$J:$J,'Level of Efficiency Assumptions'!$H:$H,$I614,'Level of Efficiency Assumptions'!$I:$I,N$51)=0," ",SUMIFS('Level of Efficiency Assumptions'!$J:$J,'Level of Efficiency Assumptions'!$H:$H,$I614,'Level of Efficiency Assumptions'!$I:$I,N$51))</f>
        <v xml:space="preserve"> </v>
      </c>
      <c r="O614" s="1298" t="str">
        <f>IF(SUMIFS('Level of Efficiency Assumptions'!$J:$J,'Level of Efficiency Assumptions'!$H:$H,$I614,'Level of Efficiency Assumptions'!$I:$I,O$51)=0," ",SUMIFS('Level of Efficiency Assumptions'!$J:$J,'Level of Efficiency Assumptions'!$H:$H,$I614,'Level of Efficiency Assumptions'!$I:$I,O$51))</f>
        <v xml:space="preserve"> </v>
      </c>
      <c r="P614" s="1299" t="str">
        <f>IF(SUMIFS('Level of Efficiency Assumptions'!$J:$J,'Level of Efficiency Assumptions'!$H:$H,$I614,'Level of Efficiency Assumptions'!$I:$I,P$51)=0," ",SUMIFS('Level of Efficiency Assumptions'!$J:$J,'Level of Efficiency Assumptions'!$H:$H,$I614,'Level of Efficiency Assumptions'!$I:$I,P$51))</f>
        <v xml:space="preserve"> </v>
      </c>
      <c r="Q614" s="971" t="e">
        <f>IF(I614=" "," ",(VLOOKUP(I614,list!$B$81:$C$111,2,FALSE)))</f>
        <v>#N/A</v>
      </c>
      <c r="R614" s="243">
        <f t="shared" si="214"/>
        <v>0</v>
      </c>
      <c r="S614" s="64">
        <v>1</v>
      </c>
      <c r="T614" s="68">
        <v>0</v>
      </c>
      <c r="U614" s="244">
        <f t="shared" ref="U614:U630" si="217">SUM(R614:T614)</f>
        <v>1</v>
      </c>
      <c r="V614" s="82" t="e">
        <f>F614&amp;"-"&amp;W614</f>
        <v>#N/A</v>
      </c>
      <c r="W614" s="247" t="e">
        <f>HLOOKUP(D614,list!$O$34:$X$38,2,FALSE)</f>
        <v>#N/A</v>
      </c>
      <c r="X614" s="972">
        <v>1</v>
      </c>
    </row>
    <row r="615" spans="2:24" ht="15" thickBot="1" x14ac:dyDescent="0.35">
      <c r="C615" s="520"/>
      <c r="D615" s="224" t="str">
        <f>D614</f>
        <v xml:space="preserve">  </v>
      </c>
      <c r="E615" s="224"/>
      <c r="F615" s="224" t="str">
        <f>F614</f>
        <v xml:space="preserve">  </v>
      </c>
      <c r="G615" s="224"/>
      <c r="H615" s="380"/>
      <c r="I615" s="516" t="e">
        <f>IF(VLOOKUP(C38,list!$AA$5:$AS$14,4,FALSE)=0," ",(VLOOKUP(C38,list!$AA$5:$AS$14,4,FALSE)))</f>
        <v>#N/A</v>
      </c>
      <c r="J615" s="955" t="e">
        <f t="shared" si="215"/>
        <v>#N/A</v>
      </c>
      <c r="K615" s="955" t="e">
        <f t="shared" si="216"/>
        <v>#N/A</v>
      </c>
      <c r="L615" s="969" t="e">
        <f>IF(I615=" "," ",VLOOKUP(J615,list!$J$4:$M$117,4,FALSE))</f>
        <v>#N/A</v>
      </c>
      <c r="M615" s="66"/>
      <c r="N615" s="1297" t="str">
        <f>IF(SUMIFS('Level of Efficiency Assumptions'!$J:$J,'Level of Efficiency Assumptions'!$H:$H,$I615,'Level of Efficiency Assumptions'!$I:$I,N$51)=0," ",SUMIFS('Level of Efficiency Assumptions'!$J:$J,'Level of Efficiency Assumptions'!$H:$H,$I615,'Level of Efficiency Assumptions'!$I:$I,N$51))</f>
        <v xml:space="preserve"> </v>
      </c>
      <c r="O615" s="1298" t="str">
        <f>IF(SUMIFS('Level of Efficiency Assumptions'!$J:$J,'Level of Efficiency Assumptions'!$H:$H,$I615,'Level of Efficiency Assumptions'!$I:$I,O$51)=0," ",SUMIFS('Level of Efficiency Assumptions'!$J:$J,'Level of Efficiency Assumptions'!$H:$H,$I615,'Level of Efficiency Assumptions'!$I:$I,O$51))</f>
        <v xml:space="preserve"> </v>
      </c>
      <c r="P615" s="1299" t="str">
        <f>IF(SUMIFS('Level of Efficiency Assumptions'!$J:$J,'Level of Efficiency Assumptions'!$H:$H,$I615,'Level of Efficiency Assumptions'!$I:$I,P$51)=0," ",SUMIFS('Level of Efficiency Assumptions'!$J:$J,'Level of Efficiency Assumptions'!$H:$H,$I615,'Level of Efficiency Assumptions'!$I:$I,P$51))</f>
        <v xml:space="preserve"> </v>
      </c>
      <c r="Q615" s="971" t="e">
        <f>IF(I615=" "," ",(VLOOKUP(I615,list!$B$81:$C$111,2,FALSE)))</f>
        <v>#N/A</v>
      </c>
      <c r="R615" s="243">
        <f t="shared" si="214"/>
        <v>0</v>
      </c>
      <c r="S615" s="64">
        <v>1</v>
      </c>
      <c r="T615" s="68">
        <v>0</v>
      </c>
      <c r="U615" s="244">
        <f t="shared" si="217"/>
        <v>1</v>
      </c>
      <c r="V615" s="82" t="e">
        <f>F615&amp;"-"&amp;W615</f>
        <v>#N/A</v>
      </c>
      <c r="W615" s="248" t="e">
        <f>HLOOKUP(D615,list!$O$34:$X$38,3,FALSE)</f>
        <v>#N/A</v>
      </c>
      <c r="X615" s="973">
        <v>0.5</v>
      </c>
    </row>
    <row r="616" spans="2:24" ht="15" thickBot="1" x14ac:dyDescent="0.35">
      <c r="C616" s="520"/>
      <c r="D616" s="224" t="str">
        <f t="shared" ref="D616:D630" si="218">D615</f>
        <v xml:space="preserve">  </v>
      </c>
      <c r="E616" s="224"/>
      <c r="F616" s="224" t="str">
        <f t="shared" ref="F616:F630" si="219">F615</f>
        <v xml:space="preserve">  </v>
      </c>
      <c r="G616" s="224"/>
      <c r="H616" s="380"/>
      <c r="I616" s="516" t="e">
        <f>IF(VLOOKUP(C38,list!$AA$5:$AS$14,5,FALSE)=0," ",(VLOOKUP(C38,list!$AA$5:$AS$14,5,FALSE)))</f>
        <v>#N/A</v>
      </c>
      <c r="J616" s="955" t="e">
        <f t="shared" si="215"/>
        <v>#N/A</v>
      </c>
      <c r="K616" s="955" t="e">
        <f t="shared" si="216"/>
        <v>#N/A</v>
      </c>
      <c r="L616" s="969" t="e">
        <f>IF(I616=" "," ",VLOOKUP(J616,list!$J$4:$M$117,4,FALSE))</f>
        <v>#N/A</v>
      </c>
      <c r="M616" s="66"/>
      <c r="N616" s="1297" t="str">
        <f>IF(SUMIFS('Level of Efficiency Assumptions'!$J:$J,'Level of Efficiency Assumptions'!$H:$H,$I616,'Level of Efficiency Assumptions'!$I:$I,N$51)=0," ",SUMIFS('Level of Efficiency Assumptions'!$J:$J,'Level of Efficiency Assumptions'!$H:$H,$I616,'Level of Efficiency Assumptions'!$I:$I,N$51))</f>
        <v xml:space="preserve"> </v>
      </c>
      <c r="O616" s="1298" t="str">
        <f>IF(SUMIFS('Level of Efficiency Assumptions'!$J:$J,'Level of Efficiency Assumptions'!$H:$H,$I616,'Level of Efficiency Assumptions'!$I:$I,O$51)=0," ",SUMIFS('Level of Efficiency Assumptions'!$J:$J,'Level of Efficiency Assumptions'!$H:$H,$I616,'Level of Efficiency Assumptions'!$I:$I,O$51))</f>
        <v xml:space="preserve"> </v>
      </c>
      <c r="P616" s="1299" t="str">
        <f>IF(SUMIFS('Level of Efficiency Assumptions'!$J:$J,'Level of Efficiency Assumptions'!$H:$H,$I616,'Level of Efficiency Assumptions'!$I:$I,P$51)=0," ",SUMIFS('Level of Efficiency Assumptions'!$J:$J,'Level of Efficiency Assumptions'!$H:$H,$I616,'Level of Efficiency Assumptions'!$I:$I,P$51))</f>
        <v xml:space="preserve"> </v>
      </c>
      <c r="Q616" s="971" t="e">
        <f>IF(I616=" "," ",(VLOOKUP(I616,list!$B$81:$C$111,2,FALSE)))</f>
        <v>#N/A</v>
      </c>
      <c r="R616" s="243">
        <f t="shared" si="214"/>
        <v>0</v>
      </c>
      <c r="S616" s="64">
        <v>1</v>
      </c>
      <c r="T616" s="68">
        <v>0</v>
      </c>
      <c r="U616" s="244">
        <f t="shared" si="217"/>
        <v>1</v>
      </c>
      <c r="V616" s="82" t="e">
        <f>F616&amp;"-"&amp;W616</f>
        <v>#N/A</v>
      </c>
      <c r="W616" s="248" t="e">
        <f>HLOOKUP(D616,list!$O$34:$X$38,4,FALSE)</f>
        <v>#N/A</v>
      </c>
      <c r="X616" s="973">
        <v>0.5</v>
      </c>
    </row>
    <row r="617" spans="2:24" ht="15" thickBot="1" x14ac:dyDescent="0.35">
      <c r="C617" s="520"/>
      <c r="D617" s="224" t="str">
        <f t="shared" si="218"/>
        <v xml:space="preserve">  </v>
      </c>
      <c r="E617" s="224"/>
      <c r="F617" s="224" t="str">
        <f t="shared" si="219"/>
        <v xml:space="preserve">  </v>
      </c>
      <c r="G617" s="224"/>
      <c r="H617" s="380"/>
      <c r="I617" s="516" t="e">
        <f>IF(VLOOKUP(C38,list!$AA$5:$AS$14,6,FALSE)=0," ",(VLOOKUP(C38,list!$AA$5:$AS$14,6,FALSE)))</f>
        <v>#N/A</v>
      </c>
      <c r="J617" s="955" t="e">
        <f t="shared" si="215"/>
        <v>#N/A</v>
      </c>
      <c r="K617" s="955" t="e">
        <f t="shared" si="216"/>
        <v>#N/A</v>
      </c>
      <c r="L617" s="969" t="e">
        <f>IF(I617=" "," ",VLOOKUP(J617,list!$J$4:$M$117,4,FALSE))</f>
        <v>#N/A</v>
      </c>
      <c r="M617" s="66"/>
      <c r="N617" s="1297" t="str">
        <f>IF(SUMIFS('Level of Efficiency Assumptions'!$J:$J,'Level of Efficiency Assumptions'!$H:$H,$I617,'Level of Efficiency Assumptions'!$I:$I,N$51)=0," ",SUMIFS('Level of Efficiency Assumptions'!$J:$J,'Level of Efficiency Assumptions'!$H:$H,$I617,'Level of Efficiency Assumptions'!$I:$I,N$51))</f>
        <v xml:space="preserve"> </v>
      </c>
      <c r="O617" s="1298" t="str">
        <f>IF(SUMIFS('Level of Efficiency Assumptions'!$J:$J,'Level of Efficiency Assumptions'!$H:$H,$I617,'Level of Efficiency Assumptions'!$I:$I,O$51)=0," ",SUMIFS('Level of Efficiency Assumptions'!$J:$J,'Level of Efficiency Assumptions'!$H:$H,$I617,'Level of Efficiency Assumptions'!$I:$I,O$51))</f>
        <v xml:space="preserve"> </v>
      </c>
      <c r="P617" s="1299" t="str">
        <f>IF(SUMIFS('Level of Efficiency Assumptions'!$J:$J,'Level of Efficiency Assumptions'!$H:$H,$I617,'Level of Efficiency Assumptions'!$I:$I,P$51)=0," ",SUMIFS('Level of Efficiency Assumptions'!$J:$J,'Level of Efficiency Assumptions'!$H:$H,$I617,'Level of Efficiency Assumptions'!$I:$I,P$51))</f>
        <v xml:space="preserve"> </v>
      </c>
      <c r="Q617" s="971" t="e">
        <f>IF(I617=" "," ",(VLOOKUP(I617,list!$B$81:$C$111,2,FALSE)))</f>
        <v>#N/A</v>
      </c>
      <c r="R617" s="243">
        <f t="shared" si="214"/>
        <v>0</v>
      </c>
      <c r="S617" s="64">
        <v>1</v>
      </c>
      <c r="T617" s="68">
        <v>0</v>
      </c>
      <c r="U617" s="244">
        <f t="shared" si="217"/>
        <v>1</v>
      </c>
      <c r="V617" s="82" t="e">
        <f>F617&amp;"-"&amp;W617</f>
        <v>#N/A</v>
      </c>
      <c r="W617" s="249" t="e">
        <f>HLOOKUP(D617,list!$O$34:$X$38,5,FALSE)</f>
        <v>#N/A</v>
      </c>
      <c r="X617" s="974">
        <v>0.5</v>
      </c>
    </row>
    <row r="618" spans="2:24" ht="15" thickBot="1" x14ac:dyDescent="0.35">
      <c r="C618" s="520"/>
      <c r="D618" s="224" t="str">
        <f t="shared" si="218"/>
        <v xml:space="preserve">  </v>
      </c>
      <c r="E618" s="224"/>
      <c r="F618" s="224" t="str">
        <f t="shared" si="219"/>
        <v xml:space="preserve">  </v>
      </c>
      <c r="G618" s="224"/>
      <c r="H618" s="380"/>
      <c r="I618" s="516" t="e">
        <f>IF(VLOOKUP(C38,list!$AA$5:$AS$14,7,FALSE)=0," ",(VLOOKUP(C38,list!$AA$5:$AS$14,7,FALSE)))</f>
        <v>#N/A</v>
      </c>
      <c r="J618" s="955" t="e">
        <f t="shared" si="215"/>
        <v>#N/A</v>
      </c>
      <c r="K618" s="955" t="e">
        <f t="shared" si="216"/>
        <v>#N/A</v>
      </c>
      <c r="L618" s="969" t="e">
        <f>IF(I618=" "," ",VLOOKUP(J618,list!$J$4:$M$117,4,FALSE))</f>
        <v>#N/A</v>
      </c>
      <c r="M618" s="66"/>
      <c r="N618" s="1297" t="str">
        <f>IF(SUMIFS('Level of Efficiency Assumptions'!$J:$J,'Level of Efficiency Assumptions'!$H:$H,$I618,'Level of Efficiency Assumptions'!$I:$I,N$51)=0," ",SUMIFS('Level of Efficiency Assumptions'!$J:$J,'Level of Efficiency Assumptions'!$H:$H,$I618,'Level of Efficiency Assumptions'!$I:$I,N$51))</f>
        <v xml:space="preserve"> </v>
      </c>
      <c r="O618" s="1298" t="str">
        <f>IF(SUMIFS('Level of Efficiency Assumptions'!$J:$J,'Level of Efficiency Assumptions'!$H:$H,$I618,'Level of Efficiency Assumptions'!$I:$I,O$51)=0," ",SUMIFS('Level of Efficiency Assumptions'!$J:$J,'Level of Efficiency Assumptions'!$H:$H,$I618,'Level of Efficiency Assumptions'!$I:$I,O$51))</f>
        <v xml:space="preserve"> </v>
      </c>
      <c r="P618" s="1299" t="str">
        <f>IF(SUMIFS('Level of Efficiency Assumptions'!$J:$J,'Level of Efficiency Assumptions'!$H:$H,$I618,'Level of Efficiency Assumptions'!$I:$I,P$51)=0," ",SUMIFS('Level of Efficiency Assumptions'!$J:$J,'Level of Efficiency Assumptions'!$H:$H,$I618,'Level of Efficiency Assumptions'!$I:$I,P$51))</f>
        <v xml:space="preserve"> </v>
      </c>
      <c r="Q618" s="971" t="e">
        <f>IF(I618=" "," ",(VLOOKUP(I618,list!$B$81:$C$111,2,FALSE)))</f>
        <v>#N/A</v>
      </c>
      <c r="R618" s="243">
        <f t="shared" si="214"/>
        <v>0</v>
      </c>
      <c r="S618" s="64">
        <v>1</v>
      </c>
      <c r="T618" s="68">
        <v>0</v>
      </c>
      <c r="U618" s="244">
        <f t="shared" si="217"/>
        <v>1</v>
      </c>
      <c r="W618" s="182"/>
      <c r="X618" s="975"/>
    </row>
    <row r="619" spans="2:24" ht="15" thickBot="1" x14ac:dyDescent="0.35">
      <c r="C619" s="520"/>
      <c r="D619" s="224" t="str">
        <f t="shared" si="218"/>
        <v xml:space="preserve">  </v>
      </c>
      <c r="E619" s="224"/>
      <c r="F619" s="224" t="str">
        <f t="shared" si="219"/>
        <v xml:space="preserve">  </v>
      </c>
      <c r="G619" s="224"/>
      <c r="H619" s="380"/>
      <c r="I619" s="516" t="e">
        <f>IF(VLOOKUP(C38,list!$AA$5:$AS$14,8,FALSE)=0," ",(VLOOKUP(C38,list!$AA$5:$AS$14,8,FALSE)))</f>
        <v>#N/A</v>
      </c>
      <c r="J619" s="955" t="e">
        <f t="shared" si="215"/>
        <v>#N/A</v>
      </c>
      <c r="K619" s="955" t="e">
        <f t="shared" si="216"/>
        <v>#N/A</v>
      </c>
      <c r="L619" s="969" t="e">
        <f>IF(I619=" "," ",VLOOKUP(J619,list!$J$4:$M$117,4,FALSE))</f>
        <v>#N/A</v>
      </c>
      <c r="M619" s="66"/>
      <c r="N619" s="1297" t="str">
        <f>IF(SUMIFS('Level of Efficiency Assumptions'!$J:$J,'Level of Efficiency Assumptions'!$H:$H,$I619,'Level of Efficiency Assumptions'!$I:$I,N$51)=0," ",SUMIFS('Level of Efficiency Assumptions'!$J:$J,'Level of Efficiency Assumptions'!$H:$H,$I619,'Level of Efficiency Assumptions'!$I:$I,N$51))</f>
        <v xml:space="preserve"> </v>
      </c>
      <c r="O619" s="1298" t="str">
        <f>IF(SUMIFS('Level of Efficiency Assumptions'!$J:$J,'Level of Efficiency Assumptions'!$H:$H,$I619,'Level of Efficiency Assumptions'!$I:$I,O$51)=0," ",SUMIFS('Level of Efficiency Assumptions'!$J:$J,'Level of Efficiency Assumptions'!$H:$H,$I619,'Level of Efficiency Assumptions'!$I:$I,O$51))</f>
        <v xml:space="preserve"> </v>
      </c>
      <c r="P619" s="1299" t="str">
        <f>IF(SUMIFS('Level of Efficiency Assumptions'!$J:$J,'Level of Efficiency Assumptions'!$H:$H,$I619,'Level of Efficiency Assumptions'!$I:$I,P$51)=0," ",SUMIFS('Level of Efficiency Assumptions'!$J:$J,'Level of Efficiency Assumptions'!$H:$H,$I619,'Level of Efficiency Assumptions'!$I:$I,P$51))</f>
        <v xml:space="preserve"> </v>
      </c>
      <c r="Q619" s="971" t="e">
        <f>IF(I619=" "," ",(VLOOKUP(I619,list!$B$81:$C$111,2,FALSE)))</f>
        <v>#N/A</v>
      </c>
      <c r="R619" s="243">
        <f t="shared" si="214"/>
        <v>0</v>
      </c>
      <c r="S619" s="64">
        <v>1</v>
      </c>
      <c r="T619" s="68">
        <v>0</v>
      </c>
      <c r="U619" s="244">
        <f t="shared" si="217"/>
        <v>1</v>
      </c>
      <c r="W619" s="182"/>
      <c r="X619" s="975"/>
    </row>
    <row r="620" spans="2:24" ht="15" thickBot="1" x14ac:dyDescent="0.35">
      <c r="C620" s="520"/>
      <c r="D620" s="224" t="str">
        <f t="shared" si="218"/>
        <v xml:space="preserve">  </v>
      </c>
      <c r="E620" s="224"/>
      <c r="F620" s="224" t="str">
        <f t="shared" si="219"/>
        <v xml:space="preserve">  </v>
      </c>
      <c r="G620" s="224"/>
      <c r="H620" s="380"/>
      <c r="I620" s="516" t="e">
        <f>IF(VLOOKUP(C38,list!$AA$5:$AS$14,9,FALSE)=0," ",(VLOOKUP(C38,list!$AA$5:$AS$14,9,FALSE)))</f>
        <v>#N/A</v>
      </c>
      <c r="J620" s="955" t="e">
        <f t="shared" si="215"/>
        <v>#N/A</v>
      </c>
      <c r="K620" s="955" t="e">
        <f t="shared" si="216"/>
        <v>#N/A</v>
      </c>
      <c r="L620" s="969" t="e">
        <f>IF(I620=" "," ",VLOOKUP(J620,list!$J$4:$M$117,4,FALSE))</f>
        <v>#N/A</v>
      </c>
      <c r="M620" s="66"/>
      <c r="N620" s="1297" t="str">
        <f>IF(SUMIFS('Level of Efficiency Assumptions'!$J:$J,'Level of Efficiency Assumptions'!$H:$H,$I620,'Level of Efficiency Assumptions'!$I:$I,N$51)=0," ",SUMIFS('Level of Efficiency Assumptions'!$J:$J,'Level of Efficiency Assumptions'!$H:$H,$I620,'Level of Efficiency Assumptions'!$I:$I,N$51))</f>
        <v xml:space="preserve"> </v>
      </c>
      <c r="O620" s="1298" t="str">
        <f>IF(SUMIFS('Level of Efficiency Assumptions'!$J:$J,'Level of Efficiency Assumptions'!$H:$H,$I620,'Level of Efficiency Assumptions'!$I:$I,O$51)=0," ",SUMIFS('Level of Efficiency Assumptions'!$J:$J,'Level of Efficiency Assumptions'!$H:$H,$I620,'Level of Efficiency Assumptions'!$I:$I,O$51))</f>
        <v xml:space="preserve"> </v>
      </c>
      <c r="P620" s="1299" t="str">
        <f>IF(SUMIFS('Level of Efficiency Assumptions'!$J:$J,'Level of Efficiency Assumptions'!$H:$H,$I620,'Level of Efficiency Assumptions'!$I:$I,P$51)=0," ",SUMIFS('Level of Efficiency Assumptions'!$J:$J,'Level of Efficiency Assumptions'!$H:$H,$I620,'Level of Efficiency Assumptions'!$I:$I,P$51))</f>
        <v xml:space="preserve"> </v>
      </c>
      <c r="Q620" s="971" t="e">
        <f>IF(I620=" "," ",(VLOOKUP(I620,list!$B$81:$C$111,2,FALSE)))</f>
        <v>#N/A</v>
      </c>
      <c r="R620" s="243">
        <f t="shared" si="214"/>
        <v>0</v>
      </c>
      <c r="S620" s="64">
        <v>1</v>
      </c>
      <c r="T620" s="68">
        <v>0</v>
      </c>
      <c r="U620" s="244">
        <f t="shared" si="217"/>
        <v>1</v>
      </c>
    </row>
    <row r="621" spans="2:24" ht="15" thickBot="1" x14ac:dyDescent="0.35">
      <c r="C621" s="520"/>
      <c r="D621" s="224" t="str">
        <f t="shared" si="218"/>
        <v xml:space="preserve">  </v>
      </c>
      <c r="E621" s="224"/>
      <c r="F621" s="224" t="str">
        <f t="shared" si="219"/>
        <v xml:space="preserve">  </v>
      </c>
      <c r="G621" s="224"/>
      <c r="H621" s="380"/>
      <c r="I621" s="516" t="e">
        <f>IF(VLOOKUP(C38,list!$AA$5:$AS$14,10,FALSE)=0," ",(VLOOKUP(C38,list!$AA$5:$AS$14,10,FALSE)))</f>
        <v>#N/A</v>
      </c>
      <c r="J621" s="955" t="e">
        <f t="shared" si="215"/>
        <v>#N/A</v>
      </c>
      <c r="K621" s="955" t="e">
        <f t="shared" si="216"/>
        <v>#N/A</v>
      </c>
      <c r="L621" s="969" t="e">
        <f>IF(I621=" "," ",VLOOKUP(J621,list!$J$4:$M$117,4,FALSE))</f>
        <v>#N/A</v>
      </c>
      <c r="M621" s="66"/>
      <c r="N621" s="1297" t="str">
        <f>IF(SUMIFS('Level of Efficiency Assumptions'!$J:$J,'Level of Efficiency Assumptions'!$H:$H,$I621,'Level of Efficiency Assumptions'!$I:$I,N$51)=0," ",SUMIFS('Level of Efficiency Assumptions'!$J:$J,'Level of Efficiency Assumptions'!$H:$H,$I621,'Level of Efficiency Assumptions'!$I:$I,N$51))</f>
        <v xml:space="preserve"> </v>
      </c>
      <c r="O621" s="1298" t="str">
        <f>IF(SUMIFS('Level of Efficiency Assumptions'!$J:$J,'Level of Efficiency Assumptions'!$H:$H,$I621,'Level of Efficiency Assumptions'!$I:$I,O$51)=0," ",SUMIFS('Level of Efficiency Assumptions'!$J:$J,'Level of Efficiency Assumptions'!$H:$H,$I621,'Level of Efficiency Assumptions'!$I:$I,O$51))</f>
        <v xml:space="preserve"> </v>
      </c>
      <c r="P621" s="1299" t="str">
        <f>IF(SUMIFS('Level of Efficiency Assumptions'!$J:$J,'Level of Efficiency Assumptions'!$H:$H,$I621,'Level of Efficiency Assumptions'!$I:$I,P$51)=0," ",SUMIFS('Level of Efficiency Assumptions'!$J:$J,'Level of Efficiency Assumptions'!$H:$H,$I621,'Level of Efficiency Assumptions'!$I:$I,P$51))</f>
        <v xml:space="preserve"> </v>
      </c>
      <c r="Q621" s="971" t="e">
        <f>IF(I621=" "," ",(VLOOKUP(I621,list!$B$81:$C$111,2,FALSE)))</f>
        <v>#N/A</v>
      </c>
      <c r="R621" s="243">
        <f t="shared" si="214"/>
        <v>0</v>
      </c>
      <c r="S621" s="64">
        <v>1</v>
      </c>
      <c r="T621" s="68">
        <v>0</v>
      </c>
      <c r="U621" s="244">
        <f t="shared" si="217"/>
        <v>1</v>
      </c>
    </row>
    <row r="622" spans="2:24" ht="15" thickBot="1" x14ac:dyDescent="0.35">
      <c r="C622" s="520"/>
      <c r="D622" s="224" t="str">
        <f t="shared" si="218"/>
        <v xml:space="preserve">  </v>
      </c>
      <c r="E622" s="224"/>
      <c r="F622" s="224" t="str">
        <f t="shared" si="219"/>
        <v xml:space="preserve">  </v>
      </c>
      <c r="G622" s="224"/>
      <c r="H622" s="380"/>
      <c r="I622" s="516" t="e">
        <f>IF(VLOOKUP(C38,list!$AA$5:$AS$14,11,FALSE)=0," ",(VLOOKUP(C38,list!$AA$5:$AS$14,11,FALSE)))</f>
        <v>#N/A</v>
      </c>
      <c r="J622" s="955" t="e">
        <f t="shared" si="215"/>
        <v>#N/A</v>
      </c>
      <c r="K622" s="955" t="e">
        <f t="shared" si="216"/>
        <v>#N/A</v>
      </c>
      <c r="L622" s="969" t="e">
        <f>IF(I622=" "," ",VLOOKUP(J622,list!$J$4:$M$117,4,FALSE))</f>
        <v>#N/A</v>
      </c>
      <c r="M622" s="66"/>
      <c r="N622" s="1297" t="str">
        <f>IF(SUMIFS('Level of Efficiency Assumptions'!$J:$J,'Level of Efficiency Assumptions'!$H:$H,$I622,'Level of Efficiency Assumptions'!$I:$I,N$51)=0," ",SUMIFS('Level of Efficiency Assumptions'!$J:$J,'Level of Efficiency Assumptions'!$H:$H,$I622,'Level of Efficiency Assumptions'!$I:$I,N$51))</f>
        <v xml:space="preserve"> </v>
      </c>
      <c r="O622" s="1298" t="str">
        <f>IF(SUMIFS('Level of Efficiency Assumptions'!$J:$J,'Level of Efficiency Assumptions'!$H:$H,$I622,'Level of Efficiency Assumptions'!$I:$I,O$51)=0," ",SUMIFS('Level of Efficiency Assumptions'!$J:$J,'Level of Efficiency Assumptions'!$H:$H,$I622,'Level of Efficiency Assumptions'!$I:$I,O$51))</f>
        <v xml:space="preserve"> </v>
      </c>
      <c r="P622" s="1299" t="str">
        <f>IF(SUMIFS('Level of Efficiency Assumptions'!$J:$J,'Level of Efficiency Assumptions'!$H:$H,$I622,'Level of Efficiency Assumptions'!$I:$I,P$51)=0," ",SUMIFS('Level of Efficiency Assumptions'!$J:$J,'Level of Efficiency Assumptions'!$H:$H,$I622,'Level of Efficiency Assumptions'!$I:$I,P$51))</f>
        <v xml:space="preserve"> </v>
      </c>
      <c r="Q622" s="971" t="e">
        <f>IF(I622=" "," ",(VLOOKUP(I622,list!$B$81:$C$111,2,FALSE)))</f>
        <v>#N/A</v>
      </c>
      <c r="R622" s="243">
        <f t="shared" si="214"/>
        <v>0</v>
      </c>
      <c r="S622" s="64">
        <v>1</v>
      </c>
      <c r="T622" s="68">
        <v>0</v>
      </c>
      <c r="U622" s="244">
        <f t="shared" si="217"/>
        <v>1</v>
      </c>
    </row>
    <row r="623" spans="2:24" ht="15" thickBot="1" x14ac:dyDescent="0.35">
      <c r="C623" s="520"/>
      <c r="D623" s="224" t="str">
        <f t="shared" si="218"/>
        <v xml:space="preserve">  </v>
      </c>
      <c r="E623" s="224"/>
      <c r="F623" s="224" t="str">
        <f t="shared" si="219"/>
        <v xml:space="preserve">  </v>
      </c>
      <c r="G623" s="224"/>
      <c r="H623" s="380"/>
      <c r="I623" s="516" t="e">
        <f>IF(VLOOKUP(C38,list!$AA$5:$AS$14,12,FALSE)=0," ",(VLOOKUP(C38,list!$AA$5:$AS$14,12,FALSE)))</f>
        <v>#N/A</v>
      </c>
      <c r="J623" s="955" t="e">
        <f t="shared" si="215"/>
        <v>#N/A</v>
      </c>
      <c r="K623" s="955" t="e">
        <f t="shared" si="216"/>
        <v>#N/A</v>
      </c>
      <c r="L623" s="969" t="e">
        <f>IF(I623=" "," ",VLOOKUP(J623,list!$J$4:$M$117,4,FALSE))</f>
        <v>#N/A</v>
      </c>
      <c r="M623" s="66"/>
      <c r="N623" s="1297" t="str">
        <f>IF(SUMIFS('Level of Efficiency Assumptions'!$J:$J,'Level of Efficiency Assumptions'!$H:$H,$I623,'Level of Efficiency Assumptions'!$I:$I,N$51)=0," ",SUMIFS('Level of Efficiency Assumptions'!$J:$J,'Level of Efficiency Assumptions'!$H:$H,$I623,'Level of Efficiency Assumptions'!$I:$I,N$51))</f>
        <v xml:space="preserve"> </v>
      </c>
      <c r="O623" s="1298" t="str">
        <f>IF(SUMIFS('Level of Efficiency Assumptions'!$J:$J,'Level of Efficiency Assumptions'!$H:$H,$I623,'Level of Efficiency Assumptions'!$I:$I,O$51)=0," ",SUMIFS('Level of Efficiency Assumptions'!$J:$J,'Level of Efficiency Assumptions'!$H:$H,$I623,'Level of Efficiency Assumptions'!$I:$I,O$51))</f>
        <v xml:space="preserve"> </v>
      </c>
      <c r="P623" s="1299" t="str">
        <f>IF(SUMIFS('Level of Efficiency Assumptions'!$J:$J,'Level of Efficiency Assumptions'!$H:$H,$I623,'Level of Efficiency Assumptions'!$I:$I,P$51)=0," ",SUMIFS('Level of Efficiency Assumptions'!$J:$J,'Level of Efficiency Assumptions'!$H:$H,$I623,'Level of Efficiency Assumptions'!$I:$I,P$51))</f>
        <v xml:space="preserve"> </v>
      </c>
      <c r="Q623" s="971" t="e">
        <f>IF(I623=" "," ",(VLOOKUP(I623,list!$B$81:$C$111,2,FALSE)))</f>
        <v>#N/A</v>
      </c>
      <c r="R623" s="243">
        <f t="shared" si="214"/>
        <v>0</v>
      </c>
      <c r="S623" s="64">
        <v>1</v>
      </c>
      <c r="T623" s="68">
        <v>0</v>
      </c>
      <c r="U623" s="244">
        <f t="shared" si="217"/>
        <v>1</v>
      </c>
    </row>
    <row r="624" spans="2:24" ht="15" thickBot="1" x14ac:dyDescent="0.35">
      <c r="C624" s="520"/>
      <c r="D624" s="224" t="str">
        <f t="shared" si="218"/>
        <v xml:space="preserve">  </v>
      </c>
      <c r="E624" s="224"/>
      <c r="F624" s="224" t="str">
        <f t="shared" si="219"/>
        <v xml:space="preserve">  </v>
      </c>
      <c r="G624" s="224"/>
      <c r="H624" s="380"/>
      <c r="I624" s="516" t="e">
        <f>IF(VLOOKUP(C38,list!$AA$5:$AS$14,13,FALSE)=0," ",(VLOOKUP(C38,list!$AA$5:$AS$14,13,FALSE)))</f>
        <v>#N/A</v>
      </c>
      <c r="J624" s="955" t="e">
        <f t="shared" si="215"/>
        <v>#N/A</v>
      </c>
      <c r="K624" s="955" t="e">
        <f t="shared" si="216"/>
        <v>#N/A</v>
      </c>
      <c r="L624" s="969" t="e">
        <f>IF(I624=" "," ",VLOOKUP(J624,list!$J$4:$M$117,4,FALSE))</f>
        <v>#N/A</v>
      </c>
      <c r="M624" s="66"/>
      <c r="N624" s="1297" t="str">
        <f>IF(SUMIFS('Level of Efficiency Assumptions'!$J:$J,'Level of Efficiency Assumptions'!$H:$H,$I624,'Level of Efficiency Assumptions'!$I:$I,N$51)=0," ",SUMIFS('Level of Efficiency Assumptions'!$J:$J,'Level of Efficiency Assumptions'!$H:$H,$I624,'Level of Efficiency Assumptions'!$I:$I,N$51))</f>
        <v xml:space="preserve"> </v>
      </c>
      <c r="O624" s="1298" t="str">
        <f>IF(SUMIFS('Level of Efficiency Assumptions'!$J:$J,'Level of Efficiency Assumptions'!$H:$H,$I624,'Level of Efficiency Assumptions'!$I:$I,O$51)=0," ",SUMIFS('Level of Efficiency Assumptions'!$J:$J,'Level of Efficiency Assumptions'!$H:$H,$I624,'Level of Efficiency Assumptions'!$I:$I,O$51))</f>
        <v xml:space="preserve"> </v>
      </c>
      <c r="P624" s="1299" t="str">
        <f>IF(SUMIFS('Level of Efficiency Assumptions'!$J:$J,'Level of Efficiency Assumptions'!$H:$H,$I624,'Level of Efficiency Assumptions'!$I:$I,P$51)=0," ",SUMIFS('Level of Efficiency Assumptions'!$J:$J,'Level of Efficiency Assumptions'!$H:$H,$I624,'Level of Efficiency Assumptions'!$I:$I,P$51))</f>
        <v xml:space="preserve"> </v>
      </c>
      <c r="Q624" s="971" t="e">
        <f>IF(I624=" "," ",(VLOOKUP(I624,list!$B$81:$C$111,2,FALSE)))</f>
        <v>#N/A</v>
      </c>
      <c r="R624" s="243">
        <f t="shared" si="214"/>
        <v>0</v>
      </c>
      <c r="S624" s="64">
        <v>1</v>
      </c>
      <c r="T624" s="68">
        <v>0</v>
      </c>
      <c r="U624" s="244">
        <f t="shared" si="217"/>
        <v>1</v>
      </c>
    </row>
    <row r="625" spans="2:24" ht="15" thickBot="1" x14ac:dyDescent="0.35">
      <c r="C625" s="520"/>
      <c r="D625" s="224" t="str">
        <f t="shared" si="218"/>
        <v xml:space="preserve">  </v>
      </c>
      <c r="E625" s="224"/>
      <c r="F625" s="224" t="str">
        <f t="shared" si="219"/>
        <v xml:space="preserve">  </v>
      </c>
      <c r="G625" s="224"/>
      <c r="H625" s="380"/>
      <c r="I625" s="516" t="e">
        <f>IF(VLOOKUP(C38,list!$AA$5:$AS$14,14,FALSE)=0," ",(VLOOKUP(C38,list!$AA$5:$AS$14,14,FALSE)))</f>
        <v>#N/A</v>
      </c>
      <c r="J625" s="955" t="e">
        <f t="shared" si="215"/>
        <v>#N/A</v>
      </c>
      <c r="K625" s="955" t="e">
        <f t="shared" si="216"/>
        <v>#N/A</v>
      </c>
      <c r="L625" s="969" t="e">
        <f>IF(I625=" "," ",VLOOKUP(J625,list!$J$4:$M$117,4,FALSE))</f>
        <v>#N/A</v>
      </c>
      <c r="M625" s="66"/>
      <c r="N625" s="1297" t="str">
        <f>IF(SUMIFS('Level of Efficiency Assumptions'!$J:$J,'Level of Efficiency Assumptions'!$H:$H,$I625,'Level of Efficiency Assumptions'!$I:$I,N$51)=0," ",SUMIFS('Level of Efficiency Assumptions'!$J:$J,'Level of Efficiency Assumptions'!$H:$H,$I625,'Level of Efficiency Assumptions'!$I:$I,N$51))</f>
        <v xml:space="preserve"> </v>
      </c>
      <c r="O625" s="1298" t="str">
        <f>IF(SUMIFS('Level of Efficiency Assumptions'!$J:$J,'Level of Efficiency Assumptions'!$H:$H,$I625,'Level of Efficiency Assumptions'!$I:$I,O$51)=0," ",SUMIFS('Level of Efficiency Assumptions'!$J:$J,'Level of Efficiency Assumptions'!$H:$H,$I625,'Level of Efficiency Assumptions'!$I:$I,O$51))</f>
        <v xml:space="preserve"> </v>
      </c>
      <c r="P625" s="1299" t="str">
        <f>IF(SUMIFS('Level of Efficiency Assumptions'!$J:$J,'Level of Efficiency Assumptions'!$H:$H,$I625,'Level of Efficiency Assumptions'!$I:$I,P$51)=0," ",SUMIFS('Level of Efficiency Assumptions'!$J:$J,'Level of Efficiency Assumptions'!$H:$H,$I625,'Level of Efficiency Assumptions'!$I:$I,P$51))</f>
        <v xml:space="preserve"> </v>
      </c>
      <c r="Q625" s="971" t="e">
        <f>IF(I625=" "," ",(VLOOKUP(I625,list!$B$81:$C$111,2,FALSE)))</f>
        <v>#N/A</v>
      </c>
      <c r="R625" s="243">
        <f t="shared" si="214"/>
        <v>0</v>
      </c>
      <c r="S625" s="64">
        <v>1</v>
      </c>
      <c r="T625" s="68">
        <v>0</v>
      </c>
      <c r="U625" s="244">
        <f t="shared" si="217"/>
        <v>1</v>
      </c>
    </row>
    <row r="626" spans="2:24" ht="15" thickBot="1" x14ac:dyDescent="0.35">
      <c r="C626" s="520"/>
      <c r="D626" s="224" t="str">
        <f t="shared" si="218"/>
        <v xml:space="preserve">  </v>
      </c>
      <c r="E626" s="224"/>
      <c r="F626" s="224" t="str">
        <f t="shared" si="219"/>
        <v xml:space="preserve">  </v>
      </c>
      <c r="G626" s="224"/>
      <c r="H626" s="380"/>
      <c r="I626" s="516" t="e">
        <f>IF(VLOOKUP(C38,list!$AA$5:$AS$14,15,FALSE)=0," ",(VLOOKUP(C38,list!$AA$5:$AS$14,15,FALSE)))</f>
        <v>#N/A</v>
      </c>
      <c r="J626" s="955" t="e">
        <f t="shared" si="215"/>
        <v>#N/A</v>
      </c>
      <c r="K626" s="955" t="e">
        <f t="shared" si="216"/>
        <v>#N/A</v>
      </c>
      <c r="L626" s="969" t="e">
        <f>IF(I626=" "," ",VLOOKUP(J626,list!$J$4:$M$117,4,FALSE))</f>
        <v>#N/A</v>
      </c>
      <c r="M626" s="66"/>
      <c r="N626" s="1297" t="str">
        <f>IF(SUMIFS('Level of Efficiency Assumptions'!$J:$J,'Level of Efficiency Assumptions'!$H:$H,$I626,'Level of Efficiency Assumptions'!$I:$I,N$51)=0," ",SUMIFS('Level of Efficiency Assumptions'!$J:$J,'Level of Efficiency Assumptions'!$H:$H,$I626,'Level of Efficiency Assumptions'!$I:$I,N$51))</f>
        <v xml:space="preserve"> </v>
      </c>
      <c r="O626" s="1298" t="str">
        <f>IF(SUMIFS('Level of Efficiency Assumptions'!$J:$J,'Level of Efficiency Assumptions'!$H:$H,$I626,'Level of Efficiency Assumptions'!$I:$I,O$51)=0," ",SUMIFS('Level of Efficiency Assumptions'!$J:$J,'Level of Efficiency Assumptions'!$H:$H,$I626,'Level of Efficiency Assumptions'!$I:$I,O$51))</f>
        <v xml:space="preserve"> </v>
      </c>
      <c r="P626" s="1299" t="str">
        <f>IF(SUMIFS('Level of Efficiency Assumptions'!$J:$J,'Level of Efficiency Assumptions'!$H:$H,$I626,'Level of Efficiency Assumptions'!$I:$I,P$51)=0," ",SUMIFS('Level of Efficiency Assumptions'!$J:$J,'Level of Efficiency Assumptions'!$H:$H,$I626,'Level of Efficiency Assumptions'!$I:$I,P$51))</f>
        <v xml:space="preserve"> </v>
      </c>
      <c r="Q626" s="971" t="e">
        <f>IF(I626=" "," ",(VLOOKUP(I626,list!$B$81:$C$111,2,FALSE)))</f>
        <v>#N/A</v>
      </c>
      <c r="R626" s="243">
        <f t="shared" si="214"/>
        <v>0</v>
      </c>
      <c r="S626" s="64">
        <v>1</v>
      </c>
      <c r="T626" s="68">
        <v>0</v>
      </c>
      <c r="U626" s="244">
        <f t="shared" si="217"/>
        <v>1</v>
      </c>
    </row>
    <row r="627" spans="2:24" ht="15" thickBot="1" x14ac:dyDescent="0.35">
      <c r="C627" s="520"/>
      <c r="D627" s="224" t="str">
        <f t="shared" si="218"/>
        <v xml:space="preserve">  </v>
      </c>
      <c r="E627" s="224"/>
      <c r="F627" s="224" t="str">
        <f t="shared" si="219"/>
        <v xml:space="preserve">  </v>
      </c>
      <c r="G627" s="224"/>
      <c r="H627" s="380"/>
      <c r="I627" s="516" t="e">
        <f>IF(VLOOKUP(C38,list!$AA$5:$AS$14,16,FALSE)=0," ",(VLOOKUP(C38,list!$AA$5:$AS$14,16,FALSE)))</f>
        <v>#N/A</v>
      </c>
      <c r="J627" s="955" t="e">
        <f t="shared" si="215"/>
        <v>#N/A</v>
      </c>
      <c r="K627" s="955" t="e">
        <f t="shared" si="216"/>
        <v>#N/A</v>
      </c>
      <c r="L627" s="969" t="e">
        <f>IF(I627=" "," ",VLOOKUP(J627,list!$J$4:$M$117,4,FALSE))</f>
        <v>#N/A</v>
      </c>
      <c r="M627" s="66"/>
      <c r="N627" s="1297" t="str">
        <f>IF(SUMIFS('Level of Efficiency Assumptions'!$J:$J,'Level of Efficiency Assumptions'!$H:$H,$I627,'Level of Efficiency Assumptions'!$I:$I,N$51)=0," ",SUMIFS('Level of Efficiency Assumptions'!$J:$J,'Level of Efficiency Assumptions'!$H:$H,$I627,'Level of Efficiency Assumptions'!$I:$I,N$51))</f>
        <v xml:space="preserve"> </v>
      </c>
      <c r="O627" s="1298" t="str">
        <f>IF(SUMIFS('Level of Efficiency Assumptions'!$J:$J,'Level of Efficiency Assumptions'!$H:$H,$I627,'Level of Efficiency Assumptions'!$I:$I,O$51)=0," ",SUMIFS('Level of Efficiency Assumptions'!$J:$J,'Level of Efficiency Assumptions'!$H:$H,$I627,'Level of Efficiency Assumptions'!$I:$I,O$51))</f>
        <v xml:space="preserve"> </v>
      </c>
      <c r="P627" s="1299" t="str">
        <f>IF(SUMIFS('Level of Efficiency Assumptions'!$J:$J,'Level of Efficiency Assumptions'!$H:$H,$I627,'Level of Efficiency Assumptions'!$I:$I,P$51)=0," ",SUMIFS('Level of Efficiency Assumptions'!$J:$J,'Level of Efficiency Assumptions'!$H:$H,$I627,'Level of Efficiency Assumptions'!$I:$I,P$51))</f>
        <v xml:space="preserve"> </v>
      </c>
      <c r="Q627" s="971" t="e">
        <f>IF(I627=" "," ",(VLOOKUP(I627,list!$B$81:$C$111,2,FALSE)))</f>
        <v>#N/A</v>
      </c>
      <c r="R627" s="243">
        <f t="shared" si="214"/>
        <v>0</v>
      </c>
      <c r="S627" s="64">
        <v>1</v>
      </c>
      <c r="T627" s="68">
        <v>0</v>
      </c>
      <c r="U627" s="244">
        <f t="shared" si="217"/>
        <v>1</v>
      </c>
    </row>
    <row r="628" spans="2:24" ht="15" thickBot="1" x14ac:dyDescent="0.35">
      <c r="C628" s="520"/>
      <c r="D628" s="224" t="str">
        <f t="shared" si="218"/>
        <v xml:space="preserve">  </v>
      </c>
      <c r="E628" s="224"/>
      <c r="F628" s="224" t="str">
        <f t="shared" si="219"/>
        <v xml:space="preserve">  </v>
      </c>
      <c r="G628" s="224"/>
      <c r="H628" s="380"/>
      <c r="I628" s="516" t="e">
        <f>IF(VLOOKUP(C38,list!$AA$5:$AS$14,17,FALSE)=0," ",(VLOOKUP(C38,list!$AA$5:$AS$14,17,FALSE)))</f>
        <v>#N/A</v>
      </c>
      <c r="J628" s="955" t="e">
        <f t="shared" si="215"/>
        <v>#N/A</v>
      </c>
      <c r="K628" s="955" t="e">
        <f t="shared" si="216"/>
        <v>#N/A</v>
      </c>
      <c r="L628" s="969" t="e">
        <f>IF(I628=" "," ",VLOOKUP(J628,list!$J$4:$M$117,4,FALSE))</f>
        <v>#N/A</v>
      </c>
      <c r="M628" s="66"/>
      <c r="N628" s="1297" t="str">
        <f>IF(SUMIFS('Level of Efficiency Assumptions'!$J:$J,'Level of Efficiency Assumptions'!$H:$H,$I628,'Level of Efficiency Assumptions'!$I:$I,N$51)=0," ",SUMIFS('Level of Efficiency Assumptions'!$J:$J,'Level of Efficiency Assumptions'!$H:$H,$I628,'Level of Efficiency Assumptions'!$I:$I,N$51))</f>
        <v xml:space="preserve"> </v>
      </c>
      <c r="O628" s="1298" t="str">
        <f>IF(SUMIFS('Level of Efficiency Assumptions'!$J:$J,'Level of Efficiency Assumptions'!$H:$H,$I628,'Level of Efficiency Assumptions'!$I:$I,O$51)=0," ",SUMIFS('Level of Efficiency Assumptions'!$J:$J,'Level of Efficiency Assumptions'!$H:$H,$I628,'Level of Efficiency Assumptions'!$I:$I,O$51))</f>
        <v xml:space="preserve"> </v>
      </c>
      <c r="P628" s="1299" t="str">
        <f>IF(SUMIFS('Level of Efficiency Assumptions'!$J:$J,'Level of Efficiency Assumptions'!$H:$H,$I628,'Level of Efficiency Assumptions'!$I:$I,P$51)=0," ",SUMIFS('Level of Efficiency Assumptions'!$J:$J,'Level of Efficiency Assumptions'!$H:$H,$I628,'Level of Efficiency Assumptions'!$I:$I,P$51))</f>
        <v xml:space="preserve"> </v>
      </c>
      <c r="Q628" s="971" t="e">
        <f>IF(I628=" "," ",(VLOOKUP(I628,list!$B$81:$C$111,2,FALSE)))</f>
        <v>#N/A</v>
      </c>
      <c r="R628" s="243">
        <f t="shared" si="214"/>
        <v>0</v>
      </c>
      <c r="S628" s="64">
        <v>1</v>
      </c>
      <c r="T628" s="68">
        <v>0</v>
      </c>
      <c r="U628" s="244">
        <f t="shared" si="217"/>
        <v>1</v>
      </c>
    </row>
    <row r="629" spans="2:24" ht="15" thickBot="1" x14ac:dyDescent="0.35">
      <c r="C629" s="520"/>
      <c r="D629" s="224" t="str">
        <f t="shared" si="218"/>
        <v xml:space="preserve">  </v>
      </c>
      <c r="E629" s="224"/>
      <c r="F629" s="224" t="str">
        <f t="shared" si="219"/>
        <v xml:space="preserve">  </v>
      </c>
      <c r="G629" s="224"/>
      <c r="H629" s="380"/>
      <c r="I629" s="516" t="e">
        <f>IF(VLOOKUP(C38,list!$AA$5:$AS$14,18,FALSE)=0," ",(VLOOKUP(C38,list!$AA$5:$AS$14,18,FALSE)))</f>
        <v>#N/A</v>
      </c>
      <c r="J629" s="955" t="e">
        <f t="shared" si="215"/>
        <v>#N/A</v>
      </c>
      <c r="K629" s="955" t="e">
        <f t="shared" si="216"/>
        <v>#N/A</v>
      </c>
      <c r="L629" s="969" t="e">
        <f>IF(I629=" "," ",VLOOKUP(J629,list!$J$4:$M$117,4,FALSE))</f>
        <v>#N/A</v>
      </c>
      <c r="M629" s="66"/>
      <c r="N629" s="1297" t="str">
        <f>IF(SUMIFS('Level of Efficiency Assumptions'!$J:$J,'Level of Efficiency Assumptions'!$H:$H,$I629,'Level of Efficiency Assumptions'!$I:$I,N$51)=0," ",SUMIFS('Level of Efficiency Assumptions'!$J:$J,'Level of Efficiency Assumptions'!$H:$H,$I629,'Level of Efficiency Assumptions'!$I:$I,N$51))</f>
        <v xml:space="preserve"> </v>
      </c>
      <c r="O629" s="1298" t="str">
        <f>IF(SUMIFS('Level of Efficiency Assumptions'!$J:$J,'Level of Efficiency Assumptions'!$H:$H,$I629,'Level of Efficiency Assumptions'!$I:$I,O$51)=0," ",SUMIFS('Level of Efficiency Assumptions'!$J:$J,'Level of Efficiency Assumptions'!$H:$H,$I629,'Level of Efficiency Assumptions'!$I:$I,O$51))</f>
        <v xml:space="preserve"> </v>
      </c>
      <c r="P629" s="1299" t="str">
        <f>IF(SUMIFS('Level of Efficiency Assumptions'!$J:$J,'Level of Efficiency Assumptions'!$H:$H,$I629,'Level of Efficiency Assumptions'!$I:$I,P$51)=0," ",SUMIFS('Level of Efficiency Assumptions'!$J:$J,'Level of Efficiency Assumptions'!$H:$H,$I629,'Level of Efficiency Assumptions'!$I:$I,P$51))</f>
        <v xml:space="preserve"> </v>
      </c>
      <c r="Q629" s="971" t="e">
        <f>IF(I629=" "," ",(VLOOKUP(I629,list!$B$81:$C$111,2,FALSE)))</f>
        <v>#N/A</v>
      </c>
      <c r="R629" s="243">
        <f t="shared" si="214"/>
        <v>0</v>
      </c>
      <c r="S629" s="64">
        <v>1</v>
      </c>
      <c r="T629" s="68">
        <v>0</v>
      </c>
      <c r="U629" s="244">
        <f t="shared" si="217"/>
        <v>1</v>
      </c>
    </row>
    <row r="630" spans="2:24" ht="15" thickBot="1" x14ac:dyDescent="0.35">
      <c r="C630" s="632"/>
      <c r="D630" s="226" t="str">
        <f t="shared" si="218"/>
        <v xml:space="preserve">  </v>
      </c>
      <c r="E630" s="226"/>
      <c r="F630" s="226" t="str">
        <f t="shared" si="219"/>
        <v xml:space="preserve">  </v>
      </c>
      <c r="G630" s="226"/>
      <c r="H630" s="976"/>
      <c r="I630" s="516" t="e">
        <f>IF(VLOOKUP(C38,list!$AA$5:$AS$14,19,FALSE)=0," ",(VLOOKUP(C38,list!$AA$5:$AS$14,19,FALSE)))</f>
        <v>#N/A</v>
      </c>
      <c r="J630" s="955" t="e">
        <f>IF(I630=" "," ",(D630&amp;"-"&amp;I630))</f>
        <v>#N/A</v>
      </c>
      <c r="K630" s="955" t="e">
        <f t="shared" si="216"/>
        <v>#N/A</v>
      </c>
      <c r="L630" s="969" t="e">
        <f>IF(I630=" "," ",VLOOKUP(J630,list!$J$4:$M$117,4,FALSE))</f>
        <v>#N/A</v>
      </c>
      <c r="M630" s="67"/>
      <c r="N630" s="1303" t="str">
        <f>IF(SUMIFS('Level of Efficiency Assumptions'!$J:$J,'Level of Efficiency Assumptions'!$H:$H,$I630,'Level of Efficiency Assumptions'!$I:$I,N$51)=0," ",SUMIFS('Level of Efficiency Assumptions'!$J:$J,'Level of Efficiency Assumptions'!$H:$H,$I630,'Level of Efficiency Assumptions'!$I:$I,N$51))</f>
        <v xml:space="preserve"> </v>
      </c>
      <c r="O630" s="1304" t="str">
        <f>IF(SUMIFS('Level of Efficiency Assumptions'!$J:$J,'Level of Efficiency Assumptions'!$H:$H,$I630,'Level of Efficiency Assumptions'!$I:$I,O$51)=0," ",SUMIFS('Level of Efficiency Assumptions'!$J:$J,'Level of Efficiency Assumptions'!$H:$H,$I630,'Level of Efficiency Assumptions'!$I:$I,O$51))</f>
        <v xml:space="preserve"> </v>
      </c>
      <c r="P630" s="1305" t="str">
        <f>IF(SUMIFS('Level of Efficiency Assumptions'!$J:$J,'Level of Efficiency Assumptions'!$H:$H,$I630,'Level of Efficiency Assumptions'!$I:$I,P$51)=0," ",SUMIFS('Level of Efficiency Assumptions'!$J:$J,'Level of Efficiency Assumptions'!$H:$H,$I630,'Level of Efficiency Assumptions'!$I:$I,P$51))</f>
        <v xml:space="preserve"> </v>
      </c>
      <c r="Q630" s="977" t="e">
        <f>IF(I630=" "," ",(VLOOKUP(I630,list!$B$81:$C$111,2,FALSE)))</f>
        <v>#N/A</v>
      </c>
      <c r="R630" s="245">
        <f t="shared" si="214"/>
        <v>0</v>
      </c>
      <c r="S630" s="65">
        <v>1</v>
      </c>
      <c r="T630" s="69">
        <v>0</v>
      </c>
      <c r="U630" s="246">
        <f t="shared" si="217"/>
        <v>1</v>
      </c>
    </row>
    <row r="631" spans="2:24" x14ac:dyDescent="0.3">
      <c r="D631" s="846"/>
      <c r="F631" s="82"/>
      <c r="J631" s="846"/>
      <c r="K631" s="846"/>
      <c r="N631" s="1179"/>
      <c r="O631" s="1179"/>
      <c r="P631" s="1179"/>
      <c r="R631" s="176" t="s">
        <v>295</v>
      </c>
      <c r="S631" s="176"/>
      <c r="T631" s="176"/>
      <c r="U631" s="176"/>
    </row>
    <row r="632" spans="2:24" ht="15" thickBot="1" x14ac:dyDescent="0.35">
      <c r="D632" s="846"/>
      <c r="F632" s="82"/>
      <c r="J632" s="846"/>
      <c r="K632" s="846"/>
      <c r="N632" s="1179"/>
      <c r="O632" s="1179"/>
      <c r="P632" s="1179"/>
    </row>
    <row r="633" spans="2:24" ht="15" thickBot="1" x14ac:dyDescent="0.35">
      <c r="B633" s="814">
        <v>30</v>
      </c>
      <c r="C633" s="967" t="str">
        <f t="shared" ref="C633:H633" si="220">C39</f>
        <v xml:space="preserve">  </v>
      </c>
      <c r="D633" s="967" t="str">
        <f t="shared" si="220"/>
        <v xml:space="preserve">  </v>
      </c>
      <c r="E633" s="967" t="str">
        <f t="shared" si="220"/>
        <v xml:space="preserve">  </v>
      </c>
      <c r="F633" s="967" t="str">
        <f t="shared" si="220"/>
        <v xml:space="preserve">  </v>
      </c>
      <c r="G633" s="967">
        <f t="shared" si="220"/>
        <v>0</v>
      </c>
      <c r="H633" s="968">
        <f t="shared" si="220"/>
        <v>0</v>
      </c>
      <c r="I633" s="516" t="e">
        <f>IF(VLOOKUP(C39,list!$AA$5:$AS$14,2,FALSE)=0," ",(VLOOKUP(C39,list!$AA$5:$AS$14,2,FALSE)))</f>
        <v>#N/A</v>
      </c>
      <c r="J633" s="955" t="e">
        <f>IF(I633=" "," ",(D39&amp;"-"&amp;I633))</f>
        <v>#N/A</v>
      </c>
      <c r="K633" s="955" t="e">
        <f>IF(I633=" "," ",(F39&amp;"-"&amp;I633))</f>
        <v>#N/A</v>
      </c>
      <c r="L633" s="969" t="e">
        <f>IF(I633=" "," ",VLOOKUP(J633,list!$J$4:$M$117,4,FALSE))</f>
        <v>#N/A</v>
      </c>
      <c r="M633" s="70"/>
      <c r="N633" s="1300" t="str">
        <f>IF(SUMIFS('Level of Efficiency Assumptions'!$J:$J,'Level of Efficiency Assumptions'!$H:$H,$I633,'Level of Efficiency Assumptions'!$I:$I,N$51)=0," ",SUMIFS('Level of Efficiency Assumptions'!$J:$J,'Level of Efficiency Assumptions'!$H:$H,$I633,'Level of Efficiency Assumptions'!$I:$I,N$51))</f>
        <v xml:space="preserve"> </v>
      </c>
      <c r="O633" s="1301" t="str">
        <f>IF(SUMIFS('Level of Efficiency Assumptions'!$J:$J,'Level of Efficiency Assumptions'!$H:$H,$I633,'Level of Efficiency Assumptions'!$I:$I,O$51)=0," ",SUMIFS('Level of Efficiency Assumptions'!$J:$J,'Level of Efficiency Assumptions'!$H:$H,$I633,'Level of Efficiency Assumptions'!$I:$I,O$51))</f>
        <v xml:space="preserve"> </v>
      </c>
      <c r="P633" s="1302" t="str">
        <f>IF(SUMIFS('Level of Efficiency Assumptions'!$J:$J,'Level of Efficiency Assumptions'!$H:$H,$I633,'Level of Efficiency Assumptions'!$I:$I,P$51)=0," ",SUMIFS('Level of Efficiency Assumptions'!$J:$J,'Level of Efficiency Assumptions'!$H:$H,$I633,'Level of Efficiency Assumptions'!$I:$I,P$51))</f>
        <v xml:space="preserve"> </v>
      </c>
      <c r="Q633" s="970" t="e">
        <f>IF(I633=" "," ",(VLOOKUP(I633,list!$B$81:$C$111,2,FALSE)))</f>
        <v>#N/A</v>
      </c>
      <c r="R633" s="241">
        <f t="shared" ref="R633:R650" si="221">1-S633-T633</f>
        <v>0</v>
      </c>
      <c r="S633" s="83">
        <v>1</v>
      </c>
      <c r="T633" s="84">
        <v>0</v>
      </c>
      <c r="U633" s="242">
        <f>SUM(R633:T633)</f>
        <v>1</v>
      </c>
      <c r="W633" s="250" t="s">
        <v>367</v>
      </c>
      <c r="X633" s="251" t="s">
        <v>366</v>
      </c>
    </row>
    <row r="634" spans="2:24" ht="15" thickBot="1" x14ac:dyDescent="0.35">
      <c r="C634" s="520"/>
      <c r="D634" s="224" t="str">
        <f>D39</f>
        <v xml:space="preserve">  </v>
      </c>
      <c r="E634" s="224"/>
      <c r="F634" s="224" t="str">
        <f>F39</f>
        <v xml:space="preserve">  </v>
      </c>
      <c r="G634" s="224"/>
      <c r="H634" s="380"/>
      <c r="I634" s="516" t="e">
        <f>IF(VLOOKUP(C39,list!$AA$5:$AS$14,3,FALSE)=0," ",(VLOOKUP(C39,list!$AA$5:$AS$14,3,FALSE)))</f>
        <v>#N/A</v>
      </c>
      <c r="J634" s="955" t="e">
        <f t="shared" ref="J634:J649" si="222">IF(I634=" "," ",(D634&amp;"-"&amp;I634))</f>
        <v>#N/A</v>
      </c>
      <c r="K634" s="955" t="e">
        <f t="shared" ref="K634:K650" si="223">IF(I634=" "," ",(F634&amp;"-"&amp;I634))</f>
        <v>#N/A</v>
      </c>
      <c r="L634" s="969" t="e">
        <f>IF(I634=" "," ",VLOOKUP(J634,list!$J$4:$M$117,4,FALSE))</f>
        <v>#N/A</v>
      </c>
      <c r="M634" s="66"/>
      <c r="N634" s="1297" t="str">
        <f>IF(SUMIFS('Level of Efficiency Assumptions'!$J:$J,'Level of Efficiency Assumptions'!$H:$H,$I634,'Level of Efficiency Assumptions'!$I:$I,N$51)=0," ",SUMIFS('Level of Efficiency Assumptions'!$J:$J,'Level of Efficiency Assumptions'!$H:$H,$I634,'Level of Efficiency Assumptions'!$I:$I,N$51))</f>
        <v xml:space="preserve"> </v>
      </c>
      <c r="O634" s="1298" t="str">
        <f>IF(SUMIFS('Level of Efficiency Assumptions'!$J:$J,'Level of Efficiency Assumptions'!$H:$H,$I634,'Level of Efficiency Assumptions'!$I:$I,O$51)=0," ",SUMIFS('Level of Efficiency Assumptions'!$J:$J,'Level of Efficiency Assumptions'!$H:$H,$I634,'Level of Efficiency Assumptions'!$I:$I,O$51))</f>
        <v xml:space="preserve"> </v>
      </c>
      <c r="P634" s="1299" t="str">
        <f>IF(SUMIFS('Level of Efficiency Assumptions'!$J:$J,'Level of Efficiency Assumptions'!$H:$H,$I634,'Level of Efficiency Assumptions'!$I:$I,P$51)=0," ",SUMIFS('Level of Efficiency Assumptions'!$J:$J,'Level of Efficiency Assumptions'!$H:$H,$I634,'Level of Efficiency Assumptions'!$I:$I,P$51))</f>
        <v xml:space="preserve"> </v>
      </c>
      <c r="Q634" s="971" t="e">
        <f>IF(I634=" "," ",(VLOOKUP(I634,list!$B$81:$C$111,2,FALSE)))</f>
        <v>#N/A</v>
      </c>
      <c r="R634" s="243">
        <f t="shared" si="221"/>
        <v>0</v>
      </c>
      <c r="S634" s="64">
        <v>1</v>
      </c>
      <c r="T634" s="68">
        <v>0</v>
      </c>
      <c r="U634" s="244">
        <f t="shared" ref="U634:U650" si="224">SUM(R634:T634)</f>
        <v>1</v>
      </c>
      <c r="V634" s="82" t="e">
        <f>F634&amp;"-"&amp;W634</f>
        <v>#N/A</v>
      </c>
      <c r="W634" s="247" t="e">
        <f>HLOOKUP(D634,list!$O$34:$X$38,2,FALSE)</f>
        <v>#N/A</v>
      </c>
      <c r="X634" s="972">
        <v>1</v>
      </c>
    </row>
    <row r="635" spans="2:24" ht="15" thickBot="1" x14ac:dyDescent="0.35">
      <c r="C635" s="520"/>
      <c r="D635" s="224" t="str">
        <f>D634</f>
        <v xml:space="preserve">  </v>
      </c>
      <c r="E635" s="224"/>
      <c r="F635" s="224" t="str">
        <f>F634</f>
        <v xml:space="preserve">  </v>
      </c>
      <c r="G635" s="224"/>
      <c r="H635" s="380"/>
      <c r="I635" s="516" t="e">
        <f>IF(VLOOKUP(C39,list!$AA$5:$AS$14,4,FALSE)=0," ",(VLOOKUP(C39,list!$AA$5:$AS$14,4,FALSE)))</f>
        <v>#N/A</v>
      </c>
      <c r="J635" s="955" t="e">
        <f t="shared" si="222"/>
        <v>#N/A</v>
      </c>
      <c r="K635" s="955" t="e">
        <f t="shared" si="223"/>
        <v>#N/A</v>
      </c>
      <c r="L635" s="969" t="e">
        <f>IF(I635=" "," ",VLOOKUP(J635,list!$J$4:$M$117,4,FALSE))</f>
        <v>#N/A</v>
      </c>
      <c r="M635" s="66"/>
      <c r="N635" s="1297" t="str">
        <f>IF(SUMIFS('Level of Efficiency Assumptions'!$J:$J,'Level of Efficiency Assumptions'!$H:$H,$I635,'Level of Efficiency Assumptions'!$I:$I,N$51)=0," ",SUMIFS('Level of Efficiency Assumptions'!$J:$J,'Level of Efficiency Assumptions'!$H:$H,$I635,'Level of Efficiency Assumptions'!$I:$I,N$51))</f>
        <v xml:space="preserve"> </v>
      </c>
      <c r="O635" s="1298" t="str">
        <f>IF(SUMIFS('Level of Efficiency Assumptions'!$J:$J,'Level of Efficiency Assumptions'!$H:$H,$I635,'Level of Efficiency Assumptions'!$I:$I,O$51)=0," ",SUMIFS('Level of Efficiency Assumptions'!$J:$J,'Level of Efficiency Assumptions'!$H:$H,$I635,'Level of Efficiency Assumptions'!$I:$I,O$51))</f>
        <v xml:space="preserve"> </v>
      </c>
      <c r="P635" s="1299" t="str">
        <f>IF(SUMIFS('Level of Efficiency Assumptions'!$J:$J,'Level of Efficiency Assumptions'!$H:$H,$I635,'Level of Efficiency Assumptions'!$I:$I,P$51)=0," ",SUMIFS('Level of Efficiency Assumptions'!$J:$J,'Level of Efficiency Assumptions'!$H:$H,$I635,'Level of Efficiency Assumptions'!$I:$I,P$51))</f>
        <v xml:space="preserve"> </v>
      </c>
      <c r="Q635" s="971" t="e">
        <f>IF(I635=" "," ",(VLOOKUP(I635,list!$B$81:$C$111,2,FALSE)))</f>
        <v>#N/A</v>
      </c>
      <c r="R635" s="243">
        <f t="shared" si="221"/>
        <v>0</v>
      </c>
      <c r="S635" s="64">
        <v>1</v>
      </c>
      <c r="T635" s="68">
        <v>0</v>
      </c>
      <c r="U635" s="244">
        <f t="shared" si="224"/>
        <v>1</v>
      </c>
      <c r="V635" s="82" t="e">
        <f>F635&amp;"-"&amp;W635</f>
        <v>#N/A</v>
      </c>
      <c r="W635" s="248" t="e">
        <f>HLOOKUP(D635,list!$O$34:$X$38,3,FALSE)</f>
        <v>#N/A</v>
      </c>
      <c r="X635" s="973">
        <v>0.5</v>
      </c>
    </row>
    <row r="636" spans="2:24" ht="15" thickBot="1" x14ac:dyDescent="0.35">
      <c r="C636" s="520"/>
      <c r="D636" s="224" t="str">
        <f t="shared" ref="D636:D650" si="225">D635</f>
        <v xml:space="preserve">  </v>
      </c>
      <c r="E636" s="224"/>
      <c r="F636" s="224" t="str">
        <f t="shared" ref="F636:F650" si="226">F635</f>
        <v xml:space="preserve">  </v>
      </c>
      <c r="G636" s="224"/>
      <c r="H636" s="380"/>
      <c r="I636" s="516" t="e">
        <f>IF(VLOOKUP(C39,list!$AA$5:$AS$14,5,FALSE)=0," ",(VLOOKUP(C39,list!$AA$5:$AS$14,5,FALSE)))</f>
        <v>#N/A</v>
      </c>
      <c r="J636" s="955" t="e">
        <f t="shared" si="222"/>
        <v>#N/A</v>
      </c>
      <c r="K636" s="955" t="e">
        <f t="shared" si="223"/>
        <v>#N/A</v>
      </c>
      <c r="L636" s="969" t="e">
        <f>IF(I636=" "," ",VLOOKUP(J636,list!$J$4:$M$117,4,FALSE))</f>
        <v>#N/A</v>
      </c>
      <c r="M636" s="66"/>
      <c r="N636" s="1297" t="str">
        <f>IF(SUMIFS('Level of Efficiency Assumptions'!$J:$J,'Level of Efficiency Assumptions'!$H:$H,$I636,'Level of Efficiency Assumptions'!$I:$I,N$51)=0," ",SUMIFS('Level of Efficiency Assumptions'!$J:$J,'Level of Efficiency Assumptions'!$H:$H,$I636,'Level of Efficiency Assumptions'!$I:$I,N$51))</f>
        <v xml:space="preserve"> </v>
      </c>
      <c r="O636" s="1298" t="str">
        <f>IF(SUMIFS('Level of Efficiency Assumptions'!$J:$J,'Level of Efficiency Assumptions'!$H:$H,$I636,'Level of Efficiency Assumptions'!$I:$I,O$51)=0," ",SUMIFS('Level of Efficiency Assumptions'!$J:$J,'Level of Efficiency Assumptions'!$H:$H,$I636,'Level of Efficiency Assumptions'!$I:$I,O$51))</f>
        <v xml:space="preserve"> </v>
      </c>
      <c r="P636" s="1299" t="str">
        <f>IF(SUMIFS('Level of Efficiency Assumptions'!$J:$J,'Level of Efficiency Assumptions'!$H:$H,$I636,'Level of Efficiency Assumptions'!$I:$I,P$51)=0," ",SUMIFS('Level of Efficiency Assumptions'!$J:$J,'Level of Efficiency Assumptions'!$H:$H,$I636,'Level of Efficiency Assumptions'!$I:$I,P$51))</f>
        <v xml:space="preserve"> </v>
      </c>
      <c r="Q636" s="971" t="e">
        <f>IF(I636=" "," ",(VLOOKUP(I636,list!$B$81:$C$111,2,FALSE)))</f>
        <v>#N/A</v>
      </c>
      <c r="R636" s="243">
        <f t="shared" si="221"/>
        <v>0</v>
      </c>
      <c r="S636" s="64">
        <v>1</v>
      </c>
      <c r="T636" s="68">
        <v>0</v>
      </c>
      <c r="U636" s="244">
        <f t="shared" si="224"/>
        <v>1</v>
      </c>
      <c r="V636" s="82" t="e">
        <f>F636&amp;"-"&amp;W636</f>
        <v>#N/A</v>
      </c>
      <c r="W636" s="248" t="e">
        <f>HLOOKUP(D636,list!$O$34:$X$38,4,FALSE)</f>
        <v>#N/A</v>
      </c>
      <c r="X636" s="973">
        <v>0.5</v>
      </c>
    </row>
    <row r="637" spans="2:24" ht="15" thickBot="1" x14ac:dyDescent="0.35">
      <c r="C637" s="520"/>
      <c r="D637" s="224" t="str">
        <f t="shared" si="225"/>
        <v xml:space="preserve">  </v>
      </c>
      <c r="E637" s="224"/>
      <c r="F637" s="224" t="str">
        <f t="shared" si="226"/>
        <v xml:space="preserve">  </v>
      </c>
      <c r="G637" s="224"/>
      <c r="H637" s="380"/>
      <c r="I637" s="516" t="e">
        <f>IF(VLOOKUP(C39,list!$AA$5:$AS$14,6,FALSE)=0," ",(VLOOKUP(C39,list!$AA$5:$AS$14,6,FALSE)))</f>
        <v>#N/A</v>
      </c>
      <c r="J637" s="955" t="e">
        <f t="shared" si="222"/>
        <v>#N/A</v>
      </c>
      <c r="K637" s="955" t="e">
        <f t="shared" si="223"/>
        <v>#N/A</v>
      </c>
      <c r="L637" s="969" t="e">
        <f>IF(I637=" "," ",VLOOKUP(J637,list!$J$4:$M$117,4,FALSE))</f>
        <v>#N/A</v>
      </c>
      <c r="M637" s="66"/>
      <c r="N637" s="1297" t="str">
        <f>IF(SUMIFS('Level of Efficiency Assumptions'!$J:$J,'Level of Efficiency Assumptions'!$H:$H,$I637,'Level of Efficiency Assumptions'!$I:$I,N$51)=0," ",SUMIFS('Level of Efficiency Assumptions'!$J:$J,'Level of Efficiency Assumptions'!$H:$H,$I637,'Level of Efficiency Assumptions'!$I:$I,N$51))</f>
        <v xml:space="preserve"> </v>
      </c>
      <c r="O637" s="1298" t="str">
        <f>IF(SUMIFS('Level of Efficiency Assumptions'!$J:$J,'Level of Efficiency Assumptions'!$H:$H,$I637,'Level of Efficiency Assumptions'!$I:$I,O$51)=0," ",SUMIFS('Level of Efficiency Assumptions'!$J:$J,'Level of Efficiency Assumptions'!$H:$H,$I637,'Level of Efficiency Assumptions'!$I:$I,O$51))</f>
        <v xml:space="preserve"> </v>
      </c>
      <c r="P637" s="1299" t="str">
        <f>IF(SUMIFS('Level of Efficiency Assumptions'!$J:$J,'Level of Efficiency Assumptions'!$H:$H,$I637,'Level of Efficiency Assumptions'!$I:$I,P$51)=0," ",SUMIFS('Level of Efficiency Assumptions'!$J:$J,'Level of Efficiency Assumptions'!$H:$H,$I637,'Level of Efficiency Assumptions'!$I:$I,P$51))</f>
        <v xml:space="preserve"> </v>
      </c>
      <c r="Q637" s="971" t="e">
        <f>IF(I637=" "," ",(VLOOKUP(I637,list!$B$81:$C$111,2,FALSE)))</f>
        <v>#N/A</v>
      </c>
      <c r="R637" s="243">
        <f t="shared" si="221"/>
        <v>0</v>
      </c>
      <c r="S637" s="64">
        <v>1</v>
      </c>
      <c r="T637" s="68">
        <v>0</v>
      </c>
      <c r="U637" s="244">
        <f t="shared" si="224"/>
        <v>1</v>
      </c>
      <c r="V637" s="82" t="e">
        <f>F637&amp;"-"&amp;W637</f>
        <v>#N/A</v>
      </c>
      <c r="W637" s="249" t="e">
        <f>HLOOKUP(D637,list!$O$34:$X$38,5,FALSE)</f>
        <v>#N/A</v>
      </c>
      <c r="X637" s="974">
        <v>0.5</v>
      </c>
    </row>
    <row r="638" spans="2:24" ht="15" thickBot="1" x14ac:dyDescent="0.35">
      <c r="C638" s="520"/>
      <c r="D638" s="224" t="str">
        <f t="shared" si="225"/>
        <v xml:space="preserve">  </v>
      </c>
      <c r="E638" s="224"/>
      <c r="F638" s="224" t="str">
        <f t="shared" si="226"/>
        <v xml:space="preserve">  </v>
      </c>
      <c r="G638" s="224"/>
      <c r="H638" s="380"/>
      <c r="I638" s="516" t="e">
        <f>IF(VLOOKUP(C39,list!$AA$5:$AS$14,7,FALSE)=0," ",(VLOOKUP(C39,list!$AA$5:$AS$14,7,FALSE)))</f>
        <v>#N/A</v>
      </c>
      <c r="J638" s="955" t="e">
        <f t="shared" si="222"/>
        <v>#N/A</v>
      </c>
      <c r="K638" s="955" t="e">
        <f t="shared" si="223"/>
        <v>#N/A</v>
      </c>
      <c r="L638" s="969" t="e">
        <f>IF(I638=" "," ",VLOOKUP(J638,list!$J$4:$M$117,4,FALSE))</f>
        <v>#N/A</v>
      </c>
      <c r="M638" s="66"/>
      <c r="N638" s="1297" t="str">
        <f>IF(SUMIFS('Level of Efficiency Assumptions'!$J:$J,'Level of Efficiency Assumptions'!$H:$H,$I638,'Level of Efficiency Assumptions'!$I:$I,N$51)=0," ",SUMIFS('Level of Efficiency Assumptions'!$J:$J,'Level of Efficiency Assumptions'!$H:$H,$I638,'Level of Efficiency Assumptions'!$I:$I,N$51))</f>
        <v xml:space="preserve"> </v>
      </c>
      <c r="O638" s="1298" t="str">
        <f>IF(SUMIFS('Level of Efficiency Assumptions'!$J:$J,'Level of Efficiency Assumptions'!$H:$H,$I638,'Level of Efficiency Assumptions'!$I:$I,O$51)=0," ",SUMIFS('Level of Efficiency Assumptions'!$J:$J,'Level of Efficiency Assumptions'!$H:$H,$I638,'Level of Efficiency Assumptions'!$I:$I,O$51))</f>
        <v xml:space="preserve"> </v>
      </c>
      <c r="P638" s="1299" t="str">
        <f>IF(SUMIFS('Level of Efficiency Assumptions'!$J:$J,'Level of Efficiency Assumptions'!$H:$H,$I638,'Level of Efficiency Assumptions'!$I:$I,P$51)=0," ",SUMIFS('Level of Efficiency Assumptions'!$J:$J,'Level of Efficiency Assumptions'!$H:$H,$I638,'Level of Efficiency Assumptions'!$I:$I,P$51))</f>
        <v xml:space="preserve"> </v>
      </c>
      <c r="Q638" s="971" t="e">
        <f>IF(I638=" "," ",(VLOOKUP(I638,list!$B$81:$C$111,2,FALSE)))</f>
        <v>#N/A</v>
      </c>
      <c r="R638" s="243">
        <f t="shared" si="221"/>
        <v>0</v>
      </c>
      <c r="S638" s="64">
        <v>1</v>
      </c>
      <c r="T638" s="68">
        <v>0</v>
      </c>
      <c r="U638" s="244">
        <f t="shared" si="224"/>
        <v>1</v>
      </c>
      <c r="W638" s="182"/>
      <c r="X638" s="975"/>
    </row>
    <row r="639" spans="2:24" ht="15" thickBot="1" x14ac:dyDescent="0.35">
      <c r="C639" s="520"/>
      <c r="D639" s="224" t="str">
        <f t="shared" si="225"/>
        <v xml:space="preserve">  </v>
      </c>
      <c r="E639" s="224"/>
      <c r="F639" s="224" t="str">
        <f t="shared" si="226"/>
        <v xml:space="preserve">  </v>
      </c>
      <c r="G639" s="224"/>
      <c r="H639" s="380"/>
      <c r="I639" s="516" t="e">
        <f>IF(VLOOKUP(C39,list!$AA$5:$AS$14,8,FALSE)=0," ",(VLOOKUP(C39,list!$AA$5:$AS$14,8,FALSE)))</f>
        <v>#N/A</v>
      </c>
      <c r="J639" s="955" t="e">
        <f t="shared" si="222"/>
        <v>#N/A</v>
      </c>
      <c r="K639" s="955" t="e">
        <f t="shared" si="223"/>
        <v>#N/A</v>
      </c>
      <c r="L639" s="969" t="e">
        <f>IF(I639=" "," ",VLOOKUP(J639,list!$J$4:$M$117,4,FALSE))</f>
        <v>#N/A</v>
      </c>
      <c r="M639" s="66"/>
      <c r="N639" s="1297" t="str">
        <f>IF(SUMIFS('Level of Efficiency Assumptions'!$J:$J,'Level of Efficiency Assumptions'!$H:$H,$I639,'Level of Efficiency Assumptions'!$I:$I,N$51)=0," ",SUMIFS('Level of Efficiency Assumptions'!$J:$J,'Level of Efficiency Assumptions'!$H:$H,$I639,'Level of Efficiency Assumptions'!$I:$I,N$51))</f>
        <v xml:space="preserve"> </v>
      </c>
      <c r="O639" s="1298" t="str">
        <f>IF(SUMIFS('Level of Efficiency Assumptions'!$J:$J,'Level of Efficiency Assumptions'!$H:$H,$I639,'Level of Efficiency Assumptions'!$I:$I,O$51)=0," ",SUMIFS('Level of Efficiency Assumptions'!$J:$J,'Level of Efficiency Assumptions'!$H:$H,$I639,'Level of Efficiency Assumptions'!$I:$I,O$51))</f>
        <v xml:space="preserve"> </v>
      </c>
      <c r="P639" s="1299" t="str">
        <f>IF(SUMIFS('Level of Efficiency Assumptions'!$J:$J,'Level of Efficiency Assumptions'!$H:$H,$I639,'Level of Efficiency Assumptions'!$I:$I,P$51)=0," ",SUMIFS('Level of Efficiency Assumptions'!$J:$J,'Level of Efficiency Assumptions'!$H:$H,$I639,'Level of Efficiency Assumptions'!$I:$I,P$51))</f>
        <v xml:space="preserve"> </v>
      </c>
      <c r="Q639" s="971" t="e">
        <f>IF(I639=" "," ",(VLOOKUP(I639,list!$B$81:$C$111,2,FALSE)))</f>
        <v>#N/A</v>
      </c>
      <c r="R639" s="243">
        <f t="shared" si="221"/>
        <v>0</v>
      </c>
      <c r="S639" s="64">
        <v>1</v>
      </c>
      <c r="T639" s="68">
        <v>0</v>
      </c>
      <c r="U639" s="244">
        <f t="shared" si="224"/>
        <v>1</v>
      </c>
      <c r="W639" s="182"/>
      <c r="X639" s="975"/>
    </row>
    <row r="640" spans="2:24" ht="15" thickBot="1" x14ac:dyDescent="0.35">
      <c r="C640" s="520"/>
      <c r="D640" s="224" t="str">
        <f t="shared" si="225"/>
        <v xml:space="preserve">  </v>
      </c>
      <c r="E640" s="224"/>
      <c r="F640" s="224" t="str">
        <f t="shared" si="226"/>
        <v xml:space="preserve">  </v>
      </c>
      <c r="G640" s="224"/>
      <c r="H640" s="380"/>
      <c r="I640" s="516" t="e">
        <f>IF(VLOOKUP(C39,list!$AA$5:$AS$14,9,FALSE)=0," ",(VLOOKUP(C39,list!$AA$5:$AS$14,9,FALSE)))</f>
        <v>#N/A</v>
      </c>
      <c r="J640" s="955" t="e">
        <f t="shared" si="222"/>
        <v>#N/A</v>
      </c>
      <c r="K640" s="955" t="e">
        <f t="shared" si="223"/>
        <v>#N/A</v>
      </c>
      <c r="L640" s="969" t="e">
        <f>IF(I640=" "," ",VLOOKUP(J640,list!$J$4:$M$117,4,FALSE))</f>
        <v>#N/A</v>
      </c>
      <c r="M640" s="66"/>
      <c r="N640" s="1297" t="str">
        <f>IF(SUMIFS('Level of Efficiency Assumptions'!$J:$J,'Level of Efficiency Assumptions'!$H:$H,$I640,'Level of Efficiency Assumptions'!$I:$I,N$51)=0," ",SUMIFS('Level of Efficiency Assumptions'!$J:$J,'Level of Efficiency Assumptions'!$H:$H,$I640,'Level of Efficiency Assumptions'!$I:$I,N$51))</f>
        <v xml:space="preserve"> </v>
      </c>
      <c r="O640" s="1298" t="str">
        <f>IF(SUMIFS('Level of Efficiency Assumptions'!$J:$J,'Level of Efficiency Assumptions'!$H:$H,$I640,'Level of Efficiency Assumptions'!$I:$I,O$51)=0," ",SUMIFS('Level of Efficiency Assumptions'!$J:$J,'Level of Efficiency Assumptions'!$H:$H,$I640,'Level of Efficiency Assumptions'!$I:$I,O$51))</f>
        <v xml:space="preserve"> </v>
      </c>
      <c r="P640" s="1299" t="str">
        <f>IF(SUMIFS('Level of Efficiency Assumptions'!$J:$J,'Level of Efficiency Assumptions'!$H:$H,$I640,'Level of Efficiency Assumptions'!$I:$I,P$51)=0," ",SUMIFS('Level of Efficiency Assumptions'!$J:$J,'Level of Efficiency Assumptions'!$H:$H,$I640,'Level of Efficiency Assumptions'!$I:$I,P$51))</f>
        <v xml:space="preserve"> </v>
      </c>
      <c r="Q640" s="971" t="e">
        <f>IF(I640=" "," ",(VLOOKUP(I640,list!$B$81:$C$111,2,FALSE)))</f>
        <v>#N/A</v>
      </c>
      <c r="R640" s="243">
        <f t="shared" si="221"/>
        <v>0</v>
      </c>
      <c r="S640" s="64">
        <v>1</v>
      </c>
      <c r="T640" s="68">
        <v>0</v>
      </c>
      <c r="U640" s="244">
        <f t="shared" si="224"/>
        <v>1</v>
      </c>
    </row>
    <row r="641" spans="2:24" ht="15" thickBot="1" x14ac:dyDescent="0.35">
      <c r="C641" s="520"/>
      <c r="D641" s="224" t="str">
        <f t="shared" si="225"/>
        <v xml:space="preserve">  </v>
      </c>
      <c r="E641" s="224"/>
      <c r="F641" s="224" t="str">
        <f t="shared" si="226"/>
        <v xml:space="preserve">  </v>
      </c>
      <c r="G641" s="224"/>
      <c r="H641" s="380"/>
      <c r="I641" s="516" t="e">
        <f>IF(VLOOKUP(C39,list!$AA$5:$AS$14,10,FALSE)=0," ",(VLOOKUP(C39,list!$AA$5:$AS$14,10,FALSE)))</f>
        <v>#N/A</v>
      </c>
      <c r="J641" s="955" t="e">
        <f t="shared" si="222"/>
        <v>#N/A</v>
      </c>
      <c r="K641" s="955" t="e">
        <f t="shared" si="223"/>
        <v>#N/A</v>
      </c>
      <c r="L641" s="969" t="e">
        <f>IF(I641=" "," ",VLOOKUP(J641,list!$J$4:$M$117,4,FALSE))</f>
        <v>#N/A</v>
      </c>
      <c r="M641" s="66"/>
      <c r="N641" s="1297" t="str">
        <f>IF(SUMIFS('Level of Efficiency Assumptions'!$J:$J,'Level of Efficiency Assumptions'!$H:$H,$I641,'Level of Efficiency Assumptions'!$I:$I,N$51)=0," ",SUMIFS('Level of Efficiency Assumptions'!$J:$J,'Level of Efficiency Assumptions'!$H:$H,$I641,'Level of Efficiency Assumptions'!$I:$I,N$51))</f>
        <v xml:space="preserve"> </v>
      </c>
      <c r="O641" s="1298" t="str">
        <f>IF(SUMIFS('Level of Efficiency Assumptions'!$J:$J,'Level of Efficiency Assumptions'!$H:$H,$I641,'Level of Efficiency Assumptions'!$I:$I,O$51)=0," ",SUMIFS('Level of Efficiency Assumptions'!$J:$J,'Level of Efficiency Assumptions'!$H:$H,$I641,'Level of Efficiency Assumptions'!$I:$I,O$51))</f>
        <v xml:space="preserve"> </v>
      </c>
      <c r="P641" s="1299" t="str">
        <f>IF(SUMIFS('Level of Efficiency Assumptions'!$J:$J,'Level of Efficiency Assumptions'!$H:$H,$I641,'Level of Efficiency Assumptions'!$I:$I,P$51)=0," ",SUMIFS('Level of Efficiency Assumptions'!$J:$J,'Level of Efficiency Assumptions'!$H:$H,$I641,'Level of Efficiency Assumptions'!$I:$I,P$51))</f>
        <v xml:space="preserve"> </v>
      </c>
      <c r="Q641" s="971" t="e">
        <f>IF(I641=" "," ",(VLOOKUP(I641,list!$B$81:$C$111,2,FALSE)))</f>
        <v>#N/A</v>
      </c>
      <c r="R641" s="243">
        <f t="shared" si="221"/>
        <v>0</v>
      </c>
      <c r="S641" s="64">
        <v>1</v>
      </c>
      <c r="T641" s="68">
        <v>0</v>
      </c>
      <c r="U641" s="244">
        <f t="shared" si="224"/>
        <v>1</v>
      </c>
    </row>
    <row r="642" spans="2:24" ht="15" thickBot="1" x14ac:dyDescent="0.35">
      <c r="C642" s="520"/>
      <c r="D642" s="224" t="str">
        <f t="shared" si="225"/>
        <v xml:space="preserve">  </v>
      </c>
      <c r="E642" s="224"/>
      <c r="F642" s="224" t="str">
        <f t="shared" si="226"/>
        <v xml:space="preserve">  </v>
      </c>
      <c r="G642" s="224"/>
      <c r="H642" s="380"/>
      <c r="I642" s="516" t="e">
        <f>IF(VLOOKUP(C39,list!$AA$5:$AS$14,11,FALSE)=0," ",(VLOOKUP(C39,list!$AA$5:$AS$14,11,FALSE)))</f>
        <v>#N/A</v>
      </c>
      <c r="J642" s="955" t="e">
        <f t="shared" si="222"/>
        <v>#N/A</v>
      </c>
      <c r="K642" s="955" t="e">
        <f t="shared" si="223"/>
        <v>#N/A</v>
      </c>
      <c r="L642" s="969" t="e">
        <f>IF(I642=" "," ",VLOOKUP(J642,list!$J$4:$M$117,4,FALSE))</f>
        <v>#N/A</v>
      </c>
      <c r="M642" s="66"/>
      <c r="N642" s="1297" t="str">
        <f>IF(SUMIFS('Level of Efficiency Assumptions'!$J:$J,'Level of Efficiency Assumptions'!$H:$H,$I642,'Level of Efficiency Assumptions'!$I:$I,N$51)=0," ",SUMIFS('Level of Efficiency Assumptions'!$J:$J,'Level of Efficiency Assumptions'!$H:$H,$I642,'Level of Efficiency Assumptions'!$I:$I,N$51))</f>
        <v xml:space="preserve"> </v>
      </c>
      <c r="O642" s="1298" t="str">
        <f>IF(SUMIFS('Level of Efficiency Assumptions'!$J:$J,'Level of Efficiency Assumptions'!$H:$H,$I642,'Level of Efficiency Assumptions'!$I:$I,O$51)=0," ",SUMIFS('Level of Efficiency Assumptions'!$J:$J,'Level of Efficiency Assumptions'!$H:$H,$I642,'Level of Efficiency Assumptions'!$I:$I,O$51))</f>
        <v xml:space="preserve"> </v>
      </c>
      <c r="P642" s="1299" t="str">
        <f>IF(SUMIFS('Level of Efficiency Assumptions'!$J:$J,'Level of Efficiency Assumptions'!$H:$H,$I642,'Level of Efficiency Assumptions'!$I:$I,P$51)=0," ",SUMIFS('Level of Efficiency Assumptions'!$J:$J,'Level of Efficiency Assumptions'!$H:$H,$I642,'Level of Efficiency Assumptions'!$I:$I,P$51))</f>
        <v xml:space="preserve"> </v>
      </c>
      <c r="Q642" s="971" t="e">
        <f>IF(I642=" "," ",(VLOOKUP(I642,list!$B$81:$C$111,2,FALSE)))</f>
        <v>#N/A</v>
      </c>
      <c r="R642" s="243">
        <f t="shared" si="221"/>
        <v>0</v>
      </c>
      <c r="S642" s="64">
        <v>1</v>
      </c>
      <c r="T642" s="68">
        <v>0</v>
      </c>
      <c r="U642" s="244">
        <f t="shared" si="224"/>
        <v>1</v>
      </c>
    </row>
    <row r="643" spans="2:24" ht="15" thickBot="1" x14ac:dyDescent="0.35">
      <c r="C643" s="520"/>
      <c r="D643" s="224" t="str">
        <f t="shared" si="225"/>
        <v xml:space="preserve">  </v>
      </c>
      <c r="E643" s="224"/>
      <c r="F643" s="224" t="str">
        <f t="shared" si="226"/>
        <v xml:space="preserve">  </v>
      </c>
      <c r="G643" s="224"/>
      <c r="H643" s="380"/>
      <c r="I643" s="516" t="e">
        <f>IF(VLOOKUP(C39,list!$AA$5:$AS$14,12,FALSE)=0," ",(VLOOKUP(C39,list!$AA$5:$AS$14,12,FALSE)))</f>
        <v>#N/A</v>
      </c>
      <c r="J643" s="955" t="e">
        <f t="shared" si="222"/>
        <v>#N/A</v>
      </c>
      <c r="K643" s="955" t="e">
        <f t="shared" si="223"/>
        <v>#N/A</v>
      </c>
      <c r="L643" s="969" t="e">
        <f>IF(I643=" "," ",VLOOKUP(J643,list!$J$4:$M$117,4,FALSE))</f>
        <v>#N/A</v>
      </c>
      <c r="M643" s="66"/>
      <c r="N643" s="1297" t="str">
        <f>IF(SUMIFS('Level of Efficiency Assumptions'!$J:$J,'Level of Efficiency Assumptions'!$H:$H,$I643,'Level of Efficiency Assumptions'!$I:$I,N$51)=0," ",SUMIFS('Level of Efficiency Assumptions'!$J:$J,'Level of Efficiency Assumptions'!$H:$H,$I643,'Level of Efficiency Assumptions'!$I:$I,N$51))</f>
        <v xml:space="preserve"> </v>
      </c>
      <c r="O643" s="1298" t="str">
        <f>IF(SUMIFS('Level of Efficiency Assumptions'!$J:$J,'Level of Efficiency Assumptions'!$H:$H,$I643,'Level of Efficiency Assumptions'!$I:$I,O$51)=0," ",SUMIFS('Level of Efficiency Assumptions'!$J:$J,'Level of Efficiency Assumptions'!$H:$H,$I643,'Level of Efficiency Assumptions'!$I:$I,O$51))</f>
        <v xml:space="preserve"> </v>
      </c>
      <c r="P643" s="1299" t="str">
        <f>IF(SUMIFS('Level of Efficiency Assumptions'!$J:$J,'Level of Efficiency Assumptions'!$H:$H,$I643,'Level of Efficiency Assumptions'!$I:$I,P$51)=0," ",SUMIFS('Level of Efficiency Assumptions'!$J:$J,'Level of Efficiency Assumptions'!$H:$H,$I643,'Level of Efficiency Assumptions'!$I:$I,P$51))</f>
        <v xml:space="preserve"> </v>
      </c>
      <c r="Q643" s="971" t="e">
        <f>IF(I643=" "," ",(VLOOKUP(I643,list!$B$81:$C$111,2,FALSE)))</f>
        <v>#N/A</v>
      </c>
      <c r="R643" s="243">
        <f t="shared" si="221"/>
        <v>0</v>
      </c>
      <c r="S643" s="64">
        <v>1</v>
      </c>
      <c r="T643" s="68">
        <v>0</v>
      </c>
      <c r="U643" s="244">
        <f t="shared" si="224"/>
        <v>1</v>
      </c>
    </row>
    <row r="644" spans="2:24" ht="15" thickBot="1" x14ac:dyDescent="0.35">
      <c r="C644" s="520"/>
      <c r="D644" s="224" t="str">
        <f t="shared" si="225"/>
        <v xml:space="preserve">  </v>
      </c>
      <c r="E644" s="224"/>
      <c r="F644" s="224" t="str">
        <f t="shared" si="226"/>
        <v xml:space="preserve">  </v>
      </c>
      <c r="G644" s="224"/>
      <c r="H644" s="380"/>
      <c r="I644" s="516" t="e">
        <f>IF(VLOOKUP(C39,list!$AA$5:$AS$14,13,FALSE)=0," ",(VLOOKUP(C39,list!$AA$5:$AS$14,13,FALSE)))</f>
        <v>#N/A</v>
      </c>
      <c r="J644" s="955" t="e">
        <f t="shared" si="222"/>
        <v>#N/A</v>
      </c>
      <c r="K644" s="955" t="e">
        <f t="shared" si="223"/>
        <v>#N/A</v>
      </c>
      <c r="L644" s="969" t="e">
        <f>IF(I644=" "," ",VLOOKUP(J644,list!$J$4:$M$117,4,FALSE))</f>
        <v>#N/A</v>
      </c>
      <c r="M644" s="66"/>
      <c r="N644" s="1297" t="str">
        <f>IF(SUMIFS('Level of Efficiency Assumptions'!$J:$J,'Level of Efficiency Assumptions'!$H:$H,$I644,'Level of Efficiency Assumptions'!$I:$I,N$51)=0," ",SUMIFS('Level of Efficiency Assumptions'!$J:$J,'Level of Efficiency Assumptions'!$H:$H,$I644,'Level of Efficiency Assumptions'!$I:$I,N$51))</f>
        <v xml:space="preserve"> </v>
      </c>
      <c r="O644" s="1298" t="str">
        <f>IF(SUMIFS('Level of Efficiency Assumptions'!$J:$J,'Level of Efficiency Assumptions'!$H:$H,$I644,'Level of Efficiency Assumptions'!$I:$I,O$51)=0," ",SUMIFS('Level of Efficiency Assumptions'!$J:$J,'Level of Efficiency Assumptions'!$H:$H,$I644,'Level of Efficiency Assumptions'!$I:$I,O$51))</f>
        <v xml:space="preserve"> </v>
      </c>
      <c r="P644" s="1299" t="str">
        <f>IF(SUMIFS('Level of Efficiency Assumptions'!$J:$J,'Level of Efficiency Assumptions'!$H:$H,$I644,'Level of Efficiency Assumptions'!$I:$I,P$51)=0," ",SUMIFS('Level of Efficiency Assumptions'!$J:$J,'Level of Efficiency Assumptions'!$H:$H,$I644,'Level of Efficiency Assumptions'!$I:$I,P$51))</f>
        <v xml:space="preserve"> </v>
      </c>
      <c r="Q644" s="971" t="e">
        <f>IF(I644=" "," ",(VLOOKUP(I644,list!$B$81:$C$111,2,FALSE)))</f>
        <v>#N/A</v>
      </c>
      <c r="R644" s="243">
        <f t="shared" si="221"/>
        <v>0</v>
      </c>
      <c r="S644" s="64">
        <v>1</v>
      </c>
      <c r="T644" s="68">
        <v>0</v>
      </c>
      <c r="U644" s="244">
        <f t="shared" si="224"/>
        <v>1</v>
      </c>
    </row>
    <row r="645" spans="2:24" ht="15" thickBot="1" x14ac:dyDescent="0.35">
      <c r="C645" s="520"/>
      <c r="D645" s="224" t="str">
        <f t="shared" si="225"/>
        <v xml:space="preserve">  </v>
      </c>
      <c r="E645" s="224"/>
      <c r="F645" s="224" t="str">
        <f t="shared" si="226"/>
        <v xml:space="preserve">  </v>
      </c>
      <c r="G645" s="224"/>
      <c r="H645" s="380"/>
      <c r="I645" s="516" t="e">
        <f>IF(VLOOKUP(C39,list!$AA$5:$AS$14,14,FALSE)=0," ",(VLOOKUP(C39,list!$AA$5:$AS$14,14,FALSE)))</f>
        <v>#N/A</v>
      </c>
      <c r="J645" s="955" t="e">
        <f t="shared" si="222"/>
        <v>#N/A</v>
      </c>
      <c r="K645" s="955" t="e">
        <f t="shared" si="223"/>
        <v>#N/A</v>
      </c>
      <c r="L645" s="969" t="e">
        <f>IF(I645=" "," ",VLOOKUP(J645,list!$J$4:$M$117,4,FALSE))</f>
        <v>#N/A</v>
      </c>
      <c r="M645" s="66"/>
      <c r="N645" s="1297" t="str">
        <f>IF(SUMIFS('Level of Efficiency Assumptions'!$J:$J,'Level of Efficiency Assumptions'!$H:$H,$I645,'Level of Efficiency Assumptions'!$I:$I,N$51)=0," ",SUMIFS('Level of Efficiency Assumptions'!$J:$J,'Level of Efficiency Assumptions'!$H:$H,$I645,'Level of Efficiency Assumptions'!$I:$I,N$51))</f>
        <v xml:space="preserve"> </v>
      </c>
      <c r="O645" s="1298" t="str">
        <f>IF(SUMIFS('Level of Efficiency Assumptions'!$J:$J,'Level of Efficiency Assumptions'!$H:$H,$I645,'Level of Efficiency Assumptions'!$I:$I,O$51)=0," ",SUMIFS('Level of Efficiency Assumptions'!$J:$J,'Level of Efficiency Assumptions'!$H:$H,$I645,'Level of Efficiency Assumptions'!$I:$I,O$51))</f>
        <v xml:space="preserve"> </v>
      </c>
      <c r="P645" s="1299" t="str">
        <f>IF(SUMIFS('Level of Efficiency Assumptions'!$J:$J,'Level of Efficiency Assumptions'!$H:$H,$I645,'Level of Efficiency Assumptions'!$I:$I,P$51)=0," ",SUMIFS('Level of Efficiency Assumptions'!$J:$J,'Level of Efficiency Assumptions'!$H:$H,$I645,'Level of Efficiency Assumptions'!$I:$I,P$51))</f>
        <v xml:space="preserve"> </v>
      </c>
      <c r="Q645" s="971" t="e">
        <f>IF(I645=" "," ",(VLOOKUP(I645,list!$B$81:$C$111,2,FALSE)))</f>
        <v>#N/A</v>
      </c>
      <c r="R645" s="243">
        <f t="shared" si="221"/>
        <v>0</v>
      </c>
      <c r="S645" s="64">
        <v>1</v>
      </c>
      <c r="T645" s="68">
        <v>0</v>
      </c>
      <c r="U645" s="244">
        <f t="shared" si="224"/>
        <v>1</v>
      </c>
    </row>
    <row r="646" spans="2:24" ht="15" thickBot="1" x14ac:dyDescent="0.35">
      <c r="C646" s="520"/>
      <c r="D646" s="224" t="str">
        <f t="shared" si="225"/>
        <v xml:space="preserve">  </v>
      </c>
      <c r="E646" s="224"/>
      <c r="F646" s="224" t="str">
        <f t="shared" si="226"/>
        <v xml:space="preserve">  </v>
      </c>
      <c r="G646" s="224"/>
      <c r="H646" s="380"/>
      <c r="I646" s="516" t="e">
        <f>IF(VLOOKUP(C39,list!$AA$5:$AS$14,15,FALSE)=0," ",(VLOOKUP(C39,list!$AA$5:$AS$14,15,FALSE)))</f>
        <v>#N/A</v>
      </c>
      <c r="J646" s="955" t="e">
        <f t="shared" si="222"/>
        <v>#N/A</v>
      </c>
      <c r="K646" s="955" t="e">
        <f t="shared" si="223"/>
        <v>#N/A</v>
      </c>
      <c r="L646" s="969" t="e">
        <f>IF(I646=" "," ",VLOOKUP(J646,list!$J$4:$M$117,4,FALSE))</f>
        <v>#N/A</v>
      </c>
      <c r="M646" s="66"/>
      <c r="N646" s="1297" t="str">
        <f>IF(SUMIFS('Level of Efficiency Assumptions'!$J:$J,'Level of Efficiency Assumptions'!$H:$H,$I646,'Level of Efficiency Assumptions'!$I:$I,N$51)=0," ",SUMIFS('Level of Efficiency Assumptions'!$J:$J,'Level of Efficiency Assumptions'!$H:$H,$I646,'Level of Efficiency Assumptions'!$I:$I,N$51))</f>
        <v xml:space="preserve"> </v>
      </c>
      <c r="O646" s="1298" t="str">
        <f>IF(SUMIFS('Level of Efficiency Assumptions'!$J:$J,'Level of Efficiency Assumptions'!$H:$H,$I646,'Level of Efficiency Assumptions'!$I:$I,O$51)=0," ",SUMIFS('Level of Efficiency Assumptions'!$J:$J,'Level of Efficiency Assumptions'!$H:$H,$I646,'Level of Efficiency Assumptions'!$I:$I,O$51))</f>
        <v xml:space="preserve"> </v>
      </c>
      <c r="P646" s="1299" t="str">
        <f>IF(SUMIFS('Level of Efficiency Assumptions'!$J:$J,'Level of Efficiency Assumptions'!$H:$H,$I646,'Level of Efficiency Assumptions'!$I:$I,P$51)=0," ",SUMIFS('Level of Efficiency Assumptions'!$J:$J,'Level of Efficiency Assumptions'!$H:$H,$I646,'Level of Efficiency Assumptions'!$I:$I,P$51))</f>
        <v xml:space="preserve"> </v>
      </c>
      <c r="Q646" s="971" t="e">
        <f>IF(I646=" "," ",(VLOOKUP(I646,list!$B$81:$C$111,2,FALSE)))</f>
        <v>#N/A</v>
      </c>
      <c r="R646" s="243">
        <f t="shared" si="221"/>
        <v>0</v>
      </c>
      <c r="S646" s="64">
        <v>1</v>
      </c>
      <c r="T646" s="68">
        <v>0</v>
      </c>
      <c r="U646" s="244">
        <f t="shared" si="224"/>
        <v>1</v>
      </c>
    </row>
    <row r="647" spans="2:24" ht="15" thickBot="1" x14ac:dyDescent="0.35">
      <c r="C647" s="520"/>
      <c r="D647" s="224" t="str">
        <f t="shared" si="225"/>
        <v xml:space="preserve">  </v>
      </c>
      <c r="E647" s="224"/>
      <c r="F647" s="224" t="str">
        <f t="shared" si="226"/>
        <v xml:space="preserve">  </v>
      </c>
      <c r="G647" s="224"/>
      <c r="H647" s="380"/>
      <c r="I647" s="516" t="e">
        <f>IF(VLOOKUP(C39,list!$AA$5:$AS$14,16,FALSE)=0," ",(VLOOKUP(C39,list!$AA$5:$AS$14,16,FALSE)))</f>
        <v>#N/A</v>
      </c>
      <c r="J647" s="955" t="e">
        <f t="shared" si="222"/>
        <v>#N/A</v>
      </c>
      <c r="K647" s="955" t="e">
        <f t="shared" si="223"/>
        <v>#N/A</v>
      </c>
      <c r="L647" s="969" t="e">
        <f>IF(I647=" "," ",VLOOKUP(J647,list!$J$4:$M$117,4,FALSE))</f>
        <v>#N/A</v>
      </c>
      <c r="M647" s="66"/>
      <c r="N647" s="1297" t="str">
        <f>IF(SUMIFS('Level of Efficiency Assumptions'!$J:$J,'Level of Efficiency Assumptions'!$H:$H,$I647,'Level of Efficiency Assumptions'!$I:$I,N$51)=0," ",SUMIFS('Level of Efficiency Assumptions'!$J:$J,'Level of Efficiency Assumptions'!$H:$H,$I647,'Level of Efficiency Assumptions'!$I:$I,N$51))</f>
        <v xml:space="preserve"> </v>
      </c>
      <c r="O647" s="1298" t="str">
        <f>IF(SUMIFS('Level of Efficiency Assumptions'!$J:$J,'Level of Efficiency Assumptions'!$H:$H,$I647,'Level of Efficiency Assumptions'!$I:$I,O$51)=0," ",SUMIFS('Level of Efficiency Assumptions'!$J:$J,'Level of Efficiency Assumptions'!$H:$H,$I647,'Level of Efficiency Assumptions'!$I:$I,O$51))</f>
        <v xml:space="preserve"> </v>
      </c>
      <c r="P647" s="1299" t="str">
        <f>IF(SUMIFS('Level of Efficiency Assumptions'!$J:$J,'Level of Efficiency Assumptions'!$H:$H,$I647,'Level of Efficiency Assumptions'!$I:$I,P$51)=0," ",SUMIFS('Level of Efficiency Assumptions'!$J:$J,'Level of Efficiency Assumptions'!$H:$H,$I647,'Level of Efficiency Assumptions'!$I:$I,P$51))</f>
        <v xml:space="preserve"> </v>
      </c>
      <c r="Q647" s="971" t="e">
        <f>IF(I647=" "," ",(VLOOKUP(I647,list!$B$81:$C$111,2,FALSE)))</f>
        <v>#N/A</v>
      </c>
      <c r="R647" s="243">
        <f t="shared" si="221"/>
        <v>0</v>
      </c>
      <c r="S647" s="64">
        <v>1</v>
      </c>
      <c r="T647" s="68">
        <v>0</v>
      </c>
      <c r="U647" s="244">
        <f t="shared" si="224"/>
        <v>1</v>
      </c>
    </row>
    <row r="648" spans="2:24" ht="15" thickBot="1" x14ac:dyDescent="0.35">
      <c r="C648" s="520"/>
      <c r="D648" s="224" t="str">
        <f t="shared" si="225"/>
        <v xml:space="preserve">  </v>
      </c>
      <c r="E648" s="224"/>
      <c r="F648" s="224" t="str">
        <f t="shared" si="226"/>
        <v xml:space="preserve">  </v>
      </c>
      <c r="G648" s="224"/>
      <c r="H648" s="380"/>
      <c r="I648" s="516" t="e">
        <f>IF(VLOOKUP(C39,list!$AA$5:$AS$14,17,FALSE)=0," ",(VLOOKUP(C39,list!$AA$5:$AS$14,17,FALSE)))</f>
        <v>#N/A</v>
      </c>
      <c r="J648" s="955" t="e">
        <f t="shared" si="222"/>
        <v>#N/A</v>
      </c>
      <c r="K648" s="955" t="e">
        <f t="shared" si="223"/>
        <v>#N/A</v>
      </c>
      <c r="L648" s="969" t="e">
        <f>IF(I648=" "," ",VLOOKUP(J648,list!$J$4:$M$117,4,FALSE))</f>
        <v>#N/A</v>
      </c>
      <c r="M648" s="66"/>
      <c r="N648" s="1297" t="str">
        <f>IF(SUMIFS('Level of Efficiency Assumptions'!$J:$J,'Level of Efficiency Assumptions'!$H:$H,$I648,'Level of Efficiency Assumptions'!$I:$I,N$51)=0," ",SUMIFS('Level of Efficiency Assumptions'!$J:$J,'Level of Efficiency Assumptions'!$H:$H,$I648,'Level of Efficiency Assumptions'!$I:$I,N$51))</f>
        <v xml:space="preserve"> </v>
      </c>
      <c r="O648" s="1298" t="str">
        <f>IF(SUMIFS('Level of Efficiency Assumptions'!$J:$J,'Level of Efficiency Assumptions'!$H:$H,$I648,'Level of Efficiency Assumptions'!$I:$I,O$51)=0," ",SUMIFS('Level of Efficiency Assumptions'!$J:$J,'Level of Efficiency Assumptions'!$H:$H,$I648,'Level of Efficiency Assumptions'!$I:$I,O$51))</f>
        <v xml:space="preserve"> </v>
      </c>
      <c r="P648" s="1299" t="str">
        <f>IF(SUMIFS('Level of Efficiency Assumptions'!$J:$J,'Level of Efficiency Assumptions'!$H:$H,$I648,'Level of Efficiency Assumptions'!$I:$I,P$51)=0," ",SUMIFS('Level of Efficiency Assumptions'!$J:$J,'Level of Efficiency Assumptions'!$H:$H,$I648,'Level of Efficiency Assumptions'!$I:$I,P$51))</f>
        <v xml:space="preserve"> </v>
      </c>
      <c r="Q648" s="971" t="e">
        <f>IF(I648=" "," ",(VLOOKUP(I648,list!$B$81:$C$111,2,FALSE)))</f>
        <v>#N/A</v>
      </c>
      <c r="R648" s="243">
        <f t="shared" si="221"/>
        <v>0</v>
      </c>
      <c r="S648" s="64">
        <v>1</v>
      </c>
      <c r="T648" s="68">
        <v>0</v>
      </c>
      <c r="U648" s="244">
        <f t="shared" si="224"/>
        <v>1</v>
      </c>
    </row>
    <row r="649" spans="2:24" ht="15" thickBot="1" x14ac:dyDescent="0.35">
      <c r="C649" s="520"/>
      <c r="D649" s="224" t="str">
        <f t="shared" si="225"/>
        <v xml:space="preserve">  </v>
      </c>
      <c r="E649" s="224"/>
      <c r="F649" s="224" t="str">
        <f t="shared" si="226"/>
        <v xml:space="preserve">  </v>
      </c>
      <c r="G649" s="224"/>
      <c r="H649" s="380"/>
      <c r="I649" s="516" t="e">
        <f>IF(VLOOKUP(C39,list!$AA$5:$AS$14,18,FALSE)=0," ",(VLOOKUP(C39,list!$AA$5:$AS$14,18,FALSE)))</f>
        <v>#N/A</v>
      </c>
      <c r="J649" s="955" t="e">
        <f t="shared" si="222"/>
        <v>#N/A</v>
      </c>
      <c r="K649" s="955" t="e">
        <f t="shared" si="223"/>
        <v>#N/A</v>
      </c>
      <c r="L649" s="969" t="e">
        <f>IF(I649=" "," ",VLOOKUP(J649,list!$J$4:$M$117,4,FALSE))</f>
        <v>#N/A</v>
      </c>
      <c r="M649" s="66"/>
      <c r="N649" s="1297" t="str">
        <f>IF(SUMIFS('Level of Efficiency Assumptions'!$J:$J,'Level of Efficiency Assumptions'!$H:$H,$I649,'Level of Efficiency Assumptions'!$I:$I,N$51)=0," ",SUMIFS('Level of Efficiency Assumptions'!$J:$J,'Level of Efficiency Assumptions'!$H:$H,$I649,'Level of Efficiency Assumptions'!$I:$I,N$51))</f>
        <v xml:space="preserve"> </v>
      </c>
      <c r="O649" s="1298" t="str">
        <f>IF(SUMIFS('Level of Efficiency Assumptions'!$J:$J,'Level of Efficiency Assumptions'!$H:$H,$I649,'Level of Efficiency Assumptions'!$I:$I,O$51)=0," ",SUMIFS('Level of Efficiency Assumptions'!$J:$J,'Level of Efficiency Assumptions'!$H:$H,$I649,'Level of Efficiency Assumptions'!$I:$I,O$51))</f>
        <v xml:space="preserve"> </v>
      </c>
      <c r="P649" s="1299" t="str">
        <f>IF(SUMIFS('Level of Efficiency Assumptions'!$J:$J,'Level of Efficiency Assumptions'!$H:$H,$I649,'Level of Efficiency Assumptions'!$I:$I,P$51)=0," ",SUMIFS('Level of Efficiency Assumptions'!$J:$J,'Level of Efficiency Assumptions'!$H:$H,$I649,'Level of Efficiency Assumptions'!$I:$I,P$51))</f>
        <v xml:space="preserve"> </v>
      </c>
      <c r="Q649" s="971" t="e">
        <f>IF(I649=" "," ",(VLOOKUP(I649,list!$B$81:$C$111,2,FALSE)))</f>
        <v>#N/A</v>
      </c>
      <c r="R649" s="243">
        <f t="shared" si="221"/>
        <v>0</v>
      </c>
      <c r="S649" s="64">
        <v>1</v>
      </c>
      <c r="T649" s="68">
        <v>0</v>
      </c>
      <c r="U649" s="244">
        <f t="shared" si="224"/>
        <v>1</v>
      </c>
    </row>
    <row r="650" spans="2:24" ht="15" thickBot="1" x14ac:dyDescent="0.35">
      <c r="C650" s="632"/>
      <c r="D650" s="226" t="str">
        <f t="shared" si="225"/>
        <v xml:space="preserve">  </v>
      </c>
      <c r="E650" s="226"/>
      <c r="F650" s="226" t="str">
        <f t="shared" si="226"/>
        <v xml:space="preserve">  </v>
      </c>
      <c r="G650" s="226"/>
      <c r="H650" s="976"/>
      <c r="I650" s="516" t="e">
        <f>IF(VLOOKUP(C39,list!$AA$5:$AS$14,19,FALSE)=0," ",(VLOOKUP(C39,list!$AA$5:$AS$14,19,FALSE)))</f>
        <v>#N/A</v>
      </c>
      <c r="J650" s="955" t="e">
        <f>IF(I650=" "," ",(D650&amp;"-"&amp;I650))</f>
        <v>#N/A</v>
      </c>
      <c r="K650" s="955" t="e">
        <f t="shared" si="223"/>
        <v>#N/A</v>
      </c>
      <c r="L650" s="969" t="e">
        <f>IF(I650=" "," ",VLOOKUP(J650,list!$J$4:$M$117,4,FALSE))</f>
        <v>#N/A</v>
      </c>
      <c r="M650" s="67"/>
      <c r="N650" s="1303" t="str">
        <f>IF(SUMIFS('Level of Efficiency Assumptions'!$J:$J,'Level of Efficiency Assumptions'!$H:$H,$I650,'Level of Efficiency Assumptions'!$I:$I,N$51)=0," ",SUMIFS('Level of Efficiency Assumptions'!$J:$J,'Level of Efficiency Assumptions'!$H:$H,$I650,'Level of Efficiency Assumptions'!$I:$I,N$51))</f>
        <v xml:space="preserve"> </v>
      </c>
      <c r="O650" s="1304" t="str">
        <f>IF(SUMIFS('Level of Efficiency Assumptions'!$J:$J,'Level of Efficiency Assumptions'!$H:$H,$I650,'Level of Efficiency Assumptions'!$I:$I,O$51)=0," ",SUMIFS('Level of Efficiency Assumptions'!$J:$J,'Level of Efficiency Assumptions'!$H:$H,$I650,'Level of Efficiency Assumptions'!$I:$I,O$51))</f>
        <v xml:space="preserve"> </v>
      </c>
      <c r="P650" s="1305" t="str">
        <f>IF(SUMIFS('Level of Efficiency Assumptions'!$J:$J,'Level of Efficiency Assumptions'!$H:$H,$I650,'Level of Efficiency Assumptions'!$I:$I,P$51)=0," ",SUMIFS('Level of Efficiency Assumptions'!$J:$J,'Level of Efficiency Assumptions'!$H:$H,$I650,'Level of Efficiency Assumptions'!$I:$I,P$51))</f>
        <v xml:space="preserve"> </v>
      </c>
      <c r="Q650" s="977" t="e">
        <f>IF(I650=" "," ",(VLOOKUP(I650,list!$B$81:$C$111,2,FALSE)))</f>
        <v>#N/A</v>
      </c>
      <c r="R650" s="245">
        <f t="shared" si="221"/>
        <v>0</v>
      </c>
      <c r="S650" s="65">
        <v>1</v>
      </c>
      <c r="T650" s="69">
        <v>0</v>
      </c>
      <c r="U650" s="246">
        <f t="shared" si="224"/>
        <v>1</v>
      </c>
    </row>
    <row r="651" spans="2:24" x14ac:dyDescent="0.3">
      <c r="D651" s="846"/>
      <c r="F651" s="82"/>
      <c r="J651" s="846"/>
      <c r="K651" s="846"/>
      <c r="N651" s="1179"/>
      <c r="O651" s="1179"/>
      <c r="P651" s="1179"/>
      <c r="R651" s="176" t="s">
        <v>295</v>
      </c>
      <c r="S651" s="176"/>
      <c r="T651" s="176"/>
      <c r="U651" s="176"/>
    </row>
    <row r="652" spans="2:24" ht="15" thickBot="1" x14ac:dyDescent="0.35">
      <c r="D652" s="846"/>
      <c r="F652" s="82"/>
      <c r="J652" s="846"/>
      <c r="K652" s="846"/>
      <c r="N652" s="1179"/>
      <c r="O652" s="1179"/>
      <c r="P652" s="1179"/>
    </row>
    <row r="653" spans="2:24" ht="15" thickBot="1" x14ac:dyDescent="0.35">
      <c r="B653" s="814">
        <v>31</v>
      </c>
      <c r="C653" s="967" t="str">
        <f t="shared" ref="C653:H653" si="227">C40</f>
        <v xml:space="preserve">  </v>
      </c>
      <c r="D653" s="967" t="str">
        <f t="shared" si="227"/>
        <v xml:space="preserve">  </v>
      </c>
      <c r="E653" s="967" t="str">
        <f t="shared" si="227"/>
        <v xml:space="preserve">  </v>
      </c>
      <c r="F653" s="967" t="str">
        <f t="shared" si="227"/>
        <v xml:space="preserve">  </v>
      </c>
      <c r="G653" s="967">
        <f t="shared" si="227"/>
        <v>0</v>
      </c>
      <c r="H653" s="968">
        <f t="shared" si="227"/>
        <v>0</v>
      </c>
      <c r="I653" s="516" t="e">
        <f>IF(VLOOKUP(C40,list!$AA$5:$AS$14,2,FALSE)=0," ",(VLOOKUP(C40,list!$AA$5:$AS$14,2,FALSE)))</f>
        <v>#N/A</v>
      </c>
      <c r="J653" s="955" t="e">
        <f>IF(I653=" "," ",(D40&amp;"-"&amp;I653))</f>
        <v>#N/A</v>
      </c>
      <c r="K653" s="955" t="e">
        <f>IF(I653=" "," ",(F40&amp;"-"&amp;I653))</f>
        <v>#N/A</v>
      </c>
      <c r="L653" s="969" t="e">
        <f>IF(I653=" "," ",VLOOKUP(J653,list!$J$4:$M$117,4,FALSE))</f>
        <v>#N/A</v>
      </c>
      <c r="M653" s="70"/>
      <c r="N653" s="1300" t="str">
        <f>IF(SUMIFS('Level of Efficiency Assumptions'!$J:$J,'Level of Efficiency Assumptions'!$H:$H,$I653,'Level of Efficiency Assumptions'!$I:$I,N$51)=0," ",SUMIFS('Level of Efficiency Assumptions'!$J:$J,'Level of Efficiency Assumptions'!$H:$H,$I653,'Level of Efficiency Assumptions'!$I:$I,N$51))</f>
        <v xml:space="preserve"> </v>
      </c>
      <c r="O653" s="1301" t="str">
        <f>IF(SUMIFS('Level of Efficiency Assumptions'!$J:$J,'Level of Efficiency Assumptions'!$H:$H,$I653,'Level of Efficiency Assumptions'!$I:$I,O$51)=0," ",SUMIFS('Level of Efficiency Assumptions'!$J:$J,'Level of Efficiency Assumptions'!$H:$H,$I653,'Level of Efficiency Assumptions'!$I:$I,O$51))</f>
        <v xml:space="preserve"> </v>
      </c>
      <c r="P653" s="1302" t="str">
        <f>IF(SUMIFS('Level of Efficiency Assumptions'!$J:$J,'Level of Efficiency Assumptions'!$H:$H,$I653,'Level of Efficiency Assumptions'!$I:$I,P$51)=0," ",SUMIFS('Level of Efficiency Assumptions'!$J:$J,'Level of Efficiency Assumptions'!$H:$H,$I653,'Level of Efficiency Assumptions'!$I:$I,P$51))</f>
        <v xml:space="preserve"> </v>
      </c>
      <c r="Q653" s="970" t="e">
        <f>IF(I653=" "," ",(VLOOKUP(I653,list!$B$81:$C$111,2,FALSE)))</f>
        <v>#N/A</v>
      </c>
      <c r="R653" s="241">
        <f t="shared" ref="R653:R670" si="228">1-S653-T653</f>
        <v>0</v>
      </c>
      <c r="S653" s="83">
        <v>1</v>
      </c>
      <c r="T653" s="84">
        <v>0</v>
      </c>
      <c r="U653" s="242">
        <f>SUM(R653:T653)</f>
        <v>1</v>
      </c>
      <c r="W653" s="250" t="s">
        <v>367</v>
      </c>
      <c r="X653" s="251" t="s">
        <v>366</v>
      </c>
    </row>
    <row r="654" spans="2:24" ht="15" thickBot="1" x14ac:dyDescent="0.35">
      <c r="C654" s="520"/>
      <c r="D654" s="224" t="str">
        <f>D40</f>
        <v xml:space="preserve">  </v>
      </c>
      <c r="E654" s="224"/>
      <c r="F654" s="224" t="str">
        <f>F40</f>
        <v xml:space="preserve">  </v>
      </c>
      <c r="G654" s="224"/>
      <c r="H654" s="380"/>
      <c r="I654" s="516" t="e">
        <f>IF(VLOOKUP(C40,list!$AA$5:$AS$14,3,FALSE)=0," ",(VLOOKUP(C40,list!$AA$5:$AS$14,3,FALSE)))</f>
        <v>#N/A</v>
      </c>
      <c r="J654" s="955" t="e">
        <f t="shared" ref="J654:J669" si="229">IF(I654=" "," ",(D654&amp;"-"&amp;I654))</f>
        <v>#N/A</v>
      </c>
      <c r="K654" s="955" t="e">
        <f t="shared" ref="K654:K670" si="230">IF(I654=" "," ",(F654&amp;"-"&amp;I654))</f>
        <v>#N/A</v>
      </c>
      <c r="L654" s="969" t="e">
        <f>IF(I654=" "," ",VLOOKUP(J654,list!$J$4:$M$117,4,FALSE))</f>
        <v>#N/A</v>
      </c>
      <c r="M654" s="66"/>
      <c r="N654" s="1297" t="str">
        <f>IF(SUMIFS('Level of Efficiency Assumptions'!$J:$J,'Level of Efficiency Assumptions'!$H:$H,$I654,'Level of Efficiency Assumptions'!$I:$I,N$51)=0," ",SUMIFS('Level of Efficiency Assumptions'!$J:$J,'Level of Efficiency Assumptions'!$H:$H,$I654,'Level of Efficiency Assumptions'!$I:$I,N$51))</f>
        <v xml:space="preserve"> </v>
      </c>
      <c r="O654" s="1298" t="str">
        <f>IF(SUMIFS('Level of Efficiency Assumptions'!$J:$J,'Level of Efficiency Assumptions'!$H:$H,$I654,'Level of Efficiency Assumptions'!$I:$I,O$51)=0," ",SUMIFS('Level of Efficiency Assumptions'!$J:$J,'Level of Efficiency Assumptions'!$H:$H,$I654,'Level of Efficiency Assumptions'!$I:$I,O$51))</f>
        <v xml:space="preserve"> </v>
      </c>
      <c r="P654" s="1299" t="str">
        <f>IF(SUMIFS('Level of Efficiency Assumptions'!$J:$J,'Level of Efficiency Assumptions'!$H:$H,$I654,'Level of Efficiency Assumptions'!$I:$I,P$51)=0," ",SUMIFS('Level of Efficiency Assumptions'!$J:$J,'Level of Efficiency Assumptions'!$H:$H,$I654,'Level of Efficiency Assumptions'!$I:$I,P$51))</f>
        <v xml:space="preserve"> </v>
      </c>
      <c r="Q654" s="971" t="e">
        <f>IF(I654=" "," ",(VLOOKUP(I654,list!$B$81:$C$111,2,FALSE)))</f>
        <v>#N/A</v>
      </c>
      <c r="R654" s="243">
        <f t="shared" si="228"/>
        <v>0</v>
      </c>
      <c r="S654" s="64">
        <v>1</v>
      </c>
      <c r="T654" s="68">
        <v>0</v>
      </c>
      <c r="U654" s="244">
        <f t="shared" ref="U654:U670" si="231">SUM(R654:T654)</f>
        <v>1</v>
      </c>
      <c r="V654" s="82" t="e">
        <f>F654&amp;"-"&amp;W654</f>
        <v>#N/A</v>
      </c>
      <c r="W654" s="247" t="e">
        <f>HLOOKUP(D654,list!$O$34:$X$38,2,FALSE)</f>
        <v>#N/A</v>
      </c>
      <c r="X654" s="972">
        <v>1</v>
      </c>
    </row>
    <row r="655" spans="2:24" ht="15" thickBot="1" x14ac:dyDescent="0.35">
      <c r="C655" s="520"/>
      <c r="D655" s="224" t="str">
        <f>D654</f>
        <v xml:space="preserve">  </v>
      </c>
      <c r="E655" s="224"/>
      <c r="F655" s="224" t="str">
        <f>F654</f>
        <v xml:space="preserve">  </v>
      </c>
      <c r="G655" s="224"/>
      <c r="H655" s="380"/>
      <c r="I655" s="516" t="e">
        <f>IF(VLOOKUP(C40,list!$AA$5:$AS$14,4,FALSE)=0," ",(VLOOKUP(C40,list!$AA$5:$AS$14,4,FALSE)))</f>
        <v>#N/A</v>
      </c>
      <c r="J655" s="955" t="e">
        <f t="shared" si="229"/>
        <v>#N/A</v>
      </c>
      <c r="K655" s="955" t="e">
        <f t="shared" si="230"/>
        <v>#N/A</v>
      </c>
      <c r="L655" s="969" t="e">
        <f>IF(I655=" "," ",VLOOKUP(J655,list!$J$4:$M$117,4,FALSE))</f>
        <v>#N/A</v>
      </c>
      <c r="M655" s="66"/>
      <c r="N655" s="1297" t="str">
        <f>IF(SUMIFS('Level of Efficiency Assumptions'!$J:$J,'Level of Efficiency Assumptions'!$H:$H,$I655,'Level of Efficiency Assumptions'!$I:$I,N$51)=0," ",SUMIFS('Level of Efficiency Assumptions'!$J:$J,'Level of Efficiency Assumptions'!$H:$H,$I655,'Level of Efficiency Assumptions'!$I:$I,N$51))</f>
        <v xml:space="preserve"> </v>
      </c>
      <c r="O655" s="1298" t="str">
        <f>IF(SUMIFS('Level of Efficiency Assumptions'!$J:$J,'Level of Efficiency Assumptions'!$H:$H,$I655,'Level of Efficiency Assumptions'!$I:$I,O$51)=0," ",SUMIFS('Level of Efficiency Assumptions'!$J:$J,'Level of Efficiency Assumptions'!$H:$H,$I655,'Level of Efficiency Assumptions'!$I:$I,O$51))</f>
        <v xml:space="preserve"> </v>
      </c>
      <c r="P655" s="1299" t="str">
        <f>IF(SUMIFS('Level of Efficiency Assumptions'!$J:$J,'Level of Efficiency Assumptions'!$H:$H,$I655,'Level of Efficiency Assumptions'!$I:$I,P$51)=0," ",SUMIFS('Level of Efficiency Assumptions'!$J:$J,'Level of Efficiency Assumptions'!$H:$H,$I655,'Level of Efficiency Assumptions'!$I:$I,P$51))</f>
        <v xml:space="preserve"> </v>
      </c>
      <c r="Q655" s="971" t="e">
        <f>IF(I655=" "," ",(VLOOKUP(I655,list!$B$81:$C$111,2,FALSE)))</f>
        <v>#N/A</v>
      </c>
      <c r="R655" s="243">
        <f t="shared" si="228"/>
        <v>0</v>
      </c>
      <c r="S655" s="64">
        <v>1</v>
      </c>
      <c r="T655" s="68">
        <v>0</v>
      </c>
      <c r="U655" s="244">
        <f t="shared" si="231"/>
        <v>1</v>
      </c>
      <c r="V655" s="82" t="e">
        <f>F655&amp;"-"&amp;W655</f>
        <v>#N/A</v>
      </c>
      <c r="W655" s="248" t="e">
        <f>HLOOKUP(D655,list!$O$34:$X$38,3,FALSE)</f>
        <v>#N/A</v>
      </c>
      <c r="X655" s="973">
        <v>0.5</v>
      </c>
    </row>
    <row r="656" spans="2:24" ht="15" thickBot="1" x14ac:dyDescent="0.35">
      <c r="C656" s="520"/>
      <c r="D656" s="224" t="str">
        <f t="shared" ref="D656:D670" si="232">D655</f>
        <v xml:space="preserve">  </v>
      </c>
      <c r="E656" s="224"/>
      <c r="F656" s="224" t="str">
        <f t="shared" ref="F656:F670" si="233">F655</f>
        <v xml:space="preserve">  </v>
      </c>
      <c r="G656" s="224"/>
      <c r="H656" s="380"/>
      <c r="I656" s="516" t="e">
        <f>IF(VLOOKUP(C40,list!$AA$5:$AS$14,5,FALSE)=0," ",(VLOOKUP(C40,list!$AA$5:$AS$14,5,FALSE)))</f>
        <v>#N/A</v>
      </c>
      <c r="J656" s="955" t="e">
        <f t="shared" si="229"/>
        <v>#N/A</v>
      </c>
      <c r="K656" s="955" t="e">
        <f t="shared" si="230"/>
        <v>#N/A</v>
      </c>
      <c r="L656" s="969" t="e">
        <f>IF(I656=" "," ",VLOOKUP(J656,list!$J$4:$M$117,4,FALSE))</f>
        <v>#N/A</v>
      </c>
      <c r="M656" s="66"/>
      <c r="N656" s="1297" t="str">
        <f>IF(SUMIFS('Level of Efficiency Assumptions'!$J:$J,'Level of Efficiency Assumptions'!$H:$H,$I656,'Level of Efficiency Assumptions'!$I:$I,N$51)=0," ",SUMIFS('Level of Efficiency Assumptions'!$J:$J,'Level of Efficiency Assumptions'!$H:$H,$I656,'Level of Efficiency Assumptions'!$I:$I,N$51))</f>
        <v xml:space="preserve"> </v>
      </c>
      <c r="O656" s="1298" t="str">
        <f>IF(SUMIFS('Level of Efficiency Assumptions'!$J:$J,'Level of Efficiency Assumptions'!$H:$H,$I656,'Level of Efficiency Assumptions'!$I:$I,O$51)=0," ",SUMIFS('Level of Efficiency Assumptions'!$J:$J,'Level of Efficiency Assumptions'!$H:$H,$I656,'Level of Efficiency Assumptions'!$I:$I,O$51))</f>
        <v xml:space="preserve"> </v>
      </c>
      <c r="P656" s="1299" t="str">
        <f>IF(SUMIFS('Level of Efficiency Assumptions'!$J:$J,'Level of Efficiency Assumptions'!$H:$H,$I656,'Level of Efficiency Assumptions'!$I:$I,P$51)=0," ",SUMIFS('Level of Efficiency Assumptions'!$J:$J,'Level of Efficiency Assumptions'!$H:$H,$I656,'Level of Efficiency Assumptions'!$I:$I,P$51))</f>
        <v xml:space="preserve"> </v>
      </c>
      <c r="Q656" s="971" t="e">
        <f>IF(I656=" "," ",(VLOOKUP(I656,list!$B$81:$C$111,2,FALSE)))</f>
        <v>#N/A</v>
      </c>
      <c r="R656" s="243">
        <f t="shared" si="228"/>
        <v>0</v>
      </c>
      <c r="S656" s="64">
        <v>1</v>
      </c>
      <c r="T656" s="68">
        <v>0</v>
      </c>
      <c r="U656" s="244">
        <f t="shared" si="231"/>
        <v>1</v>
      </c>
      <c r="V656" s="82" t="e">
        <f>F656&amp;"-"&amp;W656</f>
        <v>#N/A</v>
      </c>
      <c r="W656" s="248" t="e">
        <f>HLOOKUP(D656,list!$O$34:$X$38,4,FALSE)</f>
        <v>#N/A</v>
      </c>
      <c r="X656" s="973">
        <v>0.5</v>
      </c>
    </row>
    <row r="657" spans="3:24" ht="15" thickBot="1" x14ac:dyDescent="0.35">
      <c r="C657" s="520"/>
      <c r="D657" s="224" t="str">
        <f t="shared" si="232"/>
        <v xml:space="preserve">  </v>
      </c>
      <c r="E657" s="224"/>
      <c r="F657" s="224" t="str">
        <f t="shared" si="233"/>
        <v xml:space="preserve">  </v>
      </c>
      <c r="G657" s="224"/>
      <c r="H657" s="380"/>
      <c r="I657" s="516" t="e">
        <f>IF(VLOOKUP(C40,list!$AA$5:$AS$14,6,FALSE)=0," ",(VLOOKUP(C40,list!$AA$5:$AS$14,6,FALSE)))</f>
        <v>#N/A</v>
      </c>
      <c r="J657" s="955" t="e">
        <f t="shared" si="229"/>
        <v>#N/A</v>
      </c>
      <c r="K657" s="955" t="e">
        <f t="shared" si="230"/>
        <v>#N/A</v>
      </c>
      <c r="L657" s="969" t="e">
        <f>IF(I657=" "," ",VLOOKUP(J657,list!$J$4:$M$117,4,FALSE))</f>
        <v>#N/A</v>
      </c>
      <c r="M657" s="66"/>
      <c r="N657" s="1297" t="str">
        <f>IF(SUMIFS('Level of Efficiency Assumptions'!$J:$J,'Level of Efficiency Assumptions'!$H:$H,$I657,'Level of Efficiency Assumptions'!$I:$I,N$51)=0," ",SUMIFS('Level of Efficiency Assumptions'!$J:$J,'Level of Efficiency Assumptions'!$H:$H,$I657,'Level of Efficiency Assumptions'!$I:$I,N$51))</f>
        <v xml:space="preserve"> </v>
      </c>
      <c r="O657" s="1298" t="str">
        <f>IF(SUMIFS('Level of Efficiency Assumptions'!$J:$J,'Level of Efficiency Assumptions'!$H:$H,$I657,'Level of Efficiency Assumptions'!$I:$I,O$51)=0," ",SUMIFS('Level of Efficiency Assumptions'!$J:$J,'Level of Efficiency Assumptions'!$H:$H,$I657,'Level of Efficiency Assumptions'!$I:$I,O$51))</f>
        <v xml:space="preserve"> </v>
      </c>
      <c r="P657" s="1299" t="str">
        <f>IF(SUMIFS('Level of Efficiency Assumptions'!$J:$J,'Level of Efficiency Assumptions'!$H:$H,$I657,'Level of Efficiency Assumptions'!$I:$I,P$51)=0," ",SUMIFS('Level of Efficiency Assumptions'!$J:$J,'Level of Efficiency Assumptions'!$H:$H,$I657,'Level of Efficiency Assumptions'!$I:$I,P$51))</f>
        <v xml:space="preserve"> </v>
      </c>
      <c r="Q657" s="971" t="e">
        <f>IF(I657=" "," ",(VLOOKUP(I657,list!$B$81:$C$111,2,FALSE)))</f>
        <v>#N/A</v>
      </c>
      <c r="R657" s="243">
        <f t="shared" si="228"/>
        <v>0</v>
      </c>
      <c r="S657" s="64">
        <v>1</v>
      </c>
      <c r="T657" s="68">
        <v>0</v>
      </c>
      <c r="U657" s="244">
        <f t="shared" si="231"/>
        <v>1</v>
      </c>
      <c r="V657" s="82" t="e">
        <f>F657&amp;"-"&amp;W657</f>
        <v>#N/A</v>
      </c>
      <c r="W657" s="249" t="e">
        <f>HLOOKUP(D657,list!$O$34:$X$38,5,FALSE)</f>
        <v>#N/A</v>
      </c>
      <c r="X657" s="974">
        <v>0.5</v>
      </c>
    </row>
    <row r="658" spans="3:24" ht="15" thickBot="1" x14ac:dyDescent="0.35">
      <c r="C658" s="520"/>
      <c r="D658" s="224" t="str">
        <f t="shared" si="232"/>
        <v xml:space="preserve">  </v>
      </c>
      <c r="E658" s="224"/>
      <c r="F658" s="224" t="str">
        <f t="shared" si="233"/>
        <v xml:space="preserve">  </v>
      </c>
      <c r="G658" s="224"/>
      <c r="H658" s="380"/>
      <c r="I658" s="516" t="e">
        <f>IF(VLOOKUP(C40,list!$AA$5:$AS$14,7,FALSE)=0," ",(VLOOKUP(C40,list!$AA$5:$AS$14,7,FALSE)))</f>
        <v>#N/A</v>
      </c>
      <c r="J658" s="955" t="e">
        <f t="shared" si="229"/>
        <v>#N/A</v>
      </c>
      <c r="K658" s="955" t="e">
        <f t="shared" si="230"/>
        <v>#N/A</v>
      </c>
      <c r="L658" s="969" t="e">
        <f>IF(I658=" "," ",VLOOKUP(J658,list!$J$4:$M$117,4,FALSE))</f>
        <v>#N/A</v>
      </c>
      <c r="M658" s="66"/>
      <c r="N658" s="1297" t="str">
        <f>IF(SUMIFS('Level of Efficiency Assumptions'!$J:$J,'Level of Efficiency Assumptions'!$H:$H,$I658,'Level of Efficiency Assumptions'!$I:$I,N$51)=0," ",SUMIFS('Level of Efficiency Assumptions'!$J:$J,'Level of Efficiency Assumptions'!$H:$H,$I658,'Level of Efficiency Assumptions'!$I:$I,N$51))</f>
        <v xml:space="preserve"> </v>
      </c>
      <c r="O658" s="1298" t="str">
        <f>IF(SUMIFS('Level of Efficiency Assumptions'!$J:$J,'Level of Efficiency Assumptions'!$H:$H,$I658,'Level of Efficiency Assumptions'!$I:$I,O$51)=0," ",SUMIFS('Level of Efficiency Assumptions'!$J:$J,'Level of Efficiency Assumptions'!$H:$H,$I658,'Level of Efficiency Assumptions'!$I:$I,O$51))</f>
        <v xml:space="preserve"> </v>
      </c>
      <c r="P658" s="1299" t="str">
        <f>IF(SUMIFS('Level of Efficiency Assumptions'!$J:$J,'Level of Efficiency Assumptions'!$H:$H,$I658,'Level of Efficiency Assumptions'!$I:$I,P$51)=0," ",SUMIFS('Level of Efficiency Assumptions'!$J:$J,'Level of Efficiency Assumptions'!$H:$H,$I658,'Level of Efficiency Assumptions'!$I:$I,P$51))</f>
        <v xml:space="preserve"> </v>
      </c>
      <c r="Q658" s="971" t="e">
        <f>IF(I658=" "," ",(VLOOKUP(I658,list!$B$81:$C$111,2,FALSE)))</f>
        <v>#N/A</v>
      </c>
      <c r="R658" s="243">
        <f t="shared" si="228"/>
        <v>0</v>
      </c>
      <c r="S658" s="64">
        <v>1</v>
      </c>
      <c r="T658" s="68">
        <v>0</v>
      </c>
      <c r="U658" s="244">
        <f t="shared" si="231"/>
        <v>1</v>
      </c>
      <c r="W658" s="182"/>
      <c r="X658" s="975"/>
    </row>
    <row r="659" spans="3:24" ht="15" thickBot="1" x14ac:dyDescent="0.35">
      <c r="C659" s="520"/>
      <c r="D659" s="224" t="str">
        <f t="shared" si="232"/>
        <v xml:space="preserve">  </v>
      </c>
      <c r="E659" s="224"/>
      <c r="F659" s="224" t="str">
        <f t="shared" si="233"/>
        <v xml:space="preserve">  </v>
      </c>
      <c r="G659" s="224"/>
      <c r="H659" s="380"/>
      <c r="I659" s="516" t="e">
        <f>IF(VLOOKUP(C40,list!$AA$5:$AS$14,8,FALSE)=0," ",(VLOOKUP(C40,list!$AA$5:$AS$14,8,FALSE)))</f>
        <v>#N/A</v>
      </c>
      <c r="J659" s="955" t="e">
        <f t="shared" si="229"/>
        <v>#N/A</v>
      </c>
      <c r="K659" s="955" t="e">
        <f t="shared" si="230"/>
        <v>#N/A</v>
      </c>
      <c r="L659" s="969" t="e">
        <f>IF(I659=" "," ",VLOOKUP(J659,list!$J$4:$M$117,4,FALSE))</f>
        <v>#N/A</v>
      </c>
      <c r="M659" s="66"/>
      <c r="N659" s="1297" t="str">
        <f>IF(SUMIFS('Level of Efficiency Assumptions'!$J:$J,'Level of Efficiency Assumptions'!$H:$H,$I659,'Level of Efficiency Assumptions'!$I:$I,N$51)=0," ",SUMIFS('Level of Efficiency Assumptions'!$J:$J,'Level of Efficiency Assumptions'!$H:$H,$I659,'Level of Efficiency Assumptions'!$I:$I,N$51))</f>
        <v xml:space="preserve"> </v>
      </c>
      <c r="O659" s="1298" t="str">
        <f>IF(SUMIFS('Level of Efficiency Assumptions'!$J:$J,'Level of Efficiency Assumptions'!$H:$H,$I659,'Level of Efficiency Assumptions'!$I:$I,O$51)=0," ",SUMIFS('Level of Efficiency Assumptions'!$J:$J,'Level of Efficiency Assumptions'!$H:$H,$I659,'Level of Efficiency Assumptions'!$I:$I,O$51))</f>
        <v xml:space="preserve"> </v>
      </c>
      <c r="P659" s="1299" t="str">
        <f>IF(SUMIFS('Level of Efficiency Assumptions'!$J:$J,'Level of Efficiency Assumptions'!$H:$H,$I659,'Level of Efficiency Assumptions'!$I:$I,P$51)=0," ",SUMIFS('Level of Efficiency Assumptions'!$J:$J,'Level of Efficiency Assumptions'!$H:$H,$I659,'Level of Efficiency Assumptions'!$I:$I,P$51))</f>
        <v xml:space="preserve"> </v>
      </c>
      <c r="Q659" s="971" t="e">
        <f>IF(I659=" "," ",(VLOOKUP(I659,list!$B$81:$C$111,2,FALSE)))</f>
        <v>#N/A</v>
      </c>
      <c r="R659" s="243">
        <f t="shared" si="228"/>
        <v>0</v>
      </c>
      <c r="S659" s="64">
        <v>1</v>
      </c>
      <c r="T659" s="68">
        <v>0</v>
      </c>
      <c r="U659" s="244">
        <f t="shared" si="231"/>
        <v>1</v>
      </c>
      <c r="W659" s="182"/>
      <c r="X659" s="975"/>
    </row>
    <row r="660" spans="3:24" ht="15" thickBot="1" x14ac:dyDescent="0.35">
      <c r="C660" s="520"/>
      <c r="D660" s="224" t="str">
        <f t="shared" si="232"/>
        <v xml:space="preserve">  </v>
      </c>
      <c r="E660" s="224"/>
      <c r="F660" s="224" t="str">
        <f t="shared" si="233"/>
        <v xml:space="preserve">  </v>
      </c>
      <c r="G660" s="224"/>
      <c r="H660" s="380"/>
      <c r="I660" s="516" t="e">
        <f>IF(VLOOKUP(C40,list!$AA$5:$AS$14,9,FALSE)=0," ",(VLOOKUP(C40,list!$AA$5:$AS$14,9,FALSE)))</f>
        <v>#N/A</v>
      </c>
      <c r="J660" s="955" t="e">
        <f t="shared" si="229"/>
        <v>#N/A</v>
      </c>
      <c r="K660" s="955" t="e">
        <f t="shared" si="230"/>
        <v>#N/A</v>
      </c>
      <c r="L660" s="969" t="e">
        <f>IF(I660=" "," ",VLOOKUP(J660,list!$J$4:$M$117,4,FALSE))</f>
        <v>#N/A</v>
      </c>
      <c r="M660" s="66"/>
      <c r="N660" s="1297" t="str">
        <f>IF(SUMIFS('Level of Efficiency Assumptions'!$J:$J,'Level of Efficiency Assumptions'!$H:$H,$I660,'Level of Efficiency Assumptions'!$I:$I,N$51)=0," ",SUMIFS('Level of Efficiency Assumptions'!$J:$J,'Level of Efficiency Assumptions'!$H:$H,$I660,'Level of Efficiency Assumptions'!$I:$I,N$51))</f>
        <v xml:space="preserve"> </v>
      </c>
      <c r="O660" s="1298" t="str">
        <f>IF(SUMIFS('Level of Efficiency Assumptions'!$J:$J,'Level of Efficiency Assumptions'!$H:$H,$I660,'Level of Efficiency Assumptions'!$I:$I,O$51)=0," ",SUMIFS('Level of Efficiency Assumptions'!$J:$J,'Level of Efficiency Assumptions'!$H:$H,$I660,'Level of Efficiency Assumptions'!$I:$I,O$51))</f>
        <v xml:space="preserve"> </v>
      </c>
      <c r="P660" s="1299" t="str">
        <f>IF(SUMIFS('Level of Efficiency Assumptions'!$J:$J,'Level of Efficiency Assumptions'!$H:$H,$I660,'Level of Efficiency Assumptions'!$I:$I,P$51)=0," ",SUMIFS('Level of Efficiency Assumptions'!$J:$J,'Level of Efficiency Assumptions'!$H:$H,$I660,'Level of Efficiency Assumptions'!$I:$I,P$51))</f>
        <v xml:space="preserve"> </v>
      </c>
      <c r="Q660" s="971" t="e">
        <f>IF(I660=" "," ",(VLOOKUP(I660,list!$B$81:$C$111,2,FALSE)))</f>
        <v>#N/A</v>
      </c>
      <c r="R660" s="243">
        <f t="shared" si="228"/>
        <v>0</v>
      </c>
      <c r="S660" s="64">
        <v>1</v>
      </c>
      <c r="T660" s="68">
        <v>0</v>
      </c>
      <c r="U660" s="244">
        <f t="shared" si="231"/>
        <v>1</v>
      </c>
    </row>
    <row r="661" spans="3:24" ht="15" thickBot="1" x14ac:dyDescent="0.35">
      <c r="C661" s="520"/>
      <c r="D661" s="224" t="str">
        <f t="shared" si="232"/>
        <v xml:space="preserve">  </v>
      </c>
      <c r="E661" s="224"/>
      <c r="F661" s="224" t="str">
        <f t="shared" si="233"/>
        <v xml:space="preserve">  </v>
      </c>
      <c r="G661" s="224"/>
      <c r="H661" s="380"/>
      <c r="I661" s="516" t="e">
        <f>IF(VLOOKUP(C40,list!$AA$5:$AS$14,10,FALSE)=0," ",(VLOOKUP(C40,list!$AA$5:$AS$14,10,FALSE)))</f>
        <v>#N/A</v>
      </c>
      <c r="J661" s="955" t="e">
        <f t="shared" si="229"/>
        <v>#N/A</v>
      </c>
      <c r="K661" s="955" t="e">
        <f t="shared" si="230"/>
        <v>#N/A</v>
      </c>
      <c r="L661" s="969" t="e">
        <f>IF(I661=" "," ",VLOOKUP(J661,list!$J$4:$M$117,4,FALSE))</f>
        <v>#N/A</v>
      </c>
      <c r="M661" s="66"/>
      <c r="N661" s="1297" t="str">
        <f>IF(SUMIFS('Level of Efficiency Assumptions'!$J:$J,'Level of Efficiency Assumptions'!$H:$H,$I661,'Level of Efficiency Assumptions'!$I:$I,N$51)=0," ",SUMIFS('Level of Efficiency Assumptions'!$J:$J,'Level of Efficiency Assumptions'!$H:$H,$I661,'Level of Efficiency Assumptions'!$I:$I,N$51))</f>
        <v xml:space="preserve"> </v>
      </c>
      <c r="O661" s="1298" t="str">
        <f>IF(SUMIFS('Level of Efficiency Assumptions'!$J:$J,'Level of Efficiency Assumptions'!$H:$H,$I661,'Level of Efficiency Assumptions'!$I:$I,O$51)=0," ",SUMIFS('Level of Efficiency Assumptions'!$J:$J,'Level of Efficiency Assumptions'!$H:$H,$I661,'Level of Efficiency Assumptions'!$I:$I,O$51))</f>
        <v xml:space="preserve"> </v>
      </c>
      <c r="P661" s="1299" t="str">
        <f>IF(SUMIFS('Level of Efficiency Assumptions'!$J:$J,'Level of Efficiency Assumptions'!$H:$H,$I661,'Level of Efficiency Assumptions'!$I:$I,P$51)=0," ",SUMIFS('Level of Efficiency Assumptions'!$J:$J,'Level of Efficiency Assumptions'!$H:$H,$I661,'Level of Efficiency Assumptions'!$I:$I,P$51))</f>
        <v xml:space="preserve"> </v>
      </c>
      <c r="Q661" s="971" t="e">
        <f>IF(I661=" "," ",(VLOOKUP(I661,list!$B$81:$C$111,2,FALSE)))</f>
        <v>#N/A</v>
      </c>
      <c r="R661" s="243">
        <f t="shared" si="228"/>
        <v>0</v>
      </c>
      <c r="S661" s="64">
        <v>1</v>
      </c>
      <c r="T661" s="68">
        <v>0</v>
      </c>
      <c r="U661" s="244">
        <f t="shared" si="231"/>
        <v>1</v>
      </c>
    </row>
    <row r="662" spans="3:24" ht="15" thickBot="1" x14ac:dyDescent="0.35">
      <c r="C662" s="520"/>
      <c r="D662" s="224" t="str">
        <f t="shared" si="232"/>
        <v xml:space="preserve">  </v>
      </c>
      <c r="E662" s="224"/>
      <c r="F662" s="224" t="str">
        <f t="shared" si="233"/>
        <v xml:space="preserve">  </v>
      </c>
      <c r="G662" s="224"/>
      <c r="H662" s="380"/>
      <c r="I662" s="516" t="e">
        <f>IF(VLOOKUP(C40,list!$AA$5:$AS$14,11,FALSE)=0," ",(VLOOKUP(C40,list!$AA$5:$AS$14,11,FALSE)))</f>
        <v>#N/A</v>
      </c>
      <c r="J662" s="955" t="e">
        <f t="shared" si="229"/>
        <v>#N/A</v>
      </c>
      <c r="K662" s="955" t="e">
        <f t="shared" si="230"/>
        <v>#N/A</v>
      </c>
      <c r="L662" s="969" t="e">
        <f>IF(I662=" "," ",VLOOKUP(J662,list!$J$4:$M$117,4,FALSE))</f>
        <v>#N/A</v>
      </c>
      <c r="M662" s="66"/>
      <c r="N662" s="1297" t="str">
        <f>IF(SUMIFS('Level of Efficiency Assumptions'!$J:$J,'Level of Efficiency Assumptions'!$H:$H,$I662,'Level of Efficiency Assumptions'!$I:$I,N$51)=0," ",SUMIFS('Level of Efficiency Assumptions'!$J:$J,'Level of Efficiency Assumptions'!$H:$H,$I662,'Level of Efficiency Assumptions'!$I:$I,N$51))</f>
        <v xml:space="preserve"> </v>
      </c>
      <c r="O662" s="1298" t="str">
        <f>IF(SUMIFS('Level of Efficiency Assumptions'!$J:$J,'Level of Efficiency Assumptions'!$H:$H,$I662,'Level of Efficiency Assumptions'!$I:$I,O$51)=0," ",SUMIFS('Level of Efficiency Assumptions'!$J:$J,'Level of Efficiency Assumptions'!$H:$H,$I662,'Level of Efficiency Assumptions'!$I:$I,O$51))</f>
        <v xml:space="preserve"> </v>
      </c>
      <c r="P662" s="1299" t="str">
        <f>IF(SUMIFS('Level of Efficiency Assumptions'!$J:$J,'Level of Efficiency Assumptions'!$H:$H,$I662,'Level of Efficiency Assumptions'!$I:$I,P$51)=0," ",SUMIFS('Level of Efficiency Assumptions'!$J:$J,'Level of Efficiency Assumptions'!$H:$H,$I662,'Level of Efficiency Assumptions'!$I:$I,P$51))</f>
        <v xml:space="preserve"> </v>
      </c>
      <c r="Q662" s="971" t="e">
        <f>IF(I662=" "," ",(VLOOKUP(I662,list!$B$81:$C$111,2,FALSE)))</f>
        <v>#N/A</v>
      </c>
      <c r="R662" s="243">
        <f t="shared" si="228"/>
        <v>0</v>
      </c>
      <c r="S662" s="64">
        <v>1</v>
      </c>
      <c r="T662" s="68">
        <v>0</v>
      </c>
      <c r="U662" s="244">
        <f t="shared" si="231"/>
        <v>1</v>
      </c>
    </row>
    <row r="663" spans="3:24" ht="15" thickBot="1" x14ac:dyDescent="0.35">
      <c r="C663" s="520"/>
      <c r="D663" s="224" t="str">
        <f t="shared" si="232"/>
        <v xml:space="preserve">  </v>
      </c>
      <c r="E663" s="224"/>
      <c r="F663" s="224" t="str">
        <f t="shared" si="233"/>
        <v xml:space="preserve">  </v>
      </c>
      <c r="G663" s="224"/>
      <c r="H663" s="380"/>
      <c r="I663" s="516" t="e">
        <f>IF(VLOOKUP(C40,list!$AA$5:$AS$14,12,FALSE)=0," ",(VLOOKUP(C40,list!$AA$5:$AS$14,12,FALSE)))</f>
        <v>#N/A</v>
      </c>
      <c r="J663" s="955" t="e">
        <f t="shared" si="229"/>
        <v>#N/A</v>
      </c>
      <c r="K663" s="955" t="e">
        <f t="shared" si="230"/>
        <v>#N/A</v>
      </c>
      <c r="L663" s="969" t="e">
        <f>IF(I663=" "," ",VLOOKUP(J663,list!$J$4:$M$117,4,FALSE))</f>
        <v>#N/A</v>
      </c>
      <c r="M663" s="66"/>
      <c r="N663" s="1297" t="str">
        <f>IF(SUMIFS('Level of Efficiency Assumptions'!$J:$J,'Level of Efficiency Assumptions'!$H:$H,$I663,'Level of Efficiency Assumptions'!$I:$I,N$51)=0," ",SUMIFS('Level of Efficiency Assumptions'!$J:$J,'Level of Efficiency Assumptions'!$H:$H,$I663,'Level of Efficiency Assumptions'!$I:$I,N$51))</f>
        <v xml:space="preserve"> </v>
      </c>
      <c r="O663" s="1298" t="str">
        <f>IF(SUMIFS('Level of Efficiency Assumptions'!$J:$J,'Level of Efficiency Assumptions'!$H:$H,$I663,'Level of Efficiency Assumptions'!$I:$I,O$51)=0," ",SUMIFS('Level of Efficiency Assumptions'!$J:$J,'Level of Efficiency Assumptions'!$H:$H,$I663,'Level of Efficiency Assumptions'!$I:$I,O$51))</f>
        <v xml:space="preserve"> </v>
      </c>
      <c r="P663" s="1299" t="str">
        <f>IF(SUMIFS('Level of Efficiency Assumptions'!$J:$J,'Level of Efficiency Assumptions'!$H:$H,$I663,'Level of Efficiency Assumptions'!$I:$I,P$51)=0," ",SUMIFS('Level of Efficiency Assumptions'!$J:$J,'Level of Efficiency Assumptions'!$H:$H,$I663,'Level of Efficiency Assumptions'!$I:$I,P$51))</f>
        <v xml:space="preserve"> </v>
      </c>
      <c r="Q663" s="971" t="e">
        <f>IF(I663=" "," ",(VLOOKUP(I663,list!$B$81:$C$111,2,FALSE)))</f>
        <v>#N/A</v>
      </c>
      <c r="R663" s="243">
        <f t="shared" si="228"/>
        <v>0</v>
      </c>
      <c r="S663" s="64">
        <v>1</v>
      </c>
      <c r="T663" s="68">
        <v>0</v>
      </c>
      <c r="U663" s="244">
        <f t="shared" si="231"/>
        <v>1</v>
      </c>
    </row>
    <row r="664" spans="3:24" ht="15" thickBot="1" x14ac:dyDescent="0.35">
      <c r="C664" s="520"/>
      <c r="D664" s="224" t="str">
        <f t="shared" si="232"/>
        <v xml:space="preserve">  </v>
      </c>
      <c r="E664" s="224"/>
      <c r="F664" s="224" t="str">
        <f t="shared" si="233"/>
        <v xml:space="preserve">  </v>
      </c>
      <c r="G664" s="224"/>
      <c r="H664" s="380"/>
      <c r="I664" s="516" t="e">
        <f>IF(VLOOKUP(C40,list!$AA$5:$AS$14,13,FALSE)=0," ",(VLOOKUP(C40,list!$AA$5:$AS$14,13,FALSE)))</f>
        <v>#N/A</v>
      </c>
      <c r="J664" s="955" t="e">
        <f t="shared" si="229"/>
        <v>#N/A</v>
      </c>
      <c r="K664" s="955" t="e">
        <f t="shared" si="230"/>
        <v>#N/A</v>
      </c>
      <c r="L664" s="969" t="e">
        <f>IF(I664=" "," ",VLOOKUP(J664,list!$J$4:$M$117,4,FALSE))</f>
        <v>#N/A</v>
      </c>
      <c r="M664" s="66"/>
      <c r="N664" s="1297" t="str">
        <f>IF(SUMIFS('Level of Efficiency Assumptions'!$J:$J,'Level of Efficiency Assumptions'!$H:$H,$I664,'Level of Efficiency Assumptions'!$I:$I,N$51)=0," ",SUMIFS('Level of Efficiency Assumptions'!$J:$J,'Level of Efficiency Assumptions'!$H:$H,$I664,'Level of Efficiency Assumptions'!$I:$I,N$51))</f>
        <v xml:space="preserve"> </v>
      </c>
      <c r="O664" s="1298" t="str">
        <f>IF(SUMIFS('Level of Efficiency Assumptions'!$J:$J,'Level of Efficiency Assumptions'!$H:$H,$I664,'Level of Efficiency Assumptions'!$I:$I,O$51)=0," ",SUMIFS('Level of Efficiency Assumptions'!$J:$J,'Level of Efficiency Assumptions'!$H:$H,$I664,'Level of Efficiency Assumptions'!$I:$I,O$51))</f>
        <v xml:space="preserve"> </v>
      </c>
      <c r="P664" s="1299" t="str">
        <f>IF(SUMIFS('Level of Efficiency Assumptions'!$J:$J,'Level of Efficiency Assumptions'!$H:$H,$I664,'Level of Efficiency Assumptions'!$I:$I,P$51)=0," ",SUMIFS('Level of Efficiency Assumptions'!$J:$J,'Level of Efficiency Assumptions'!$H:$H,$I664,'Level of Efficiency Assumptions'!$I:$I,P$51))</f>
        <v xml:space="preserve"> </v>
      </c>
      <c r="Q664" s="971" t="e">
        <f>IF(I664=" "," ",(VLOOKUP(I664,list!$B$81:$C$111,2,FALSE)))</f>
        <v>#N/A</v>
      </c>
      <c r="R664" s="243">
        <f t="shared" si="228"/>
        <v>0</v>
      </c>
      <c r="S664" s="64">
        <v>1</v>
      </c>
      <c r="T664" s="68">
        <v>0</v>
      </c>
      <c r="U664" s="244">
        <f t="shared" si="231"/>
        <v>1</v>
      </c>
    </row>
    <row r="665" spans="3:24" ht="15" thickBot="1" x14ac:dyDescent="0.35">
      <c r="C665" s="520"/>
      <c r="D665" s="224" t="str">
        <f t="shared" si="232"/>
        <v xml:space="preserve">  </v>
      </c>
      <c r="E665" s="224"/>
      <c r="F665" s="224" t="str">
        <f t="shared" si="233"/>
        <v xml:space="preserve">  </v>
      </c>
      <c r="G665" s="224"/>
      <c r="H665" s="380"/>
      <c r="I665" s="516" t="e">
        <f>IF(VLOOKUP(C40,list!$AA$5:$AS$14,14,FALSE)=0," ",(VLOOKUP(C40,list!$AA$5:$AS$14,14,FALSE)))</f>
        <v>#N/A</v>
      </c>
      <c r="J665" s="955" t="e">
        <f t="shared" si="229"/>
        <v>#N/A</v>
      </c>
      <c r="K665" s="955" t="e">
        <f t="shared" si="230"/>
        <v>#N/A</v>
      </c>
      <c r="L665" s="969" t="e">
        <f>IF(I665=" "," ",VLOOKUP(J665,list!$J$4:$M$117,4,FALSE))</f>
        <v>#N/A</v>
      </c>
      <c r="M665" s="66"/>
      <c r="N665" s="1297" t="str">
        <f>IF(SUMIFS('Level of Efficiency Assumptions'!$J:$J,'Level of Efficiency Assumptions'!$H:$H,$I665,'Level of Efficiency Assumptions'!$I:$I,N$51)=0," ",SUMIFS('Level of Efficiency Assumptions'!$J:$J,'Level of Efficiency Assumptions'!$H:$H,$I665,'Level of Efficiency Assumptions'!$I:$I,N$51))</f>
        <v xml:space="preserve"> </v>
      </c>
      <c r="O665" s="1298" t="str">
        <f>IF(SUMIFS('Level of Efficiency Assumptions'!$J:$J,'Level of Efficiency Assumptions'!$H:$H,$I665,'Level of Efficiency Assumptions'!$I:$I,O$51)=0," ",SUMIFS('Level of Efficiency Assumptions'!$J:$J,'Level of Efficiency Assumptions'!$H:$H,$I665,'Level of Efficiency Assumptions'!$I:$I,O$51))</f>
        <v xml:space="preserve"> </v>
      </c>
      <c r="P665" s="1299" t="str">
        <f>IF(SUMIFS('Level of Efficiency Assumptions'!$J:$J,'Level of Efficiency Assumptions'!$H:$H,$I665,'Level of Efficiency Assumptions'!$I:$I,P$51)=0," ",SUMIFS('Level of Efficiency Assumptions'!$J:$J,'Level of Efficiency Assumptions'!$H:$H,$I665,'Level of Efficiency Assumptions'!$I:$I,P$51))</f>
        <v xml:space="preserve"> </v>
      </c>
      <c r="Q665" s="971" t="e">
        <f>IF(I665=" "," ",(VLOOKUP(I665,list!$B$81:$C$111,2,FALSE)))</f>
        <v>#N/A</v>
      </c>
      <c r="R665" s="243">
        <f t="shared" si="228"/>
        <v>0</v>
      </c>
      <c r="S665" s="64">
        <v>1</v>
      </c>
      <c r="T665" s="68">
        <v>0</v>
      </c>
      <c r="U665" s="244">
        <f t="shared" si="231"/>
        <v>1</v>
      </c>
    </row>
    <row r="666" spans="3:24" ht="15" thickBot="1" x14ac:dyDescent="0.35">
      <c r="C666" s="520"/>
      <c r="D666" s="224" t="str">
        <f t="shared" si="232"/>
        <v xml:space="preserve">  </v>
      </c>
      <c r="E666" s="224"/>
      <c r="F666" s="224" t="str">
        <f t="shared" si="233"/>
        <v xml:space="preserve">  </v>
      </c>
      <c r="G666" s="224"/>
      <c r="H666" s="380"/>
      <c r="I666" s="516" t="e">
        <f>IF(VLOOKUP(C40,list!$AA$5:$AS$14,15,FALSE)=0," ",(VLOOKUP(C40,list!$AA$5:$AS$14,15,FALSE)))</f>
        <v>#N/A</v>
      </c>
      <c r="J666" s="955" t="e">
        <f t="shared" si="229"/>
        <v>#N/A</v>
      </c>
      <c r="K666" s="955" t="e">
        <f t="shared" si="230"/>
        <v>#N/A</v>
      </c>
      <c r="L666" s="969" t="e">
        <f>IF(I666=" "," ",VLOOKUP(J666,list!$J$4:$M$117,4,FALSE))</f>
        <v>#N/A</v>
      </c>
      <c r="M666" s="66"/>
      <c r="N666" s="1297" t="str">
        <f>IF(SUMIFS('Level of Efficiency Assumptions'!$J:$J,'Level of Efficiency Assumptions'!$H:$H,$I666,'Level of Efficiency Assumptions'!$I:$I,N$51)=0," ",SUMIFS('Level of Efficiency Assumptions'!$J:$J,'Level of Efficiency Assumptions'!$H:$H,$I666,'Level of Efficiency Assumptions'!$I:$I,N$51))</f>
        <v xml:space="preserve"> </v>
      </c>
      <c r="O666" s="1298" t="str">
        <f>IF(SUMIFS('Level of Efficiency Assumptions'!$J:$J,'Level of Efficiency Assumptions'!$H:$H,$I666,'Level of Efficiency Assumptions'!$I:$I,O$51)=0," ",SUMIFS('Level of Efficiency Assumptions'!$J:$J,'Level of Efficiency Assumptions'!$H:$H,$I666,'Level of Efficiency Assumptions'!$I:$I,O$51))</f>
        <v xml:space="preserve"> </v>
      </c>
      <c r="P666" s="1299" t="str">
        <f>IF(SUMIFS('Level of Efficiency Assumptions'!$J:$J,'Level of Efficiency Assumptions'!$H:$H,$I666,'Level of Efficiency Assumptions'!$I:$I,P$51)=0," ",SUMIFS('Level of Efficiency Assumptions'!$J:$J,'Level of Efficiency Assumptions'!$H:$H,$I666,'Level of Efficiency Assumptions'!$I:$I,P$51))</f>
        <v xml:space="preserve"> </v>
      </c>
      <c r="Q666" s="971" t="e">
        <f>IF(I666=" "," ",(VLOOKUP(I666,list!$B$81:$C$111,2,FALSE)))</f>
        <v>#N/A</v>
      </c>
      <c r="R666" s="243">
        <f t="shared" si="228"/>
        <v>0</v>
      </c>
      <c r="S666" s="64">
        <v>1</v>
      </c>
      <c r="T666" s="68">
        <v>0</v>
      </c>
      <c r="U666" s="244">
        <f t="shared" si="231"/>
        <v>1</v>
      </c>
    </row>
    <row r="667" spans="3:24" ht="15" thickBot="1" x14ac:dyDescent="0.35">
      <c r="C667" s="520"/>
      <c r="D667" s="224" t="str">
        <f t="shared" si="232"/>
        <v xml:space="preserve">  </v>
      </c>
      <c r="E667" s="224"/>
      <c r="F667" s="224" t="str">
        <f t="shared" si="233"/>
        <v xml:space="preserve">  </v>
      </c>
      <c r="G667" s="224"/>
      <c r="H667" s="380"/>
      <c r="I667" s="516" t="e">
        <f>IF(VLOOKUP(C40,list!$AA$5:$AS$14,16,FALSE)=0," ",(VLOOKUP(C40,list!$AA$5:$AS$14,16,FALSE)))</f>
        <v>#N/A</v>
      </c>
      <c r="J667" s="955" t="e">
        <f t="shared" si="229"/>
        <v>#N/A</v>
      </c>
      <c r="K667" s="955" t="e">
        <f t="shared" si="230"/>
        <v>#N/A</v>
      </c>
      <c r="L667" s="969" t="e">
        <f>IF(I667=" "," ",VLOOKUP(J667,list!$J$4:$M$117,4,FALSE))</f>
        <v>#N/A</v>
      </c>
      <c r="M667" s="66"/>
      <c r="N667" s="1297" t="str">
        <f>IF(SUMIFS('Level of Efficiency Assumptions'!$J:$J,'Level of Efficiency Assumptions'!$H:$H,$I667,'Level of Efficiency Assumptions'!$I:$I,N$51)=0," ",SUMIFS('Level of Efficiency Assumptions'!$J:$J,'Level of Efficiency Assumptions'!$H:$H,$I667,'Level of Efficiency Assumptions'!$I:$I,N$51))</f>
        <v xml:space="preserve"> </v>
      </c>
      <c r="O667" s="1298" t="str">
        <f>IF(SUMIFS('Level of Efficiency Assumptions'!$J:$J,'Level of Efficiency Assumptions'!$H:$H,$I667,'Level of Efficiency Assumptions'!$I:$I,O$51)=0," ",SUMIFS('Level of Efficiency Assumptions'!$J:$J,'Level of Efficiency Assumptions'!$H:$H,$I667,'Level of Efficiency Assumptions'!$I:$I,O$51))</f>
        <v xml:space="preserve"> </v>
      </c>
      <c r="P667" s="1299" t="str">
        <f>IF(SUMIFS('Level of Efficiency Assumptions'!$J:$J,'Level of Efficiency Assumptions'!$H:$H,$I667,'Level of Efficiency Assumptions'!$I:$I,P$51)=0," ",SUMIFS('Level of Efficiency Assumptions'!$J:$J,'Level of Efficiency Assumptions'!$H:$H,$I667,'Level of Efficiency Assumptions'!$I:$I,P$51))</f>
        <v xml:space="preserve"> </v>
      </c>
      <c r="Q667" s="971" t="e">
        <f>IF(I667=" "," ",(VLOOKUP(I667,list!$B$81:$C$111,2,FALSE)))</f>
        <v>#N/A</v>
      </c>
      <c r="R667" s="243">
        <f t="shared" si="228"/>
        <v>0</v>
      </c>
      <c r="S667" s="64">
        <v>1</v>
      </c>
      <c r="T667" s="68">
        <v>0</v>
      </c>
      <c r="U667" s="244">
        <f t="shared" si="231"/>
        <v>1</v>
      </c>
    </row>
    <row r="668" spans="3:24" ht="15" thickBot="1" x14ac:dyDescent="0.35">
      <c r="C668" s="520"/>
      <c r="D668" s="224" t="str">
        <f t="shared" si="232"/>
        <v xml:space="preserve">  </v>
      </c>
      <c r="E668" s="224"/>
      <c r="F668" s="224" t="str">
        <f t="shared" si="233"/>
        <v xml:space="preserve">  </v>
      </c>
      <c r="G668" s="224"/>
      <c r="H668" s="380"/>
      <c r="I668" s="516" t="e">
        <f>IF(VLOOKUP(C40,list!$AA$5:$AS$14,17,FALSE)=0," ",(VLOOKUP(C40,list!$AA$5:$AS$14,17,FALSE)))</f>
        <v>#N/A</v>
      </c>
      <c r="J668" s="955" t="e">
        <f t="shared" si="229"/>
        <v>#N/A</v>
      </c>
      <c r="K668" s="955" t="e">
        <f t="shared" si="230"/>
        <v>#N/A</v>
      </c>
      <c r="L668" s="969" t="e">
        <f>IF(I668=" "," ",VLOOKUP(J668,list!$J$4:$M$117,4,FALSE))</f>
        <v>#N/A</v>
      </c>
      <c r="M668" s="66"/>
      <c r="N668" s="1297" t="str">
        <f>IF(SUMIFS('Level of Efficiency Assumptions'!$J:$J,'Level of Efficiency Assumptions'!$H:$H,$I668,'Level of Efficiency Assumptions'!$I:$I,N$51)=0," ",SUMIFS('Level of Efficiency Assumptions'!$J:$J,'Level of Efficiency Assumptions'!$H:$H,$I668,'Level of Efficiency Assumptions'!$I:$I,N$51))</f>
        <v xml:space="preserve"> </v>
      </c>
      <c r="O668" s="1298" t="str">
        <f>IF(SUMIFS('Level of Efficiency Assumptions'!$J:$J,'Level of Efficiency Assumptions'!$H:$H,$I668,'Level of Efficiency Assumptions'!$I:$I,O$51)=0," ",SUMIFS('Level of Efficiency Assumptions'!$J:$J,'Level of Efficiency Assumptions'!$H:$H,$I668,'Level of Efficiency Assumptions'!$I:$I,O$51))</f>
        <v xml:space="preserve"> </v>
      </c>
      <c r="P668" s="1299" t="str">
        <f>IF(SUMIFS('Level of Efficiency Assumptions'!$J:$J,'Level of Efficiency Assumptions'!$H:$H,$I668,'Level of Efficiency Assumptions'!$I:$I,P$51)=0," ",SUMIFS('Level of Efficiency Assumptions'!$J:$J,'Level of Efficiency Assumptions'!$H:$H,$I668,'Level of Efficiency Assumptions'!$I:$I,P$51))</f>
        <v xml:space="preserve"> </v>
      </c>
      <c r="Q668" s="971" t="e">
        <f>IF(I668=" "," ",(VLOOKUP(I668,list!$B$81:$C$111,2,FALSE)))</f>
        <v>#N/A</v>
      </c>
      <c r="R668" s="243">
        <f t="shared" si="228"/>
        <v>0</v>
      </c>
      <c r="S668" s="64">
        <v>1</v>
      </c>
      <c r="T668" s="68">
        <v>0</v>
      </c>
      <c r="U668" s="244">
        <f t="shared" si="231"/>
        <v>1</v>
      </c>
    </row>
    <row r="669" spans="3:24" ht="15" thickBot="1" x14ac:dyDescent="0.35">
      <c r="C669" s="520"/>
      <c r="D669" s="224" t="str">
        <f t="shared" si="232"/>
        <v xml:space="preserve">  </v>
      </c>
      <c r="E669" s="224"/>
      <c r="F669" s="224" t="str">
        <f t="shared" si="233"/>
        <v xml:space="preserve">  </v>
      </c>
      <c r="G669" s="224"/>
      <c r="H669" s="380"/>
      <c r="I669" s="516" t="e">
        <f>IF(VLOOKUP(C40,list!$AA$5:$AS$14,18,FALSE)=0," ",(VLOOKUP(C40,list!$AA$5:$AS$14,18,FALSE)))</f>
        <v>#N/A</v>
      </c>
      <c r="J669" s="955" t="e">
        <f t="shared" si="229"/>
        <v>#N/A</v>
      </c>
      <c r="K669" s="955" t="e">
        <f t="shared" si="230"/>
        <v>#N/A</v>
      </c>
      <c r="L669" s="969" t="e">
        <f>IF(I669=" "," ",VLOOKUP(J669,list!$J$4:$M$117,4,FALSE))</f>
        <v>#N/A</v>
      </c>
      <c r="M669" s="66"/>
      <c r="N669" s="1297" t="str">
        <f>IF(SUMIFS('Level of Efficiency Assumptions'!$J:$J,'Level of Efficiency Assumptions'!$H:$H,$I669,'Level of Efficiency Assumptions'!$I:$I,N$51)=0," ",SUMIFS('Level of Efficiency Assumptions'!$J:$J,'Level of Efficiency Assumptions'!$H:$H,$I669,'Level of Efficiency Assumptions'!$I:$I,N$51))</f>
        <v xml:space="preserve"> </v>
      </c>
      <c r="O669" s="1298" t="str">
        <f>IF(SUMIFS('Level of Efficiency Assumptions'!$J:$J,'Level of Efficiency Assumptions'!$H:$H,$I669,'Level of Efficiency Assumptions'!$I:$I,O$51)=0," ",SUMIFS('Level of Efficiency Assumptions'!$J:$J,'Level of Efficiency Assumptions'!$H:$H,$I669,'Level of Efficiency Assumptions'!$I:$I,O$51))</f>
        <v xml:space="preserve"> </v>
      </c>
      <c r="P669" s="1299" t="str">
        <f>IF(SUMIFS('Level of Efficiency Assumptions'!$J:$J,'Level of Efficiency Assumptions'!$H:$H,$I669,'Level of Efficiency Assumptions'!$I:$I,P$51)=0," ",SUMIFS('Level of Efficiency Assumptions'!$J:$J,'Level of Efficiency Assumptions'!$H:$H,$I669,'Level of Efficiency Assumptions'!$I:$I,P$51))</f>
        <v xml:space="preserve"> </v>
      </c>
      <c r="Q669" s="971" t="e">
        <f>IF(I669=" "," ",(VLOOKUP(I669,list!$B$81:$C$111,2,FALSE)))</f>
        <v>#N/A</v>
      </c>
      <c r="R669" s="243">
        <f t="shared" si="228"/>
        <v>0</v>
      </c>
      <c r="S669" s="64">
        <v>1</v>
      </c>
      <c r="T669" s="68">
        <v>0</v>
      </c>
      <c r="U669" s="244">
        <f t="shared" si="231"/>
        <v>1</v>
      </c>
    </row>
    <row r="670" spans="3:24" ht="15" thickBot="1" x14ac:dyDescent="0.35">
      <c r="C670" s="632"/>
      <c r="D670" s="226" t="str">
        <f t="shared" si="232"/>
        <v xml:space="preserve">  </v>
      </c>
      <c r="E670" s="226"/>
      <c r="F670" s="226" t="str">
        <f t="shared" si="233"/>
        <v xml:space="preserve">  </v>
      </c>
      <c r="G670" s="226"/>
      <c r="H670" s="976"/>
      <c r="I670" s="516" t="e">
        <f>IF(VLOOKUP(C40,list!$AA$5:$AS$14,19,FALSE)=0," ",(VLOOKUP(C40,list!$AA$5:$AS$14,19,FALSE)))</f>
        <v>#N/A</v>
      </c>
      <c r="J670" s="955" t="e">
        <f>IF(I670=" "," ",(D670&amp;"-"&amp;I670))</f>
        <v>#N/A</v>
      </c>
      <c r="K670" s="955" t="e">
        <f t="shared" si="230"/>
        <v>#N/A</v>
      </c>
      <c r="L670" s="969" t="e">
        <f>IF(I670=" "," ",VLOOKUP(J670,list!$J$4:$M$117,4,FALSE))</f>
        <v>#N/A</v>
      </c>
      <c r="M670" s="67"/>
      <c r="N670" s="1303" t="str">
        <f>IF(SUMIFS('Level of Efficiency Assumptions'!$J:$J,'Level of Efficiency Assumptions'!$H:$H,$I670,'Level of Efficiency Assumptions'!$I:$I,N$51)=0," ",SUMIFS('Level of Efficiency Assumptions'!$J:$J,'Level of Efficiency Assumptions'!$H:$H,$I670,'Level of Efficiency Assumptions'!$I:$I,N$51))</f>
        <v xml:space="preserve"> </v>
      </c>
      <c r="O670" s="1304" t="str">
        <f>IF(SUMIFS('Level of Efficiency Assumptions'!$J:$J,'Level of Efficiency Assumptions'!$H:$H,$I670,'Level of Efficiency Assumptions'!$I:$I,O$51)=0," ",SUMIFS('Level of Efficiency Assumptions'!$J:$J,'Level of Efficiency Assumptions'!$H:$H,$I670,'Level of Efficiency Assumptions'!$I:$I,O$51))</f>
        <v xml:space="preserve"> </v>
      </c>
      <c r="P670" s="1305" t="str">
        <f>IF(SUMIFS('Level of Efficiency Assumptions'!$J:$J,'Level of Efficiency Assumptions'!$H:$H,$I670,'Level of Efficiency Assumptions'!$I:$I,P$51)=0," ",SUMIFS('Level of Efficiency Assumptions'!$J:$J,'Level of Efficiency Assumptions'!$H:$H,$I670,'Level of Efficiency Assumptions'!$I:$I,P$51))</f>
        <v xml:space="preserve"> </v>
      </c>
      <c r="Q670" s="977" t="e">
        <f>IF(I670=" "," ",(VLOOKUP(I670,list!$B$81:$C$111,2,FALSE)))</f>
        <v>#N/A</v>
      </c>
      <c r="R670" s="245">
        <f t="shared" si="228"/>
        <v>0</v>
      </c>
      <c r="S670" s="65">
        <v>1</v>
      </c>
      <c r="T670" s="69">
        <v>0</v>
      </c>
      <c r="U670" s="246">
        <f t="shared" si="231"/>
        <v>1</v>
      </c>
    </row>
    <row r="671" spans="3:24" x14ac:dyDescent="0.3">
      <c r="D671" s="846"/>
      <c r="F671" s="82"/>
      <c r="J671" s="846"/>
      <c r="K671" s="846"/>
      <c r="N671" s="1179"/>
      <c r="O671" s="1179"/>
      <c r="P671" s="1179"/>
      <c r="R671" s="176" t="s">
        <v>295</v>
      </c>
      <c r="S671" s="176"/>
      <c r="T671" s="176"/>
      <c r="U671" s="176"/>
    </row>
    <row r="672" spans="3:24" ht="15" thickBot="1" x14ac:dyDescent="0.35">
      <c r="D672" s="846"/>
      <c r="F672" s="82"/>
      <c r="J672" s="846"/>
      <c r="K672" s="846"/>
      <c r="N672" s="1179"/>
      <c r="O672" s="1179"/>
      <c r="P672" s="1179"/>
    </row>
    <row r="673" spans="2:24" ht="15" thickBot="1" x14ac:dyDescent="0.35">
      <c r="B673" s="814">
        <v>32</v>
      </c>
      <c r="C673" s="967" t="str">
        <f t="shared" ref="C673:H673" si="234">C41</f>
        <v xml:space="preserve">  </v>
      </c>
      <c r="D673" s="967" t="str">
        <f t="shared" si="234"/>
        <v xml:space="preserve">  </v>
      </c>
      <c r="E673" s="967" t="str">
        <f t="shared" si="234"/>
        <v xml:space="preserve">  </v>
      </c>
      <c r="F673" s="967" t="str">
        <f t="shared" si="234"/>
        <v xml:space="preserve">  </v>
      </c>
      <c r="G673" s="967">
        <f t="shared" si="234"/>
        <v>0</v>
      </c>
      <c r="H673" s="968">
        <f t="shared" si="234"/>
        <v>0</v>
      </c>
      <c r="I673" s="516" t="e">
        <f>IF(VLOOKUP(C41,list!$AA$5:$AS$14,2,FALSE)=0," ",(VLOOKUP(C41,list!$AA$5:$AS$14,2,FALSE)))</f>
        <v>#N/A</v>
      </c>
      <c r="J673" s="955" t="e">
        <f>IF(I673=" "," ",(D41&amp;"-"&amp;I673))</f>
        <v>#N/A</v>
      </c>
      <c r="K673" s="955" t="e">
        <f>IF(I673=" "," ",(F41&amp;"-"&amp;I673))</f>
        <v>#N/A</v>
      </c>
      <c r="L673" s="969" t="e">
        <f>IF(I673=" "," ",VLOOKUP(J673,list!$J$4:$M$117,4,FALSE))</f>
        <v>#N/A</v>
      </c>
      <c r="M673" s="70"/>
      <c r="N673" s="1300" t="str">
        <f>IF(SUMIFS('Level of Efficiency Assumptions'!$J:$J,'Level of Efficiency Assumptions'!$H:$H,$I673,'Level of Efficiency Assumptions'!$I:$I,N$51)=0," ",SUMIFS('Level of Efficiency Assumptions'!$J:$J,'Level of Efficiency Assumptions'!$H:$H,$I673,'Level of Efficiency Assumptions'!$I:$I,N$51))</f>
        <v xml:space="preserve"> </v>
      </c>
      <c r="O673" s="1301" t="str">
        <f>IF(SUMIFS('Level of Efficiency Assumptions'!$J:$J,'Level of Efficiency Assumptions'!$H:$H,$I673,'Level of Efficiency Assumptions'!$I:$I,O$51)=0," ",SUMIFS('Level of Efficiency Assumptions'!$J:$J,'Level of Efficiency Assumptions'!$H:$H,$I673,'Level of Efficiency Assumptions'!$I:$I,O$51))</f>
        <v xml:space="preserve"> </v>
      </c>
      <c r="P673" s="1302" t="str">
        <f>IF(SUMIFS('Level of Efficiency Assumptions'!$J:$J,'Level of Efficiency Assumptions'!$H:$H,$I673,'Level of Efficiency Assumptions'!$I:$I,P$51)=0," ",SUMIFS('Level of Efficiency Assumptions'!$J:$J,'Level of Efficiency Assumptions'!$H:$H,$I673,'Level of Efficiency Assumptions'!$I:$I,P$51))</f>
        <v xml:space="preserve"> </v>
      </c>
      <c r="Q673" s="970" t="e">
        <f>IF(I673=" "," ",(VLOOKUP(I673,list!$B$81:$C$111,2,FALSE)))</f>
        <v>#N/A</v>
      </c>
      <c r="R673" s="241">
        <f t="shared" ref="R673:R690" si="235">1-S673-T673</f>
        <v>0</v>
      </c>
      <c r="S673" s="83">
        <v>1</v>
      </c>
      <c r="T673" s="84">
        <v>0</v>
      </c>
      <c r="U673" s="242">
        <f>SUM(R673:T673)</f>
        <v>1</v>
      </c>
      <c r="W673" s="250" t="s">
        <v>367</v>
      </c>
      <c r="X673" s="251" t="s">
        <v>366</v>
      </c>
    </row>
    <row r="674" spans="2:24" ht="15" thickBot="1" x14ac:dyDescent="0.35">
      <c r="C674" s="520"/>
      <c r="D674" s="224" t="str">
        <f>D41</f>
        <v xml:space="preserve">  </v>
      </c>
      <c r="E674" s="224"/>
      <c r="F674" s="224" t="str">
        <f>F41</f>
        <v xml:space="preserve">  </v>
      </c>
      <c r="G674" s="224"/>
      <c r="H674" s="380"/>
      <c r="I674" s="516" t="e">
        <f>IF(VLOOKUP(C41,list!$AA$5:$AS$14,3,FALSE)=0," ",(VLOOKUP(C41,list!$AA$5:$AS$14,3,FALSE)))</f>
        <v>#N/A</v>
      </c>
      <c r="J674" s="955" t="e">
        <f t="shared" ref="J674:J689" si="236">IF(I674=" "," ",(D674&amp;"-"&amp;I674))</f>
        <v>#N/A</v>
      </c>
      <c r="K674" s="955" t="e">
        <f t="shared" ref="K674:K690" si="237">IF(I674=" "," ",(F674&amp;"-"&amp;I674))</f>
        <v>#N/A</v>
      </c>
      <c r="L674" s="969" t="e">
        <f>IF(I674=" "," ",VLOOKUP(J674,list!$J$4:$M$117,4,FALSE))</f>
        <v>#N/A</v>
      </c>
      <c r="M674" s="66"/>
      <c r="N674" s="1297" t="str">
        <f>IF(SUMIFS('Level of Efficiency Assumptions'!$J:$J,'Level of Efficiency Assumptions'!$H:$H,$I674,'Level of Efficiency Assumptions'!$I:$I,N$51)=0," ",SUMIFS('Level of Efficiency Assumptions'!$J:$J,'Level of Efficiency Assumptions'!$H:$H,$I674,'Level of Efficiency Assumptions'!$I:$I,N$51))</f>
        <v xml:space="preserve"> </v>
      </c>
      <c r="O674" s="1298" t="str">
        <f>IF(SUMIFS('Level of Efficiency Assumptions'!$J:$J,'Level of Efficiency Assumptions'!$H:$H,$I674,'Level of Efficiency Assumptions'!$I:$I,O$51)=0," ",SUMIFS('Level of Efficiency Assumptions'!$J:$J,'Level of Efficiency Assumptions'!$H:$H,$I674,'Level of Efficiency Assumptions'!$I:$I,O$51))</f>
        <v xml:space="preserve"> </v>
      </c>
      <c r="P674" s="1299" t="str">
        <f>IF(SUMIFS('Level of Efficiency Assumptions'!$J:$J,'Level of Efficiency Assumptions'!$H:$H,$I674,'Level of Efficiency Assumptions'!$I:$I,P$51)=0," ",SUMIFS('Level of Efficiency Assumptions'!$J:$J,'Level of Efficiency Assumptions'!$H:$H,$I674,'Level of Efficiency Assumptions'!$I:$I,P$51))</f>
        <v xml:space="preserve"> </v>
      </c>
      <c r="Q674" s="971" t="e">
        <f>IF(I674=" "," ",(VLOOKUP(I674,list!$B$81:$C$111,2,FALSE)))</f>
        <v>#N/A</v>
      </c>
      <c r="R674" s="243">
        <f t="shared" si="235"/>
        <v>0</v>
      </c>
      <c r="S674" s="64">
        <v>1</v>
      </c>
      <c r="T674" s="68">
        <v>0</v>
      </c>
      <c r="U674" s="244">
        <f t="shared" ref="U674:U690" si="238">SUM(R674:T674)</f>
        <v>1</v>
      </c>
      <c r="V674" s="82" t="e">
        <f>F674&amp;"-"&amp;W674</f>
        <v>#N/A</v>
      </c>
      <c r="W674" s="247" t="e">
        <f>HLOOKUP(D674,list!$O$34:$X$38,2,FALSE)</f>
        <v>#N/A</v>
      </c>
      <c r="X674" s="972">
        <v>1</v>
      </c>
    </row>
    <row r="675" spans="2:24" ht="15" thickBot="1" x14ac:dyDescent="0.35">
      <c r="C675" s="520"/>
      <c r="D675" s="224" t="str">
        <f>D674</f>
        <v xml:space="preserve">  </v>
      </c>
      <c r="E675" s="224"/>
      <c r="F675" s="224" t="str">
        <f>F674</f>
        <v xml:space="preserve">  </v>
      </c>
      <c r="G675" s="224"/>
      <c r="H675" s="380"/>
      <c r="I675" s="516" t="e">
        <f>IF(VLOOKUP(C41,list!$AA$5:$AS$14,4,FALSE)=0," ",(VLOOKUP(C41,list!$AA$5:$AS$14,4,FALSE)))</f>
        <v>#N/A</v>
      </c>
      <c r="J675" s="955" t="e">
        <f t="shared" si="236"/>
        <v>#N/A</v>
      </c>
      <c r="K675" s="955" t="e">
        <f t="shared" si="237"/>
        <v>#N/A</v>
      </c>
      <c r="L675" s="969" t="e">
        <f>IF(I675=" "," ",VLOOKUP(J675,list!$J$4:$M$117,4,FALSE))</f>
        <v>#N/A</v>
      </c>
      <c r="M675" s="66"/>
      <c r="N675" s="1297" t="str">
        <f>IF(SUMIFS('Level of Efficiency Assumptions'!$J:$J,'Level of Efficiency Assumptions'!$H:$H,$I675,'Level of Efficiency Assumptions'!$I:$I,N$51)=0," ",SUMIFS('Level of Efficiency Assumptions'!$J:$J,'Level of Efficiency Assumptions'!$H:$H,$I675,'Level of Efficiency Assumptions'!$I:$I,N$51))</f>
        <v xml:space="preserve"> </v>
      </c>
      <c r="O675" s="1298" t="str">
        <f>IF(SUMIFS('Level of Efficiency Assumptions'!$J:$J,'Level of Efficiency Assumptions'!$H:$H,$I675,'Level of Efficiency Assumptions'!$I:$I,O$51)=0," ",SUMIFS('Level of Efficiency Assumptions'!$J:$J,'Level of Efficiency Assumptions'!$H:$H,$I675,'Level of Efficiency Assumptions'!$I:$I,O$51))</f>
        <v xml:space="preserve"> </v>
      </c>
      <c r="P675" s="1299" t="str">
        <f>IF(SUMIFS('Level of Efficiency Assumptions'!$J:$J,'Level of Efficiency Assumptions'!$H:$H,$I675,'Level of Efficiency Assumptions'!$I:$I,P$51)=0," ",SUMIFS('Level of Efficiency Assumptions'!$J:$J,'Level of Efficiency Assumptions'!$H:$H,$I675,'Level of Efficiency Assumptions'!$I:$I,P$51))</f>
        <v xml:space="preserve"> </v>
      </c>
      <c r="Q675" s="971" t="e">
        <f>IF(I675=" "," ",(VLOOKUP(I675,list!$B$81:$C$111,2,FALSE)))</f>
        <v>#N/A</v>
      </c>
      <c r="R675" s="243">
        <f t="shared" si="235"/>
        <v>0</v>
      </c>
      <c r="S675" s="64">
        <v>1</v>
      </c>
      <c r="T675" s="68">
        <v>0</v>
      </c>
      <c r="U675" s="244">
        <f t="shared" si="238"/>
        <v>1</v>
      </c>
      <c r="V675" s="82" t="e">
        <f>F675&amp;"-"&amp;W675</f>
        <v>#N/A</v>
      </c>
      <c r="W675" s="248" t="e">
        <f>HLOOKUP(D675,list!$O$34:$X$38,3,FALSE)</f>
        <v>#N/A</v>
      </c>
      <c r="X675" s="973">
        <v>0.5</v>
      </c>
    </row>
    <row r="676" spans="2:24" ht="15" thickBot="1" x14ac:dyDescent="0.35">
      <c r="C676" s="520"/>
      <c r="D676" s="224" t="str">
        <f t="shared" ref="D676:D690" si="239">D675</f>
        <v xml:space="preserve">  </v>
      </c>
      <c r="E676" s="224"/>
      <c r="F676" s="224" t="str">
        <f t="shared" ref="F676:F690" si="240">F675</f>
        <v xml:space="preserve">  </v>
      </c>
      <c r="G676" s="224"/>
      <c r="H676" s="380"/>
      <c r="I676" s="516" t="e">
        <f>IF(VLOOKUP(C41,list!$AA$5:$AS$14,5,FALSE)=0," ",(VLOOKUP(C41,list!$AA$5:$AS$14,5,FALSE)))</f>
        <v>#N/A</v>
      </c>
      <c r="J676" s="955" t="e">
        <f t="shared" si="236"/>
        <v>#N/A</v>
      </c>
      <c r="K676" s="955" t="e">
        <f t="shared" si="237"/>
        <v>#N/A</v>
      </c>
      <c r="L676" s="969" t="e">
        <f>IF(I676=" "," ",VLOOKUP(J676,list!$J$4:$M$117,4,FALSE))</f>
        <v>#N/A</v>
      </c>
      <c r="M676" s="66"/>
      <c r="N676" s="1297" t="str">
        <f>IF(SUMIFS('Level of Efficiency Assumptions'!$J:$J,'Level of Efficiency Assumptions'!$H:$H,$I676,'Level of Efficiency Assumptions'!$I:$I,N$51)=0," ",SUMIFS('Level of Efficiency Assumptions'!$J:$J,'Level of Efficiency Assumptions'!$H:$H,$I676,'Level of Efficiency Assumptions'!$I:$I,N$51))</f>
        <v xml:space="preserve"> </v>
      </c>
      <c r="O676" s="1298" t="str">
        <f>IF(SUMIFS('Level of Efficiency Assumptions'!$J:$J,'Level of Efficiency Assumptions'!$H:$H,$I676,'Level of Efficiency Assumptions'!$I:$I,O$51)=0," ",SUMIFS('Level of Efficiency Assumptions'!$J:$J,'Level of Efficiency Assumptions'!$H:$H,$I676,'Level of Efficiency Assumptions'!$I:$I,O$51))</f>
        <v xml:space="preserve"> </v>
      </c>
      <c r="P676" s="1299" t="str">
        <f>IF(SUMIFS('Level of Efficiency Assumptions'!$J:$J,'Level of Efficiency Assumptions'!$H:$H,$I676,'Level of Efficiency Assumptions'!$I:$I,P$51)=0," ",SUMIFS('Level of Efficiency Assumptions'!$J:$J,'Level of Efficiency Assumptions'!$H:$H,$I676,'Level of Efficiency Assumptions'!$I:$I,P$51))</f>
        <v xml:space="preserve"> </v>
      </c>
      <c r="Q676" s="971" t="e">
        <f>IF(I676=" "," ",(VLOOKUP(I676,list!$B$81:$C$111,2,FALSE)))</f>
        <v>#N/A</v>
      </c>
      <c r="R676" s="243">
        <f t="shared" si="235"/>
        <v>0</v>
      </c>
      <c r="S676" s="64">
        <v>1</v>
      </c>
      <c r="T676" s="68">
        <v>0</v>
      </c>
      <c r="U676" s="244">
        <f t="shared" si="238"/>
        <v>1</v>
      </c>
      <c r="V676" s="82" t="e">
        <f>F676&amp;"-"&amp;W676</f>
        <v>#N/A</v>
      </c>
      <c r="W676" s="248" t="e">
        <f>HLOOKUP(D676,list!$O$34:$X$38,4,FALSE)</f>
        <v>#N/A</v>
      </c>
      <c r="X676" s="973">
        <v>0.5</v>
      </c>
    </row>
    <row r="677" spans="2:24" ht="15" thickBot="1" x14ac:dyDescent="0.35">
      <c r="C677" s="520"/>
      <c r="D677" s="224" t="str">
        <f t="shared" si="239"/>
        <v xml:space="preserve">  </v>
      </c>
      <c r="E677" s="224"/>
      <c r="F677" s="224" t="str">
        <f t="shared" si="240"/>
        <v xml:space="preserve">  </v>
      </c>
      <c r="G677" s="224"/>
      <c r="H677" s="380"/>
      <c r="I677" s="516" t="e">
        <f>IF(VLOOKUP(C41,list!$AA$5:$AS$14,6,FALSE)=0," ",(VLOOKUP(C41,list!$AA$5:$AS$14,6,FALSE)))</f>
        <v>#N/A</v>
      </c>
      <c r="J677" s="955" t="e">
        <f t="shared" si="236"/>
        <v>#N/A</v>
      </c>
      <c r="K677" s="955" t="e">
        <f t="shared" si="237"/>
        <v>#N/A</v>
      </c>
      <c r="L677" s="969" t="e">
        <f>IF(I677=" "," ",VLOOKUP(J677,list!$J$4:$M$117,4,FALSE))</f>
        <v>#N/A</v>
      </c>
      <c r="M677" s="66"/>
      <c r="N677" s="1297" t="str">
        <f>IF(SUMIFS('Level of Efficiency Assumptions'!$J:$J,'Level of Efficiency Assumptions'!$H:$H,$I677,'Level of Efficiency Assumptions'!$I:$I,N$51)=0," ",SUMIFS('Level of Efficiency Assumptions'!$J:$J,'Level of Efficiency Assumptions'!$H:$H,$I677,'Level of Efficiency Assumptions'!$I:$I,N$51))</f>
        <v xml:space="preserve"> </v>
      </c>
      <c r="O677" s="1298" t="str">
        <f>IF(SUMIFS('Level of Efficiency Assumptions'!$J:$J,'Level of Efficiency Assumptions'!$H:$H,$I677,'Level of Efficiency Assumptions'!$I:$I,O$51)=0," ",SUMIFS('Level of Efficiency Assumptions'!$J:$J,'Level of Efficiency Assumptions'!$H:$H,$I677,'Level of Efficiency Assumptions'!$I:$I,O$51))</f>
        <v xml:space="preserve"> </v>
      </c>
      <c r="P677" s="1299" t="str">
        <f>IF(SUMIFS('Level of Efficiency Assumptions'!$J:$J,'Level of Efficiency Assumptions'!$H:$H,$I677,'Level of Efficiency Assumptions'!$I:$I,P$51)=0," ",SUMIFS('Level of Efficiency Assumptions'!$J:$J,'Level of Efficiency Assumptions'!$H:$H,$I677,'Level of Efficiency Assumptions'!$I:$I,P$51))</f>
        <v xml:space="preserve"> </v>
      </c>
      <c r="Q677" s="971" t="e">
        <f>IF(I677=" "," ",(VLOOKUP(I677,list!$B$81:$C$111,2,FALSE)))</f>
        <v>#N/A</v>
      </c>
      <c r="R677" s="243">
        <f t="shared" si="235"/>
        <v>0</v>
      </c>
      <c r="S677" s="64">
        <v>1</v>
      </c>
      <c r="T677" s="68">
        <v>0</v>
      </c>
      <c r="U677" s="244">
        <f t="shared" si="238"/>
        <v>1</v>
      </c>
      <c r="V677" s="82" t="e">
        <f>F677&amp;"-"&amp;W677</f>
        <v>#N/A</v>
      </c>
      <c r="W677" s="249" t="e">
        <f>HLOOKUP(D677,list!$O$34:$X$38,5,FALSE)</f>
        <v>#N/A</v>
      </c>
      <c r="X677" s="974">
        <v>0.5</v>
      </c>
    </row>
    <row r="678" spans="2:24" ht="15" thickBot="1" x14ac:dyDescent="0.35">
      <c r="C678" s="520"/>
      <c r="D678" s="224" t="str">
        <f t="shared" si="239"/>
        <v xml:space="preserve">  </v>
      </c>
      <c r="E678" s="224"/>
      <c r="F678" s="224" t="str">
        <f t="shared" si="240"/>
        <v xml:space="preserve">  </v>
      </c>
      <c r="G678" s="224"/>
      <c r="H678" s="380"/>
      <c r="I678" s="516" t="e">
        <f>IF(VLOOKUP(C41,list!$AA$5:$AS$14,7,FALSE)=0," ",(VLOOKUP(C41,list!$AA$5:$AS$14,7,FALSE)))</f>
        <v>#N/A</v>
      </c>
      <c r="J678" s="955" t="e">
        <f t="shared" si="236"/>
        <v>#N/A</v>
      </c>
      <c r="K678" s="955" t="e">
        <f t="shared" si="237"/>
        <v>#N/A</v>
      </c>
      <c r="L678" s="969" t="e">
        <f>IF(I678=" "," ",VLOOKUP(J678,list!$J$4:$M$117,4,FALSE))</f>
        <v>#N/A</v>
      </c>
      <c r="M678" s="66"/>
      <c r="N678" s="1297" t="str">
        <f>IF(SUMIFS('Level of Efficiency Assumptions'!$J:$J,'Level of Efficiency Assumptions'!$H:$H,$I678,'Level of Efficiency Assumptions'!$I:$I,N$51)=0," ",SUMIFS('Level of Efficiency Assumptions'!$J:$J,'Level of Efficiency Assumptions'!$H:$H,$I678,'Level of Efficiency Assumptions'!$I:$I,N$51))</f>
        <v xml:space="preserve"> </v>
      </c>
      <c r="O678" s="1298" t="str">
        <f>IF(SUMIFS('Level of Efficiency Assumptions'!$J:$J,'Level of Efficiency Assumptions'!$H:$H,$I678,'Level of Efficiency Assumptions'!$I:$I,O$51)=0," ",SUMIFS('Level of Efficiency Assumptions'!$J:$J,'Level of Efficiency Assumptions'!$H:$H,$I678,'Level of Efficiency Assumptions'!$I:$I,O$51))</f>
        <v xml:space="preserve"> </v>
      </c>
      <c r="P678" s="1299" t="str">
        <f>IF(SUMIFS('Level of Efficiency Assumptions'!$J:$J,'Level of Efficiency Assumptions'!$H:$H,$I678,'Level of Efficiency Assumptions'!$I:$I,P$51)=0," ",SUMIFS('Level of Efficiency Assumptions'!$J:$J,'Level of Efficiency Assumptions'!$H:$H,$I678,'Level of Efficiency Assumptions'!$I:$I,P$51))</f>
        <v xml:space="preserve"> </v>
      </c>
      <c r="Q678" s="971" t="e">
        <f>IF(I678=" "," ",(VLOOKUP(I678,list!$B$81:$C$111,2,FALSE)))</f>
        <v>#N/A</v>
      </c>
      <c r="R678" s="243">
        <f t="shared" si="235"/>
        <v>0</v>
      </c>
      <c r="S678" s="64">
        <v>1</v>
      </c>
      <c r="T678" s="68">
        <v>0</v>
      </c>
      <c r="U678" s="244">
        <f t="shared" si="238"/>
        <v>1</v>
      </c>
      <c r="W678" s="182"/>
      <c r="X678" s="975"/>
    </row>
    <row r="679" spans="2:24" ht="15" thickBot="1" x14ac:dyDescent="0.35">
      <c r="C679" s="520"/>
      <c r="D679" s="224" t="str">
        <f t="shared" si="239"/>
        <v xml:space="preserve">  </v>
      </c>
      <c r="E679" s="224"/>
      <c r="F679" s="224" t="str">
        <f t="shared" si="240"/>
        <v xml:space="preserve">  </v>
      </c>
      <c r="G679" s="224"/>
      <c r="H679" s="380"/>
      <c r="I679" s="516" t="e">
        <f>IF(VLOOKUP(C41,list!$AA$5:$AS$14,8,FALSE)=0," ",(VLOOKUP(C41,list!$AA$5:$AS$14,8,FALSE)))</f>
        <v>#N/A</v>
      </c>
      <c r="J679" s="955" t="e">
        <f t="shared" si="236"/>
        <v>#N/A</v>
      </c>
      <c r="K679" s="955" t="e">
        <f t="shared" si="237"/>
        <v>#N/A</v>
      </c>
      <c r="L679" s="969" t="e">
        <f>IF(I679=" "," ",VLOOKUP(J679,list!$J$4:$M$117,4,FALSE))</f>
        <v>#N/A</v>
      </c>
      <c r="M679" s="66"/>
      <c r="N679" s="1297" t="str">
        <f>IF(SUMIFS('Level of Efficiency Assumptions'!$J:$J,'Level of Efficiency Assumptions'!$H:$H,$I679,'Level of Efficiency Assumptions'!$I:$I,N$51)=0," ",SUMIFS('Level of Efficiency Assumptions'!$J:$J,'Level of Efficiency Assumptions'!$H:$H,$I679,'Level of Efficiency Assumptions'!$I:$I,N$51))</f>
        <v xml:space="preserve"> </v>
      </c>
      <c r="O679" s="1298" t="str">
        <f>IF(SUMIFS('Level of Efficiency Assumptions'!$J:$J,'Level of Efficiency Assumptions'!$H:$H,$I679,'Level of Efficiency Assumptions'!$I:$I,O$51)=0," ",SUMIFS('Level of Efficiency Assumptions'!$J:$J,'Level of Efficiency Assumptions'!$H:$H,$I679,'Level of Efficiency Assumptions'!$I:$I,O$51))</f>
        <v xml:space="preserve"> </v>
      </c>
      <c r="P679" s="1299" t="str">
        <f>IF(SUMIFS('Level of Efficiency Assumptions'!$J:$J,'Level of Efficiency Assumptions'!$H:$H,$I679,'Level of Efficiency Assumptions'!$I:$I,P$51)=0," ",SUMIFS('Level of Efficiency Assumptions'!$J:$J,'Level of Efficiency Assumptions'!$H:$H,$I679,'Level of Efficiency Assumptions'!$I:$I,P$51))</f>
        <v xml:space="preserve"> </v>
      </c>
      <c r="Q679" s="971" t="e">
        <f>IF(I679=" "," ",(VLOOKUP(I679,list!$B$81:$C$111,2,FALSE)))</f>
        <v>#N/A</v>
      </c>
      <c r="R679" s="243">
        <f t="shared" si="235"/>
        <v>0</v>
      </c>
      <c r="S679" s="64">
        <v>1</v>
      </c>
      <c r="T679" s="68">
        <v>0</v>
      </c>
      <c r="U679" s="244">
        <f t="shared" si="238"/>
        <v>1</v>
      </c>
      <c r="W679" s="182"/>
      <c r="X679" s="975"/>
    </row>
    <row r="680" spans="2:24" ht="15" thickBot="1" x14ac:dyDescent="0.35">
      <c r="C680" s="520"/>
      <c r="D680" s="224" t="str">
        <f t="shared" si="239"/>
        <v xml:space="preserve">  </v>
      </c>
      <c r="E680" s="224"/>
      <c r="F680" s="224" t="str">
        <f t="shared" si="240"/>
        <v xml:space="preserve">  </v>
      </c>
      <c r="G680" s="224"/>
      <c r="H680" s="380"/>
      <c r="I680" s="516" t="e">
        <f>IF(VLOOKUP(C41,list!$AA$5:$AS$14,9,FALSE)=0," ",(VLOOKUP(C41,list!$AA$5:$AS$14,9,FALSE)))</f>
        <v>#N/A</v>
      </c>
      <c r="J680" s="955" t="e">
        <f t="shared" si="236"/>
        <v>#N/A</v>
      </c>
      <c r="K680" s="955" t="e">
        <f t="shared" si="237"/>
        <v>#N/A</v>
      </c>
      <c r="L680" s="969" t="e">
        <f>IF(I680=" "," ",VLOOKUP(J680,list!$J$4:$M$117,4,FALSE))</f>
        <v>#N/A</v>
      </c>
      <c r="M680" s="66"/>
      <c r="N680" s="1297" t="str">
        <f>IF(SUMIFS('Level of Efficiency Assumptions'!$J:$J,'Level of Efficiency Assumptions'!$H:$H,$I680,'Level of Efficiency Assumptions'!$I:$I,N$51)=0," ",SUMIFS('Level of Efficiency Assumptions'!$J:$J,'Level of Efficiency Assumptions'!$H:$H,$I680,'Level of Efficiency Assumptions'!$I:$I,N$51))</f>
        <v xml:space="preserve"> </v>
      </c>
      <c r="O680" s="1298" t="str">
        <f>IF(SUMIFS('Level of Efficiency Assumptions'!$J:$J,'Level of Efficiency Assumptions'!$H:$H,$I680,'Level of Efficiency Assumptions'!$I:$I,O$51)=0," ",SUMIFS('Level of Efficiency Assumptions'!$J:$J,'Level of Efficiency Assumptions'!$H:$H,$I680,'Level of Efficiency Assumptions'!$I:$I,O$51))</f>
        <v xml:space="preserve"> </v>
      </c>
      <c r="P680" s="1299" t="str">
        <f>IF(SUMIFS('Level of Efficiency Assumptions'!$J:$J,'Level of Efficiency Assumptions'!$H:$H,$I680,'Level of Efficiency Assumptions'!$I:$I,P$51)=0," ",SUMIFS('Level of Efficiency Assumptions'!$J:$J,'Level of Efficiency Assumptions'!$H:$H,$I680,'Level of Efficiency Assumptions'!$I:$I,P$51))</f>
        <v xml:space="preserve"> </v>
      </c>
      <c r="Q680" s="971" t="e">
        <f>IF(I680=" "," ",(VLOOKUP(I680,list!$B$81:$C$111,2,FALSE)))</f>
        <v>#N/A</v>
      </c>
      <c r="R680" s="243">
        <f t="shared" si="235"/>
        <v>0</v>
      </c>
      <c r="S680" s="64">
        <v>1</v>
      </c>
      <c r="T680" s="68">
        <v>0</v>
      </c>
      <c r="U680" s="244">
        <f t="shared" si="238"/>
        <v>1</v>
      </c>
    </row>
    <row r="681" spans="2:24" ht="15" thickBot="1" x14ac:dyDescent="0.35">
      <c r="C681" s="520"/>
      <c r="D681" s="224" t="str">
        <f t="shared" si="239"/>
        <v xml:space="preserve">  </v>
      </c>
      <c r="E681" s="224"/>
      <c r="F681" s="224" t="str">
        <f t="shared" si="240"/>
        <v xml:space="preserve">  </v>
      </c>
      <c r="G681" s="224"/>
      <c r="H681" s="380"/>
      <c r="I681" s="516" t="e">
        <f>IF(VLOOKUP(C41,list!$AA$5:$AS$14,10,FALSE)=0," ",(VLOOKUP(C41,list!$AA$5:$AS$14,10,FALSE)))</f>
        <v>#N/A</v>
      </c>
      <c r="J681" s="955" t="e">
        <f t="shared" si="236"/>
        <v>#N/A</v>
      </c>
      <c r="K681" s="955" t="e">
        <f t="shared" si="237"/>
        <v>#N/A</v>
      </c>
      <c r="L681" s="969" t="e">
        <f>IF(I681=" "," ",VLOOKUP(J681,list!$J$4:$M$117,4,FALSE))</f>
        <v>#N/A</v>
      </c>
      <c r="M681" s="66"/>
      <c r="N681" s="1297" t="str">
        <f>IF(SUMIFS('Level of Efficiency Assumptions'!$J:$J,'Level of Efficiency Assumptions'!$H:$H,$I681,'Level of Efficiency Assumptions'!$I:$I,N$51)=0," ",SUMIFS('Level of Efficiency Assumptions'!$J:$J,'Level of Efficiency Assumptions'!$H:$H,$I681,'Level of Efficiency Assumptions'!$I:$I,N$51))</f>
        <v xml:space="preserve"> </v>
      </c>
      <c r="O681" s="1298" t="str">
        <f>IF(SUMIFS('Level of Efficiency Assumptions'!$J:$J,'Level of Efficiency Assumptions'!$H:$H,$I681,'Level of Efficiency Assumptions'!$I:$I,O$51)=0," ",SUMIFS('Level of Efficiency Assumptions'!$J:$J,'Level of Efficiency Assumptions'!$H:$H,$I681,'Level of Efficiency Assumptions'!$I:$I,O$51))</f>
        <v xml:space="preserve"> </v>
      </c>
      <c r="P681" s="1299" t="str">
        <f>IF(SUMIFS('Level of Efficiency Assumptions'!$J:$J,'Level of Efficiency Assumptions'!$H:$H,$I681,'Level of Efficiency Assumptions'!$I:$I,P$51)=0," ",SUMIFS('Level of Efficiency Assumptions'!$J:$J,'Level of Efficiency Assumptions'!$H:$H,$I681,'Level of Efficiency Assumptions'!$I:$I,P$51))</f>
        <v xml:space="preserve"> </v>
      </c>
      <c r="Q681" s="971" t="e">
        <f>IF(I681=" "," ",(VLOOKUP(I681,list!$B$81:$C$111,2,FALSE)))</f>
        <v>#N/A</v>
      </c>
      <c r="R681" s="243">
        <f t="shared" si="235"/>
        <v>0</v>
      </c>
      <c r="S681" s="64">
        <v>1</v>
      </c>
      <c r="T681" s="68">
        <v>0</v>
      </c>
      <c r="U681" s="244">
        <f t="shared" si="238"/>
        <v>1</v>
      </c>
    </row>
    <row r="682" spans="2:24" ht="15" thickBot="1" x14ac:dyDescent="0.35">
      <c r="C682" s="520"/>
      <c r="D682" s="224" t="str">
        <f t="shared" si="239"/>
        <v xml:space="preserve">  </v>
      </c>
      <c r="E682" s="224"/>
      <c r="F682" s="224" t="str">
        <f t="shared" si="240"/>
        <v xml:space="preserve">  </v>
      </c>
      <c r="G682" s="224"/>
      <c r="H682" s="380"/>
      <c r="I682" s="516" t="e">
        <f>IF(VLOOKUP(C41,list!$AA$5:$AS$14,11,FALSE)=0," ",(VLOOKUP(C41,list!$AA$5:$AS$14,11,FALSE)))</f>
        <v>#N/A</v>
      </c>
      <c r="J682" s="955" t="e">
        <f t="shared" si="236"/>
        <v>#N/A</v>
      </c>
      <c r="K682" s="955" t="e">
        <f t="shared" si="237"/>
        <v>#N/A</v>
      </c>
      <c r="L682" s="969" t="e">
        <f>IF(I682=" "," ",VLOOKUP(J682,list!$J$4:$M$117,4,FALSE))</f>
        <v>#N/A</v>
      </c>
      <c r="M682" s="66"/>
      <c r="N682" s="1297" t="str">
        <f>IF(SUMIFS('Level of Efficiency Assumptions'!$J:$J,'Level of Efficiency Assumptions'!$H:$H,$I682,'Level of Efficiency Assumptions'!$I:$I,N$51)=0," ",SUMIFS('Level of Efficiency Assumptions'!$J:$J,'Level of Efficiency Assumptions'!$H:$H,$I682,'Level of Efficiency Assumptions'!$I:$I,N$51))</f>
        <v xml:space="preserve"> </v>
      </c>
      <c r="O682" s="1298" t="str">
        <f>IF(SUMIFS('Level of Efficiency Assumptions'!$J:$J,'Level of Efficiency Assumptions'!$H:$H,$I682,'Level of Efficiency Assumptions'!$I:$I,O$51)=0," ",SUMIFS('Level of Efficiency Assumptions'!$J:$J,'Level of Efficiency Assumptions'!$H:$H,$I682,'Level of Efficiency Assumptions'!$I:$I,O$51))</f>
        <v xml:space="preserve"> </v>
      </c>
      <c r="P682" s="1299" t="str">
        <f>IF(SUMIFS('Level of Efficiency Assumptions'!$J:$J,'Level of Efficiency Assumptions'!$H:$H,$I682,'Level of Efficiency Assumptions'!$I:$I,P$51)=0," ",SUMIFS('Level of Efficiency Assumptions'!$J:$J,'Level of Efficiency Assumptions'!$H:$H,$I682,'Level of Efficiency Assumptions'!$I:$I,P$51))</f>
        <v xml:space="preserve"> </v>
      </c>
      <c r="Q682" s="971" t="e">
        <f>IF(I682=" "," ",(VLOOKUP(I682,list!$B$81:$C$111,2,FALSE)))</f>
        <v>#N/A</v>
      </c>
      <c r="R682" s="243">
        <f t="shared" si="235"/>
        <v>0</v>
      </c>
      <c r="S682" s="64">
        <v>1</v>
      </c>
      <c r="T682" s="68">
        <v>0</v>
      </c>
      <c r="U682" s="244">
        <f t="shared" si="238"/>
        <v>1</v>
      </c>
    </row>
    <row r="683" spans="2:24" ht="15" thickBot="1" x14ac:dyDescent="0.35">
      <c r="C683" s="520"/>
      <c r="D683" s="224" t="str">
        <f t="shared" si="239"/>
        <v xml:space="preserve">  </v>
      </c>
      <c r="E683" s="224"/>
      <c r="F683" s="224" t="str">
        <f t="shared" si="240"/>
        <v xml:space="preserve">  </v>
      </c>
      <c r="G683" s="224"/>
      <c r="H683" s="380"/>
      <c r="I683" s="516" t="e">
        <f>IF(VLOOKUP(C41,list!$AA$5:$AS$14,12,FALSE)=0," ",(VLOOKUP(C41,list!$AA$5:$AS$14,12,FALSE)))</f>
        <v>#N/A</v>
      </c>
      <c r="J683" s="955" t="e">
        <f t="shared" si="236"/>
        <v>#N/A</v>
      </c>
      <c r="K683" s="955" t="e">
        <f t="shared" si="237"/>
        <v>#N/A</v>
      </c>
      <c r="L683" s="969" t="e">
        <f>IF(I683=" "," ",VLOOKUP(J683,list!$J$4:$M$117,4,FALSE))</f>
        <v>#N/A</v>
      </c>
      <c r="M683" s="66"/>
      <c r="N683" s="1297" t="str">
        <f>IF(SUMIFS('Level of Efficiency Assumptions'!$J:$J,'Level of Efficiency Assumptions'!$H:$H,$I683,'Level of Efficiency Assumptions'!$I:$I,N$51)=0," ",SUMIFS('Level of Efficiency Assumptions'!$J:$J,'Level of Efficiency Assumptions'!$H:$H,$I683,'Level of Efficiency Assumptions'!$I:$I,N$51))</f>
        <v xml:space="preserve"> </v>
      </c>
      <c r="O683" s="1298" t="str">
        <f>IF(SUMIFS('Level of Efficiency Assumptions'!$J:$J,'Level of Efficiency Assumptions'!$H:$H,$I683,'Level of Efficiency Assumptions'!$I:$I,O$51)=0," ",SUMIFS('Level of Efficiency Assumptions'!$J:$J,'Level of Efficiency Assumptions'!$H:$H,$I683,'Level of Efficiency Assumptions'!$I:$I,O$51))</f>
        <v xml:space="preserve"> </v>
      </c>
      <c r="P683" s="1299" t="str">
        <f>IF(SUMIFS('Level of Efficiency Assumptions'!$J:$J,'Level of Efficiency Assumptions'!$H:$H,$I683,'Level of Efficiency Assumptions'!$I:$I,P$51)=0," ",SUMIFS('Level of Efficiency Assumptions'!$J:$J,'Level of Efficiency Assumptions'!$H:$H,$I683,'Level of Efficiency Assumptions'!$I:$I,P$51))</f>
        <v xml:space="preserve"> </v>
      </c>
      <c r="Q683" s="971" t="e">
        <f>IF(I683=" "," ",(VLOOKUP(I683,list!$B$81:$C$111,2,FALSE)))</f>
        <v>#N/A</v>
      </c>
      <c r="R683" s="243">
        <f t="shared" si="235"/>
        <v>0</v>
      </c>
      <c r="S683" s="64">
        <v>1</v>
      </c>
      <c r="T683" s="68">
        <v>0</v>
      </c>
      <c r="U683" s="244">
        <f t="shared" si="238"/>
        <v>1</v>
      </c>
    </row>
    <row r="684" spans="2:24" ht="15" thickBot="1" x14ac:dyDescent="0.35">
      <c r="C684" s="520"/>
      <c r="D684" s="224" t="str">
        <f t="shared" si="239"/>
        <v xml:space="preserve">  </v>
      </c>
      <c r="E684" s="224"/>
      <c r="F684" s="224" t="str">
        <f t="shared" si="240"/>
        <v xml:space="preserve">  </v>
      </c>
      <c r="G684" s="224"/>
      <c r="H684" s="380"/>
      <c r="I684" s="516" t="e">
        <f>IF(VLOOKUP(C41,list!$AA$5:$AS$14,13,FALSE)=0," ",(VLOOKUP(C41,list!$AA$5:$AS$14,13,FALSE)))</f>
        <v>#N/A</v>
      </c>
      <c r="J684" s="955" t="e">
        <f t="shared" si="236"/>
        <v>#N/A</v>
      </c>
      <c r="K684" s="955" t="e">
        <f t="shared" si="237"/>
        <v>#N/A</v>
      </c>
      <c r="L684" s="969" t="e">
        <f>IF(I684=" "," ",VLOOKUP(J684,list!$J$4:$M$117,4,FALSE))</f>
        <v>#N/A</v>
      </c>
      <c r="M684" s="66"/>
      <c r="N684" s="1297" t="str">
        <f>IF(SUMIFS('Level of Efficiency Assumptions'!$J:$J,'Level of Efficiency Assumptions'!$H:$H,$I684,'Level of Efficiency Assumptions'!$I:$I,N$51)=0," ",SUMIFS('Level of Efficiency Assumptions'!$J:$J,'Level of Efficiency Assumptions'!$H:$H,$I684,'Level of Efficiency Assumptions'!$I:$I,N$51))</f>
        <v xml:space="preserve"> </v>
      </c>
      <c r="O684" s="1298" t="str">
        <f>IF(SUMIFS('Level of Efficiency Assumptions'!$J:$J,'Level of Efficiency Assumptions'!$H:$H,$I684,'Level of Efficiency Assumptions'!$I:$I,O$51)=0," ",SUMIFS('Level of Efficiency Assumptions'!$J:$J,'Level of Efficiency Assumptions'!$H:$H,$I684,'Level of Efficiency Assumptions'!$I:$I,O$51))</f>
        <v xml:space="preserve"> </v>
      </c>
      <c r="P684" s="1299" t="str">
        <f>IF(SUMIFS('Level of Efficiency Assumptions'!$J:$J,'Level of Efficiency Assumptions'!$H:$H,$I684,'Level of Efficiency Assumptions'!$I:$I,P$51)=0," ",SUMIFS('Level of Efficiency Assumptions'!$J:$J,'Level of Efficiency Assumptions'!$H:$H,$I684,'Level of Efficiency Assumptions'!$I:$I,P$51))</f>
        <v xml:space="preserve"> </v>
      </c>
      <c r="Q684" s="971" t="e">
        <f>IF(I684=" "," ",(VLOOKUP(I684,list!$B$81:$C$111,2,FALSE)))</f>
        <v>#N/A</v>
      </c>
      <c r="R684" s="243">
        <f t="shared" si="235"/>
        <v>0</v>
      </c>
      <c r="S684" s="64">
        <v>1</v>
      </c>
      <c r="T684" s="68">
        <v>0</v>
      </c>
      <c r="U684" s="244">
        <f t="shared" si="238"/>
        <v>1</v>
      </c>
    </row>
    <row r="685" spans="2:24" ht="15" thickBot="1" x14ac:dyDescent="0.35">
      <c r="C685" s="520"/>
      <c r="D685" s="224" t="str">
        <f t="shared" si="239"/>
        <v xml:space="preserve">  </v>
      </c>
      <c r="E685" s="224"/>
      <c r="F685" s="224" t="str">
        <f t="shared" si="240"/>
        <v xml:space="preserve">  </v>
      </c>
      <c r="G685" s="224"/>
      <c r="H685" s="380"/>
      <c r="I685" s="516" t="e">
        <f>IF(VLOOKUP(C41,list!$AA$5:$AS$14,14,FALSE)=0," ",(VLOOKUP(C41,list!$AA$5:$AS$14,14,FALSE)))</f>
        <v>#N/A</v>
      </c>
      <c r="J685" s="955" t="e">
        <f t="shared" si="236"/>
        <v>#N/A</v>
      </c>
      <c r="K685" s="955" t="e">
        <f t="shared" si="237"/>
        <v>#N/A</v>
      </c>
      <c r="L685" s="969" t="e">
        <f>IF(I685=" "," ",VLOOKUP(J685,list!$J$4:$M$117,4,FALSE))</f>
        <v>#N/A</v>
      </c>
      <c r="M685" s="66"/>
      <c r="N685" s="1297" t="str">
        <f>IF(SUMIFS('Level of Efficiency Assumptions'!$J:$J,'Level of Efficiency Assumptions'!$H:$H,$I685,'Level of Efficiency Assumptions'!$I:$I,N$51)=0," ",SUMIFS('Level of Efficiency Assumptions'!$J:$J,'Level of Efficiency Assumptions'!$H:$H,$I685,'Level of Efficiency Assumptions'!$I:$I,N$51))</f>
        <v xml:space="preserve"> </v>
      </c>
      <c r="O685" s="1298" t="str">
        <f>IF(SUMIFS('Level of Efficiency Assumptions'!$J:$J,'Level of Efficiency Assumptions'!$H:$H,$I685,'Level of Efficiency Assumptions'!$I:$I,O$51)=0," ",SUMIFS('Level of Efficiency Assumptions'!$J:$J,'Level of Efficiency Assumptions'!$H:$H,$I685,'Level of Efficiency Assumptions'!$I:$I,O$51))</f>
        <v xml:space="preserve"> </v>
      </c>
      <c r="P685" s="1299" t="str">
        <f>IF(SUMIFS('Level of Efficiency Assumptions'!$J:$J,'Level of Efficiency Assumptions'!$H:$H,$I685,'Level of Efficiency Assumptions'!$I:$I,P$51)=0," ",SUMIFS('Level of Efficiency Assumptions'!$J:$J,'Level of Efficiency Assumptions'!$H:$H,$I685,'Level of Efficiency Assumptions'!$I:$I,P$51))</f>
        <v xml:space="preserve"> </v>
      </c>
      <c r="Q685" s="971" t="e">
        <f>IF(I685=" "," ",(VLOOKUP(I685,list!$B$81:$C$111,2,FALSE)))</f>
        <v>#N/A</v>
      </c>
      <c r="R685" s="243">
        <f t="shared" si="235"/>
        <v>0</v>
      </c>
      <c r="S685" s="64">
        <v>1</v>
      </c>
      <c r="T685" s="68">
        <v>0</v>
      </c>
      <c r="U685" s="244">
        <f t="shared" si="238"/>
        <v>1</v>
      </c>
    </row>
    <row r="686" spans="2:24" ht="15" thickBot="1" x14ac:dyDescent="0.35">
      <c r="C686" s="520"/>
      <c r="D686" s="224" t="str">
        <f t="shared" si="239"/>
        <v xml:space="preserve">  </v>
      </c>
      <c r="E686" s="224"/>
      <c r="F686" s="224" t="str">
        <f t="shared" si="240"/>
        <v xml:space="preserve">  </v>
      </c>
      <c r="G686" s="224"/>
      <c r="H686" s="380"/>
      <c r="I686" s="516" t="e">
        <f>IF(VLOOKUP(C41,list!$AA$5:$AS$14,15,FALSE)=0," ",(VLOOKUP(C41,list!$AA$5:$AS$14,15,FALSE)))</f>
        <v>#N/A</v>
      </c>
      <c r="J686" s="955" t="e">
        <f t="shared" si="236"/>
        <v>#N/A</v>
      </c>
      <c r="K686" s="955" t="e">
        <f t="shared" si="237"/>
        <v>#N/A</v>
      </c>
      <c r="L686" s="969" t="e">
        <f>IF(I686=" "," ",VLOOKUP(J686,list!$J$4:$M$117,4,FALSE))</f>
        <v>#N/A</v>
      </c>
      <c r="M686" s="66"/>
      <c r="N686" s="1297" t="str">
        <f>IF(SUMIFS('Level of Efficiency Assumptions'!$J:$J,'Level of Efficiency Assumptions'!$H:$H,$I686,'Level of Efficiency Assumptions'!$I:$I,N$51)=0," ",SUMIFS('Level of Efficiency Assumptions'!$J:$J,'Level of Efficiency Assumptions'!$H:$H,$I686,'Level of Efficiency Assumptions'!$I:$I,N$51))</f>
        <v xml:space="preserve"> </v>
      </c>
      <c r="O686" s="1298" t="str">
        <f>IF(SUMIFS('Level of Efficiency Assumptions'!$J:$J,'Level of Efficiency Assumptions'!$H:$H,$I686,'Level of Efficiency Assumptions'!$I:$I,O$51)=0," ",SUMIFS('Level of Efficiency Assumptions'!$J:$J,'Level of Efficiency Assumptions'!$H:$H,$I686,'Level of Efficiency Assumptions'!$I:$I,O$51))</f>
        <v xml:space="preserve"> </v>
      </c>
      <c r="P686" s="1299" t="str">
        <f>IF(SUMIFS('Level of Efficiency Assumptions'!$J:$J,'Level of Efficiency Assumptions'!$H:$H,$I686,'Level of Efficiency Assumptions'!$I:$I,P$51)=0," ",SUMIFS('Level of Efficiency Assumptions'!$J:$J,'Level of Efficiency Assumptions'!$H:$H,$I686,'Level of Efficiency Assumptions'!$I:$I,P$51))</f>
        <v xml:space="preserve"> </v>
      </c>
      <c r="Q686" s="971" t="e">
        <f>IF(I686=" "," ",(VLOOKUP(I686,list!$B$81:$C$111,2,FALSE)))</f>
        <v>#N/A</v>
      </c>
      <c r="R686" s="243">
        <f t="shared" si="235"/>
        <v>0</v>
      </c>
      <c r="S686" s="64">
        <v>1</v>
      </c>
      <c r="T686" s="68">
        <v>0</v>
      </c>
      <c r="U686" s="244">
        <f t="shared" si="238"/>
        <v>1</v>
      </c>
    </row>
    <row r="687" spans="2:24" ht="15" thickBot="1" x14ac:dyDescent="0.35">
      <c r="C687" s="520"/>
      <c r="D687" s="224" t="str">
        <f t="shared" si="239"/>
        <v xml:space="preserve">  </v>
      </c>
      <c r="E687" s="224"/>
      <c r="F687" s="224" t="str">
        <f t="shared" si="240"/>
        <v xml:space="preserve">  </v>
      </c>
      <c r="G687" s="224"/>
      <c r="H687" s="380"/>
      <c r="I687" s="516" t="e">
        <f>IF(VLOOKUP(C41,list!$AA$5:$AS$14,16,FALSE)=0," ",(VLOOKUP(C41,list!$AA$5:$AS$14,16,FALSE)))</f>
        <v>#N/A</v>
      </c>
      <c r="J687" s="955" t="e">
        <f t="shared" si="236"/>
        <v>#N/A</v>
      </c>
      <c r="K687" s="955" t="e">
        <f t="shared" si="237"/>
        <v>#N/A</v>
      </c>
      <c r="L687" s="969" t="e">
        <f>IF(I687=" "," ",VLOOKUP(J687,list!$J$4:$M$117,4,FALSE))</f>
        <v>#N/A</v>
      </c>
      <c r="M687" s="66"/>
      <c r="N687" s="1297" t="str">
        <f>IF(SUMIFS('Level of Efficiency Assumptions'!$J:$J,'Level of Efficiency Assumptions'!$H:$H,$I687,'Level of Efficiency Assumptions'!$I:$I,N$51)=0," ",SUMIFS('Level of Efficiency Assumptions'!$J:$J,'Level of Efficiency Assumptions'!$H:$H,$I687,'Level of Efficiency Assumptions'!$I:$I,N$51))</f>
        <v xml:space="preserve"> </v>
      </c>
      <c r="O687" s="1298" t="str">
        <f>IF(SUMIFS('Level of Efficiency Assumptions'!$J:$J,'Level of Efficiency Assumptions'!$H:$H,$I687,'Level of Efficiency Assumptions'!$I:$I,O$51)=0," ",SUMIFS('Level of Efficiency Assumptions'!$J:$J,'Level of Efficiency Assumptions'!$H:$H,$I687,'Level of Efficiency Assumptions'!$I:$I,O$51))</f>
        <v xml:space="preserve"> </v>
      </c>
      <c r="P687" s="1299" t="str">
        <f>IF(SUMIFS('Level of Efficiency Assumptions'!$J:$J,'Level of Efficiency Assumptions'!$H:$H,$I687,'Level of Efficiency Assumptions'!$I:$I,P$51)=0," ",SUMIFS('Level of Efficiency Assumptions'!$J:$J,'Level of Efficiency Assumptions'!$H:$H,$I687,'Level of Efficiency Assumptions'!$I:$I,P$51))</f>
        <v xml:space="preserve"> </v>
      </c>
      <c r="Q687" s="971" t="e">
        <f>IF(I687=" "," ",(VLOOKUP(I687,list!$B$81:$C$111,2,FALSE)))</f>
        <v>#N/A</v>
      </c>
      <c r="R687" s="243">
        <f t="shared" si="235"/>
        <v>0</v>
      </c>
      <c r="S687" s="64">
        <v>1</v>
      </c>
      <c r="T687" s="68">
        <v>0</v>
      </c>
      <c r="U687" s="244">
        <f t="shared" si="238"/>
        <v>1</v>
      </c>
    </row>
    <row r="688" spans="2:24" ht="15" thickBot="1" x14ac:dyDescent="0.35">
      <c r="C688" s="520"/>
      <c r="D688" s="224" t="str">
        <f t="shared" si="239"/>
        <v xml:space="preserve">  </v>
      </c>
      <c r="E688" s="224"/>
      <c r="F688" s="224" t="str">
        <f t="shared" si="240"/>
        <v xml:space="preserve">  </v>
      </c>
      <c r="G688" s="224"/>
      <c r="H688" s="380"/>
      <c r="I688" s="516" t="e">
        <f>IF(VLOOKUP(C41,list!$AA$5:$AS$14,17,FALSE)=0," ",(VLOOKUP(C41,list!$AA$5:$AS$14,17,FALSE)))</f>
        <v>#N/A</v>
      </c>
      <c r="J688" s="955" t="e">
        <f t="shared" si="236"/>
        <v>#N/A</v>
      </c>
      <c r="K688" s="955" t="e">
        <f t="shared" si="237"/>
        <v>#N/A</v>
      </c>
      <c r="L688" s="969" t="e">
        <f>IF(I688=" "," ",VLOOKUP(J688,list!$J$4:$M$117,4,FALSE))</f>
        <v>#N/A</v>
      </c>
      <c r="M688" s="66"/>
      <c r="N688" s="1297" t="str">
        <f>IF(SUMIFS('Level of Efficiency Assumptions'!$J:$J,'Level of Efficiency Assumptions'!$H:$H,$I688,'Level of Efficiency Assumptions'!$I:$I,N$51)=0," ",SUMIFS('Level of Efficiency Assumptions'!$J:$J,'Level of Efficiency Assumptions'!$H:$H,$I688,'Level of Efficiency Assumptions'!$I:$I,N$51))</f>
        <v xml:space="preserve"> </v>
      </c>
      <c r="O688" s="1298" t="str">
        <f>IF(SUMIFS('Level of Efficiency Assumptions'!$J:$J,'Level of Efficiency Assumptions'!$H:$H,$I688,'Level of Efficiency Assumptions'!$I:$I,O$51)=0," ",SUMIFS('Level of Efficiency Assumptions'!$J:$J,'Level of Efficiency Assumptions'!$H:$H,$I688,'Level of Efficiency Assumptions'!$I:$I,O$51))</f>
        <v xml:space="preserve"> </v>
      </c>
      <c r="P688" s="1299" t="str">
        <f>IF(SUMIFS('Level of Efficiency Assumptions'!$J:$J,'Level of Efficiency Assumptions'!$H:$H,$I688,'Level of Efficiency Assumptions'!$I:$I,P$51)=0," ",SUMIFS('Level of Efficiency Assumptions'!$J:$J,'Level of Efficiency Assumptions'!$H:$H,$I688,'Level of Efficiency Assumptions'!$I:$I,P$51))</f>
        <v xml:space="preserve"> </v>
      </c>
      <c r="Q688" s="971" t="e">
        <f>IF(I688=" "," ",(VLOOKUP(I688,list!$B$81:$C$111,2,FALSE)))</f>
        <v>#N/A</v>
      </c>
      <c r="R688" s="243">
        <f t="shared" si="235"/>
        <v>0</v>
      </c>
      <c r="S688" s="64">
        <v>1</v>
      </c>
      <c r="T688" s="68">
        <v>0</v>
      </c>
      <c r="U688" s="244">
        <f t="shared" si="238"/>
        <v>1</v>
      </c>
    </row>
    <row r="689" spans="3:21" ht="15" thickBot="1" x14ac:dyDescent="0.35">
      <c r="C689" s="520"/>
      <c r="D689" s="224" t="str">
        <f t="shared" si="239"/>
        <v xml:space="preserve">  </v>
      </c>
      <c r="E689" s="224"/>
      <c r="F689" s="224" t="str">
        <f t="shared" si="240"/>
        <v xml:space="preserve">  </v>
      </c>
      <c r="G689" s="224"/>
      <c r="H689" s="380"/>
      <c r="I689" s="516" t="e">
        <f>IF(VLOOKUP(C41,list!$AA$5:$AS$14,18,FALSE)=0," ",(VLOOKUP(C41,list!$AA$5:$AS$14,18,FALSE)))</f>
        <v>#N/A</v>
      </c>
      <c r="J689" s="955" t="e">
        <f t="shared" si="236"/>
        <v>#N/A</v>
      </c>
      <c r="K689" s="955" t="e">
        <f t="shared" si="237"/>
        <v>#N/A</v>
      </c>
      <c r="L689" s="969" t="e">
        <f>IF(I689=" "," ",VLOOKUP(J689,list!$J$4:$M$117,4,FALSE))</f>
        <v>#N/A</v>
      </c>
      <c r="M689" s="66"/>
      <c r="N689" s="1297" t="str">
        <f>IF(SUMIFS('Level of Efficiency Assumptions'!$J:$J,'Level of Efficiency Assumptions'!$H:$H,$I689,'Level of Efficiency Assumptions'!$I:$I,N$51)=0," ",SUMIFS('Level of Efficiency Assumptions'!$J:$J,'Level of Efficiency Assumptions'!$H:$H,$I689,'Level of Efficiency Assumptions'!$I:$I,N$51))</f>
        <v xml:space="preserve"> </v>
      </c>
      <c r="O689" s="1298" t="str">
        <f>IF(SUMIFS('Level of Efficiency Assumptions'!$J:$J,'Level of Efficiency Assumptions'!$H:$H,$I689,'Level of Efficiency Assumptions'!$I:$I,O$51)=0," ",SUMIFS('Level of Efficiency Assumptions'!$J:$J,'Level of Efficiency Assumptions'!$H:$H,$I689,'Level of Efficiency Assumptions'!$I:$I,O$51))</f>
        <v xml:space="preserve"> </v>
      </c>
      <c r="P689" s="1299" t="str">
        <f>IF(SUMIFS('Level of Efficiency Assumptions'!$J:$J,'Level of Efficiency Assumptions'!$H:$H,$I689,'Level of Efficiency Assumptions'!$I:$I,P$51)=0," ",SUMIFS('Level of Efficiency Assumptions'!$J:$J,'Level of Efficiency Assumptions'!$H:$H,$I689,'Level of Efficiency Assumptions'!$I:$I,P$51))</f>
        <v xml:space="preserve"> </v>
      </c>
      <c r="Q689" s="971" t="e">
        <f>IF(I689=" "," ",(VLOOKUP(I689,list!$B$81:$C$111,2,FALSE)))</f>
        <v>#N/A</v>
      </c>
      <c r="R689" s="243">
        <f t="shared" si="235"/>
        <v>0</v>
      </c>
      <c r="S689" s="64">
        <v>1</v>
      </c>
      <c r="T689" s="68">
        <v>0</v>
      </c>
      <c r="U689" s="244">
        <f t="shared" si="238"/>
        <v>1</v>
      </c>
    </row>
    <row r="690" spans="3:21" ht="15" thickBot="1" x14ac:dyDescent="0.35">
      <c r="C690" s="632"/>
      <c r="D690" s="226" t="str">
        <f t="shared" si="239"/>
        <v xml:space="preserve">  </v>
      </c>
      <c r="E690" s="226"/>
      <c r="F690" s="226" t="str">
        <f t="shared" si="240"/>
        <v xml:space="preserve">  </v>
      </c>
      <c r="G690" s="226"/>
      <c r="H690" s="976"/>
      <c r="I690" s="516" t="e">
        <f>IF(VLOOKUP(C41,list!$AA$5:$AS$14,19,FALSE)=0," ",(VLOOKUP(C41,list!$AA$5:$AS$14,19,FALSE)))</f>
        <v>#N/A</v>
      </c>
      <c r="J690" s="955" t="e">
        <f>IF(I690=" "," ",(D690&amp;"-"&amp;I690))</f>
        <v>#N/A</v>
      </c>
      <c r="K690" s="955" t="e">
        <f t="shared" si="237"/>
        <v>#N/A</v>
      </c>
      <c r="L690" s="969" t="e">
        <f>IF(I690=" "," ",VLOOKUP(J690,list!$J$4:$M$117,4,FALSE))</f>
        <v>#N/A</v>
      </c>
      <c r="M690" s="67"/>
      <c r="N690" s="1303" t="str">
        <f>IF(SUMIFS('Level of Efficiency Assumptions'!$J:$J,'Level of Efficiency Assumptions'!$H:$H,$I690,'Level of Efficiency Assumptions'!$I:$I,N$51)=0," ",SUMIFS('Level of Efficiency Assumptions'!$J:$J,'Level of Efficiency Assumptions'!$H:$H,$I690,'Level of Efficiency Assumptions'!$I:$I,N$51))</f>
        <v xml:space="preserve"> </v>
      </c>
      <c r="O690" s="1304" t="str">
        <f>IF(SUMIFS('Level of Efficiency Assumptions'!$J:$J,'Level of Efficiency Assumptions'!$H:$H,$I690,'Level of Efficiency Assumptions'!$I:$I,O$51)=0," ",SUMIFS('Level of Efficiency Assumptions'!$J:$J,'Level of Efficiency Assumptions'!$H:$H,$I690,'Level of Efficiency Assumptions'!$I:$I,O$51))</f>
        <v xml:space="preserve"> </v>
      </c>
      <c r="P690" s="1305" t="str">
        <f>IF(SUMIFS('Level of Efficiency Assumptions'!$J:$J,'Level of Efficiency Assumptions'!$H:$H,$I690,'Level of Efficiency Assumptions'!$I:$I,P$51)=0," ",SUMIFS('Level of Efficiency Assumptions'!$J:$J,'Level of Efficiency Assumptions'!$H:$H,$I690,'Level of Efficiency Assumptions'!$I:$I,P$51))</f>
        <v xml:space="preserve"> </v>
      </c>
      <c r="Q690" s="977" t="e">
        <f>IF(I690=" "," ",(VLOOKUP(I690,list!$B$81:$C$111,2,FALSE)))</f>
        <v>#N/A</v>
      </c>
      <c r="R690" s="245">
        <f t="shared" si="235"/>
        <v>0</v>
      </c>
      <c r="S690" s="65">
        <v>1</v>
      </c>
      <c r="T690" s="69">
        <v>0</v>
      </c>
      <c r="U690" s="246">
        <f t="shared" si="238"/>
        <v>1</v>
      </c>
    </row>
    <row r="691" spans="3:21" x14ac:dyDescent="0.3">
      <c r="D691" s="846"/>
      <c r="F691" s="82"/>
      <c r="J691" s="846"/>
      <c r="K691" s="846"/>
      <c r="R691" s="176" t="s">
        <v>295</v>
      </c>
      <c r="S691" s="176"/>
      <c r="T691" s="176"/>
      <c r="U691" s="176"/>
    </row>
  </sheetData>
  <mergeCells count="7">
    <mergeCell ref="W50:X52"/>
    <mergeCell ref="C48:H48"/>
    <mergeCell ref="C7:E7"/>
    <mergeCell ref="L11:L13"/>
    <mergeCell ref="M50:M52"/>
    <mergeCell ref="R50:T51"/>
    <mergeCell ref="U50:U52"/>
  </mergeCells>
  <dataValidations disablePrompts="1" count="1">
    <dataValidation type="list" allowBlank="1" showErrorMessage="1" sqref="E42 E44:E45">
      <formula1>dd_building32</formula1>
    </dataValidation>
  </dataValidations>
  <pageMargins left="0.45" right="0.45" top="0.75" bottom="0.5" header="0.3" footer="0.3"/>
  <pageSetup scale="85" orientation="landscape" r:id="rId1"/>
  <headerFooter>
    <oddHeader>&amp;C&amp;"-,Bold"&amp;12&amp;F, &amp;A</oddHeader>
    <oddFooter>&amp;R&amp;10Page &amp;P</oddFooter>
  </headerFooter>
  <rowBreaks count="3" manualBreakCount="3">
    <brk id="72" min="1" max="23" man="1"/>
    <brk id="150" min="1" max="23" man="1"/>
    <brk id="190" min="1" max="23" man="1"/>
  </rowBreaks>
  <colBreaks count="1" manualBreakCount="1">
    <brk id="12" max="68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6" tint="-0.499984740745262"/>
  </sheetPr>
  <dimension ref="B1:AE3477"/>
  <sheetViews>
    <sheetView showGridLines="0" zoomScaleNormal="100" workbookViewId="0">
      <pane ySplit="12" topLeftCell="A610" activePane="bottomLeft" state="frozen"/>
      <selection activeCell="C99" sqref="C99"/>
      <selection pane="bottomLeft" activeCell="A13" sqref="A13"/>
    </sheetView>
  </sheetViews>
  <sheetFormatPr defaultColWidth="8.88671875" defaultRowHeight="14.4" x14ac:dyDescent="0.3"/>
  <cols>
    <col min="1" max="1" width="2" style="13" customWidth="1"/>
    <col min="2" max="2" width="2.109375" style="13" customWidth="1"/>
    <col min="3" max="3" width="27.33203125" style="125" hidden="1" customWidth="1"/>
    <col min="4" max="4" width="32.33203125" style="13" customWidth="1"/>
    <col min="5" max="5" width="14.5546875" style="13" bestFit="1" customWidth="1"/>
    <col min="6" max="6" width="22.33203125" style="13" bestFit="1" customWidth="1"/>
    <col min="7" max="7" width="43.5546875" style="125" hidden="1" customWidth="1"/>
    <col min="8" max="8" width="20.6640625" style="13" bestFit="1" customWidth="1"/>
    <col min="9" max="9" width="15.88671875" style="124" customWidth="1"/>
    <col min="10" max="10" width="9.109375" style="13" customWidth="1"/>
    <col min="11" max="11" width="28" style="125" bestFit="1" customWidth="1"/>
    <col min="12" max="12" width="9.5546875" style="125" customWidth="1"/>
    <col min="13" max="13" width="8" style="125" customWidth="1"/>
    <col min="14" max="14" width="8" style="214" customWidth="1"/>
    <col min="15" max="15" width="13" style="214" customWidth="1"/>
    <col min="16" max="16" width="37" style="125" customWidth="1"/>
    <col min="17" max="31" width="8.88671875" style="125"/>
    <col min="32" max="16384" width="8.88671875" style="13"/>
  </cols>
  <sheetData>
    <row r="1" spans="2:27" s="125" customFormat="1" ht="15" x14ac:dyDescent="0.25">
      <c r="B1" s="5" t="s">
        <v>273</v>
      </c>
      <c r="I1" s="214"/>
      <c r="N1" s="214"/>
      <c r="O1" s="214"/>
    </row>
    <row r="2" spans="2:27" ht="15" x14ac:dyDescent="0.25">
      <c r="B2" s="176" t="s">
        <v>629</v>
      </c>
      <c r="D2" s="176"/>
      <c r="E2" s="176"/>
      <c r="F2" s="176"/>
      <c r="H2" s="176"/>
      <c r="I2" s="177"/>
      <c r="J2" s="176"/>
      <c r="K2" s="176"/>
      <c r="L2" s="176"/>
    </row>
    <row r="3" spans="2:27" x14ac:dyDescent="0.3">
      <c r="B3" s="177" t="s">
        <v>555</v>
      </c>
      <c r="D3" s="176" t="s">
        <v>779</v>
      </c>
      <c r="E3" s="176"/>
      <c r="F3" s="176"/>
      <c r="H3" s="176"/>
      <c r="I3" s="177"/>
      <c r="J3" s="176"/>
      <c r="K3" s="176"/>
      <c r="L3" s="176"/>
    </row>
    <row r="4" spans="2:27" ht="15" x14ac:dyDescent="0.25">
      <c r="B4" s="176"/>
      <c r="D4" s="176" t="s">
        <v>628</v>
      </c>
      <c r="E4" s="176"/>
      <c r="F4" s="176"/>
      <c r="H4" s="176"/>
      <c r="I4" s="177"/>
      <c r="J4" s="176"/>
      <c r="K4" s="176"/>
      <c r="L4" s="176"/>
    </row>
    <row r="5" spans="2:27" x14ac:dyDescent="0.3">
      <c r="B5" s="177" t="s">
        <v>555</v>
      </c>
      <c r="D5" s="176" t="s">
        <v>630</v>
      </c>
      <c r="E5" s="176"/>
      <c r="F5" s="176"/>
      <c r="H5" s="176"/>
      <c r="I5" s="177"/>
      <c r="J5" s="176"/>
      <c r="K5" s="176"/>
      <c r="L5" s="176"/>
    </row>
    <row r="6" spans="2:27" x14ac:dyDescent="0.3">
      <c r="B6" s="177" t="s">
        <v>555</v>
      </c>
      <c r="D6" s="176" t="s">
        <v>631</v>
      </c>
      <c r="E6" s="176"/>
      <c r="F6" s="176"/>
      <c r="H6" s="176"/>
      <c r="I6" s="177"/>
      <c r="J6" s="176"/>
      <c r="K6" s="176"/>
      <c r="L6" s="176"/>
    </row>
    <row r="7" spans="2:27" ht="15" x14ac:dyDescent="0.25">
      <c r="B7" s="176"/>
      <c r="D7" s="176" t="s">
        <v>1040</v>
      </c>
      <c r="E7" s="176"/>
      <c r="F7" s="176"/>
      <c r="H7" s="176"/>
      <c r="I7" s="177"/>
      <c r="J7" s="176"/>
      <c r="K7" s="176"/>
      <c r="L7" s="176"/>
    </row>
    <row r="8" spans="2:27" ht="15" x14ac:dyDescent="0.25">
      <c r="B8" s="176"/>
      <c r="D8" s="176" t="s">
        <v>1041</v>
      </c>
      <c r="E8" s="176"/>
      <c r="F8" s="176"/>
      <c r="H8" s="176"/>
      <c r="I8" s="177"/>
      <c r="J8" s="176"/>
      <c r="K8" s="176"/>
      <c r="L8" s="176"/>
    </row>
    <row r="9" spans="2:27" ht="15.75" thickBot="1" x14ac:dyDescent="0.3">
      <c r="B9" s="176"/>
      <c r="D9" s="176" t="s">
        <v>1042</v>
      </c>
      <c r="E9" s="176"/>
      <c r="F9" s="176"/>
      <c r="H9" s="176"/>
      <c r="I9" s="177"/>
      <c r="J9" s="176"/>
      <c r="K9" s="176"/>
      <c r="L9" s="176"/>
    </row>
    <row r="10" spans="2:27" x14ac:dyDescent="0.3">
      <c r="B10" s="177" t="s">
        <v>555</v>
      </c>
      <c r="D10" s="176" t="s">
        <v>1044</v>
      </c>
      <c r="E10" s="176"/>
      <c r="F10" s="176"/>
      <c r="H10" s="176"/>
      <c r="I10" s="177"/>
      <c r="J10" s="176"/>
      <c r="K10" s="176"/>
      <c r="L10" s="176"/>
      <c r="M10" s="1395" t="s">
        <v>1043</v>
      </c>
      <c r="N10" s="1396"/>
      <c r="O10" s="1399" t="s">
        <v>693</v>
      </c>
      <c r="Q10" s="85"/>
      <c r="R10" s="85"/>
      <c r="S10" s="85"/>
      <c r="T10" s="85"/>
      <c r="U10" s="85"/>
      <c r="V10" s="85"/>
    </row>
    <row r="11" spans="2:27" ht="15" thickBot="1" x14ac:dyDescent="0.35">
      <c r="C11" s="223" t="s">
        <v>291</v>
      </c>
      <c r="G11" s="223" t="s">
        <v>291</v>
      </c>
      <c r="M11" s="1397"/>
      <c r="N11" s="1398"/>
      <c r="O11" s="1400"/>
      <c r="P11" s="865"/>
      <c r="Q11" s="85"/>
      <c r="R11" s="85"/>
      <c r="S11" s="85"/>
      <c r="T11" s="85"/>
      <c r="U11" s="85"/>
      <c r="V11" s="85"/>
    </row>
    <row r="12" spans="2:27" ht="15.75" thickBot="1" x14ac:dyDescent="0.3">
      <c r="C12" s="557" t="s">
        <v>104</v>
      </c>
      <c r="D12" s="556" t="s">
        <v>104</v>
      </c>
      <c r="E12" s="558" t="s">
        <v>40</v>
      </c>
      <c r="F12" s="287" t="s">
        <v>0</v>
      </c>
      <c r="G12" s="866"/>
      <c r="H12" s="286" t="s">
        <v>30</v>
      </c>
      <c r="I12" s="1401" t="s">
        <v>59</v>
      </c>
      <c r="J12" s="1402"/>
      <c r="K12" s="286" t="s">
        <v>213</v>
      </c>
      <c r="L12" s="286"/>
      <c r="M12" s="867" t="s">
        <v>155</v>
      </c>
      <c r="N12" s="868" t="s">
        <v>188</v>
      </c>
      <c r="O12" s="868" t="s">
        <v>188</v>
      </c>
      <c r="P12" s="1403" t="s">
        <v>214</v>
      </c>
      <c r="Q12" s="1404"/>
      <c r="R12" s="1404"/>
      <c r="S12" s="1404"/>
      <c r="T12" s="1404"/>
      <c r="U12" s="1405"/>
      <c r="V12" s="114"/>
      <c r="W12" s="270"/>
      <c r="X12" s="270"/>
      <c r="Y12" s="270"/>
      <c r="Z12" s="270"/>
      <c r="AA12" s="270"/>
    </row>
    <row r="13" spans="2:27" ht="15.75" thickBot="1" x14ac:dyDescent="0.3">
      <c r="C13" s="225"/>
      <c r="D13" s="288"/>
      <c r="E13" s="288"/>
      <c r="F13" s="288"/>
      <c r="G13" s="792"/>
      <c r="H13" s="288"/>
      <c r="I13" s="869"/>
      <c r="J13" s="288"/>
      <c r="K13" s="270"/>
      <c r="L13" s="270"/>
      <c r="M13" s="270"/>
      <c r="N13" s="870"/>
      <c r="O13" s="870"/>
      <c r="P13" s="252" t="s">
        <v>158</v>
      </c>
      <c r="Q13" s="871" t="s">
        <v>155</v>
      </c>
      <c r="R13" s="872" t="s">
        <v>168</v>
      </c>
      <c r="S13" s="872" t="s">
        <v>169</v>
      </c>
      <c r="T13" s="873"/>
      <c r="U13" s="874"/>
      <c r="V13" s="270"/>
      <c r="W13" s="270"/>
      <c r="X13" s="270"/>
      <c r="Y13" s="114"/>
      <c r="Z13" s="270"/>
      <c r="AA13" s="270"/>
    </row>
    <row r="14" spans="2:27" ht="15.75" thickBot="1" x14ac:dyDescent="0.3">
      <c r="C14" s="566" t="s">
        <v>84</v>
      </c>
      <c r="D14" s="875" t="str">
        <f>VLOOKUP(C14,'Airport Mapping'!$C$5:$D$39,2,FALSE)</f>
        <v xml:space="preserve"> </v>
      </c>
      <c r="E14" s="567" t="s">
        <v>37</v>
      </c>
      <c r="F14" s="482" t="s">
        <v>2</v>
      </c>
      <c r="G14" s="450" t="str">
        <f>C14&amp;"-"&amp;E14&amp;"-"&amp;F14</f>
        <v>Terminal A-Restrooms-Toilets</v>
      </c>
      <c r="H14" s="876" t="s">
        <v>3</v>
      </c>
      <c r="I14" s="877" t="s">
        <v>64</v>
      </c>
      <c r="J14" s="878">
        <f>SUMIFS('Level of Efficiency Assumptions'!J:J,'Level of Efficiency Assumptions'!D:D,E14,'Level of Efficiency Assumptions'!F:F,F14,'Level of Efficiency Assumptions'!I:I,I14)</f>
        <v>3.5</v>
      </c>
      <c r="K14" s="383" t="s">
        <v>68</v>
      </c>
      <c r="L14" s="253" t="s">
        <v>64</v>
      </c>
      <c r="M14" s="879">
        <f>Q14+Q20</f>
        <v>0</v>
      </c>
      <c r="N14" s="880">
        <f>IFERROR(M14/M17,"-")</f>
        <v>0</v>
      </c>
      <c r="O14" s="881">
        <f>SUMIFS('Data Entry'!R:R,'Data Entry'!K:K,G14)</f>
        <v>0</v>
      </c>
      <c r="P14" s="254" t="s">
        <v>159</v>
      </c>
      <c r="Q14" s="882">
        <v>0</v>
      </c>
      <c r="R14" s="883"/>
      <c r="S14" s="883"/>
      <c r="T14" s="114" t="s">
        <v>182</v>
      </c>
      <c r="U14" s="884"/>
      <c r="V14" s="270"/>
      <c r="W14" s="270"/>
      <c r="X14" s="270"/>
      <c r="Y14" s="114"/>
      <c r="Z14" s="270"/>
      <c r="AA14" s="270"/>
    </row>
    <row r="15" spans="2:27" ht="15.75" thickBot="1" x14ac:dyDescent="0.3">
      <c r="C15" s="494" t="s">
        <v>84</v>
      </c>
      <c r="D15" s="577"/>
      <c r="E15" s="577" t="s">
        <v>37</v>
      </c>
      <c r="F15" s="885" t="s">
        <v>2</v>
      </c>
      <c r="G15" s="450" t="str">
        <f t="shared" ref="G15:G78" si="0">C15&amp;"-"&amp;E15&amp;"-"&amp;F15</f>
        <v>Terminal A-Restrooms-Toilets</v>
      </c>
      <c r="H15" s="886"/>
      <c r="I15" s="887" t="s">
        <v>65</v>
      </c>
      <c r="J15" s="878">
        <f>SUMIFS('Level of Efficiency Assumptions'!J:J,'Level of Efficiency Assumptions'!D:D,E15,'Level of Efficiency Assumptions'!F:F,F15,'Level of Efficiency Assumptions'!I:I,I15)</f>
        <v>1.6</v>
      </c>
      <c r="K15" s="383" t="s">
        <v>68</v>
      </c>
      <c r="L15" s="255" t="s">
        <v>65</v>
      </c>
      <c r="M15" s="879">
        <f>Q15+Q18+Q21</f>
        <v>1</v>
      </c>
      <c r="N15" s="880">
        <f>IFERROR(M15/M17,"-")</f>
        <v>1</v>
      </c>
      <c r="O15" s="881">
        <f>SUMIFS('Data Entry'!S:S,'Data Entry'!K:K,G15)</f>
        <v>0</v>
      </c>
      <c r="P15" s="256" t="s">
        <v>161</v>
      </c>
      <c r="Q15" s="882">
        <v>1</v>
      </c>
      <c r="R15" s="883"/>
      <c r="S15" s="883"/>
      <c r="T15" s="114" t="s">
        <v>184</v>
      </c>
      <c r="U15" s="884"/>
      <c r="V15" s="270"/>
      <c r="W15" s="270"/>
      <c r="X15" s="270"/>
      <c r="Y15" s="114"/>
      <c r="Z15" s="270"/>
      <c r="AA15" s="270"/>
    </row>
    <row r="16" spans="2:27" ht="15.75" thickBot="1" x14ac:dyDescent="0.3">
      <c r="C16" s="501" t="s">
        <v>84</v>
      </c>
      <c r="D16" s="116"/>
      <c r="E16" s="116" t="s">
        <v>37</v>
      </c>
      <c r="F16" s="888" t="s">
        <v>2</v>
      </c>
      <c r="G16" s="450" t="str">
        <f t="shared" si="0"/>
        <v>Terminal A-Restrooms-Toilets</v>
      </c>
      <c r="H16" s="115"/>
      <c r="I16" s="889" t="s">
        <v>66</v>
      </c>
      <c r="J16" s="890">
        <f>SUMIFS('Level of Efficiency Assumptions'!J:J,'Level of Efficiency Assumptions'!D:D,E16,'Level of Efficiency Assumptions'!F:F,F16,'Level of Efficiency Assumptions'!I:I,I16)</f>
        <v>1.28</v>
      </c>
      <c r="K16" s="383" t="s">
        <v>68</v>
      </c>
      <c r="L16" s="257" t="s">
        <v>66</v>
      </c>
      <c r="M16" s="879">
        <f>Q16+Q17+Q19+Q22+Q23</f>
        <v>0</v>
      </c>
      <c r="N16" s="880">
        <f>IFERROR(M16/M17,"-")</f>
        <v>0</v>
      </c>
      <c r="O16" s="881">
        <f>SUMIFS('Data Entry'!T:T,'Data Entry'!K:K,G16)</f>
        <v>0</v>
      </c>
      <c r="P16" s="258" t="s">
        <v>163</v>
      </c>
      <c r="Q16" s="882">
        <v>0</v>
      </c>
      <c r="R16" s="883"/>
      <c r="S16" s="883"/>
      <c r="T16" s="891"/>
      <c r="U16" s="884"/>
      <c r="V16" s="270"/>
      <c r="W16" s="270"/>
      <c r="X16" s="270"/>
      <c r="Y16" s="114"/>
      <c r="Z16" s="270"/>
      <c r="AA16" s="270"/>
    </row>
    <row r="17" spans="3:27" ht="15" x14ac:dyDescent="0.25">
      <c r="C17" s="450"/>
      <c r="D17" s="182"/>
      <c r="E17" s="182"/>
      <c r="F17" s="182"/>
      <c r="G17" s="450" t="str">
        <f t="shared" si="0"/>
        <v>--</v>
      </c>
      <c r="H17" s="182"/>
      <c r="I17" s="440"/>
      <c r="J17" s="892"/>
      <c r="K17" s="259"/>
      <c r="L17" s="259" t="s">
        <v>46</v>
      </c>
      <c r="M17" s="893">
        <f>SUM(M14:M16)</f>
        <v>1</v>
      </c>
      <c r="N17" s="894">
        <f>SUM(N14:N16)</f>
        <v>1</v>
      </c>
      <c r="O17" s="894">
        <f>SUM(O14:O16)</f>
        <v>0</v>
      </c>
      <c r="P17" s="258" t="s">
        <v>165</v>
      </c>
      <c r="Q17" s="882">
        <v>0</v>
      </c>
      <c r="R17" s="883"/>
      <c r="S17" s="883"/>
      <c r="T17" s="891"/>
      <c r="U17" s="884"/>
      <c r="V17" s="270"/>
      <c r="W17" s="270"/>
      <c r="X17" s="270"/>
      <c r="Y17" s="114"/>
      <c r="Z17" s="270"/>
      <c r="AA17" s="270"/>
    </row>
    <row r="18" spans="3:27" ht="15.75" thickBot="1" x14ac:dyDescent="0.3">
      <c r="C18" s="450"/>
      <c r="D18" s="182"/>
      <c r="E18" s="182"/>
      <c r="F18" s="182"/>
      <c r="G18" s="450" t="str">
        <f t="shared" si="0"/>
        <v>--</v>
      </c>
      <c r="H18" s="182"/>
      <c r="I18" s="440"/>
      <c r="J18" s="892"/>
      <c r="K18" s="181"/>
      <c r="L18" s="181"/>
      <c r="M18" s="181"/>
      <c r="N18" s="892"/>
      <c r="O18" s="892"/>
      <c r="P18" s="256" t="s">
        <v>166</v>
      </c>
      <c r="Q18" s="895">
        <v>0</v>
      </c>
      <c r="R18" s="883"/>
      <c r="S18" s="883"/>
      <c r="T18" s="891"/>
      <c r="U18" s="896"/>
      <c r="V18" s="891"/>
      <c r="W18" s="270"/>
      <c r="X18" s="270"/>
      <c r="Y18" s="114"/>
      <c r="Z18" s="270"/>
      <c r="AA18" s="270"/>
    </row>
    <row r="19" spans="3:27" x14ac:dyDescent="0.3">
      <c r="C19" s="450"/>
      <c r="D19" s="182"/>
      <c r="E19" s="182"/>
      <c r="F19" s="182"/>
      <c r="G19" s="450" t="str">
        <f t="shared" si="0"/>
        <v>--</v>
      </c>
      <c r="H19" s="182"/>
      <c r="I19" s="440"/>
      <c r="J19" s="892"/>
      <c r="K19" s="181"/>
      <c r="L19" s="1384" t="s">
        <v>1045</v>
      </c>
      <c r="M19" s="1385"/>
      <c r="N19" s="1385"/>
      <c r="O19" s="1386"/>
      <c r="P19" s="260" t="s">
        <v>167</v>
      </c>
      <c r="Q19" s="895">
        <v>0</v>
      </c>
      <c r="R19" s="883"/>
      <c r="S19" s="883"/>
      <c r="T19" s="891"/>
      <c r="U19" s="896"/>
      <c r="V19" s="891"/>
      <c r="W19" s="270"/>
      <c r="X19" s="270"/>
      <c r="Y19" s="270"/>
      <c r="Z19" s="270"/>
      <c r="AA19" s="270"/>
    </row>
    <row r="20" spans="3:27" x14ac:dyDescent="0.3">
      <c r="C20" s="450"/>
      <c r="D20" s="182"/>
      <c r="E20" s="182"/>
      <c r="F20" s="182"/>
      <c r="G20" s="450" t="str">
        <f t="shared" si="0"/>
        <v>--</v>
      </c>
      <c r="H20" s="182"/>
      <c r="I20" s="440"/>
      <c r="J20" s="892"/>
      <c r="K20" s="181"/>
      <c r="L20" s="1387"/>
      <c r="M20" s="1388"/>
      <c r="N20" s="1388"/>
      <c r="O20" s="1389"/>
      <c r="P20" s="261" t="s">
        <v>160</v>
      </c>
      <c r="Q20" s="895">
        <v>0</v>
      </c>
      <c r="R20" s="891"/>
      <c r="S20" s="891"/>
      <c r="T20" s="891"/>
      <c r="U20" s="896"/>
      <c r="V20" s="891"/>
      <c r="W20" s="270"/>
      <c r="X20" s="270"/>
      <c r="Y20" s="270"/>
      <c r="Z20" s="270"/>
      <c r="AA20" s="270"/>
    </row>
    <row r="21" spans="3:27" x14ac:dyDescent="0.3">
      <c r="C21" s="450"/>
      <c r="D21" s="182"/>
      <c r="E21" s="182"/>
      <c r="F21" s="182"/>
      <c r="G21" s="450" t="str">
        <f t="shared" si="0"/>
        <v>--</v>
      </c>
      <c r="H21" s="182"/>
      <c r="I21" s="440"/>
      <c r="J21" s="892"/>
      <c r="K21" s="181"/>
      <c r="L21" s="1387"/>
      <c r="M21" s="1388"/>
      <c r="N21" s="1388"/>
      <c r="O21" s="1389"/>
      <c r="P21" s="262" t="s">
        <v>162</v>
      </c>
      <c r="Q21" s="895">
        <v>0</v>
      </c>
      <c r="R21" s="891"/>
      <c r="S21" s="891"/>
      <c r="T21" s="891"/>
      <c r="U21" s="896"/>
      <c r="V21" s="891"/>
      <c r="W21" s="270"/>
      <c r="X21" s="270"/>
      <c r="Y21" s="270"/>
      <c r="Z21" s="270"/>
      <c r="AA21" s="270"/>
    </row>
    <row r="22" spans="3:27" ht="15" thickBot="1" x14ac:dyDescent="0.35">
      <c r="C22" s="450"/>
      <c r="D22" s="182"/>
      <c r="E22" s="182"/>
      <c r="F22" s="182"/>
      <c r="G22" s="450" t="str">
        <f t="shared" si="0"/>
        <v>--</v>
      </c>
      <c r="H22" s="182"/>
      <c r="I22" s="440"/>
      <c r="J22" s="892"/>
      <c r="K22" s="181"/>
      <c r="L22" s="1390"/>
      <c r="M22" s="1391"/>
      <c r="N22" s="1391"/>
      <c r="O22" s="1392"/>
      <c r="P22" s="260" t="s">
        <v>164</v>
      </c>
      <c r="Q22" s="895">
        <v>0</v>
      </c>
      <c r="R22" s="114"/>
      <c r="S22" s="891"/>
      <c r="T22" s="114"/>
      <c r="U22" s="884"/>
      <c r="V22" s="114"/>
      <c r="W22" s="270"/>
      <c r="X22" s="270"/>
      <c r="Y22" s="270"/>
      <c r="Z22" s="270"/>
      <c r="AA22" s="270"/>
    </row>
    <row r="23" spans="3:27" ht="15" x14ac:dyDescent="0.25">
      <c r="C23" s="450"/>
      <c r="D23" s="182"/>
      <c r="E23" s="182"/>
      <c r="F23" s="182"/>
      <c r="G23" s="450" t="str">
        <f t="shared" si="0"/>
        <v>--</v>
      </c>
      <c r="H23" s="182"/>
      <c r="I23" s="440"/>
      <c r="J23" s="892"/>
      <c r="K23" s="181"/>
      <c r="L23" s="181"/>
      <c r="M23" s="181"/>
      <c r="N23" s="892"/>
      <c r="O23" s="892"/>
      <c r="P23" s="258" t="s">
        <v>187</v>
      </c>
      <c r="Q23" s="895">
        <v>0</v>
      </c>
      <c r="R23" s="114"/>
      <c r="S23" s="891"/>
      <c r="T23" s="114"/>
      <c r="U23" s="884"/>
      <c r="V23" s="114"/>
      <c r="W23" s="270"/>
      <c r="X23" s="270"/>
      <c r="Y23" s="270"/>
      <c r="Z23" s="270"/>
      <c r="AA23" s="270"/>
    </row>
    <row r="24" spans="3:27" ht="15" x14ac:dyDescent="0.25">
      <c r="C24" s="450"/>
      <c r="D24" s="182"/>
      <c r="E24" s="182"/>
      <c r="F24" s="182"/>
      <c r="G24" s="450" t="str">
        <f t="shared" si="0"/>
        <v>--</v>
      </c>
      <c r="H24" s="182"/>
      <c r="I24" s="440"/>
      <c r="J24" s="892"/>
      <c r="K24" s="181"/>
      <c r="L24" s="181"/>
      <c r="M24" s="181"/>
      <c r="N24" s="892"/>
      <c r="O24" s="892"/>
      <c r="P24" s="263" t="s">
        <v>46</v>
      </c>
      <c r="Q24" s="897">
        <f>SUM(Q14:Q23)</f>
        <v>1</v>
      </c>
      <c r="R24" s="898"/>
      <c r="S24" s="898"/>
      <c r="T24" s="899"/>
      <c r="U24" s="900"/>
      <c r="V24" s="114"/>
      <c r="W24" s="270"/>
      <c r="X24" s="270"/>
      <c r="Y24" s="270"/>
      <c r="Z24" s="270"/>
      <c r="AA24" s="270"/>
    </row>
    <row r="25" spans="3:27" ht="15" x14ac:dyDescent="0.25">
      <c r="C25" s="450"/>
      <c r="D25" s="182"/>
      <c r="E25" s="182"/>
      <c r="F25" s="182"/>
      <c r="G25" s="450" t="str">
        <f t="shared" si="0"/>
        <v>--</v>
      </c>
      <c r="H25" s="182"/>
      <c r="I25" s="440"/>
      <c r="J25" s="892"/>
      <c r="K25" s="181"/>
      <c r="L25" s="181"/>
      <c r="M25" s="181"/>
      <c r="N25" s="892"/>
      <c r="O25" s="892"/>
      <c r="P25" s="114"/>
      <c r="Q25" s="114"/>
      <c r="R25" s="891"/>
      <c r="S25" s="891"/>
      <c r="T25" s="114"/>
      <c r="U25" s="114"/>
      <c r="V25" s="114"/>
      <c r="W25" s="270"/>
      <c r="X25" s="270"/>
      <c r="Y25" s="270"/>
      <c r="Z25" s="270"/>
      <c r="AA25" s="270"/>
    </row>
    <row r="26" spans="3:27" ht="15.75" thickBot="1" x14ac:dyDescent="0.3">
      <c r="C26" s="450"/>
      <c r="D26" s="182"/>
      <c r="E26" s="182"/>
      <c r="F26" s="182"/>
      <c r="G26" s="450" t="str">
        <f t="shared" si="0"/>
        <v>--</v>
      </c>
      <c r="H26" s="182"/>
      <c r="I26" s="440"/>
      <c r="J26" s="892"/>
      <c r="K26" s="181"/>
      <c r="L26" s="181"/>
      <c r="M26" s="901" t="s">
        <v>155</v>
      </c>
      <c r="N26" s="870" t="s">
        <v>188</v>
      </c>
      <c r="O26" s="870"/>
      <c r="P26" s="252" t="s">
        <v>175</v>
      </c>
      <c r="Q26" s="871" t="s">
        <v>155</v>
      </c>
      <c r="R26" s="872" t="s">
        <v>168</v>
      </c>
      <c r="S26" s="872" t="s">
        <v>169</v>
      </c>
      <c r="T26" s="902"/>
      <c r="U26" s="903"/>
      <c r="V26" s="270"/>
      <c r="W26" s="270"/>
      <c r="X26" s="270"/>
      <c r="Y26" s="270"/>
      <c r="Z26" s="270"/>
      <c r="AA26" s="270"/>
    </row>
    <row r="27" spans="3:27" ht="15.75" thickBot="1" x14ac:dyDescent="0.3">
      <c r="C27" s="566" t="s">
        <v>84</v>
      </c>
      <c r="D27" s="875" t="str">
        <f>VLOOKUP(C27,'Airport Mapping'!$C$5:$D$39,2,FALSE)</f>
        <v xml:space="preserve"> </v>
      </c>
      <c r="E27" s="567" t="s">
        <v>37</v>
      </c>
      <c r="F27" s="567" t="s">
        <v>4</v>
      </c>
      <c r="G27" s="450" t="str">
        <f t="shared" si="0"/>
        <v>Terminal A-Restrooms-Urinals</v>
      </c>
      <c r="H27" s="567" t="s">
        <v>3</v>
      </c>
      <c r="I27" s="877" t="s">
        <v>64</v>
      </c>
      <c r="J27" s="878">
        <f>SUMIFS('Level of Efficiency Assumptions'!J:J,'Level of Efficiency Assumptions'!D:D,E27,'Level of Efficiency Assumptions'!F:F,F27,'Level of Efficiency Assumptions'!I:I,I27)</f>
        <v>2</v>
      </c>
      <c r="K27" s="383" t="s">
        <v>68</v>
      </c>
      <c r="L27" s="253" t="s">
        <v>64</v>
      </c>
      <c r="M27" s="879">
        <f>Q27+Q28</f>
        <v>0</v>
      </c>
      <c r="N27" s="880">
        <f>IFERROR(M27/M30,"-")</f>
        <v>0</v>
      </c>
      <c r="O27" s="881">
        <f>SUMIFS('Data Entry'!R:R,'Data Entry'!K:K,G27)</f>
        <v>0</v>
      </c>
      <c r="P27" s="254" t="s">
        <v>177</v>
      </c>
      <c r="Q27" s="882">
        <v>0</v>
      </c>
      <c r="R27" s="883"/>
      <c r="S27" s="883"/>
      <c r="T27" s="114"/>
      <c r="U27" s="904"/>
      <c r="V27" s="270"/>
      <c r="W27" s="270"/>
      <c r="X27" s="270"/>
      <c r="Y27" s="270"/>
      <c r="Z27" s="270"/>
      <c r="AA27" s="270"/>
    </row>
    <row r="28" spans="3:27" ht="15.75" thickBot="1" x14ac:dyDescent="0.3">
      <c r="C28" s="494" t="s">
        <v>84</v>
      </c>
      <c r="D28" s="577"/>
      <c r="E28" s="577" t="s">
        <v>37</v>
      </c>
      <c r="F28" s="577" t="s">
        <v>4</v>
      </c>
      <c r="G28" s="450" t="str">
        <f t="shared" si="0"/>
        <v>Terminal A-Restrooms-Urinals</v>
      </c>
      <c r="H28" s="577"/>
      <c r="I28" s="887" t="s">
        <v>65</v>
      </c>
      <c r="J28" s="878">
        <f>SUMIFS('Level of Efficiency Assumptions'!J:J,'Level of Efficiency Assumptions'!D:D,E28,'Level of Efficiency Assumptions'!F:F,F28,'Level of Efficiency Assumptions'!I:I,I28)</f>
        <v>1</v>
      </c>
      <c r="K28" s="383" t="s">
        <v>68</v>
      </c>
      <c r="L28" s="255" t="s">
        <v>65</v>
      </c>
      <c r="M28" s="879">
        <f>Q29+Q30</f>
        <v>1</v>
      </c>
      <c r="N28" s="880">
        <f>IFERROR(M28/M30,"-")</f>
        <v>1</v>
      </c>
      <c r="O28" s="881">
        <f>SUMIFS('Data Entry'!S:S,'Data Entry'!K:K,G28)</f>
        <v>0</v>
      </c>
      <c r="P28" s="254" t="s">
        <v>179</v>
      </c>
      <c r="Q28" s="882">
        <v>0</v>
      </c>
      <c r="R28" s="883"/>
      <c r="S28" s="883"/>
      <c r="T28" s="114"/>
      <c r="U28" s="904"/>
      <c r="V28" s="270"/>
      <c r="W28" s="270"/>
      <c r="X28" s="270"/>
      <c r="Y28" s="270"/>
      <c r="Z28" s="270"/>
      <c r="AA28" s="270"/>
    </row>
    <row r="29" spans="3:27" ht="15.75" thickBot="1" x14ac:dyDescent="0.3">
      <c r="C29" s="501" t="s">
        <v>84</v>
      </c>
      <c r="D29" s="116"/>
      <c r="E29" s="116" t="s">
        <v>37</v>
      </c>
      <c r="F29" s="116" t="s">
        <v>4</v>
      </c>
      <c r="G29" s="450" t="str">
        <f t="shared" si="0"/>
        <v>Terminal A-Restrooms-Urinals</v>
      </c>
      <c r="H29" s="116"/>
      <c r="I29" s="889" t="s">
        <v>66</v>
      </c>
      <c r="J29" s="890">
        <f>SUMIFS('Level of Efficiency Assumptions'!J:J,'Level of Efficiency Assumptions'!D:D,E29,'Level of Efficiency Assumptions'!F:F,F29,'Level of Efficiency Assumptions'!I:I,I29)</f>
        <v>0.125</v>
      </c>
      <c r="K29" s="383" t="s">
        <v>68</v>
      </c>
      <c r="L29" s="257" t="s">
        <v>66</v>
      </c>
      <c r="M29" s="879">
        <f>Q31+Q32</f>
        <v>0</v>
      </c>
      <c r="N29" s="880">
        <f>IFERROR(M29/M30,"-")</f>
        <v>0</v>
      </c>
      <c r="O29" s="881">
        <f>SUMIFS('Data Entry'!T:T,'Data Entry'!K:K,G29)</f>
        <v>0</v>
      </c>
      <c r="P29" s="256" t="s">
        <v>189</v>
      </c>
      <c r="Q29" s="882">
        <v>0</v>
      </c>
      <c r="R29" s="883"/>
      <c r="S29" s="883"/>
      <c r="T29" s="114"/>
      <c r="U29" s="904"/>
      <c r="V29" s="270"/>
      <c r="W29" s="270"/>
      <c r="X29" s="270"/>
      <c r="Y29" s="270"/>
      <c r="Z29" s="270"/>
      <c r="AA29" s="270"/>
    </row>
    <row r="30" spans="3:27" ht="15" x14ac:dyDescent="0.25">
      <c r="C30" s="450"/>
      <c r="D30" s="182"/>
      <c r="E30" s="182"/>
      <c r="F30" s="182"/>
      <c r="G30" s="450" t="str">
        <f t="shared" si="0"/>
        <v>--</v>
      </c>
      <c r="H30" s="182"/>
      <c r="I30" s="440"/>
      <c r="J30" s="892"/>
      <c r="K30" s="259"/>
      <c r="L30" s="259" t="s">
        <v>46</v>
      </c>
      <c r="M30" s="893">
        <f>SUM(M27:M29)</f>
        <v>1</v>
      </c>
      <c r="N30" s="894"/>
      <c r="O30" s="894">
        <f>SUM(O27:O29)</f>
        <v>0</v>
      </c>
      <c r="P30" s="256" t="s">
        <v>181</v>
      </c>
      <c r="Q30" s="882">
        <v>1</v>
      </c>
      <c r="R30" s="883"/>
      <c r="S30" s="883"/>
      <c r="T30" s="114"/>
      <c r="U30" s="264"/>
      <c r="V30" s="270"/>
      <c r="W30" s="270"/>
      <c r="X30" s="270"/>
      <c r="Y30" s="270"/>
      <c r="Z30" s="270"/>
      <c r="AA30" s="270"/>
    </row>
    <row r="31" spans="3:27" ht="15" x14ac:dyDescent="0.25">
      <c r="C31" s="450"/>
      <c r="D31" s="182"/>
      <c r="E31" s="182"/>
      <c r="F31" s="182"/>
      <c r="G31" s="450" t="str">
        <f t="shared" si="0"/>
        <v>--</v>
      </c>
      <c r="H31" s="182"/>
      <c r="I31" s="440"/>
      <c r="J31" s="182"/>
      <c r="K31" s="181"/>
      <c r="L31" s="181"/>
      <c r="M31" s="181"/>
      <c r="N31" s="892"/>
      <c r="O31" s="892"/>
      <c r="P31" s="258" t="s">
        <v>183</v>
      </c>
      <c r="Q31" s="882">
        <v>0</v>
      </c>
      <c r="R31" s="883"/>
      <c r="S31" s="883"/>
      <c r="T31" s="114"/>
      <c r="U31" s="884"/>
      <c r="V31" s="114"/>
      <c r="W31" s="270"/>
      <c r="X31" s="270"/>
      <c r="Y31" s="270"/>
      <c r="Z31" s="270"/>
      <c r="AA31" s="270"/>
    </row>
    <row r="32" spans="3:27" ht="15" x14ac:dyDescent="0.25">
      <c r="C32" s="450"/>
      <c r="D32" s="182"/>
      <c r="E32" s="182"/>
      <c r="F32" s="182"/>
      <c r="G32" s="450" t="str">
        <f t="shared" si="0"/>
        <v>--</v>
      </c>
      <c r="H32" s="182"/>
      <c r="I32" s="440"/>
      <c r="J32" s="182"/>
      <c r="K32" s="181"/>
      <c r="L32" s="181"/>
      <c r="M32" s="181"/>
      <c r="N32" s="892"/>
      <c r="O32" s="892"/>
      <c r="P32" s="258" t="s">
        <v>190</v>
      </c>
      <c r="Q32" s="882">
        <v>0</v>
      </c>
      <c r="R32" s="114"/>
      <c r="S32" s="114"/>
      <c r="T32" s="114"/>
      <c r="U32" s="884"/>
      <c r="V32" s="114"/>
      <c r="W32" s="270"/>
      <c r="X32" s="270"/>
      <c r="Y32" s="270"/>
      <c r="Z32" s="270"/>
      <c r="AA32" s="270"/>
    </row>
    <row r="33" spans="3:27" x14ac:dyDescent="0.3">
      <c r="C33" s="450"/>
      <c r="D33" s="182"/>
      <c r="E33" s="182"/>
      <c r="F33" s="182"/>
      <c r="G33" s="450" t="str">
        <f t="shared" si="0"/>
        <v>--</v>
      </c>
      <c r="H33" s="182"/>
      <c r="I33" s="440"/>
      <c r="J33" s="182"/>
      <c r="K33" s="181"/>
      <c r="L33" s="181"/>
      <c r="M33" s="181"/>
      <c r="N33" s="892"/>
      <c r="O33" s="892"/>
      <c r="P33" s="263" t="s">
        <v>46</v>
      </c>
      <c r="Q33" s="897">
        <f>SUM(Q27:Q32)</f>
        <v>1</v>
      </c>
      <c r="R33" s="899"/>
      <c r="S33" s="899"/>
      <c r="T33" s="899"/>
      <c r="U33" s="900"/>
      <c r="V33" s="114"/>
      <c r="W33" s="270"/>
      <c r="X33" s="270"/>
      <c r="Y33" s="270"/>
      <c r="Z33" s="270"/>
      <c r="AA33" s="270"/>
    </row>
    <row r="34" spans="3:27" x14ac:dyDescent="0.3">
      <c r="C34" s="450"/>
      <c r="D34" s="182"/>
      <c r="E34" s="182"/>
      <c r="F34" s="182"/>
      <c r="G34" s="450" t="str">
        <f t="shared" si="0"/>
        <v>--</v>
      </c>
      <c r="H34" s="182"/>
      <c r="I34" s="440"/>
      <c r="J34" s="182"/>
      <c r="K34" s="181"/>
      <c r="L34" s="181"/>
      <c r="M34" s="181"/>
      <c r="N34" s="892"/>
      <c r="O34" s="892"/>
      <c r="P34" s="262"/>
      <c r="Q34" s="114"/>
      <c r="R34" s="114"/>
      <c r="S34" s="114"/>
      <c r="T34" s="114"/>
      <c r="U34" s="114"/>
      <c r="V34" s="114"/>
      <c r="W34" s="270"/>
      <c r="X34" s="270"/>
      <c r="Y34" s="270"/>
      <c r="Z34" s="270"/>
      <c r="AA34" s="270"/>
    </row>
    <row r="35" spans="3:27" ht="15" thickBot="1" x14ac:dyDescent="0.35">
      <c r="C35" s="450"/>
      <c r="D35" s="182"/>
      <c r="E35" s="182"/>
      <c r="F35" s="182"/>
      <c r="G35" s="450" t="str">
        <f t="shared" si="0"/>
        <v>--</v>
      </c>
      <c r="H35" s="182"/>
      <c r="I35" s="440"/>
      <c r="J35" s="182"/>
      <c r="K35" s="181"/>
      <c r="L35" s="891"/>
      <c r="M35" s="901" t="s">
        <v>155</v>
      </c>
      <c r="N35" s="870" t="s">
        <v>188</v>
      </c>
      <c r="O35" s="870"/>
      <c r="P35" s="265" t="s">
        <v>33</v>
      </c>
      <c r="Q35" s="871" t="s">
        <v>155</v>
      </c>
      <c r="R35" s="872" t="s">
        <v>168</v>
      </c>
      <c r="S35" s="872" t="s">
        <v>169</v>
      </c>
      <c r="T35" s="872" t="s">
        <v>170</v>
      </c>
      <c r="U35" s="872" t="s">
        <v>171</v>
      </c>
      <c r="V35" s="902"/>
      <c r="W35" s="902"/>
      <c r="X35" s="874"/>
      <c r="Y35" s="270"/>
      <c r="Z35" s="270"/>
      <c r="AA35" s="270"/>
    </row>
    <row r="36" spans="3:27" ht="15" thickBot="1" x14ac:dyDescent="0.35">
      <c r="C36" s="566" t="s">
        <v>84</v>
      </c>
      <c r="D36" s="875" t="str">
        <f>VLOOKUP(C36,'Airport Mapping'!$C$5:$D$39,2,FALSE)</f>
        <v xml:space="preserve"> </v>
      </c>
      <c r="E36" s="567" t="s">
        <v>37</v>
      </c>
      <c r="F36" s="567" t="s">
        <v>33</v>
      </c>
      <c r="G36" s="450" t="str">
        <f t="shared" si="0"/>
        <v>Terminal A-Restrooms-Faucets</v>
      </c>
      <c r="H36" s="567" t="s">
        <v>3</v>
      </c>
      <c r="I36" s="877" t="s">
        <v>64</v>
      </c>
      <c r="J36" s="878">
        <f>SUMIFS('Level of Efficiency Assumptions'!J:J,'Level of Efficiency Assumptions'!D:D,E36,'Level of Efficiency Assumptions'!F:F,F36,'Level of Efficiency Assumptions'!I:I,I36)</f>
        <v>2</v>
      </c>
      <c r="K36" s="383" t="s">
        <v>212</v>
      </c>
      <c r="L36" s="253" t="s">
        <v>64</v>
      </c>
      <c r="M36" s="879">
        <f>Q36+Q37</f>
        <v>0</v>
      </c>
      <c r="N36" s="880">
        <f>IFERROR(M36/M39,"-")</f>
        <v>0</v>
      </c>
      <c r="O36" s="881">
        <f>SUMIFS('Data Entry'!R:R,'Data Entry'!K:K,G36)</f>
        <v>0</v>
      </c>
      <c r="P36" s="266" t="s">
        <v>180</v>
      </c>
      <c r="Q36" s="895">
        <v>0</v>
      </c>
      <c r="R36" s="883"/>
      <c r="S36" s="883"/>
      <c r="T36" s="883"/>
      <c r="U36" s="883"/>
      <c r="V36" s="114" t="s">
        <v>182</v>
      </c>
      <c r="W36" s="114"/>
      <c r="X36" s="884"/>
      <c r="Y36" s="270"/>
      <c r="Z36" s="270"/>
      <c r="AA36" s="270"/>
    </row>
    <row r="37" spans="3:27" ht="15" thickBot="1" x14ac:dyDescent="0.35">
      <c r="C37" s="494" t="s">
        <v>84</v>
      </c>
      <c r="D37" s="577"/>
      <c r="E37" s="577" t="s">
        <v>37</v>
      </c>
      <c r="F37" s="577" t="s">
        <v>33</v>
      </c>
      <c r="G37" s="450" t="str">
        <f t="shared" si="0"/>
        <v>Terminal A-Restrooms-Faucets</v>
      </c>
      <c r="H37" s="577"/>
      <c r="I37" s="887" t="s">
        <v>65</v>
      </c>
      <c r="J37" s="878">
        <f>SUMIFS('Level of Efficiency Assumptions'!J:J,'Level of Efficiency Assumptions'!D:D,E37,'Level of Efficiency Assumptions'!F:F,F37,'Level of Efficiency Assumptions'!I:I,I37)</f>
        <v>1</v>
      </c>
      <c r="K37" s="383" t="s">
        <v>212</v>
      </c>
      <c r="L37" s="255" t="s">
        <v>65</v>
      </c>
      <c r="M37" s="879">
        <f>Q38+Q39</f>
        <v>1</v>
      </c>
      <c r="N37" s="880">
        <f>IFERROR(M37/M39,"-")</f>
        <v>1</v>
      </c>
      <c r="O37" s="881">
        <f>SUMIFS('Data Entry'!S:S,'Data Entry'!K:K,G37)</f>
        <v>0</v>
      </c>
      <c r="P37" s="266" t="s">
        <v>178</v>
      </c>
      <c r="Q37" s="895">
        <v>0</v>
      </c>
      <c r="R37" s="883"/>
      <c r="S37" s="883"/>
      <c r="T37" s="883"/>
      <c r="U37" s="883"/>
      <c r="V37" s="114" t="s">
        <v>184</v>
      </c>
      <c r="W37" s="114"/>
      <c r="X37" s="884"/>
      <c r="Y37" s="270"/>
      <c r="Z37" s="270"/>
      <c r="AA37" s="270"/>
    </row>
    <row r="38" spans="3:27" ht="15" thickBot="1" x14ac:dyDescent="0.35">
      <c r="C38" s="501" t="s">
        <v>84</v>
      </c>
      <c r="D38" s="116"/>
      <c r="E38" s="116" t="s">
        <v>37</v>
      </c>
      <c r="F38" s="116" t="s">
        <v>33</v>
      </c>
      <c r="G38" s="450" t="str">
        <f t="shared" si="0"/>
        <v>Terminal A-Restrooms-Faucets</v>
      </c>
      <c r="H38" s="116"/>
      <c r="I38" s="889" t="s">
        <v>66</v>
      </c>
      <c r="J38" s="890">
        <f>SUMIFS('Level of Efficiency Assumptions'!J:J,'Level of Efficiency Assumptions'!D:D,E38,'Level of Efficiency Assumptions'!F:F,F38,'Level of Efficiency Assumptions'!I:I,I38)</f>
        <v>0.5</v>
      </c>
      <c r="K38" s="383" t="s">
        <v>212</v>
      </c>
      <c r="L38" s="257" t="s">
        <v>66</v>
      </c>
      <c r="M38" s="879">
        <f>Q40</f>
        <v>0</v>
      </c>
      <c r="N38" s="880">
        <f>IFERROR(M38/M39,"-")</f>
        <v>0</v>
      </c>
      <c r="O38" s="881">
        <f>SUMIFS('Data Entry'!T:T,'Data Entry'!K:K,G38)</f>
        <v>0</v>
      </c>
      <c r="P38" s="267" t="s">
        <v>176</v>
      </c>
      <c r="Q38" s="895">
        <v>1</v>
      </c>
      <c r="R38" s="883"/>
      <c r="S38" s="883"/>
      <c r="T38" s="883"/>
      <c r="U38" s="883"/>
      <c r="V38" s="114" t="s">
        <v>185</v>
      </c>
      <c r="W38" s="114"/>
      <c r="X38" s="884"/>
      <c r="Y38" s="270"/>
      <c r="Z38" s="270"/>
      <c r="AA38" s="270"/>
    </row>
    <row r="39" spans="3:27" x14ac:dyDescent="0.3">
      <c r="C39" s="450"/>
      <c r="D39" s="182"/>
      <c r="E39" s="182"/>
      <c r="F39" s="182"/>
      <c r="G39" s="450" t="str">
        <f t="shared" si="0"/>
        <v>--</v>
      </c>
      <c r="H39" s="182"/>
      <c r="I39" s="440"/>
      <c r="J39" s="892"/>
      <c r="K39" s="259"/>
      <c r="L39" s="259" t="s">
        <v>46</v>
      </c>
      <c r="M39" s="893">
        <f>SUM(M36:M38)</f>
        <v>1</v>
      </c>
      <c r="N39" s="894"/>
      <c r="O39" s="894">
        <f>SUM(O36:O38)</f>
        <v>0</v>
      </c>
      <c r="P39" s="256" t="s">
        <v>173</v>
      </c>
      <c r="Q39" s="895">
        <v>0</v>
      </c>
      <c r="R39" s="883"/>
      <c r="S39" s="883"/>
      <c r="T39" s="883"/>
      <c r="U39" s="883"/>
      <c r="V39" s="114" t="s">
        <v>186</v>
      </c>
      <c r="W39" s="114"/>
      <c r="X39" s="884"/>
      <c r="Y39" s="270"/>
      <c r="Z39" s="270"/>
      <c r="AA39" s="270"/>
    </row>
    <row r="40" spans="3:27" x14ac:dyDescent="0.3">
      <c r="C40" s="450"/>
      <c r="D40" s="182"/>
      <c r="E40" s="182"/>
      <c r="F40" s="182"/>
      <c r="G40" s="450" t="str">
        <f t="shared" si="0"/>
        <v>--</v>
      </c>
      <c r="H40" s="182"/>
      <c r="I40" s="440"/>
      <c r="J40" s="182"/>
      <c r="K40" s="181"/>
      <c r="L40" s="114"/>
      <c r="M40" s="114"/>
      <c r="N40" s="905"/>
      <c r="O40" s="905"/>
      <c r="P40" s="258" t="s">
        <v>172</v>
      </c>
      <c r="Q40" s="895">
        <v>0</v>
      </c>
      <c r="R40" s="883"/>
      <c r="S40" s="883"/>
      <c r="T40" s="883"/>
      <c r="U40" s="883"/>
      <c r="V40" s="114"/>
      <c r="W40" s="114"/>
      <c r="X40" s="884"/>
      <c r="Y40" s="270"/>
      <c r="Z40" s="270"/>
      <c r="AA40" s="270"/>
    </row>
    <row r="41" spans="3:27" x14ac:dyDescent="0.3">
      <c r="C41" s="450"/>
      <c r="D41" s="182"/>
      <c r="E41" s="182"/>
      <c r="F41" s="182"/>
      <c r="G41" s="450" t="str">
        <f t="shared" si="0"/>
        <v>--</v>
      </c>
      <c r="H41" s="182"/>
      <c r="I41" s="440"/>
      <c r="J41" s="182"/>
      <c r="K41" s="181"/>
      <c r="L41" s="181"/>
      <c r="M41" s="181"/>
      <c r="N41" s="892"/>
      <c r="O41" s="892"/>
      <c r="P41" s="263" t="s">
        <v>46</v>
      </c>
      <c r="Q41" s="897">
        <f>SUM(Q35:Q40)</f>
        <v>1</v>
      </c>
      <c r="R41" s="899"/>
      <c r="S41" s="899"/>
      <c r="T41" s="899"/>
      <c r="U41" s="899"/>
      <c r="V41" s="899"/>
      <c r="W41" s="899"/>
      <c r="X41" s="900"/>
      <c r="Y41" s="270"/>
      <c r="Z41" s="270"/>
      <c r="AA41" s="270"/>
    </row>
    <row r="42" spans="3:27" x14ac:dyDescent="0.3">
      <c r="C42" s="450"/>
      <c r="D42" s="182"/>
      <c r="E42" s="182"/>
      <c r="F42" s="182"/>
      <c r="G42" s="450" t="str">
        <f t="shared" si="0"/>
        <v>--</v>
      </c>
      <c r="H42" s="182"/>
      <c r="I42" s="440"/>
      <c r="J42" s="182"/>
      <c r="K42" s="181"/>
      <c r="L42" s="181"/>
      <c r="M42" s="181"/>
      <c r="N42" s="892"/>
      <c r="O42" s="892"/>
      <c r="P42" s="262"/>
      <c r="Q42" s="114"/>
      <c r="R42" s="114"/>
      <c r="S42" s="114"/>
      <c r="T42" s="114"/>
      <c r="U42" s="114"/>
      <c r="V42" s="114"/>
      <c r="W42" s="270"/>
      <c r="X42" s="270"/>
      <c r="Y42" s="270"/>
      <c r="Z42" s="270"/>
      <c r="AA42" s="270"/>
    </row>
    <row r="43" spans="3:27" ht="15" thickBot="1" x14ac:dyDescent="0.35">
      <c r="C43" s="450"/>
      <c r="D43" s="182"/>
      <c r="E43" s="182"/>
      <c r="F43" s="182"/>
      <c r="G43" s="450" t="str">
        <f t="shared" si="0"/>
        <v>--</v>
      </c>
      <c r="H43" s="182"/>
      <c r="I43" s="440"/>
      <c r="J43" s="182"/>
      <c r="K43" s="181"/>
      <c r="L43" s="891"/>
      <c r="M43" s="901" t="s">
        <v>155</v>
      </c>
      <c r="N43" s="870" t="s">
        <v>188</v>
      </c>
      <c r="O43" s="870"/>
      <c r="P43" s="265" t="s">
        <v>33</v>
      </c>
      <c r="Q43" s="871" t="s">
        <v>155</v>
      </c>
      <c r="R43" s="872" t="s">
        <v>168</v>
      </c>
      <c r="S43" s="872" t="s">
        <v>169</v>
      </c>
      <c r="T43" s="872" t="s">
        <v>170</v>
      </c>
      <c r="U43" s="872" t="s">
        <v>171</v>
      </c>
      <c r="V43" s="902"/>
      <c r="W43" s="902"/>
      <c r="X43" s="874"/>
      <c r="Y43" s="270"/>
      <c r="Z43" s="270"/>
      <c r="AA43" s="270"/>
    </row>
    <row r="44" spans="3:27" ht="15" thickBot="1" x14ac:dyDescent="0.35">
      <c r="C44" s="566" t="s">
        <v>84</v>
      </c>
      <c r="D44" s="875" t="str">
        <f>VLOOKUP(C44,'Airport Mapping'!$C$5:$D$39,2,FALSE)</f>
        <v xml:space="preserve"> </v>
      </c>
      <c r="E44" s="567" t="s">
        <v>38</v>
      </c>
      <c r="F44" s="567" t="s">
        <v>114</v>
      </c>
      <c r="G44" s="450" t="str">
        <f t="shared" si="0"/>
        <v>Terminal A-Food Service-Kitchen faucets</v>
      </c>
      <c r="H44" s="567" t="s">
        <v>19</v>
      </c>
      <c r="I44" s="877" t="s">
        <v>64</v>
      </c>
      <c r="J44" s="878">
        <f>SUMIFS('Level of Efficiency Assumptions'!J:J,'Level of Efficiency Assumptions'!D:D,E44,'Level of Efficiency Assumptions'!F:F,F44,'Level of Efficiency Assumptions'!I:I,I44)</f>
        <v>2</v>
      </c>
      <c r="K44" s="383" t="s">
        <v>78</v>
      </c>
      <c r="L44" s="253" t="s">
        <v>64</v>
      </c>
      <c r="M44" s="879">
        <f>Q44+Q45</f>
        <v>0</v>
      </c>
      <c r="N44" s="880">
        <f>IFERROR(M44/M47,"-")</f>
        <v>0</v>
      </c>
      <c r="O44" s="881">
        <f>SUMIFS('Data Entry'!R:R,'Data Entry'!K:K,G44)</f>
        <v>0</v>
      </c>
      <c r="P44" s="266" t="s">
        <v>180</v>
      </c>
      <c r="Q44" s="895">
        <v>0</v>
      </c>
      <c r="R44" s="883"/>
      <c r="S44" s="883"/>
      <c r="T44" s="883"/>
      <c r="U44" s="883"/>
      <c r="V44" s="114" t="s">
        <v>182</v>
      </c>
      <c r="W44" s="114"/>
      <c r="X44" s="884"/>
      <c r="Y44" s="270"/>
      <c r="Z44" s="270"/>
      <c r="AA44" s="270"/>
    </row>
    <row r="45" spans="3:27" ht="15" thickBot="1" x14ac:dyDescent="0.35">
      <c r="C45" s="494" t="s">
        <v>84</v>
      </c>
      <c r="D45" s="577"/>
      <c r="E45" s="577" t="s">
        <v>38</v>
      </c>
      <c r="F45" s="577" t="s">
        <v>114</v>
      </c>
      <c r="G45" s="450" t="str">
        <f t="shared" si="0"/>
        <v>Terminal A-Food Service-Kitchen faucets</v>
      </c>
      <c r="H45" s="577"/>
      <c r="I45" s="887" t="s">
        <v>65</v>
      </c>
      <c r="J45" s="878">
        <f>SUMIFS('Level of Efficiency Assumptions'!J:J,'Level of Efficiency Assumptions'!D:D,E45,'Level of Efficiency Assumptions'!F:F,F45,'Level of Efficiency Assumptions'!I:I,I45)</f>
        <v>1</v>
      </c>
      <c r="K45" s="383" t="s">
        <v>78</v>
      </c>
      <c r="L45" s="255" t="s">
        <v>65</v>
      </c>
      <c r="M45" s="879">
        <f>Q46+Q47</f>
        <v>1</v>
      </c>
      <c r="N45" s="880">
        <f>IFERROR(M45/M47,"-")</f>
        <v>1</v>
      </c>
      <c r="O45" s="881">
        <f>SUMIFS('Data Entry'!S:S,'Data Entry'!K:K,G45)</f>
        <v>0</v>
      </c>
      <c r="P45" s="266" t="s">
        <v>178</v>
      </c>
      <c r="Q45" s="895">
        <v>0</v>
      </c>
      <c r="R45" s="883"/>
      <c r="S45" s="883"/>
      <c r="T45" s="883"/>
      <c r="U45" s="883"/>
      <c r="V45" s="114" t="s">
        <v>184</v>
      </c>
      <c r="W45" s="114"/>
      <c r="X45" s="884"/>
      <c r="Y45" s="270"/>
      <c r="Z45" s="270"/>
      <c r="AA45" s="270"/>
    </row>
    <row r="46" spans="3:27" ht="15" thickBot="1" x14ac:dyDescent="0.35">
      <c r="C46" s="501" t="s">
        <v>84</v>
      </c>
      <c r="D46" s="116"/>
      <c r="E46" s="116" t="s">
        <v>38</v>
      </c>
      <c r="F46" s="116" t="s">
        <v>114</v>
      </c>
      <c r="G46" s="450" t="str">
        <f t="shared" si="0"/>
        <v>Terminal A-Food Service-Kitchen faucets</v>
      </c>
      <c r="H46" s="116"/>
      <c r="I46" s="889" t="s">
        <v>66</v>
      </c>
      <c r="J46" s="890">
        <f>SUMIFS('Level of Efficiency Assumptions'!J:J,'Level of Efficiency Assumptions'!D:D,E46,'Level of Efficiency Assumptions'!F:F,F46,'Level of Efficiency Assumptions'!I:I,I46)</f>
        <v>0.5</v>
      </c>
      <c r="K46" s="383" t="s">
        <v>78</v>
      </c>
      <c r="L46" s="257" t="s">
        <v>66</v>
      </c>
      <c r="M46" s="879">
        <f>Q48</f>
        <v>0</v>
      </c>
      <c r="N46" s="880">
        <f>IFERROR(M46/M47,"-")</f>
        <v>0</v>
      </c>
      <c r="O46" s="881">
        <f>SUMIFS('Data Entry'!T:T,'Data Entry'!K:K,G46)</f>
        <v>0</v>
      </c>
      <c r="P46" s="267" t="s">
        <v>176</v>
      </c>
      <c r="Q46" s="895">
        <v>1</v>
      </c>
      <c r="R46" s="883"/>
      <c r="S46" s="883"/>
      <c r="T46" s="883"/>
      <c r="U46" s="883"/>
      <c r="V46" s="114" t="s">
        <v>185</v>
      </c>
      <c r="W46" s="114"/>
      <c r="X46" s="884"/>
      <c r="Y46" s="270"/>
      <c r="Z46" s="270"/>
      <c r="AA46" s="270"/>
    </row>
    <row r="47" spans="3:27" x14ac:dyDescent="0.3">
      <c r="C47" s="450"/>
      <c r="D47" s="182"/>
      <c r="E47" s="182"/>
      <c r="F47" s="182"/>
      <c r="G47" s="450" t="str">
        <f t="shared" si="0"/>
        <v>--</v>
      </c>
      <c r="H47" s="182"/>
      <c r="I47" s="440"/>
      <c r="J47" s="892"/>
      <c r="K47" s="259"/>
      <c r="L47" s="259" t="s">
        <v>46</v>
      </c>
      <c r="M47" s="893">
        <f>SUM(M44:M46)</f>
        <v>1</v>
      </c>
      <c r="N47" s="894"/>
      <c r="O47" s="894">
        <f>SUM(O44:O46)</f>
        <v>0</v>
      </c>
      <c r="P47" s="256" t="s">
        <v>173</v>
      </c>
      <c r="Q47" s="895">
        <v>0</v>
      </c>
      <c r="R47" s="883"/>
      <c r="S47" s="883"/>
      <c r="T47" s="883"/>
      <c r="U47" s="883"/>
      <c r="V47" s="114" t="s">
        <v>186</v>
      </c>
      <c r="W47" s="114"/>
      <c r="X47" s="884"/>
      <c r="Y47" s="270"/>
      <c r="Z47" s="270"/>
      <c r="AA47" s="270"/>
    </row>
    <row r="48" spans="3:27" x14ac:dyDescent="0.3">
      <c r="C48" s="450"/>
      <c r="D48" s="182"/>
      <c r="E48" s="182"/>
      <c r="F48" s="182"/>
      <c r="G48" s="450" t="str">
        <f t="shared" si="0"/>
        <v>--</v>
      </c>
      <c r="H48" s="182"/>
      <c r="I48" s="892"/>
      <c r="J48" s="892"/>
      <c r="K48" s="182"/>
      <c r="L48" s="182"/>
      <c r="M48" s="270"/>
      <c r="N48" s="892"/>
      <c r="O48" s="892"/>
      <c r="P48" s="258" t="s">
        <v>172</v>
      </c>
      <c r="Q48" s="895">
        <v>0</v>
      </c>
      <c r="R48" s="883"/>
      <c r="S48" s="883"/>
      <c r="T48" s="883"/>
      <c r="U48" s="883"/>
      <c r="V48" s="114"/>
      <c r="W48" s="114"/>
      <c r="X48" s="884"/>
      <c r="Y48" s="270"/>
      <c r="Z48" s="270"/>
      <c r="AA48" s="270"/>
    </row>
    <row r="49" spans="3:27" x14ac:dyDescent="0.3">
      <c r="C49" s="450"/>
      <c r="D49" s="182"/>
      <c r="E49" s="182"/>
      <c r="F49" s="182"/>
      <c r="G49" s="450" t="str">
        <f t="shared" si="0"/>
        <v>--</v>
      </c>
      <c r="H49" s="182"/>
      <c r="I49" s="892"/>
      <c r="J49" s="892"/>
      <c r="K49" s="182"/>
      <c r="L49" s="182"/>
      <c r="M49" s="270"/>
      <c r="N49" s="892"/>
      <c r="O49" s="892"/>
      <c r="P49" s="263" t="s">
        <v>46</v>
      </c>
      <c r="Q49" s="897">
        <f>SUM(Q43:Q48)</f>
        <v>1</v>
      </c>
      <c r="R49" s="899"/>
      <c r="S49" s="899"/>
      <c r="T49" s="899"/>
      <c r="U49" s="899"/>
      <c r="V49" s="899"/>
      <c r="W49" s="899"/>
      <c r="X49" s="900"/>
      <c r="Y49" s="270"/>
      <c r="Z49" s="270"/>
      <c r="AA49" s="270"/>
    </row>
    <row r="50" spans="3:27" x14ac:dyDescent="0.3">
      <c r="C50" s="450"/>
      <c r="D50" s="182"/>
      <c r="E50" s="182"/>
      <c r="F50" s="182"/>
      <c r="G50" s="450" t="str">
        <f t="shared" si="0"/>
        <v>--</v>
      </c>
      <c r="H50" s="182"/>
      <c r="I50" s="892"/>
      <c r="J50" s="892"/>
      <c r="K50" s="182"/>
      <c r="L50" s="182"/>
      <c r="M50" s="270"/>
      <c r="N50" s="892"/>
      <c r="O50" s="892"/>
      <c r="P50" s="259"/>
      <c r="Q50" s="114"/>
      <c r="R50" s="114"/>
      <c r="S50" s="114"/>
      <c r="T50" s="114"/>
      <c r="U50" s="114"/>
      <c r="V50" s="114"/>
      <c r="W50" s="270"/>
      <c r="X50" s="270"/>
      <c r="Y50" s="270"/>
      <c r="Z50" s="270"/>
      <c r="AA50" s="270"/>
    </row>
    <row r="51" spans="3:27" ht="15" thickBot="1" x14ac:dyDescent="0.35">
      <c r="C51" s="450"/>
      <c r="D51" s="182"/>
      <c r="E51" s="182"/>
      <c r="F51" s="182"/>
      <c r="G51" s="450" t="str">
        <f t="shared" si="0"/>
        <v>--</v>
      </c>
      <c r="H51" s="182"/>
      <c r="I51" s="892"/>
      <c r="J51" s="892"/>
      <c r="K51" s="182"/>
      <c r="L51" s="114"/>
      <c r="M51" s="870" t="s">
        <v>155</v>
      </c>
      <c r="N51" s="870" t="s">
        <v>188</v>
      </c>
      <c r="O51" s="870"/>
      <c r="P51" s="268" t="s">
        <v>157</v>
      </c>
      <c r="Q51" s="871" t="s">
        <v>155</v>
      </c>
      <c r="R51" s="874"/>
      <c r="S51" s="114"/>
      <c r="T51" s="270"/>
      <c r="U51" s="270"/>
      <c r="V51" s="270"/>
      <c r="W51" s="114"/>
      <c r="X51" s="270"/>
      <c r="Y51" s="270"/>
      <c r="Z51" s="270"/>
      <c r="AA51" s="270"/>
    </row>
    <row r="52" spans="3:27" ht="15" thickBot="1" x14ac:dyDescent="0.35">
      <c r="C52" s="566" t="s">
        <v>84</v>
      </c>
      <c r="D52" s="875" t="str">
        <f>VLOOKUP(C52,'Airport Mapping'!$C$5:$D$39,2,FALSE)</f>
        <v xml:space="preserve"> </v>
      </c>
      <c r="E52" s="567" t="s">
        <v>38</v>
      </c>
      <c r="F52" s="567" t="s">
        <v>127</v>
      </c>
      <c r="G52" s="450" t="str">
        <f t="shared" si="0"/>
        <v>Terminal A-Food Service-Pre-rinse spray valves</v>
      </c>
      <c r="H52" s="567" t="s">
        <v>19</v>
      </c>
      <c r="I52" s="877" t="s">
        <v>64</v>
      </c>
      <c r="J52" s="878">
        <f>SUMIFS('Level of Efficiency Assumptions'!J:J,'Level of Efficiency Assumptions'!D:D,E52,'Level of Efficiency Assumptions'!F:F,F52,'Level of Efficiency Assumptions'!I:I,I52)</f>
        <v>3</v>
      </c>
      <c r="K52" s="383" t="s">
        <v>78</v>
      </c>
      <c r="L52" s="253" t="s">
        <v>64</v>
      </c>
      <c r="M52" s="879">
        <f>Q52+Q53</f>
        <v>0</v>
      </c>
      <c r="N52" s="880">
        <f>IFERROR(M52/M55,"-")</f>
        <v>0</v>
      </c>
      <c r="O52" s="881">
        <f>SUMIFS('Data Entry'!R:R,'Data Entry'!K:K,G52)</f>
        <v>0</v>
      </c>
      <c r="P52" s="266" t="s">
        <v>191</v>
      </c>
      <c r="Q52" s="895">
        <v>0</v>
      </c>
      <c r="R52" s="884"/>
      <c r="S52" s="114"/>
      <c r="T52" s="270"/>
      <c r="U52" s="270"/>
      <c r="V52" s="270"/>
      <c r="W52" s="114"/>
      <c r="X52" s="270"/>
      <c r="Y52" s="270"/>
      <c r="Z52" s="270"/>
      <c r="AA52" s="270"/>
    </row>
    <row r="53" spans="3:27" ht="15" thickBot="1" x14ac:dyDescent="0.35">
      <c r="C53" s="494" t="s">
        <v>84</v>
      </c>
      <c r="D53" s="577"/>
      <c r="E53" s="577" t="s">
        <v>38</v>
      </c>
      <c r="F53" s="577" t="s">
        <v>127</v>
      </c>
      <c r="G53" s="450" t="str">
        <f t="shared" si="0"/>
        <v>Terminal A-Food Service-Pre-rinse spray valves</v>
      </c>
      <c r="H53" s="577"/>
      <c r="I53" s="887" t="s">
        <v>65</v>
      </c>
      <c r="J53" s="878">
        <f>SUMIFS('Level of Efficiency Assumptions'!J:J,'Level of Efficiency Assumptions'!D:D,E53,'Level of Efficiency Assumptions'!F:F,F53,'Level of Efficiency Assumptions'!I:I,I53)</f>
        <v>2</v>
      </c>
      <c r="K53" s="383" t="s">
        <v>78</v>
      </c>
      <c r="L53" s="255" t="s">
        <v>65</v>
      </c>
      <c r="M53" s="879">
        <f>Q54+Q55</f>
        <v>1</v>
      </c>
      <c r="N53" s="880">
        <f>IFERROR(M53/M55,"-")</f>
        <v>1</v>
      </c>
      <c r="O53" s="881">
        <f>SUMIFS('Data Entry'!S:S,'Data Entry'!K:K,G53)</f>
        <v>0</v>
      </c>
      <c r="P53" s="266" t="s">
        <v>192</v>
      </c>
      <c r="Q53" s="895">
        <v>0</v>
      </c>
      <c r="R53" s="884"/>
      <c r="S53" s="114"/>
      <c r="T53" s="270"/>
      <c r="U53" s="270"/>
      <c r="V53" s="270"/>
      <c r="W53" s="114"/>
      <c r="X53" s="270"/>
      <c r="Y53" s="270"/>
      <c r="Z53" s="270"/>
      <c r="AA53" s="270"/>
    </row>
    <row r="54" spans="3:27" ht="15" thickBot="1" x14ac:dyDescent="0.35">
      <c r="C54" s="501" t="s">
        <v>84</v>
      </c>
      <c r="D54" s="116"/>
      <c r="E54" s="116" t="s">
        <v>38</v>
      </c>
      <c r="F54" s="116" t="s">
        <v>127</v>
      </c>
      <c r="G54" s="450" t="str">
        <f t="shared" si="0"/>
        <v>Terminal A-Food Service-Pre-rinse spray valves</v>
      </c>
      <c r="H54" s="116"/>
      <c r="I54" s="889" t="s">
        <v>66</v>
      </c>
      <c r="J54" s="890">
        <f>SUMIFS('Level of Efficiency Assumptions'!J:J,'Level of Efficiency Assumptions'!D:D,E54,'Level of Efficiency Assumptions'!F:F,F54,'Level of Efficiency Assumptions'!I:I,I54)</f>
        <v>1.28</v>
      </c>
      <c r="K54" s="383" t="s">
        <v>78</v>
      </c>
      <c r="L54" s="257" t="s">
        <v>66</v>
      </c>
      <c r="M54" s="879">
        <f>Q56</f>
        <v>0</v>
      </c>
      <c r="N54" s="880">
        <f>IFERROR(M54/M55,"-")</f>
        <v>0</v>
      </c>
      <c r="O54" s="881">
        <f>SUMIFS('Data Entry'!T:T,'Data Entry'!K:K,G54)</f>
        <v>0</v>
      </c>
      <c r="P54" s="267" t="s">
        <v>193</v>
      </c>
      <c r="Q54" s="895">
        <v>0</v>
      </c>
      <c r="R54" s="884"/>
      <c r="S54" s="114"/>
      <c r="T54" s="270"/>
      <c r="U54" s="270"/>
      <c r="V54" s="270"/>
      <c r="W54" s="114"/>
      <c r="X54" s="270"/>
      <c r="Y54" s="270"/>
      <c r="Z54" s="270"/>
      <c r="AA54" s="270"/>
    </row>
    <row r="55" spans="3:27" x14ac:dyDescent="0.3">
      <c r="C55" s="450"/>
      <c r="D55" s="182"/>
      <c r="E55" s="182"/>
      <c r="F55" s="182"/>
      <c r="G55" s="450" t="str">
        <f t="shared" si="0"/>
        <v>--</v>
      </c>
      <c r="H55" s="182"/>
      <c r="I55" s="440"/>
      <c r="J55" s="892"/>
      <c r="K55" s="259"/>
      <c r="L55" s="259" t="s">
        <v>46</v>
      </c>
      <c r="M55" s="893">
        <f>SUM(M52:M54)</f>
        <v>1</v>
      </c>
      <c r="N55" s="894"/>
      <c r="O55" s="894">
        <f>SUM(O52:O54)</f>
        <v>0</v>
      </c>
      <c r="P55" s="267" t="s">
        <v>194</v>
      </c>
      <c r="Q55" s="895">
        <v>1</v>
      </c>
      <c r="R55" s="884"/>
      <c r="S55" s="114"/>
      <c r="T55" s="270"/>
      <c r="U55" s="270"/>
      <c r="V55" s="270"/>
      <c r="W55" s="114"/>
      <c r="X55" s="270"/>
      <c r="Y55" s="270"/>
      <c r="Z55" s="270"/>
      <c r="AA55" s="270"/>
    </row>
    <row r="56" spans="3:27" x14ac:dyDescent="0.3">
      <c r="C56" s="224"/>
      <c r="D56" s="211"/>
      <c r="E56" s="182"/>
      <c r="F56" s="182"/>
      <c r="G56" s="450" t="str">
        <f t="shared" si="0"/>
        <v>--</v>
      </c>
      <c r="H56" s="182"/>
      <c r="I56" s="892"/>
      <c r="J56" s="892"/>
      <c r="K56" s="182"/>
      <c r="L56" s="182"/>
      <c r="M56" s="270"/>
      <c r="N56" s="892"/>
      <c r="O56" s="892"/>
      <c r="P56" s="269" t="s">
        <v>195</v>
      </c>
      <c r="Q56" s="895">
        <v>0</v>
      </c>
      <c r="R56" s="884"/>
      <c r="S56" s="114"/>
      <c r="T56" s="114"/>
      <c r="U56" s="114"/>
      <c r="V56" s="114"/>
      <c r="W56" s="114"/>
      <c r="X56" s="270"/>
      <c r="Y56" s="270"/>
      <c r="Z56" s="270"/>
      <c r="AA56" s="270"/>
    </row>
    <row r="57" spans="3:27" x14ac:dyDescent="0.3">
      <c r="C57" s="224"/>
      <c r="D57" s="211"/>
      <c r="E57" s="182"/>
      <c r="F57" s="182"/>
      <c r="G57" s="450" t="str">
        <f t="shared" si="0"/>
        <v>--</v>
      </c>
      <c r="H57" s="182"/>
      <c r="I57" s="892"/>
      <c r="J57" s="892"/>
      <c r="K57" s="182"/>
      <c r="L57" s="182"/>
      <c r="M57" s="270"/>
      <c r="N57" s="892"/>
      <c r="O57" s="892"/>
      <c r="P57" s="263" t="s">
        <v>46</v>
      </c>
      <c r="Q57" s="897">
        <f>SUM(Q52:Q56)</f>
        <v>1</v>
      </c>
      <c r="R57" s="900"/>
      <c r="S57" s="114"/>
      <c r="T57" s="114"/>
      <c r="U57" s="114"/>
      <c r="V57" s="114"/>
      <c r="W57" s="114"/>
      <c r="X57" s="270"/>
      <c r="Y57" s="270"/>
      <c r="Z57" s="270"/>
      <c r="AA57" s="270"/>
    </row>
    <row r="58" spans="3:27" x14ac:dyDescent="0.3">
      <c r="C58" s="224"/>
      <c r="D58" s="211"/>
      <c r="E58" s="182"/>
      <c r="F58" s="182"/>
      <c r="G58" s="450" t="str">
        <f t="shared" si="0"/>
        <v>--</v>
      </c>
      <c r="H58" s="182"/>
      <c r="I58" s="892"/>
      <c r="J58" s="892"/>
      <c r="K58" s="182"/>
      <c r="L58" s="182"/>
      <c r="M58" s="270"/>
      <c r="N58" s="892"/>
      <c r="O58" s="892"/>
      <c r="P58" s="270"/>
      <c r="Q58" s="270"/>
      <c r="R58" s="270"/>
      <c r="S58" s="270"/>
      <c r="T58" s="270"/>
      <c r="U58" s="270"/>
      <c r="V58" s="270"/>
      <c r="W58" s="270"/>
      <c r="X58" s="270"/>
      <c r="Y58" s="270"/>
      <c r="Z58" s="270"/>
      <c r="AA58" s="270"/>
    </row>
    <row r="59" spans="3:27" x14ac:dyDescent="0.3">
      <c r="C59" s="224"/>
      <c r="D59" s="211"/>
      <c r="E59" s="182"/>
      <c r="F59" s="182"/>
      <c r="G59" s="450" t="str">
        <f t="shared" si="0"/>
        <v>--</v>
      </c>
      <c r="H59" s="182"/>
      <c r="I59" s="892"/>
      <c r="J59" s="892"/>
      <c r="K59" s="182"/>
      <c r="L59" s="182"/>
      <c r="M59" s="270"/>
      <c r="N59" s="892"/>
      <c r="O59" s="892"/>
      <c r="P59" s="268" t="s">
        <v>196</v>
      </c>
      <c r="Q59" s="906"/>
      <c r="R59" s="902"/>
      <c r="S59" s="902"/>
      <c r="T59" s="902"/>
      <c r="U59" s="902"/>
      <c r="V59" s="902"/>
      <c r="W59" s="902"/>
      <c r="X59" s="902"/>
      <c r="Y59" s="902"/>
      <c r="Z59" s="902"/>
      <c r="AA59" s="874"/>
    </row>
    <row r="60" spans="3:27" ht="15" thickBot="1" x14ac:dyDescent="0.35">
      <c r="C60" s="224"/>
      <c r="D60" s="211"/>
      <c r="E60" s="182"/>
      <c r="F60" s="182"/>
      <c r="G60" s="450" t="str">
        <f t="shared" si="0"/>
        <v>--</v>
      </c>
      <c r="H60" s="182"/>
      <c r="I60" s="892"/>
      <c r="J60" s="892"/>
      <c r="K60" s="182"/>
      <c r="L60" s="114"/>
      <c r="M60" s="870" t="s">
        <v>155</v>
      </c>
      <c r="N60" s="870" t="s">
        <v>188</v>
      </c>
      <c r="O60" s="870"/>
      <c r="P60" s="271" t="s">
        <v>203</v>
      </c>
      <c r="Q60" s="871" t="s">
        <v>155</v>
      </c>
      <c r="R60" s="114"/>
      <c r="S60" s="114"/>
      <c r="T60" s="907" t="s">
        <v>156</v>
      </c>
      <c r="U60" s="114"/>
      <c r="V60" s="114"/>
      <c r="W60" s="114"/>
      <c r="X60" s="114"/>
      <c r="Y60" s="114"/>
      <c r="Z60" s="114"/>
      <c r="AA60" s="884"/>
    </row>
    <row r="61" spans="3:27" ht="15" thickBot="1" x14ac:dyDescent="0.35">
      <c r="C61" s="566" t="s">
        <v>84</v>
      </c>
      <c r="D61" s="875" t="str">
        <f>VLOOKUP(C61,'Airport Mapping'!$C$5:$D$39,2,FALSE)</f>
        <v xml:space="preserve"> </v>
      </c>
      <c r="E61" s="567" t="s">
        <v>38</v>
      </c>
      <c r="F61" s="567" t="s">
        <v>41</v>
      </c>
      <c r="G61" s="450" t="str">
        <f t="shared" si="0"/>
        <v>Terminal A-Food Service-Dishwashers</v>
      </c>
      <c r="H61" s="567" t="s">
        <v>19</v>
      </c>
      <c r="I61" s="877" t="s">
        <v>64</v>
      </c>
      <c r="J61" s="878">
        <f>SUMIFS('Level of Efficiency Assumptions'!J:J,'Level of Efficiency Assumptions'!D:D,E61,'Level of Efficiency Assumptions'!F:F,F61,'Level of Efficiency Assumptions'!I:I,I61)</f>
        <v>4.5</v>
      </c>
      <c r="K61" s="383" t="s">
        <v>203</v>
      </c>
      <c r="L61" s="253" t="s">
        <v>64</v>
      </c>
      <c r="M61" s="879">
        <f>SUM(Q61:Q63)</f>
        <v>0</v>
      </c>
      <c r="N61" s="880">
        <f>IFERROR(M61/M64,"-")</f>
        <v>0</v>
      </c>
      <c r="O61" s="881">
        <f>SUMIFS('Data Entry'!R:R,'Data Entry'!K:K,G61)</f>
        <v>0</v>
      </c>
      <c r="P61" s="266" t="s">
        <v>204</v>
      </c>
      <c r="Q61" s="895">
        <v>0</v>
      </c>
      <c r="R61" s="114"/>
      <c r="S61" s="905" t="s">
        <v>200</v>
      </c>
      <c r="T61" s="895">
        <v>1</v>
      </c>
      <c r="U61" s="114"/>
      <c r="V61" s="114" t="s">
        <v>218</v>
      </c>
      <c r="W61" s="114"/>
      <c r="X61" s="114"/>
      <c r="Y61" s="114"/>
      <c r="Z61" s="114"/>
      <c r="AA61" s="884"/>
    </row>
    <row r="62" spans="3:27" ht="15" thickBot="1" x14ac:dyDescent="0.35">
      <c r="C62" s="494" t="s">
        <v>84</v>
      </c>
      <c r="D62" s="577"/>
      <c r="E62" s="577" t="s">
        <v>38</v>
      </c>
      <c r="F62" s="577" t="s">
        <v>41</v>
      </c>
      <c r="G62" s="450" t="str">
        <f t="shared" si="0"/>
        <v>Terminal A-Food Service-Dishwashers</v>
      </c>
      <c r="H62" s="577"/>
      <c r="I62" s="887" t="s">
        <v>65</v>
      </c>
      <c r="J62" s="878">
        <f>SUMIFS('Level of Efficiency Assumptions'!J:J,'Level of Efficiency Assumptions'!D:D,E62,'Level of Efficiency Assumptions'!F:F,F62,'Level of Efficiency Assumptions'!I:I,I62)</f>
        <v>2.5</v>
      </c>
      <c r="K62" s="383" t="s">
        <v>203</v>
      </c>
      <c r="L62" s="255" t="s">
        <v>65</v>
      </c>
      <c r="M62" s="879">
        <f>Q64+Q65</f>
        <v>1</v>
      </c>
      <c r="N62" s="880">
        <f>IFERROR(M62/M64,"-")</f>
        <v>1</v>
      </c>
      <c r="O62" s="881">
        <f>SUMIFS('Data Entry'!S:S,'Data Entry'!K:K,G62)</f>
        <v>0</v>
      </c>
      <c r="P62" s="272" t="s">
        <v>205</v>
      </c>
      <c r="Q62" s="895">
        <v>0</v>
      </c>
      <c r="R62" s="114"/>
      <c r="S62" s="908" t="s">
        <v>201</v>
      </c>
      <c r="T62" s="895">
        <v>1</v>
      </c>
      <c r="U62" s="114"/>
      <c r="V62" s="114"/>
      <c r="W62" s="114"/>
      <c r="X62" s="114"/>
      <c r="Y62" s="114"/>
      <c r="Z62" s="114"/>
      <c r="AA62" s="884"/>
    </row>
    <row r="63" spans="3:27" ht="15" thickBot="1" x14ac:dyDescent="0.35">
      <c r="C63" s="501" t="s">
        <v>84</v>
      </c>
      <c r="D63" s="116"/>
      <c r="E63" s="116" t="s">
        <v>38</v>
      </c>
      <c r="F63" s="116" t="s">
        <v>41</v>
      </c>
      <c r="G63" s="450" t="str">
        <f t="shared" si="0"/>
        <v>Terminal A-Food Service-Dishwashers</v>
      </c>
      <c r="H63" s="116"/>
      <c r="I63" s="889" t="s">
        <v>66</v>
      </c>
      <c r="J63" s="890">
        <f>SUMIFS('Level of Efficiency Assumptions'!J:J,'Level of Efficiency Assumptions'!D:D,E63,'Level of Efficiency Assumptions'!F:F,F63,'Level of Efficiency Assumptions'!I:I,I63)</f>
        <v>1</v>
      </c>
      <c r="K63" s="383" t="s">
        <v>203</v>
      </c>
      <c r="L63" s="257" t="s">
        <v>66</v>
      </c>
      <c r="M63" s="879">
        <f>Q66+Q67</f>
        <v>0</v>
      </c>
      <c r="N63" s="880">
        <f>IFERROR(M63/M64,"-")</f>
        <v>0</v>
      </c>
      <c r="O63" s="881">
        <f>SUMIFS('Data Entry'!T:T,'Data Entry'!K:K,G63)</f>
        <v>0</v>
      </c>
      <c r="P63" s="272" t="s">
        <v>206</v>
      </c>
      <c r="Q63" s="895">
        <v>0</v>
      </c>
      <c r="R63" s="114"/>
      <c r="S63" s="908" t="s">
        <v>202</v>
      </c>
      <c r="T63" s="895">
        <v>1</v>
      </c>
      <c r="U63" s="114"/>
      <c r="V63" s="114"/>
      <c r="W63" s="114"/>
      <c r="X63" s="114"/>
      <c r="Y63" s="114"/>
      <c r="Z63" s="114"/>
      <c r="AA63" s="884"/>
    </row>
    <row r="64" spans="3:27" x14ac:dyDescent="0.3">
      <c r="C64" s="450"/>
      <c r="D64" s="182"/>
      <c r="E64" s="182"/>
      <c r="F64" s="182"/>
      <c r="G64" s="450" t="str">
        <f t="shared" si="0"/>
        <v>--</v>
      </c>
      <c r="H64" s="182"/>
      <c r="I64" s="440"/>
      <c r="J64" s="892"/>
      <c r="K64" s="259"/>
      <c r="L64" s="259" t="s">
        <v>46</v>
      </c>
      <c r="M64" s="893">
        <f>SUM(M61:M63)</f>
        <v>1</v>
      </c>
      <c r="N64" s="894"/>
      <c r="O64" s="894">
        <f>SUM(O61:O63)</f>
        <v>0</v>
      </c>
      <c r="P64" s="267" t="s">
        <v>207</v>
      </c>
      <c r="Q64" s="895">
        <v>1</v>
      </c>
      <c r="R64" s="114"/>
      <c r="S64" s="908" t="s">
        <v>199</v>
      </c>
      <c r="T64" s="895">
        <v>1</v>
      </c>
      <c r="U64" s="114"/>
      <c r="V64" s="114"/>
      <c r="W64" s="114"/>
      <c r="X64" s="114"/>
      <c r="Y64" s="114"/>
      <c r="Z64" s="114"/>
      <c r="AA64" s="884"/>
    </row>
    <row r="65" spans="3:27" x14ac:dyDescent="0.3">
      <c r="C65" s="450"/>
      <c r="D65" s="182"/>
      <c r="E65" s="182"/>
      <c r="F65" s="182"/>
      <c r="G65" s="450" t="str">
        <f t="shared" si="0"/>
        <v>--</v>
      </c>
      <c r="H65" s="182"/>
      <c r="I65" s="892"/>
      <c r="J65" s="892"/>
      <c r="K65" s="182"/>
      <c r="L65" s="182"/>
      <c r="M65" s="270"/>
      <c r="N65" s="892"/>
      <c r="O65" s="892"/>
      <c r="P65" s="267" t="s">
        <v>208</v>
      </c>
      <c r="Q65" s="895">
        <v>0</v>
      </c>
      <c r="R65" s="114"/>
      <c r="S65" s="909" t="s">
        <v>198</v>
      </c>
      <c r="T65" s="895">
        <v>1</v>
      </c>
      <c r="U65" s="114"/>
      <c r="V65" s="114"/>
      <c r="W65" s="114"/>
      <c r="X65" s="114"/>
      <c r="Y65" s="114"/>
      <c r="Z65" s="114"/>
      <c r="AA65" s="884"/>
    </row>
    <row r="66" spans="3:27" x14ac:dyDescent="0.3">
      <c r="C66" s="450"/>
      <c r="D66" s="182"/>
      <c r="E66" s="182"/>
      <c r="F66" s="182"/>
      <c r="G66" s="450" t="str">
        <f t="shared" si="0"/>
        <v>--</v>
      </c>
      <c r="H66" s="182"/>
      <c r="I66" s="892"/>
      <c r="J66" s="892"/>
      <c r="K66" s="182"/>
      <c r="L66" s="182"/>
      <c r="M66" s="270"/>
      <c r="N66" s="892"/>
      <c r="O66" s="892"/>
      <c r="P66" s="269" t="s">
        <v>209</v>
      </c>
      <c r="Q66" s="895">
        <v>0</v>
      </c>
      <c r="R66" s="114"/>
      <c r="S66" s="905" t="s">
        <v>197</v>
      </c>
      <c r="T66" s="895">
        <v>1</v>
      </c>
      <c r="U66" s="114"/>
      <c r="V66" s="114"/>
      <c r="W66" s="114"/>
      <c r="X66" s="114"/>
      <c r="Y66" s="114"/>
      <c r="Z66" s="114"/>
      <c r="AA66" s="884"/>
    </row>
    <row r="67" spans="3:27" x14ac:dyDescent="0.3">
      <c r="C67" s="450"/>
      <c r="D67" s="182"/>
      <c r="E67" s="182"/>
      <c r="F67" s="182"/>
      <c r="G67" s="450" t="str">
        <f t="shared" si="0"/>
        <v>--</v>
      </c>
      <c r="H67" s="182"/>
      <c r="I67" s="892"/>
      <c r="J67" s="892"/>
      <c r="K67" s="182"/>
      <c r="L67" s="182"/>
      <c r="M67" s="270"/>
      <c r="N67" s="892"/>
      <c r="O67" s="892"/>
      <c r="P67" s="269" t="s">
        <v>210</v>
      </c>
      <c r="Q67" s="895">
        <v>0</v>
      </c>
      <c r="R67" s="114"/>
      <c r="S67" s="114" t="s">
        <v>216</v>
      </c>
      <c r="T67" s="910">
        <f>(T61*55)+(T62*45)+(T63*35)+(T64*25)+(T65*15)+(T66*5)</f>
        <v>180</v>
      </c>
      <c r="U67" s="1393" t="s">
        <v>217</v>
      </c>
      <c r="V67" s="1393"/>
      <c r="W67" s="1393"/>
      <c r="X67" s="114"/>
      <c r="Y67" s="114"/>
      <c r="Z67" s="114"/>
      <c r="AA67" s="884"/>
    </row>
    <row r="68" spans="3:27" x14ac:dyDescent="0.3">
      <c r="C68" s="450"/>
      <c r="D68" s="182"/>
      <c r="E68" s="182"/>
      <c r="F68" s="182"/>
      <c r="G68" s="450" t="str">
        <f t="shared" si="0"/>
        <v>--</v>
      </c>
      <c r="H68" s="182"/>
      <c r="I68" s="892"/>
      <c r="J68" s="892"/>
      <c r="K68" s="182"/>
      <c r="L68" s="182"/>
      <c r="M68" s="270"/>
      <c r="N68" s="892"/>
      <c r="O68" s="892"/>
      <c r="P68" s="263" t="s">
        <v>46</v>
      </c>
      <c r="Q68" s="897">
        <f>SUM(Q61:Q67)</f>
        <v>1</v>
      </c>
      <c r="R68" s="899"/>
      <c r="S68" s="899"/>
      <c r="T68" s="899"/>
      <c r="U68" s="1394"/>
      <c r="V68" s="1394"/>
      <c r="W68" s="1394"/>
      <c r="X68" s="899"/>
      <c r="Y68" s="899"/>
      <c r="Z68" s="899"/>
      <c r="AA68" s="900"/>
    </row>
    <row r="69" spans="3:27" x14ac:dyDescent="0.3">
      <c r="C69" s="450"/>
      <c r="D69" s="182"/>
      <c r="E69" s="182"/>
      <c r="F69" s="182"/>
      <c r="G69" s="450" t="str">
        <f t="shared" si="0"/>
        <v>--</v>
      </c>
      <c r="H69" s="182"/>
      <c r="I69" s="892"/>
      <c r="J69" s="892"/>
      <c r="K69" s="182"/>
      <c r="L69" s="182"/>
      <c r="M69" s="270"/>
      <c r="N69" s="892"/>
      <c r="O69" s="892"/>
      <c r="P69" s="114"/>
      <c r="Q69" s="114"/>
      <c r="R69" s="114"/>
      <c r="S69" s="114"/>
      <c r="T69" s="114"/>
      <c r="U69" s="114"/>
      <c r="V69" s="114"/>
      <c r="W69" s="114"/>
      <c r="X69" s="270"/>
      <c r="Y69" s="270"/>
      <c r="Z69" s="270"/>
      <c r="AA69" s="270"/>
    </row>
    <row r="70" spans="3:27" x14ac:dyDescent="0.3">
      <c r="C70" s="450"/>
      <c r="D70" s="182"/>
      <c r="E70" s="182"/>
      <c r="F70" s="182"/>
      <c r="G70" s="450" t="str">
        <f t="shared" si="0"/>
        <v>--</v>
      </c>
      <c r="H70" s="182"/>
      <c r="I70" s="892"/>
      <c r="J70" s="892"/>
      <c r="K70" s="182"/>
      <c r="L70" s="182"/>
      <c r="M70" s="270"/>
      <c r="N70" s="892"/>
      <c r="O70" s="892"/>
      <c r="P70" s="268" t="s">
        <v>174</v>
      </c>
      <c r="Q70" s="911"/>
      <c r="R70" s="872"/>
      <c r="S70" s="874"/>
      <c r="T70" s="270"/>
      <c r="U70" s="270"/>
      <c r="V70" s="270"/>
      <c r="W70" s="270"/>
      <c r="X70" s="270"/>
      <c r="Y70" s="270"/>
      <c r="Z70" s="270"/>
      <c r="AA70" s="270"/>
    </row>
    <row r="71" spans="3:27" ht="15" thickBot="1" x14ac:dyDescent="0.35">
      <c r="C71" s="450"/>
      <c r="D71" s="182"/>
      <c r="E71" s="182"/>
      <c r="F71" s="182"/>
      <c r="G71" s="450" t="str">
        <f t="shared" si="0"/>
        <v>--</v>
      </c>
      <c r="H71" s="182"/>
      <c r="I71" s="892"/>
      <c r="J71" s="892"/>
      <c r="K71" s="182"/>
      <c r="L71" s="182"/>
      <c r="M71" s="870" t="s">
        <v>155</v>
      </c>
      <c r="N71" s="870" t="s">
        <v>188</v>
      </c>
      <c r="O71" s="870"/>
      <c r="P71" s="273" t="s">
        <v>220</v>
      </c>
      <c r="Q71" s="871" t="s">
        <v>155</v>
      </c>
      <c r="R71" s="114"/>
      <c r="S71" s="884"/>
      <c r="T71" s="270"/>
      <c r="U71" s="270"/>
      <c r="V71" s="270"/>
      <c r="W71" s="270"/>
      <c r="X71" s="270"/>
      <c r="Y71" s="270"/>
      <c r="Z71" s="270"/>
      <c r="AA71" s="270"/>
    </row>
    <row r="72" spans="3:27" ht="15" thickBot="1" x14ac:dyDescent="0.35">
      <c r="C72" s="566" t="s">
        <v>84</v>
      </c>
      <c r="D72" s="875" t="str">
        <f>VLOOKUP(C72,'Airport Mapping'!$C$5:$D$39,2,FALSE)</f>
        <v xml:space="preserve"> </v>
      </c>
      <c r="E72" s="567" t="s">
        <v>38</v>
      </c>
      <c r="F72" s="567" t="s">
        <v>20</v>
      </c>
      <c r="G72" s="450" t="str">
        <f t="shared" si="0"/>
        <v>Terminal A-Food Service-Ice machines</v>
      </c>
      <c r="H72" s="567" t="s">
        <v>19</v>
      </c>
      <c r="I72" s="877" t="s">
        <v>64</v>
      </c>
      <c r="J72" s="878">
        <f>SUMIFS('Level of Efficiency Assumptions'!J:J,'Level of Efficiency Assumptions'!D:D,E72,'Level of Efficiency Assumptions'!F:F,F72,'Level of Efficiency Assumptions'!I:I,I72)</f>
        <v>1.5</v>
      </c>
      <c r="K72" s="383" t="s">
        <v>220</v>
      </c>
      <c r="L72" s="253" t="s">
        <v>64</v>
      </c>
      <c r="M72" s="879">
        <f>SUM(Q72:Q74)</f>
        <v>0</v>
      </c>
      <c r="N72" s="880">
        <f>IFERROR(M72/M75,"-")</f>
        <v>0</v>
      </c>
      <c r="O72" s="881">
        <f>SUMIFS('Data Entry'!R:R,'Data Entry'!K:K,G72)</f>
        <v>0</v>
      </c>
      <c r="P72" s="266" t="s">
        <v>204</v>
      </c>
      <c r="Q72" s="895">
        <v>0</v>
      </c>
      <c r="R72" s="114"/>
      <c r="S72" s="884"/>
      <c r="T72" s="270"/>
      <c r="U72" s="270"/>
      <c r="V72" s="270"/>
      <c r="W72" s="912"/>
      <c r="X72" s="270"/>
      <c r="Y72" s="270"/>
      <c r="Z72" s="270"/>
      <c r="AA72" s="270"/>
    </row>
    <row r="73" spans="3:27" ht="15" thickBot="1" x14ac:dyDescent="0.35">
      <c r="C73" s="494" t="s">
        <v>84</v>
      </c>
      <c r="D73" s="577"/>
      <c r="E73" s="577" t="s">
        <v>38</v>
      </c>
      <c r="F73" s="577" t="s">
        <v>20</v>
      </c>
      <c r="G73" s="450" t="str">
        <f t="shared" si="0"/>
        <v>Terminal A-Food Service-Ice machines</v>
      </c>
      <c r="H73" s="577"/>
      <c r="I73" s="887" t="s">
        <v>65</v>
      </c>
      <c r="J73" s="878">
        <f>SUMIFS('Level of Efficiency Assumptions'!J:J,'Level of Efficiency Assumptions'!D:D,E73,'Level of Efficiency Assumptions'!F:F,F73,'Level of Efficiency Assumptions'!I:I,I73)</f>
        <v>0.25</v>
      </c>
      <c r="K73" s="383" t="s">
        <v>220</v>
      </c>
      <c r="L73" s="255" t="s">
        <v>65</v>
      </c>
      <c r="M73" s="879">
        <f>Q75+Q76</f>
        <v>1</v>
      </c>
      <c r="N73" s="880">
        <f>IFERROR(M73/M75,"-")</f>
        <v>1</v>
      </c>
      <c r="O73" s="881">
        <f>SUMIFS('Data Entry'!S:S,'Data Entry'!K:K,G73)</f>
        <v>0</v>
      </c>
      <c r="P73" s="272" t="s">
        <v>205</v>
      </c>
      <c r="Q73" s="895">
        <v>0</v>
      </c>
      <c r="R73" s="114"/>
      <c r="S73" s="884"/>
      <c r="T73" s="270"/>
      <c r="U73" s="270"/>
      <c r="V73" s="270"/>
      <c r="W73" s="912"/>
      <c r="X73" s="270"/>
      <c r="Y73" s="270"/>
      <c r="Z73" s="270"/>
      <c r="AA73" s="270"/>
    </row>
    <row r="74" spans="3:27" ht="15" thickBot="1" x14ac:dyDescent="0.35">
      <c r="C74" s="501" t="s">
        <v>84</v>
      </c>
      <c r="D74" s="116"/>
      <c r="E74" s="116" t="s">
        <v>38</v>
      </c>
      <c r="F74" s="116" t="s">
        <v>20</v>
      </c>
      <c r="G74" s="450" t="str">
        <f t="shared" si="0"/>
        <v>Terminal A-Food Service-Ice machines</v>
      </c>
      <c r="H74" s="116"/>
      <c r="I74" s="889" t="s">
        <v>66</v>
      </c>
      <c r="J74" s="890">
        <f>SUMIFS('Level of Efficiency Assumptions'!J:J,'Level of Efficiency Assumptions'!D:D,E74,'Level of Efficiency Assumptions'!F:F,F74,'Level of Efficiency Assumptions'!I:I,I74)</f>
        <v>0.12</v>
      </c>
      <c r="K74" s="383" t="s">
        <v>220</v>
      </c>
      <c r="L74" s="257" t="s">
        <v>66</v>
      </c>
      <c r="M74" s="879">
        <f>Q77+Q78</f>
        <v>0</v>
      </c>
      <c r="N74" s="880">
        <f>IFERROR(M74/M75,"-")</f>
        <v>0</v>
      </c>
      <c r="O74" s="881">
        <f>SUMIFS('Data Entry'!T:T,'Data Entry'!K:K,G74)</f>
        <v>0</v>
      </c>
      <c r="P74" s="272" t="s">
        <v>206</v>
      </c>
      <c r="Q74" s="895">
        <v>0</v>
      </c>
      <c r="R74" s="114"/>
      <c r="S74" s="884"/>
      <c r="T74" s="270"/>
      <c r="U74" s="270"/>
      <c r="V74" s="270"/>
      <c r="W74" s="280"/>
      <c r="X74" s="270"/>
      <c r="Y74" s="270"/>
      <c r="Z74" s="270"/>
      <c r="AA74" s="270"/>
    </row>
    <row r="75" spans="3:27" x14ac:dyDescent="0.3">
      <c r="C75" s="450"/>
      <c r="D75" s="182"/>
      <c r="E75" s="182"/>
      <c r="F75" s="182"/>
      <c r="G75" s="450" t="str">
        <f t="shared" si="0"/>
        <v>--</v>
      </c>
      <c r="H75" s="182"/>
      <c r="I75" s="440"/>
      <c r="J75" s="892"/>
      <c r="K75" s="259"/>
      <c r="L75" s="259" t="s">
        <v>46</v>
      </c>
      <c r="M75" s="893">
        <f>SUM(M72:M74)</f>
        <v>1</v>
      </c>
      <c r="N75" s="894"/>
      <c r="O75" s="894">
        <f>SUM(O72:O74)</f>
        <v>0</v>
      </c>
      <c r="P75" s="274" t="s">
        <v>228</v>
      </c>
      <c r="Q75" s="895">
        <v>1</v>
      </c>
      <c r="R75" s="114"/>
      <c r="S75" s="884"/>
      <c r="T75" s="270"/>
      <c r="U75" s="270"/>
      <c r="V75" s="270"/>
      <c r="W75" s="270"/>
      <c r="X75" s="270"/>
      <c r="Y75" s="270"/>
      <c r="Z75" s="270"/>
      <c r="AA75" s="270"/>
    </row>
    <row r="76" spans="3:27" x14ac:dyDescent="0.3">
      <c r="C76" s="450"/>
      <c r="D76" s="182"/>
      <c r="E76" s="182"/>
      <c r="F76" s="182"/>
      <c r="G76" s="450" t="str">
        <f t="shared" si="0"/>
        <v>--</v>
      </c>
      <c r="H76" s="182"/>
      <c r="I76" s="892"/>
      <c r="J76" s="892"/>
      <c r="K76" s="182"/>
      <c r="L76" s="182"/>
      <c r="M76" s="270"/>
      <c r="N76" s="892"/>
      <c r="O76" s="892"/>
      <c r="P76" s="274" t="s">
        <v>227</v>
      </c>
      <c r="Q76" s="895">
        <v>0</v>
      </c>
      <c r="R76" s="114"/>
      <c r="S76" s="884"/>
      <c r="T76" s="270"/>
      <c r="U76" s="270"/>
      <c r="V76" s="270"/>
      <c r="W76" s="270"/>
      <c r="X76" s="270"/>
      <c r="Y76" s="270"/>
      <c r="Z76" s="270"/>
      <c r="AA76" s="270"/>
    </row>
    <row r="77" spans="3:27" x14ac:dyDescent="0.3">
      <c r="C77" s="450"/>
      <c r="D77" s="182"/>
      <c r="E77" s="182"/>
      <c r="F77" s="182"/>
      <c r="G77" s="450" t="str">
        <f t="shared" si="0"/>
        <v>--</v>
      </c>
      <c r="H77" s="182"/>
      <c r="I77" s="892"/>
      <c r="J77" s="892"/>
      <c r="K77" s="182"/>
      <c r="L77" s="182"/>
      <c r="M77" s="270"/>
      <c r="N77" s="892"/>
      <c r="O77" s="892"/>
      <c r="P77" s="275" t="s">
        <v>226</v>
      </c>
      <c r="Q77" s="895">
        <v>0</v>
      </c>
      <c r="R77" s="114"/>
      <c r="S77" s="884"/>
      <c r="T77" s="270"/>
      <c r="U77" s="270"/>
      <c r="V77" s="270"/>
      <c r="W77" s="270"/>
      <c r="X77" s="270"/>
      <c r="Y77" s="270"/>
      <c r="Z77" s="270"/>
      <c r="AA77" s="270"/>
    </row>
    <row r="78" spans="3:27" x14ac:dyDescent="0.3">
      <c r="C78" s="450"/>
      <c r="D78" s="182"/>
      <c r="E78" s="182"/>
      <c r="F78" s="182"/>
      <c r="G78" s="450" t="str">
        <f t="shared" si="0"/>
        <v>--</v>
      </c>
      <c r="H78" s="182"/>
      <c r="I78" s="892"/>
      <c r="J78" s="892"/>
      <c r="K78" s="182"/>
      <c r="L78" s="182"/>
      <c r="M78" s="270"/>
      <c r="N78" s="892"/>
      <c r="O78" s="892"/>
      <c r="P78" s="269" t="s">
        <v>225</v>
      </c>
      <c r="Q78" s="895">
        <v>0</v>
      </c>
      <c r="R78" s="114"/>
      <c r="S78" s="884"/>
      <c r="T78" s="270"/>
      <c r="U78" s="270"/>
      <c r="V78" s="270"/>
      <c r="W78" s="270"/>
      <c r="X78" s="270"/>
      <c r="Y78" s="270"/>
      <c r="Z78" s="270"/>
      <c r="AA78" s="270"/>
    </row>
    <row r="79" spans="3:27" x14ac:dyDescent="0.3">
      <c r="C79" s="450"/>
      <c r="D79" s="182"/>
      <c r="E79" s="182"/>
      <c r="F79" s="182"/>
      <c r="G79" s="450" t="str">
        <f t="shared" ref="G79:G123" si="1">C79&amp;"-"&amp;E79&amp;"-"&amp;F79</f>
        <v>--</v>
      </c>
      <c r="H79" s="182"/>
      <c r="I79" s="892"/>
      <c r="J79" s="892"/>
      <c r="K79" s="182"/>
      <c r="L79" s="182"/>
      <c r="M79" s="270"/>
      <c r="N79" s="892"/>
      <c r="O79" s="892"/>
      <c r="P79" s="263" t="s">
        <v>46</v>
      </c>
      <c r="Q79" s="897">
        <f>SUM(Q72:Q78)</f>
        <v>1</v>
      </c>
      <c r="R79" s="899"/>
      <c r="S79" s="900"/>
      <c r="T79" s="270"/>
      <c r="U79" s="270"/>
      <c r="V79" s="270"/>
      <c r="W79" s="270"/>
      <c r="X79" s="270"/>
      <c r="Y79" s="270"/>
      <c r="Z79" s="270"/>
      <c r="AA79" s="270"/>
    </row>
    <row r="80" spans="3:27" x14ac:dyDescent="0.3">
      <c r="C80" s="450"/>
      <c r="D80" s="182"/>
      <c r="E80" s="182"/>
      <c r="F80" s="182"/>
      <c r="G80" s="450" t="str">
        <f t="shared" si="1"/>
        <v>--</v>
      </c>
      <c r="H80" s="182"/>
      <c r="I80" s="892"/>
      <c r="J80" s="892"/>
      <c r="K80" s="182"/>
      <c r="L80" s="182"/>
      <c r="M80" s="270"/>
      <c r="N80" s="892"/>
      <c r="O80" s="892"/>
      <c r="P80" s="270"/>
      <c r="Q80" s="270"/>
      <c r="R80" s="270"/>
      <c r="S80" s="270"/>
      <c r="T80" s="270"/>
      <c r="U80" s="270"/>
      <c r="V80" s="270"/>
      <c r="W80" s="270"/>
      <c r="X80" s="270"/>
      <c r="Y80" s="270"/>
      <c r="Z80" s="270"/>
      <c r="AA80" s="270"/>
    </row>
    <row r="81" spans="3:27" x14ac:dyDescent="0.3">
      <c r="C81" s="450"/>
      <c r="D81" s="182"/>
      <c r="E81" s="182"/>
      <c r="F81" s="182"/>
      <c r="G81" s="450" t="str">
        <f t="shared" si="1"/>
        <v>--</v>
      </c>
      <c r="H81" s="182"/>
      <c r="I81" s="892"/>
      <c r="J81" s="892"/>
      <c r="K81" s="182"/>
      <c r="L81" s="182"/>
      <c r="M81" s="270"/>
      <c r="N81" s="892"/>
      <c r="O81" s="892"/>
      <c r="P81" s="276" t="s">
        <v>42</v>
      </c>
      <c r="Q81" s="902"/>
      <c r="R81" s="913"/>
      <c r="S81" s="874"/>
      <c r="T81" s="914"/>
      <c r="U81" s="114"/>
      <c r="V81" s="114"/>
      <c r="W81" s="114"/>
      <c r="X81" s="270"/>
      <c r="Y81" s="270"/>
      <c r="Z81" s="270"/>
      <c r="AA81" s="270"/>
    </row>
    <row r="82" spans="3:27" ht="15" thickBot="1" x14ac:dyDescent="0.35">
      <c r="C82" s="450"/>
      <c r="D82" s="182"/>
      <c r="E82" s="182"/>
      <c r="F82" s="182"/>
      <c r="G82" s="450" t="str">
        <f t="shared" si="1"/>
        <v>--</v>
      </c>
      <c r="H82" s="182"/>
      <c r="I82" s="892"/>
      <c r="J82" s="892"/>
      <c r="K82" s="182"/>
      <c r="L82" s="182"/>
      <c r="M82" s="870" t="s">
        <v>155</v>
      </c>
      <c r="N82" s="870" t="s">
        <v>188</v>
      </c>
      <c r="O82" s="870"/>
      <c r="P82" s="277" t="s">
        <v>818</v>
      </c>
      <c r="Q82" s="871" t="s">
        <v>155</v>
      </c>
      <c r="R82" s="271"/>
      <c r="S82" s="884"/>
      <c r="T82" s="271"/>
      <c r="U82" s="114"/>
      <c r="V82" s="114"/>
      <c r="W82" s="114"/>
      <c r="X82" s="270"/>
      <c r="Y82" s="270"/>
      <c r="Z82" s="270"/>
      <c r="AA82" s="270"/>
    </row>
    <row r="83" spans="3:27" ht="15" thickBot="1" x14ac:dyDescent="0.35">
      <c r="C83" s="566" t="s">
        <v>84</v>
      </c>
      <c r="D83" s="875" t="str">
        <f>VLOOKUP(C83,'Airport Mapping'!$C$5:$D$39,2,FALSE)</f>
        <v xml:space="preserve"> </v>
      </c>
      <c r="E83" s="567" t="s">
        <v>39</v>
      </c>
      <c r="F83" s="567" t="s">
        <v>42</v>
      </c>
      <c r="G83" s="450" t="str">
        <f t="shared" si="1"/>
        <v>Terminal A-Landscaping-Outdoor irrigation</v>
      </c>
      <c r="H83" s="567" t="s">
        <v>32</v>
      </c>
      <c r="I83" s="877" t="s">
        <v>64</v>
      </c>
      <c r="J83" s="878">
        <f>SUMIFS('Level of Efficiency Assumptions'!J:J,'Level of Efficiency Assumptions'!D:D,E83,'Level of Efficiency Assumptions'!F:F,F83,'Level of Efficiency Assumptions'!I:I,I83)</f>
        <v>28.6</v>
      </c>
      <c r="K83" s="383" t="s">
        <v>816</v>
      </c>
      <c r="L83" s="253" t="s">
        <v>64</v>
      </c>
      <c r="M83" s="879">
        <f>SUM(Q83:Q84)</f>
        <v>0</v>
      </c>
      <c r="N83" s="880">
        <f>IFERROR(M83/M86,"-")</f>
        <v>0</v>
      </c>
      <c r="O83" s="881">
        <f>SUMIFS('Data Entry'!R:R,'Data Entry'!K:K,G83)</f>
        <v>0</v>
      </c>
      <c r="P83" s="272" t="s">
        <v>237</v>
      </c>
      <c r="Q83" s="895">
        <v>0</v>
      </c>
      <c r="R83" s="271"/>
      <c r="S83" s="884"/>
      <c r="T83" s="914"/>
      <c r="U83" s="114"/>
      <c r="V83" s="114"/>
      <c r="W83" s="114"/>
      <c r="X83" s="270"/>
      <c r="Y83" s="270"/>
      <c r="Z83" s="270"/>
      <c r="AA83" s="270"/>
    </row>
    <row r="84" spans="3:27" ht="15" thickBot="1" x14ac:dyDescent="0.35">
      <c r="C84" s="494" t="s">
        <v>84</v>
      </c>
      <c r="D84" s="577"/>
      <c r="E84" s="577" t="s">
        <v>39</v>
      </c>
      <c r="F84" s="577" t="s">
        <v>42</v>
      </c>
      <c r="G84" s="450" t="str">
        <f t="shared" si="1"/>
        <v>Terminal A-Landscaping-Outdoor irrigation</v>
      </c>
      <c r="H84" s="577"/>
      <c r="I84" s="887" t="s">
        <v>65</v>
      </c>
      <c r="J84" s="878">
        <f>SUMIFS('Level of Efficiency Assumptions'!J:J,'Level of Efficiency Assumptions'!D:D,E84,'Level of Efficiency Assumptions'!F:F,F84,'Level of Efficiency Assumptions'!I:I,I84)</f>
        <v>13.980821518350929</v>
      </c>
      <c r="K84" s="383" t="s">
        <v>816</v>
      </c>
      <c r="L84" s="255" t="s">
        <v>65</v>
      </c>
      <c r="M84" s="879">
        <f>Q85+Q86</f>
        <v>1</v>
      </c>
      <c r="N84" s="880">
        <f>IFERROR(M84/M86,"-")</f>
        <v>1</v>
      </c>
      <c r="O84" s="881">
        <f>SUMIFS('Data Entry'!S:S,'Data Entry'!K:K,G84)</f>
        <v>0</v>
      </c>
      <c r="P84" s="272" t="s">
        <v>232</v>
      </c>
      <c r="Q84" s="895">
        <v>0</v>
      </c>
      <c r="R84" s="914"/>
      <c r="S84" s="884"/>
      <c r="T84" s="271"/>
      <c r="U84" s="114"/>
      <c r="V84" s="114"/>
      <c r="W84" s="114"/>
      <c r="X84" s="270"/>
      <c r="Y84" s="270"/>
      <c r="Z84" s="270"/>
      <c r="AA84" s="270"/>
    </row>
    <row r="85" spans="3:27" ht="15" thickBot="1" x14ac:dyDescent="0.35">
      <c r="C85" s="501" t="s">
        <v>84</v>
      </c>
      <c r="D85" s="116"/>
      <c r="E85" s="116" t="s">
        <v>39</v>
      </c>
      <c r="F85" s="116" t="s">
        <v>42</v>
      </c>
      <c r="G85" s="450" t="str">
        <f t="shared" si="1"/>
        <v>Terminal A-Landscaping-Outdoor irrigation</v>
      </c>
      <c r="H85" s="116"/>
      <c r="I85" s="889" t="s">
        <v>66</v>
      </c>
      <c r="J85" s="890">
        <f>SUMIFS('Level of Efficiency Assumptions'!J:J,'Level of Efficiency Assumptions'!D:D,E85,'Level of Efficiency Assumptions'!F:F,F85,'Level of Efficiency Assumptions'!I:I,I85)</f>
        <v>0.59137254901960778</v>
      </c>
      <c r="K85" s="383" t="s">
        <v>816</v>
      </c>
      <c r="L85" s="257" t="s">
        <v>66</v>
      </c>
      <c r="M85" s="879">
        <f>Q87+Q88</f>
        <v>0</v>
      </c>
      <c r="N85" s="880">
        <f>IFERROR(M85/M86,"-")</f>
        <v>0</v>
      </c>
      <c r="O85" s="881">
        <f>SUMIFS('Data Entry'!T:T,'Data Entry'!K:K,G85)</f>
        <v>0</v>
      </c>
      <c r="P85" s="274" t="s">
        <v>231</v>
      </c>
      <c r="Q85" s="895">
        <v>1</v>
      </c>
      <c r="R85" s="271"/>
      <c r="S85" s="884"/>
      <c r="T85" s="271"/>
      <c r="U85" s="114"/>
      <c r="V85" s="114"/>
      <c r="W85" s="114"/>
      <c r="X85" s="270"/>
      <c r="Y85" s="270"/>
      <c r="Z85" s="270"/>
      <c r="AA85" s="270"/>
    </row>
    <row r="86" spans="3:27" x14ac:dyDescent="0.3">
      <c r="C86" s="450"/>
      <c r="D86" s="182"/>
      <c r="E86" s="182"/>
      <c r="F86" s="182"/>
      <c r="G86" s="450" t="str">
        <f t="shared" si="1"/>
        <v>--</v>
      </c>
      <c r="H86" s="182"/>
      <c r="I86" s="440"/>
      <c r="J86" s="892"/>
      <c r="K86" s="259"/>
      <c r="L86" s="259" t="s">
        <v>46</v>
      </c>
      <c r="M86" s="893">
        <f>SUM(M83:M85)</f>
        <v>1</v>
      </c>
      <c r="N86" s="894"/>
      <c r="O86" s="894">
        <f>SUM(O83:O85)</f>
        <v>0</v>
      </c>
      <c r="P86" s="274" t="s">
        <v>230</v>
      </c>
      <c r="Q86" s="895">
        <v>0</v>
      </c>
      <c r="R86" s="914"/>
      <c r="S86" s="884"/>
      <c r="T86" s="271"/>
      <c r="U86" s="114"/>
      <c r="V86" s="114"/>
      <c r="W86" s="114"/>
      <c r="X86" s="270"/>
      <c r="Y86" s="270"/>
      <c r="Z86" s="270"/>
      <c r="AA86" s="270"/>
    </row>
    <row r="87" spans="3:27" x14ac:dyDescent="0.3">
      <c r="C87" s="450"/>
      <c r="D87" s="182"/>
      <c r="E87" s="182"/>
      <c r="F87" s="182"/>
      <c r="G87" s="450" t="str">
        <f t="shared" si="1"/>
        <v>--</v>
      </c>
      <c r="H87" s="182"/>
      <c r="I87" s="892"/>
      <c r="J87" s="892"/>
      <c r="K87" s="182"/>
      <c r="L87" s="182"/>
      <c r="M87" s="270"/>
      <c r="N87" s="892"/>
      <c r="O87" s="892"/>
      <c r="P87" s="275" t="s">
        <v>229</v>
      </c>
      <c r="Q87" s="895">
        <v>0</v>
      </c>
      <c r="R87" s="271"/>
      <c r="S87" s="884"/>
      <c r="T87" s="271"/>
      <c r="U87" s="114"/>
      <c r="V87" s="114"/>
      <c r="W87" s="114"/>
      <c r="X87" s="270"/>
      <c r="Y87" s="270"/>
      <c r="Z87" s="270"/>
      <c r="AA87" s="270"/>
    </row>
    <row r="88" spans="3:27" x14ac:dyDescent="0.3">
      <c r="C88" s="450"/>
      <c r="D88" s="182"/>
      <c r="E88" s="182"/>
      <c r="F88" s="182"/>
      <c r="G88" s="450" t="str">
        <f t="shared" si="1"/>
        <v>--</v>
      </c>
      <c r="H88" s="182"/>
      <c r="I88" s="892"/>
      <c r="J88" s="892"/>
      <c r="K88" s="182"/>
      <c r="L88" s="182"/>
      <c r="M88" s="270"/>
      <c r="N88" s="892"/>
      <c r="O88" s="892"/>
      <c r="P88" s="269" t="s">
        <v>225</v>
      </c>
      <c r="Q88" s="895">
        <v>0</v>
      </c>
      <c r="R88" s="914"/>
      <c r="S88" s="884"/>
      <c r="T88" s="271"/>
      <c r="U88" s="114"/>
      <c r="V88" s="114"/>
      <c r="W88" s="114"/>
      <c r="X88" s="270"/>
      <c r="Y88" s="270"/>
      <c r="Z88" s="270"/>
      <c r="AA88" s="270"/>
    </row>
    <row r="89" spans="3:27" x14ac:dyDescent="0.3">
      <c r="C89" s="450"/>
      <c r="D89" s="182"/>
      <c r="E89" s="182"/>
      <c r="F89" s="182"/>
      <c r="G89" s="450" t="str">
        <f t="shared" si="1"/>
        <v>--</v>
      </c>
      <c r="H89" s="182"/>
      <c r="I89" s="892"/>
      <c r="J89" s="892"/>
      <c r="K89" s="182"/>
      <c r="L89" s="182"/>
      <c r="M89" s="270"/>
      <c r="N89" s="892"/>
      <c r="O89" s="892"/>
      <c r="P89" s="263" t="s">
        <v>46</v>
      </c>
      <c r="Q89" s="897">
        <f>SUM(Q83:Q88)</f>
        <v>1</v>
      </c>
      <c r="R89" s="915"/>
      <c r="S89" s="900"/>
      <c r="T89" s="271"/>
      <c r="U89" s="114"/>
      <c r="V89" s="114"/>
      <c r="W89" s="114"/>
      <c r="X89" s="270"/>
      <c r="Y89" s="270"/>
      <c r="Z89" s="270"/>
      <c r="AA89" s="270"/>
    </row>
    <row r="90" spans="3:27" x14ac:dyDescent="0.3">
      <c r="C90" s="450"/>
      <c r="D90" s="182"/>
      <c r="E90" s="182"/>
      <c r="F90" s="182"/>
      <c r="G90" s="450" t="str">
        <f t="shared" si="1"/>
        <v>--</v>
      </c>
      <c r="H90" s="182"/>
      <c r="I90" s="892"/>
      <c r="J90" s="892"/>
      <c r="K90" s="182"/>
      <c r="L90" s="182"/>
      <c r="M90" s="270"/>
      <c r="N90" s="892"/>
      <c r="O90" s="892"/>
      <c r="P90" s="270"/>
      <c r="Q90" s="270"/>
      <c r="R90" s="270"/>
      <c r="S90" s="270"/>
      <c r="T90" s="270"/>
      <c r="U90" s="270"/>
      <c r="V90" s="270"/>
      <c r="W90" s="270"/>
      <c r="X90" s="270"/>
      <c r="Y90" s="270"/>
      <c r="Z90" s="270"/>
      <c r="AA90" s="270"/>
    </row>
    <row r="91" spans="3:27" ht="15" thickBot="1" x14ac:dyDescent="0.35">
      <c r="C91" s="450"/>
      <c r="D91" s="182"/>
      <c r="E91" s="182"/>
      <c r="F91" s="182"/>
      <c r="G91" s="450" t="str">
        <f t="shared" si="1"/>
        <v>--</v>
      </c>
      <c r="H91" s="182"/>
      <c r="I91" s="892"/>
      <c r="J91" s="892"/>
      <c r="K91" s="182"/>
      <c r="L91" s="182"/>
      <c r="M91" s="870" t="s">
        <v>155</v>
      </c>
      <c r="N91" s="870" t="s">
        <v>188</v>
      </c>
      <c r="O91" s="870"/>
      <c r="P91" s="276" t="s">
        <v>111</v>
      </c>
      <c r="Q91" s="871" t="s">
        <v>155</v>
      </c>
      <c r="R91" s="902"/>
      <c r="S91" s="874"/>
      <c r="T91" s="270"/>
      <c r="U91" s="270"/>
      <c r="V91" s="270"/>
      <c r="W91" s="270"/>
      <c r="X91" s="270"/>
      <c r="Y91" s="270"/>
      <c r="Z91" s="270"/>
      <c r="AA91" s="270"/>
    </row>
    <row r="92" spans="3:27" ht="15" thickBot="1" x14ac:dyDescent="0.35">
      <c r="C92" s="566" t="s">
        <v>84</v>
      </c>
      <c r="D92" s="875" t="str">
        <f>VLOOKUP(C92,'Airport Mapping'!$C$5:$D$39,2,FALSE)</f>
        <v xml:space="preserve"> </v>
      </c>
      <c r="E92" s="567" t="s">
        <v>43</v>
      </c>
      <c r="F92" s="567" t="s">
        <v>111</v>
      </c>
      <c r="G92" s="450" t="str">
        <f t="shared" si="1"/>
        <v>Terminal A-Maintenance-Boiler</v>
      </c>
      <c r="H92" s="567" t="s">
        <v>424</v>
      </c>
      <c r="I92" s="877" t="s">
        <v>64</v>
      </c>
      <c r="J92" s="878">
        <f>SUMIFS('Level of Efficiency Assumptions'!J:J,'Level of Efficiency Assumptions'!D:D,E92,'Level of Efficiency Assumptions'!F:F,F92,'Level of Efficiency Assumptions'!I:I,I92)</f>
        <v>100</v>
      </c>
      <c r="K92" s="383" t="s">
        <v>585</v>
      </c>
      <c r="L92" s="253" t="s">
        <v>64</v>
      </c>
      <c r="M92" s="879">
        <f>SUM(Q92:Q93)</f>
        <v>0</v>
      </c>
      <c r="N92" s="880">
        <f>IFERROR(M92/M95,"-")</f>
        <v>0</v>
      </c>
      <c r="O92" s="881">
        <f>SUMIFS('Data Entry'!R:R,'Data Entry'!K:K,G92)</f>
        <v>0</v>
      </c>
      <c r="P92" s="272"/>
      <c r="Q92" s="895">
        <v>0</v>
      </c>
      <c r="R92" s="114"/>
      <c r="S92" s="884"/>
      <c r="T92" s="270"/>
      <c r="U92" s="270"/>
      <c r="V92" s="270"/>
      <c r="W92" s="270"/>
      <c r="X92" s="270"/>
      <c r="Y92" s="270"/>
      <c r="Z92" s="270"/>
      <c r="AA92" s="270"/>
    </row>
    <row r="93" spans="3:27" ht="15" thickBot="1" x14ac:dyDescent="0.35">
      <c r="C93" s="494" t="s">
        <v>84</v>
      </c>
      <c r="D93" s="577"/>
      <c r="E93" s="577" t="s">
        <v>43</v>
      </c>
      <c r="F93" s="577" t="s">
        <v>111</v>
      </c>
      <c r="G93" s="450" t="str">
        <f t="shared" si="1"/>
        <v>Terminal A-Maintenance-Boiler</v>
      </c>
      <c r="H93" s="577"/>
      <c r="I93" s="887" t="s">
        <v>65</v>
      </c>
      <c r="J93" s="878">
        <f>SUMIFS('Level of Efficiency Assumptions'!J:J,'Level of Efficiency Assumptions'!D:D,E93,'Level of Efficiency Assumptions'!F:F,F93,'Level of Efficiency Assumptions'!I:I,I93)</f>
        <v>75</v>
      </c>
      <c r="K93" s="383" t="s">
        <v>585</v>
      </c>
      <c r="L93" s="255" t="s">
        <v>65</v>
      </c>
      <c r="M93" s="879">
        <f>Q94+Q95</f>
        <v>1</v>
      </c>
      <c r="N93" s="880">
        <f>IFERROR(M93/M95,"-")</f>
        <v>1</v>
      </c>
      <c r="O93" s="881">
        <f>SUMIFS('Data Entry'!S:S,'Data Entry'!K:K,G93)</f>
        <v>0</v>
      </c>
      <c r="P93" s="272"/>
      <c r="Q93" s="895">
        <v>0</v>
      </c>
      <c r="R93" s="114"/>
      <c r="S93" s="884"/>
      <c r="T93" s="270"/>
      <c r="U93" s="270"/>
      <c r="V93" s="270"/>
      <c r="W93" s="270"/>
      <c r="X93" s="270"/>
      <c r="Y93" s="270"/>
      <c r="Z93" s="270"/>
      <c r="AA93" s="270"/>
    </row>
    <row r="94" spans="3:27" ht="15" thickBot="1" x14ac:dyDescent="0.35">
      <c r="C94" s="501" t="s">
        <v>84</v>
      </c>
      <c r="D94" s="116"/>
      <c r="E94" s="116" t="s">
        <v>43</v>
      </c>
      <c r="F94" s="116" t="s">
        <v>111</v>
      </c>
      <c r="G94" s="450" t="str">
        <f t="shared" si="1"/>
        <v>Terminal A-Maintenance-Boiler</v>
      </c>
      <c r="H94" s="116"/>
      <c r="I94" s="889" t="s">
        <v>66</v>
      </c>
      <c r="J94" s="890">
        <f>SUMIFS('Level of Efficiency Assumptions'!J:J,'Level of Efficiency Assumptions'!D:D,E94,'Level of Efficiency Assumptions'!F:F,F94,'Level of Efficiency Assumptions'!I:I,I94)</f>
        <v>50</v>
      </c>
      <c r="K94" s="383" t="s">
        <v>585</v>
      </c>
      <c r="L94" s="257" t="s">
        <v>66</v>
      </c>
      <c r="M94" s="879">
        <f>Q96+Q97</f>
        <v>0</v>
      </c>
      <c r="N94" s="880">
        <f>IFERROR(M94/M95,"-")</f>
        <v>0</v>
      </c>
      <c r="O94" s="881">
        <f>SUMIFS('Data Entry'!T:T,'Data Entry'!K:K,G94)</f>
        <v>0</v>
      </c>
      <c r="P94" s="274"/>
      <c r="Q94" s="895">
        <v>1</v>
      </c>
      <c r="R94" s="114"/>
      <c r="S94" s="884"/>
      <c r="T94" s="270"/>
      <c r="U94" s="270"/>
      <c r="V94" s="270"/>
      <c r="W94" s="270"/>
      <c r="X94" s="270"/>
      <c r="Y94" s="270"/>
      <c r="Z94" s="270"/>
      <c r="AA94" s="270"/>
    </row>
    <row r="95" spans="3:27" x14ac:dyDescent="0.3">
      <c r="C95" s="450"/>
      <c r="D95" s="182"/>
      <c r="E95" s="182"/>
      <c r="F95" s="182"/>
      <c r="G95" s="450" t="str">
        <f t="shared" si="1"/>
        <v>--</v>
      </c>
      <c r="H95" s="182"/>
      <c r="I95" s="440"/>
      <c r="J95" s="892"/>
      <c r="K95" s="259"/>
      <c r="L95" s="259" t="s">
        <v>46</v>
      </c>
      <c r="M95" s="893">
        <f>SUM(M92:M94)</f>
        <v>1</v>
      </c>
      <c r="N95" s="894"/>
      <c r="O95" s="894">
        <f>SUM(O92:O94)</f>
        <v>0</v>
      </c>
      <c r="P95" s="274"/>
      <c r="Q95" s="895">
        <v>0</v>
      </c>
      <c r="R95" s="114"/>
      <c r="S95" s="884"/>
      <c r="T95" s="270"/>
      <c r="U95" s="270"/>
      <c r="V95" s="270"/>
      <c r="W95" s="270"/>
      <c r="X95" s="270"/>
      <c r="Y95" s="270"/>
      <c r="Z95" s="270"/>
      <c r="AA95" s="270"/>
    </row>
    <row r="96" spans="3:27" x14ac:dyDescent="0.3">
      <c r="C96" s="450"/>
      <c r="D96" s="182"/>
      <c r="E96" s="182"/>
      <c r="F96" s="182"/>
      <c r="G96" s="450" t="str">
        <f t="shared" si="1"/>
        <v>--</v>
      </c>
      <c r="H96" s="182"/>
      <c r="I96" s="892"/>
      <c r="J96" s="892"/>
      <c r="K96" s="182"/>
      <c r="L96" s="182"/>
      <c r="M96" s="270"/>
      <c r="N96" s="892"/>
      <c r="O96" s="892"/>
      <c r="P96" s="275"/>
      <c r="Q96" s="895">
        <v>0</v>
      </c>
      <c r="R96" s="114"/>
      <c r="S96" s="884"/>
      <c r="T96" s="270"/>
      <c r="U96" s="270"/>
      <c r="V96" s="270"/>
      <c r="W96" s="270"/>
      <c r="X96" s="270"/>
      <c r="Y96" s="270"/>
      <c r="Z96" s="270"/>
      <c r="AA96" s="270"/>
    </row>
    <row r="97" spans="3:27" x14ac:dyDescent="0.3">
      <c r="C97" s="450"/>
      <c r="D97" s="182"/>
      <c r="E97" s="182"/>
      <c r="F97" s="182"/>
      <c r="G97" s="450" t="str">
        <f t="shared" si="1"/>
        <v>--</v>
      </c>
      <c r="H97" s="182"/>
      <c r="I97" s="892"/>
      <c r="J97" s="892"/>
      <c r="K97" s="182"/>
      <c r="L97" s="182"/>
      <c r="M97" s="270"/>
      <c r="N97" s="892"/>
      <c r="O97" s="892"/>
      <c r="P97" s="269"/>
      <c r="Q97" s="895">
        <v>0</v>
      </c>
      <c r="R97" s="114"/>
      <c r="S97" s="884"/>
      <c r="T97" s="270"/>
      <c r="U97" s="270"/>
      <c r="V97" s="270"/>
      <c r="W97" s="270"/>
      <c r="X97" s="270"/>
      <c r="Y97" s="270"/>
      <c r="Z97" s="270"/>
      <c r="AA97" s="270"/>
    </row>
    <row r="98" spans="3:27" x14ac:dyDescent="0.3">
      <c r="C98" s="450"/>
      <c r="D98" s="182"/>
      <c r="E98" s="182"/>
      <c r="F98" s="182"/>
      <c r="G98" s="450" t="str">
        <f t="shared" si="1"/>
        <v>--</v>
      </c>
      <c r="H98" s="182"/>
      <c r="I98" s="892"/>
      <c r="J98" s="892"/>
      <c r="K98" s="182"/>
      <c r="L98" s="182"/>
      <c r="M98" s="270"/>
      <c r="N98" s="892"/>
      <c r="O98" s="892"/>
      <c r="P98" s="263" t="s">
        <v>46</v>
      </c>
      <c r="Q98" s="897">
        <f>SUM(Q92:Q97)</f>
        <v>1</v>
      </c>
      <c r="R98" s="899"/>
      <c r="S98" s="900"/>
      <c r="T98" s="270"/>
      <c r="U98" s="270"/>
      <c r="V98" s="270"/>
      <c r="W98" s="270"/>
      <c r="X98" s="270"/>
      <c r="Y98" s="270"/>
      <c r="Z98" s="270"/>
      <c r="AA98" s="270"/>
    </row>
    <row r="99" spans="3:27" x14ac:dyDescent="0.3">
      <c r="C99" s="450"/>
      <c r="D99" s="182"/>
      <c r="E99" s="182"/>
      <c r="F99" s="182"/>
      <c r="G99" s="450" t="str">
        <f t="shared" si="1"/>
        <v>--</v>
      </c>
      <c r="H99" s="182"/>
      <c r="I99" s="892"/>
      <c r="J99" s="892"/>
      <c r="K99" s="182"/>
      <c r="L99" s="182"/>
      <c r="M99" s="270"/>
      <c r="N99" s="892"/>
      <c r="O99" s="892"/>
      <c r="P99" s="259"/>
      <c r="Q99" s="114"/>
      <c r="R99" s="270"/>
      <c r="S99" s="270"/>
      <c r="T99" s="270"/>
      <c r="U99" s="270"/>
      <c r="V99" s="270"/>
      <c r="W99" s="270"/>
      <c r="X99" s="270"/>
      <c r="Y99" s="270"/>
      <c r="Z99" s="270"/>
      <c r="AA99" s="270"/>
    </row>
    <row r="100" spans="3:27" ht="15" thickBot="1" x14ac:dyDescent="0.35">
      <c r="C100" s="450"/>
      <c r="D100" s="182"/>
      <c r="E100" s="182"/>
      <c r="F100" s="182"/>
      <c r="G100" s="450" t="str">
        <f t="shared" si="1"/>
        <v>--</v>
      </c>
      <c r="H100" s="182"/>
      <c r="I100" s="892"/>
      <c r="J100" s="892"/>
      <c r="K100" s="182"/>
      <c r="L100" s="182"/>
      <c r="M100" s="870" t="s">
        <v>155</v>
      </c>
      <c r="N100" s="870" t="s">
        <v>188</v>
      </c>
      <c r="O100" s="870"/>
      <c r="P100" s="276" t="s">
        <v>426</v>
      </c>
      <c r="Q100" s="871" t="s">
        <v>155</v>
      </c>
      <c r="R100" s="902"/>
      <c r="S100" s="874"/>
      <c r="T100" s="270"/>
      <c r="U100" s="270"/>
      <c r="V100" s="270"/>
      <c r="W100" s="270"/>
      <c r="X100" s="270"/>
      <c r="Y100" s="270"/>
      <c r="Z100" s="270"/>
      <c r="AA100" s="270"/>
    </row>
    <row r="101" spans="3:27" ht="15" thickBot="1" x14ac:dyDescent="0.35">
      <c r="C101" s="566" t="s">
        <v>84</v>
      </c>
      <c r="D101" s="875" t="str">
        <f>VLOOKUP(C101,'Airport Mapping'!$C$5:$D$39,2,FALSE)</f>
        <v xml:space="preserve"> </v>
      </c>
      <c r="E101" s="567" t="s">
        <v>43</v>
      </c>
      <c r="F101" s="567" t="s">
        <v>426</v>
      </c>
      <c r="G101" s="450" t="str">
        <f t="shared" si="1"/>
        <v>Terminal A-Maintenance-Pavement cleaning</v>
      </c>
      <c r="H101" s="567" t="s">
        <v>3</v>
      </c>
      <c r="I101" s="877" t="s">
        <v>64</v>
      </c>
      <c r="J101" s="878">
        <f>SUMIFS('Level of Efficiency Assumptions'!J:J,'Level of Efficiency Assumptions'!D:D,E101,'Level of Efficiency Assumptions'!F:F,F101,'Level of Efficiency Assumptions'!I:I,I101)</f>
        <v>10</v>
      </c>
      <c r="K101" s="383" t="s">
        <v>588</v>
      </c>
      <c r="L101" s="253" t="s">
        <v>64</v>
      </c>
      <c r="M101" s="879">
        <f>SUM(Q101:Q102)</f>
        <v>0</v>
      </c>
      <c r="N101" s="880">
        <f>IFERROR(M101/M104,"-")</f>
        <v>0</v>
      </c>
      <c r="O101" s="881">
        <f>SUMIFS('Data Entry'!R:R,'Data Entry'!K:K,G101)</f>
        <v>0</v>
      </c>
      <c r="P101" s="272"/>
      <c r="Q101" s="895">
        <v>0</v>
      </c>
      <c r="R101" s="114"/>
      <c r="S101" s="884"/>
      <c r="T101" s="270"/>
      <c r="U101" s="270"/>
      <c r="V101" s="270"/>
      <c r="W101" s="270"/>
      <c r="X101" s="270"/>
      <c r="Y101" s="270"/>
      <c r="Z101" s="270"/>
      <c r="AA101" s="270"/>
    </row>
    <row r="102" spans="3:27" ht="15" thickBot="1" x14ac:dyDescent="0.35">
      <c r="C102" s="494" t="s">
        <v>84</v>
      </c>
      <c r="D102" s="577"/>
      <c r="E102" s="577" t="s">
        <v>43</v>
      </c>
      <c r="F102" s="577" t="s">
        <v>426</v>
      </c>
      <c r="G102" s="450" t="str">
        <f t="shared" si="1"/>
        <v>Terminal A-Maintenance-Pavement cleaning</v>
      </c>
      <c r="H102" s="577"/>
      <c r="I102" s="887" t="s">
        <v>65</v>
      </c>
      <c r="J102" s="878">
        <f>SUMIFS('Level of Efficiency Assumptions'!J:J,'Level of Efficiency Assumptions'!D:D,E102,'Level of Efficiency Assumptions'!F:F,F102,'Level of Efficiency Assumptions'!I:I,I102)</f>
        <v>7.5</v>
      </c>
      <c r="K102" s="383" t="s">
        <v>588</v>
      </c>
      <c r="L102" s="255" t="s">
        <v>65</v>
      </c>
      <c r="M102" s="879">
        <f>Q103+Q104</f>
        <v>1</v>
      </c>
      <c r="N102" s="880">
        <f>IFERROR(M102/M104,"-")</f>
        <v>1</v>
      </c>
      <c r="O102" s="881">
        <f>SUMIFS('Data Entry'!S:S,'Data Entry'!K:K,G102)</f>
        <v>0</v>
      </c>
      <c r="P102" s="272"/>
      <c r="Q102" s="895">
        <v>0</v>
      </c>
      <c r="R102" s="114"/>
      <c r="S102" s="884"/>
      <c r="T102" s="270"/>
      <c r="U102" s="270"/>
      <c r="V102" s="270"/>
      <c r="W102" s="270"/>
      <c r="X102" s="270"/>
      <c r="Y102" s="270"/>
      <c r="Z102" s="270"/>
      <c r="AA102" s="270"/>
    </row>
    <row r="103" spans="3:27" ht="15" thickBot="1" x14ac:dyDescent="0.35">
      <c r="C103" s="501" t="s">
        <v>84</v>
      </c>
      <c r="D103" s="116"/>
      <c r="E103" s="116" t="s">
        <v>43</v>
      </c>
      <c r="F103" s="116" t="s">
        <v>426</v>
      </c>
      <c r="G103" s="450" t="str">
        <f t="shared" si="1"/>
        <v>Terminal A-Maintenance-Pavement cleaning</v>
      </c>
      <c r="H103" s="116"/>
      <c r="I103" s="889" t="s">
        <v>66</v>
      </c>
      <c r="J103" s="890">
        <f>SUMIFS('Level of Efficiency Assumptions'!J:J,'Level of Efficiency Assumptions'!D:D,E103,'Level of Efficiency Assumptions'!F:F,F103,'Level of Efficiency Assumptions'!I:I,I103)</f>
        <v>5</v>
      </c>
      <c r="K103" s="383" t="s">
        <v>588</v>
      </c>
      <c r="L103" s="257" t="s">
        <v>66</v>
      </c>
      <c r="M103" s="879">
        <f>Q105+Q106</f>
        <v>0</v>
      </c>
      <c r="N103" s="880">
        <f>IFERROR(M103/M104,"-")</f>
        <v>0</v>
      </c>
      <c r="O103" s="881">
        <f>SUMIFS('Data Entry'!T:T,'Data Entry'!K:K,G103)</f>
        <v>0</v>
      </c>
      <c r="P103" s="274"/>
      <c r="Q103" s="895">
        <v>1</v>
      </c>
      <c r="R103" s="114"/>
      <c r="S103" s="884"/>
      <c r="T103" s="270"/>
      <c r="U103" s="270"/>
      <c r="V103" s="270"/>
      <c r="W103" s="270"/>
      <c r="X103" s="270"/>
      <c r="Y103" s="270"/>
      <c r="Z103" s="270"/>
      <c r="AA103" s="270"/>
    </row>
    <row r="104" spans="3:27" x14ac:dyDescent="0.3">
      <c r="C104" s="450"/>
      <c r="D104" s="182"/>
      <c r="E104" s="182"/>
      <c r="F104" s="182"/>
      <c r="G104" s="450" t="str">
        <f t="shared" si="1"/>
        <v>--</v>
      </c>
      <c r="H104" s="182"/>
      <c r="I104" s="440"/>
      <c r="J104" s="892"/>
      <c r="K104" s="259"/>
      <c r="L104" s="259" t="s">
        <v>46</v>
      </c>
      <c r="M104" s="893">
        <f>SUM(M101:M103)</f>
        <v>1</v>
      </c>
      <c r="N104" s="894"/>
      <c r="O104" s="894">
        <f>SUM(O101:O103)</f>
        <v>0</v>
      </c>
      <c r="P104" s="274"/>
      <c r="Q104" s="895">
        <v>0</v>
      </c>
      <c r="R104" s="114"/>
      <c r="S104" s="884"/>
      <c r="T104" s="270"/>
      <c r="U104" s="270"/>
      <c r="V104" s="270"/>
      <c r="W104" s="270"/>
      <c r="X104" s="270"/>
      <c r="Y104" s="270"/>
      <c r="Z104" s="270"/>
      <c r="AA104" s="270"/>
    </row>
    <row r="105" spans="3:27" x14ac:dyDescent="0.3">
      <c r="C105" s="450"/>
      <c r="D105" s="182"/>
      <c r="E105" s="182"/>
      <c r="F105" s="182"/>
      <c r="G105" s="450" t="str">
        <f t="shared" si="1"/>
        <v>--</v>
      </c>
      <c r="H105" s="182"/>
      <c r="I105" s="892"/>
      <c r="J105" s="892"/>
      <c r="K105" s="182"/>
      <c r="L105" s="182"/>
      <c r="M105" s="270"/>
      <c r="N105" s="892"/>
      <c r="O105" s="892"/>
      <c r="P105" s="275"/>
      <c r="Q105" s="895">
        <v>0</v>
      </c>
      <c r="R105" s="114"/>
      <c r="S105" s="884"/>
      <c r="T105" s="270"/>
      <c r="U105" s="270"/>
      <c r="V105" s="270"/>
      <c r="W105" s="270"/>
      <c r="X105" s="270"/>
      <c r="Y105" s="270"/>
      <c r="Z105" s="270"/>
      <c r="AA105" s="270"/>
    </row>
    <row r="106" spans="3:27" x14ac:dyDescent="0.3">
      <c r="C106" s="450"/>
      <c r="D106" s="182"/>
      <c r="E106" s="182"/>
      <c r="F106" s="182"/>
      <c r="G106" s="450" t="str">
        <f t="shared" si="1"/>
        <v>--</v>
      </c>
      <c r="H106" s="182"/>
      <c r="I106" s="892"/>
      <c r="J106" s="892"/>
      <c r="K106" s="182"/>
      <c r="L106" s="182"/>
      <c r="M106" s="270"/>
      <c r="N106" s="892"/>
      <c r="O106" s="892"/>
      <c r="P106" s="269"/>
      <c r="Q106" s="895">
        <v>0</v>
      </c>
      <c r="R106" s="114"/>
      <c r="S106" s="884"/>
      <c r="T106" s="270"/>
      <c r="U106" s="270"/>
      <c r="V106" s="270"/>
      <c r="W106" s="270"/>
      <c r="X106" s="270"/>
      <c r="Y106" s="270"/>
      <c r="Z106" s="270"/>
      <c r="AA106" s="270"/>
    </row>
    <row r="107" spans="3:27" x14ac:dyDescent="0.3">
      <c r="C107" s="450"/>
      <c r="D107" s="182"/>
      <c r="E107" s="182"/>
      <c r="F107" s="182"/>
      <c r="G107" s="450" t="str">
        <f t="shared" si="1"/>
        <v>--</v>
      </c>
      <c r="H107" s="182"/>
      <c r="I107" s="892"/>
      <c r="J107" s="892"/>
      <c r="K107" s="182"/>
      <c r="L107" s="182"/>
      <c r="M107" s="270"/>
      <c r="N107" s="892"/>
      <c r="O107" s="892"/>
      <c r="P107" s="263" t="s">
        <v>46</v>
      </c>
      <c r="Q107" s="897">
        <f>SUM(Q101:Q106)</f>
        <v>1</v>
      </c>
      <c r="R107" s="899"/>
      <c r="S107" s="900"/>
      <c r="T107" s="270"/>
      <c r="U107" s="270"/>
      <c r="V107" s="270"/>
      <c r="W107" s="270"/>
      <c r="X107" s="270"/>
      <c r="Y107" s="270"/>
      <c r="Z107" s="270"/>
      <c r="AA107" s="270"/>
    </row>
    <row r="108" spans="3:27" x14ac:dyDescent="0.3">
      <c r="C108" s="450"/>
      <c r="D108" s="182"/>
      <c r="E108" s="182"/>
      <c r="F108" s="182"/>
      <c r="G108" s="450" t="str">
        <f t="shared" si="1"/>
        <v>--</v>
      </c>
      <c r="H108" s="182"/>
      <c r="I108" s="892"/>
      <c r="J108" s="892"/>
      <c r="K108" s="182"/>
      <c r="L108" s="182"/>
      <c r="M108" s="270"/>
      <c r="N108" s="892"/>
      <c r="O108" s="892"/>
      <c r="P108" s="259"/>
      <c r="Q108" s="114"/>
      <c r="R108" s="270"/>
      <c r="S108" s="270"/>
      <c r="T108" s="270"/>
      <c r="U108" s="270"/>
      <c r="V108" s="270"/>
      <c r="W108" s="270"/>
      <c r="X108" s="270"/>
      <c r="Y108" s="270"/>
      <c r="Z108" s="270"/>
      <c r="AA108" s="270"/>
    </row>
    <row r="109" spans="3:27" ht="15" thickBot="1" x14ac:dyDescent="0.35">
      <c r="C109" s="450"/>
      <c r="D109" s="182"/>
      <c r="E109" s="182"/>
      <c r="F109" s="182"/>
      <c r="G109" s="450" t="str">
        <f t="shared" si="1"/>
        <v>--</v>
      </c>
      <c r="H109" s="182"/>
      <c r="I109" s="892"/>
      <c r="J109" s="892"/>
      <c r="K109" s="182"/>
      <c r="L109" s="182"/>
      <c r="M109" s="870" t="s">
        <v>155</v>
      </c>
      <c r="N109" s="870" t="s">
        <v>188</v>
      </c>
      <c r="O109" s="870"/>
      <c r="P109" s="276" t="s">
        <v>52</v>
      </c>
      <c r="Q109" s="871" t="s">
        <v>155</v>
      </c>
      <c r="R109" s="902"/>
      <c r="S109" s="874"/>
      <c r="T109" s="270"/>
      <c r="U109" s="270"/>
      <c r="V109" s="270"/>
      <c r="W109" s="270"/>
      <c r="X109" s="270"/>
      <c r="Y109" s="270"/>
      <c r="Z109" s="270"/>
      <c r="AA109" s="270"/>
    </row>
    <row r="110" spans="3:27" ht="15" thickBot="1" x14ac:dyDescent="0.35">
      <c r="C110" s="566" t="s">
        <v>84</v>
      </c>
      <c r="D110" s="875" t="str">
        <f>VLOOKUP(C110,'Airport Mapping'!$C$5:$D$39,2,FALSE)</f>
        <v xml:space="preserve"> </v>
      </c>
      <c r="E110" s="567" t="s">
        <v>8</v>
      </c>
      <c r="F110" s="567" t="s">
        <v>52</v>
      </c>
      <c r="G110" s="450" t="str">
        <f t="shared" si="1"/>
        <v>Terminal A-Other-Other 1</v>
      </c>
      <c r="H110" s="567" t="s">
        <v>362</v>
      </c>
      <c r="I110" s="877" t="s">
        <v>64</v>
      </c>
      <c r="J110" s="878">
        <f>SUMIFS('Level of Efficiency Assumptions'!J:J,'Level of Efficiency Assumptions'!D:D,E110,'Level of Efficiency Assumptions'!F:F,F110,'Level of Efficiency Assumptions'!I:I,I110)</f>
        <v>10</v>
      </c>
      <c r="K110" s="383" t="s">
        <v>588</v>
      </c>
      <c r="L110" s="253" t="s">
        <v>64</v>
      </c>
      <c r="M110" s="879">
        <f>SUM(Q110:Q110)</f>
        <v>0</v>
      </c>
      <c r="N110" s="880">
        <f>IFERROR(M110/M113,"-")</f>
        <v>0</v>
      </c>
      <c r="O110" s="881">
        <f>SUMIFS('Data Entry'!R:R,'Data Entry'!K:K,G110)</f>
        <v>0</v>
      </c>
      <c r="P110" s="272" t="s">
        <v>129</v>
      </c>
      <c r="Q110" s="895">
        <v>0</v>
      </c>
      <c r="R110" s="114"/>
      <c r="S110" s="884"/>
      <c r="T110" s="270"/>
      <c r="U110" s="270"/>
      <c r="V110" s="270"/>
      <c r="W110" s="270"/>
      <c r="X110" s="270"/>
      <c r="Y110" s="270"/>
      <c r="Z110" s="270"/>
      <c r="AA110" s="270"/>
    </row>
    <row r="111" spans="3:27" ht="15" thickBot="1" x14ac:dyDescent="0.35">
      <c r="C111" s="494" t="s">
        <v>84</v>
      </c>
      <c r="D111" s="577"/>
      <c r="E111" s="577" t="s">
        <v>8</v>
      </c>
      <c r="F111" s="577" t="s">
        <v>52</v>
      </c>
      <c r="G111" s="450" t="str">
        <f t="shared" si="1"/>
        <v>Terminal A-Other-Other 1</v>
      </c>
      <c r="H111" s="577"/>
      <c r="I111" s="887" t="s">
        <v>65</v>
      </c>
      <c r="J111" s="878">
        <f>SUMIFS('Level of Efficiency Assumptions'!J:J,'Level of Efficiency Assumptions'!D:D,E111,'Level of Efficiency Assumptions'!F:F,F111,'Level of Efficiency Assumptions'!I:I,I111)</f>
        <v>7.5</v>
      </c>
      <c r="K111" s="383" t="s">
        <v>588</v>
      </c>
      <c r="L111" s="255" t="s">
        <v>65</v>
      </c>
      <c r="M111" s="879">
        <f t="shared" ref="M111:M112" si="2">SUM(Q111:Q111)</f>
        <v>1</v>
      </c>
      <c r="N111" s="880">
        <f>IFERROR(M111/M113,"-")</f>
        <v>1</v>
      </c>
      <c r="O111" s="881">
        <f>SUMIFS('Data Entry'!S:S,'Data Entry'!K:K,G111)</f>
        <v>0</v>
      </c>
      <c r="P111" s="274" t="s">
        <v>233</v>
      </c>
      <c r="Q111" s="895">
        <v>1</v>
      </c>
      <c r="R111" s="114"/>
      <c r="S111" s="884"/>
      <c r="T111" s="270"/>
      <c r="U111" s="270"/>
      <c r="V111" s="270"/>
      <c r="W111" s="270"/>
      <c r="X111" s="270"/>
      <c r="Y111" s="270"/>
      <c r="Z111" s="270"/>
      <c r="AA111" s="270"/>
    </row>
    <row r="112" spans="3:27" ht="15" thickBot="1" x14ac:dyDescent="0.35">
      <c r="C112" s="501" t="s">
        <v>84</v>
      </c>
      <c r="D112" s="116"/>
      <c r="E112" s="116" t="s">
        <v>8</v>
      </c>
      <c r="F112" s="116" t="s">
        <v>52</v>
      </c>
      <c r="G112" s="450" t="str">
        <f t="shared" si="1"/>
        <v>Terminal A-Other-Other 1</v>
      </c>
      <c r="H112" s="116"/>
      <c r="I112" s="889" t="s">
        <v>66</v>
      </c>
      <c r="J112" s="890">
        <f>SUMIFS('Level of Efficiency Assumptions'!J:J,'Level of Efficiency Assumptions'!D:D,E112,'Level of Efficiency Assumptions'!F:F,F112,'Level of Efficiency Assumptions'!I:I,I112)</f>
        <v>5</v>
      </c>
      <c r="K112" s="383" t="s">
        <v>588</v>
      </c>
      <c r="L112" s="257" t="s">
        <v>66</v>
      </c>
      <c r="M112" s="879">
        <f t="shared" si="2"/>
        <v>0</v>
      </c>
      <c r="N112" s="880">
        <f>IFERROR(M112/M113,"-")</f>
        <v>0</v>
      </c>
      <c r="O112" s="881">
        <f>SUMIFS('Data Entry'!T:T,'Data Entry'!K:K,G112)</f>
        <v>0</v>
      </c>
      <c r="P112" s="269" t="s">
        <v>234</v>
      </c>
      <c r="Q112" s="895">
        <v>0</v>
      </c>
      <c r="R112" s="114"/>
      <c r="S112" s="884"/>
      <c r="T112" s="270"/>
      <c r="U112" s="270"/>
      <c r="V112" s="270"/>
      <c r="W112" s="270"/>
      <c r="X112" s="270"/>
      <c r="Y112" s="270"/>
      <c r="Z112" s="270"/>
      <c r="AA112" s="270"/>
    </row>
    <row r="113" spans="3:27" x14ac:dyDescent="0.3">
      <c r="C113" s="450"/>
      <c r="D113" s="182"/>
      <c r="E113" s="182"/>
      <c r="F113" s="182"/>
      <c r="G113" s="450" t="str">
        <f t="shared" si="1"/>
        <v>--</v>
      </c>
      <c r="H113" s="182"/>
      <c r="I113" s="440"/>
      <c r="J113" s="892"/>
      <c r="K113" s="259"/>
      <c r="L113" s="259" t="s">
        <v>46</v>
      </c>
      <c r="M113" s="893">
        <f>SUM(M110:M112)</f>
        <v>1</v>
      </c>
      <c r="N113" s="894"/>
      <c r="O113" s="894">
        <f>SUM(O110:O112)</f>
        <v>0</v>
      </c>
      <c r="P113" s="263" t="s">
        <v>46</v>
      </c>
      <c r="Q113" s="897">
        <f>SUM(Q110:Q112)</f>
        <v>1</v>
      </c>
      <c r="R113" s="899"/>
      <c r="S113" s="900"/>
      <c r="T113" s="270"/>
      <c r="U113" s="270"/>
      <c r="V113" s="270"/>
      <c r="W113" s="270"/>
      <c r="X113" s="270"/>
      <c r="Y113" s="270"/>
      <c r="Z113" s="270"/>
      <c r="AA113" s="270"/>
    </row>
    <row r="114" spans="3:27" x14ac:dyDescent="0.3">
      <c r="C114" s="450"/>
      <c r="D114" s="182"/>
      <c r="E114" s="182"/>
      <c r="F114" s="182"/>
      <c r="G114" s="450" t="str">
        <f t="shared" si="1"/>
        <v>--</v>
      </c>
      <c r="H114" s="182"/>
      <c r="I114" s="892"/>
      <c r="J114" s="892"/>
      <c r="K114" s="182"/>
      <c r="L114" s="182"/>
      <c r="M114" s="270"/>
      <c r="N114" s="892"/>
      <c r="O114" s="892"/>
      <c r="P114" s="270"/>
      <c r="Q114" s="270"/>
      <c r="R114" s="270"/>
      <c r="S114" s="270"/>
      <c r="T114" s="270"/>
      <c r="U114" s="270"/>
      <c r="V114" s="270"/>
      <c r="W114" s="270"/>
      <c r="X114" s="270"/>
      <c r="Y114" s="270"/>
      <c r="Z114" s="270"/>
      <c r="AA114" s="270"/>
    </row>
    <row r="115" spans="3:27" ht="15" thickBot="1" x14ac:dyDescent="0.35">
      <c r="C115" s="450"/>
      <c r="D115" s="182"/>
      <c r="E115" s="182"/>
      <c r="F115" s="182"/>
      <c r="G115" s="450" t="str">
        <f t="shared" si="1"/>
        <v>--</v>
      </c>
      <c r="H115" s="182"/>
      <c r="I115" s="892"/>
      <c r="J115" s="892"/>
      <c r="K115" s="182"/>
      <c r="L115" s="182"/>
      <c r="M115" s="870" t="s">
        <v>155</v>
      </c>
      <c r="N115" s="870" t="s">
        <v>188</v>
      </c>
      <c r="O115" s="870"/>
      <c r="P115" s="276" t="s">
        <v>53</v>
      </c>
      <c r="Q115" s="871" t="s">
        <v>155</v>
      </c>
      <c r="R115" s="902"/>
      <c r="S115" s="874"/>
      <c r="T115" s="270"/>
      <c r="U115" s="270"/>
      <c r="V115" s="270"/>
      <c r="W115" s="270"/>
      <c r="X115" s="270"/>
      <c r="Y115" s="270"/>
      <c r="Z115" s="270"/>
      <c r="AA115" s="270"/>
    </row>
    <row r="116" spans="3:27" ht="15" thickBot="1" x14ac:dyDescent="0.35">
      <c r="C116" s="566" t="s">
        <v>84</v>
      </c>
      <c r="D116" s="875" t="str">
        <f>VLOOKUP(C116,'Airport Mapping'!$C$5:$D$39,2,FALSE)</f>
        <v xml:space="preserve"> </v>
      </c>
      <c r="E116" s="567" t="s">
        <v>8</v>
      </c>
      <c r="F116" s="567" t="s">
        <v>53</v>
      </c>
      <c r="G116" s="450" t="str">
        <f t="shared" si="1"/>
        <v>Terminal A-Other-Other 2</v>
      </c>
      <c r="H116" s="567" t="s">
        <v>363</v>
      </c>
      <c r="I116" s="877" t="s">
        <v>64</v>
      </c>
      <c r="J116" s="878">
        <f>SUMIFS('Level of Efficiency Assumptions'!J:J,'Level of Efficiency Assumptions'!D:D,E116,'Level of Efficiency Assumptions'!F:F,F116,'Level of Efficiency Assumptions'!I:I,I116)</f>
        <v>10</v>
      </c>
      <c r="K116" s="383" t="s">
        <v>588</v>
      </c>
      <c r="L116" s="253" t="s">
        <v>64</v>
      </c>
      <c r="M116" s="879">
        <f>SUM(Q116:Q116)</f>
        <v>0</v>
      </c>
      <c r="N116" s="880">
        <f>IFERROR(M116/M119,"-")</f>
        <v>0</v>
      </c>
      <c r="O116" s="881">
        <f>SUMIFS('Data Entry'!R:R,'Data Entry'!K:K,G116)</f>
        <v>0</v>
      </c>
      <c r="P116" s="272" t="s">
        <v>129</v>
      </c>
      <c r="Q116" s="895">
        <v>0</v>
      </c>
      <c r="R116" s="114"/>
      <c r="S116" s="884"/>
      <c r="T116" s="270"/>
      <c r="U116" s="270"/>
      <c r="V116" s="270"/>
      <c r="W116" s="270"/>
      <c r="X116" s="270"/>
      <c r="Y116" s="270"/>
      <c r="Z116" s="270"/>
      <c r="AA116" s="270"/>
    </row>
    <row r="117" spans="3:27" ht="15" thickBot="1" x14ac:dyDescent="0.35">
      <c r="C117" s="494" t="s">
        <v>84</v>
      </c>
      <c r="D117" s="577"/>
      <c r="E117" s="577" t="s">
        <v>8</v>
      </c>
      <c r="F117" s="577" t="s">
        <v>53</v>
      </c>
      <c r="G117" s="450" t="str">
        <f t="shared" si="1"/>
        <v>Terminal A-Other-Other 2</v>
      </c>
      <c r="H117" s="577"/>
      <c r="I117" s="887" t="s">
        <v>65</v>
      </c>
      <c r="J117" s="878">
        <f>SUMIFS('Level of Efficiency Assumptions'!J:J,'Level of Efficiency Assumptions'!D:D,E117,'Level of Efficiency Assumptions'!F:F,F117,'Level of Efficiency Assumptions'!I:I,I117)</f>
        <v>7.5</v>
      </c>
      <c r="K117" s="383" t="s">
        <v>588</v>
      </c>
      <c r="L117" s="255" t="s">
        <v>65</v>
      </c>
      <c r="M117" s="879">
        <f t="shared" ref="M117:M118" si="3">SUM(Q117:Q117)</f>
        <v>1</v>
      </c>
      <c r="N117" s="880">
        <f>IFERROR(M117/M119,"-")</f>
        <v>1</v>
      </c>
      <c r="O117" s="881">
        <f>SUMIFS('Data Entry'!S:S,'Data Entry'!K:K,G117)</f>
        <v>0</v>
      </c>
      <c r="P117" s="274" t="s">
        <v>233</v>
      </c>
      <c r="Q117" s="895">
        <v>1</v>
      </c>
      <c r="R117" s="114"/>
      <c r="S117" s="884"/>
      <c r="T117" s="270"/>
      <c r="U117" s="270"/>
      <c r="V117" s="270"/>
      <c r="W117" s="270"/>
      <c r="X117" s="270"/>
      <c r="Y117" s="270"/>
      <c r="Z117" s="270"/>
      <c r="AA117" s="270"/>
    </row>
    <row r="118" spans="3:27" ht="15" thickBot="1" x14ac:dyDescent="0.35">
      <c r="C118" s="501" t="s">
        <v>84</v>
      </c>
      <c r="D118" s="116"/>
      <c r="E118" s="116" t="s">
        <v>8</v>
      </c>
      <c r="F118" s="116" t="s">
        <v>53</v>
      </c>
      <c r="G118" s="450" t="str">
        <f t="shared" si="1"/>
        <v>Terminal A-Other-Other 2</v>
      </c>
      <c r="H118" s="116"/>
      <c r="I118" s="889" t="s">
        <v>66</v>
      </c>
      <c r="J118" s="890">
        <f>SUMIFS('Level of Efficiency Assumptions'!J:J,'Level of Efficiency Assumptions'!D:D,E118,'Level of Efficiency Assumptions'!F:F,F118,'Level of Efficiency Assumptions'!I:I,I118)</f>
        <v>5</v>
      </c>
      <c r="K118" s="383" t="s">
        <v>588</v>
      </c>
      <c r="L118" s="257" t="s">
        <v>66</v>
      </c>
      <c r="M118" s="879">
        <f t="shared" si="3"/>
        <v>0</v>
      </c>
      <c r="N118" s="880">
        <f>IFERROR(M118/M119,"-")</f>
        <v>0</v>
      </c>
      <c r="O118" s="881">
        <f>SUMIFS('Data Entry'!T:T,'Data Entry'!K:K,G118)</f>
        <v>0</v>
      </c>
      <c r="P118" s="269" t="s">
        <v>234</v>
      </c>
      <c r="Q118" s="895">
        <v>0</v>
      </c>
      <c r="R118" s="114"/>
      <c r="S118" s="884"/>
      <c r="T118" s="270"/>
      <c r="U118" s="270"/>
      <c r="V118" s="270"/>
      <c r="W118" s="270"/>
      <c r="X118" s="270"/>
      <c r="Y118" s="270"/>
      <c r="Z118" s="270"/>
      <c r="AA118" s="270"/>
    </row>
    <row r="119" spans="3:27" x14ac:dyDescent="0.3">
      <c r="C119" s="450"/>
      <c r="D119" s="182"/>
      <c r="E119" s="182"/>
      <c r="F119" s="182"/>
      <c r="G119" s="450" t="str">
        <f t="shared" si="1"/>
        <v>--</v>
      </c>
      <c r="H119" s="182"/>
      <c r="I119" s="440"/>
      <c r="J119" s="892"/>
      <c r="K119" s="259"/>
      <c r="L119" s="259" t="s">
        <v>46</v>
      </c>
      <c r="M119" s="893">
        <f>SUM(M116:M118)</f>
        <v>1</v>
      </c>
      <c r="N119" s="894"/>
      <c r="O119" s="894">
        <f>SUM(O116:O118)</f>
        <v>0</v>
      </c>
      <c r="P119" s="263" t="s">
        <v>46</v>
      </c>
      <c r="Q119" s="897">
        <f>SUM(Q116:Q118)</f>
        <v>1</v>
      </c>
      <c r="R119" s="899"/>
      <c r="S119" s="900"/>
      <c r="T119" s="270"/>
      <c r="U119" s="270"/>
      <c r="V119" s="270"/>
      <c r="W119" s="270"/>
      <c r="X119" s="270"/>
      <c r="Y119" s="270"/>
      <c r="Z119" s="270"/>
      <c r="AA119" s="270"/>
    </row>
    <row r="120" spans="3:27" x14ac:dyDescent="0.3">
      <c r="C120" s="450"/>
      <c r="D120" s="182"/>
      <c r="E120" s="182"/>
      <c r="F120" s="182"/>
      <c r="G120" s="450" t="str">
        <f t="shared" si="1"/>
        <v>--</v>
      </c>
      <c r="H120" s="182"/>
      <c r="I120" s="892"/>
      <c r="J120" s="892"/>
      <c r="K120" s="182"/>
      <c r="L120" s="182"/>
      <c r="M120" s="270"/>
      <c r="N120" s="892"/>
      <c r="O120" s="892"/>
      <c r="P120" s="270"/>
      <c r="Q120" s="270"/>
      <c r="R120" s="270"/>
      <c r="S120" s="270"/>
      <c r="T120" s="270"/>
      <c r="U120" s="270"/>
      <c r="V120" s="270"/>
      <c r="W120" s="270"/>
      <c r="X120" s="270"/>
      <c r="Y120" s="270"/>
      <c r="Z120" s="270"/>
      <c r="AA120" s="270"/>
    </row>
    <row r="121" spans="3:27" ht="15" thickBot="1" x14ac:dyDescent="0.35">
      <c r="C121" s="450"/>
      <c r="D121" s="182"/>
      <c r="E121" s="182"/>
      <c r="F121" s="182"/>
      <c r="G121" s="450" t="str">
        <f t="shared" si="1"/>
        <v>--</v>
      </c>
      <c r="H121" s="182"/>
      <c r="I121" s="892"/>
      <c r="J121" s="892"/>
      <c r="K121" s="182"/>
      <c r="L121" s="182"/>
      <c r="M121" s="870" t="s">
        <v>155</v>
      </c>
      <c r="N121" s="870" t="s">
        <v>188</v>
      </c>
      <c r="O121" s="870"/>
      <c r="P121" s="276" t="s">
        <v>54</v>
      </c>
      <c r="Q121" s="871" t="s">
        <v>155</v>
      </c>
      <c r="R121" s="902"/>
      <c r="S121" s="874"/>
      <c r="T121" s="270"/>
      <c r="U121" s="270"/>
      <c r="V121" s="270"/>
      <c r="W121" s="270"/>
      <c r="X121" s="270"/>
      <c r="Y121" s="270"/>
      <c r="Z121" s="270"/>
      <c r="AA121" s="270"/>
    </row>
    <row r="122" spans="3:27" ht="15" thickBot="1" x14ac:dyDescent="0.35">
      <c r="C122" s="566" t="s">
        <v>84</v>
      </c>
      <c r="D122" s="875" t="str">
        <f>VLOOKUP(C122,'Airport Mapping'!$C$5:$D$39,2,FALSE)</f>
        <v xml:space="preserve"> </v>
      </c>
      <c r="E122" s="567" t="s">
        <v>8</v>
      </c>
      <c r="F122" s="567" t="s">
        <v>54</v>
      </c>
      <c r="G122" s="450" t="str">
        <f t="shared" si="1"/>
        <v>Terminal A-Other-Other 3</v>
      </c>
      <c r="H122" s="567" t="s">
        <v>364</v>
      </c>
      <c r="I122" s="877" t="s">
        <v>64</v>
      </c>
      <c r="J122" s="878">
        <f>SUMIFS('Level of Efficiency Assumptions'!J:J,'Level of Efficiency Assumptions'!D:D,E122,'Level of Efficiency Assumptions'!F:F,F122,'Level of Efficiency Assumptions'!I:I,I122)</f>
        <v>10</v>
      </c>
      <c r="K122" s="383" t="s">
        <v>588</v>
      </c>
      <c r="L122" s="253" t="s">
        <v>64</v>
      </c>
      <c r="M122" s="879">
        <f>SUM(Q122:Q122)</f>
        <v>0</v>
      </c>
      <c r="N122" s="880">
        <f>IFERROR(M122/M125,"-")</f>
        <v>0</v>
      </c>
      <c r="O122" s="881">
        <f>SUMIFS('Data Entry'!R:R,'Data Entry'!K:K,G122)</f>
        <v>0</v>
      </c>
      <c r="P122" s="272" t="s">
        <v>129</v>
      </c>
      <c r="Q122" s="895">
        <v>0</v>
      </c>
      <c r="R122" s="114"/>
      <c r="S122" s="884"/>
      <c r="T122" s="270"/>
      <c r="U122" s="270"/>
      <c r="V122" s="270"/>
      <c r="W122" s="270"/>
      <c r="X122" s="270"/>
      <c r="Y122" s="270"/>
      <c r="Z122" s="270"/>
      <c r="AA122" s="270"/>
    </row>
    <row r="123" spans="3:27" ht="15" thickBot="1" x14ac:dyDescent="0.35">
      <c r="C123" s="494" t="s">
        <v>84</v>
      </c>
      <c r="D123" s="577"/>
      <c r="E123" s="577" t="s">
        <v>8</v>
      </c>
      <c r="F123" s="577" t="s">
        <v>54</v>
      </c>
      <c r="G123" s="450" t="str">
        <f t="shared" si="1"/>
        <v>Terminal A-Other-Other 3</v>
      </c>
      <c r="H123" s="577"/>
      <c r="I123" s="887" t="s">
        <v>65</v>
      </c>
      <c r="J123" s="878">
        <f>SUMIFS('Level of Efficiency Assumptions'!J:J,'Level of Efficiency Assumptions'!D:D,E123,'Level of Efficiency Assumptions'!F:F,F123,'Level of Efficiency Assumptions'!I:I,I123)</f>
        <v>7.5</v>
      </c>
      <c r="K123" s="383" t="s">
        <v>588</v>
      </c>
      <c r="L123" s="255" t="s">
        <v>65</v>
      </c>
      <c r="M123" s="879">
        <f t="shared" ref="M123:M124" si="4">SUM(Q123:Q123)</f>
        <v>1</v>
      </c>
      <c r="N123" s="880">
        <f>IFERROR(M123/M125,"-")</f>
        <v>1</v>
      </c>
      <c r="O123" s="881">
        <f>SUMIFS('Data Entry'!S:S,'Data Entry'!K:K,G123)</f>
        <v>0</v>
      </c>
      <c r="P123" s="274" t="s">
        <v>233</v>
      </c>
      <c r="Q123" s="895">
        <v>1</v>
      </c>
      <c r="R123" s="114"/>
      <c r="S123" s="884"/>
      <c r="T123" s="270"/>
      <c r="U123" s="270"/>
      <c r="V123" s="270"/>
      <c r="W123" s="270"/>
      <c r="X123" s="270"/>
      <c r="Y123" s="270"/>
      <c r="Z123" s="270"/>
      <c r="AA123" s="270"/>
    </row>
    <row r="124" spans="3:27" ht="15" thickBot="1" x14ac:dyDescent="0.35">
      <c r="C124" s="501" t="s">
        <v>84</v>
      </c>
      <c r="D124" s="116"/>
      <c r="E124" s="116" t="s">
        <v>8</v>
      </c>
      <c r="F124" s="116" t="s">
        <v>54</v>
      </c>
      <c r="G124" s="450" t="str">
        <f t="shared" ref="G124:G186" si="5">C124&amp;"-"&amp;E124&amp;"-"&amp;F124</f>
        <v>Terminal A-Other-Other 3</v>
      </c>
      <c r="H124" s="116"/>
      <c r="I124" s="889" t="s">
        <v>66</v>
      </c>
      <c r="J124" s="890">
        <f>SUMIFS('Level of Efficiency Assumptions'!J:J,'Level of Efficiency Assumptions'!D:D,E124,'Level of Efficiency Assumptions'!F:F,F124,'Level of Efficiency Assumptions'!I:I,I124)</f>
        <v>5</v>
      </c>
      <c r="K124" s="383" t="s">
        <v>588</v>
      </c>
      <c r="L124" s="257" t="s">
        <v>66</v>
      </c>
      <c r="M124" s="879">
        <f t="shared" si="4"/>
        <v>0</v>
      </c>
      <c r="N124" s="880">
        <f>IFERROR(M124/M125,"-")</f>
        <v>0</v>
      </c>
      <c r="O124" s="881">
        <f>SUMIFS('Data Entry'!T:T,'Data Entry'!K:K,G124)</f>
        <v>0</v>
      </c>
      <c r="P124" s="269" t="s">
        <v>234</v>
      </c>
      <c r="Q124" s="895">
        <v>0</v>
      </c>
      <c r="R124" s="114"/>
      <c r="S124" s="884"/>
      <c r="T124" s="270"/>
      <c r="U124" s="270"/>
      <c r="V124" s="270"/>
      <c r="W124" s="270"/>
      <c r="X124" s="270"/>
      <c r="Y124" s="270"/>
      <c r="Z124" s="270"/>
      <c r="AA124" s="270"/>
    </row>
    <row r="125" spans="3:27" x14ac:dyDescent="0.3">
      <c r="C125" s="450"/>
      <c r="D125" s="182"/>
      <c r="E125" s="182"/>
      <c r="F125" s="182"/>
      <c r="G125" s="450" t="str">
        <f t="shared" si="5"/>
        <v>--</v>
      </c>
      <c r="H125" s="182"/>
      <c r="I125" s="440"/>
      <c r="J125" s="892"/>
      <c r="K125" s="259"/>
      <c r="L125" s="259" t="s">
        <v>46</v>
      </c>
      <c r="M125" s="893">
        <f>SUM(M122:M124)</f>
        <v>1</v>
      </c>
      <c r="N125" s="894"/>
      <c r="O125" s="894">
        <f>SUM(O122:O124)</f>
        <v>0</v>
      </c>
      <c r="P125" s="263" t="s">
        <v>46</v>
      </c>
      <c r="Q125" s="897">
        <f>SUM(Q122:Q124)</f>
        <v>1</v>
      </c>
      <c r="R125" s="899"/>
      <c r="S125" s="900"/>
      <c r="T125" s="270"/>
      <c r="U125" s="270"/>
      <c r="V125" s="270"/>
      <c r="W125" s="270"/>
      <c r="X125" s="270"/>
      <c r="Y125" s="270"/>
      <c r="Z125" s="270"/>
      <c r="AA125" s="270"/>
    </row>
    <row r="126" spans="3:27" ht="15" thickBot="1" x14ac:dyDescent="0.35">
      <c r="C126" s="451"/>
      <c r="D126" s="184"/>
      <c r="E126" s="184"/>
      <c r="F126" s="184"/>
      <c r="G126" s="450" t="str">
        <f t="shared" si="5"/>
        <v>--</v>
      </c>
      <c r="H126" s="184"/>
      <c r="I126" s="281"/>
      <c r="J126" s="281"/>
      <c r="K126" s="184"/>
      <c r="L126" s="184"/>
      <c r="M126" s="278"/>
      <c r="N126" s="281"/>
      <c r="O126" s="281"/>
      <c r="P126" s="278"/>
      <c r="Q126" s="278"/>
      <c r="R126" s="278"/>
      <c r="S126" s="278"/>
      <c r="T126" s="278"/>
      <c r="U126" s="270"/>
      <c r="V126" s="270"/>
      <c r="W126" s="270"/>
      <c r="X126" s="270"/>
      <c r="Y126" s="270"/>
      <c r="Z126" s="270"/>
      <c r="AA126" s="270"/>
    </row>
    <row r="127" spans="3:27" x14ac:dyDescent="0.3">
      <c r="C127" s="916"/>
      <c r="D127" s="697"/>
      <c r="E127" s="697"/>
      <c r="F127" s="698"/>
      <c r="G127" s="450" t="str">
        <f t="shared" si="5"/>
        <v>--</v>
      </c>
      <c r="H127" s="698"/>
      <c r="I127" s="917"/>
      <c r="J127" s="917"/>
      <c r="K127" s="698"/>
      <c r="L127" s="698"/>
      <c r="M127" s="901"/>
      <c r="N127" s="870"/>
      <c r="O127" s="870"/>
      <c r="P127" s="270"/>
      <c r="Q127" s="270"/>
      <c r="R127" s="270"/>
      <c r="S127" s="270"/>
      <c r="T127" s="270"/>
      <c r="U127" s="270"/>
      <c r="V127" s="270"/>
      <c r="W127" s="270"/>
      <c r="X127" s="270"/>
      <c r="Y127" s="270"/>
      <c r="Z127" s="270"/>
      <c r="AA127" s="270"/>
    </row>
    <row r="128" spans="3:27" ht="15" thickBot="1" x14ac:dyDescent="0.35">
      <c r="C128" s="225"/>
      <c r="D128" s="182"/>
      <c r="E128" s="182"/>
      <c r="F128" s="182"/>
      <c r="G128" s="450" t="str">
        <f t="shared" si="5"/>
        <v>--</v>
      </c>
      <c r="H128" s="182"/>
      <c r="I128" s="892"/>
      <c r="J128" s="892"/>
      <c r="K128" s="182"/>
      <c r="L128" s="182"/>
      <c r="M128" s="870" t="s">
        <v>155</v>
      </c>
      <c r="N128" s="870" t="s">
        <v>188</v>
      </c>
      <c r="O128" s="870"/>
      <c r="P128" s="252" t="s">
        <v>158</v>
      </c>
      <c r="Q128" s="871" t="s">
        <v>155</v>
      </c>
      <c r="R128" s="872" t="s">
        <v>168</v>
      </c>
      <c r="S128" s="872" t="s">
        <v>169</v>
      </c>
      <c r="T128" s="873"/>
      <c r="U128" s="874"/>
      <c r="V128" s="270"/>
      <c r="W128" s="270"/>
      <c r="X128" s="270"/>
      <c r="Y128" s="114"/>
      <c r="Z128" s="270"/>
      <c r="AA128" s="270"/>
    </row>
    <row r="129" spans="3:27" ht="15" thickBot="1" x14ac:dyDescent="0.35">
      <c r="C129" s="566" t="s">
        <v>85</v>
      </c>
      <c r="D129" s="875" t="str">
        <f>VLOOKUP(C129,'Airport Mapping'!$C$5:$D$39,2,FALSE)</f>
        <v xml:space="preserve"> </v>
      </c>
      <c r="E129" s="567" t="s">
        <v>37</v>
      </c>
      <c r="F129" s="567" t="s">
        <v>2</v>
      </c>
      <c r="G129" s="450" t="str">
        <f t="shared" si="5"/>
        <v>Terminal B-Restrooms-Toilets</v>
      </c>
      <c r="H129" s="567" t="s">
        <v>3</v>
      </c>
      <c r="I129" s="877" t="s">
        <v>64</v>
      </c>
      <c r="J129" s="878">
        <f>SUMIFS('Level of Efficiency Assumptions'!J:J,'Level of Efficiency Assumptions'!D:D,E129,'Level of Efficiency Assumptions'!F:F,F129,'Level of Efficiency Assumptions'!I:I,I129)</f>
        <v>3.5</v>
      </c>
      <c r="K129" s="383" t="s">
        <v>68</v>
      </c>
      <c r="L129" s="253" t="s">
        <v>64</v>
      </c>
      <c r="M129" s="879">
        <f>Q129+Q135</f>
        <v>0</v>
      </c>
      <c r="N129" s="880">
        <f>IFERROR(M129/M132,"-")</f>
        <v>0</v>
      </c>
      <c r="O129" s="881">
        <f>SUMIFS('Data Entry'!R:R,'Data Entry'!K:K,G129)</f>
        <v>0</v>
      </c>
      <c r="P129" s="254" t="s">
        <v>159</v>
      </c>
      <c r="Q129" s="882">
        <v>0</v>
      </c>
      <c r="R129" s="883"/>
      <c r="S129" s="883"/>
      <c r="T129" s="114" t="s">
        <v>182</v>
      </c>
      <c r="U129" s="884"/>
      <c r="V129" s="270"/>
      <c r="W129" s="270"/>
      <c r="X129" s="270"/>
      <c r="Y129" s="114"/>
      <c r="Z129" s="270"/>
      <c r="AA129" s="270"/>
    </row>
    <row r="130" spans="3:27" ht="15" thickBot="1" x14ac:dyDescent="0.35">
      <c r="C130" s="494" t="s">
        <v>85</v>
      </c>
      <c r="D130" s="577"/>
      <c r="E130" s="577" t="s">
        <v>37</v>
      </c>
      <c r="F130" s="577" t="s">
        <v>2</v>
      </c>
      <c r="G130" s="450" t="str">
        <f t="shared" si="5"/>
        <v>Terminal B-Restrooms-Toilets</v>
      </c>
      <c r="H130" s="577"/>
      <c r="I130" s="887" t="s">
        <v>65</v>
      </c>
      <c r="J130" s="878">
        <f>SUMIFS('Level of Efficiency Assumptions'!J:J,'Level of Efficiency Assumptions'!D:D,E130,'Level of Efficiency Assumptions'!F:F,F130,'Level of Efficiency Assumptions'!I:I,I130)</f>
        <v>1.6</v>
      </c>
      <c r="K130" s="383" t="s">
        <v>68</v>
      </c>
      <c r="L130" s="255" t="s">
        <v>65</v>
      </c>
      <c r="M130" s="879">
        <f>Q130+Q133+Q136</f>
        <v>1</v>
      </c>
      <c r="N130" s="880">
        <f>IFERROR(M130/M132,"-")</f>
        <v>1</v>
      </c>
      <c r="O130" s="881">
        <f>SUMIFS('Data Entry'!S:S,'Data Entry'!K:K,G130)</f>
        <v>0</v>
      </c>
      <c r="P130" s="256" t="s">
        <v>161</v>
      </c>
      <c r="Q130" s="882">
        <v>1</v>
      </c>
      <c r="R130" s="883"/>
      <c r="S130" s="883"/>
      <c r="T130" s="114" t="s">
        <v>184</v>
      </c>
      <c r="U130" s="884"/>
      <c r="V130" s="270"/>
      <c r="W130" s="270"/>
      <c r="X130" s="270"/>
      <c r="Y130" s="114"/>
      <c r="Z130" s="270"/>
      <c r="AA130" s="270"/>
    </row>
    <row r="131" spans="3:27" ht="15" thickBot="1" x14ac:dyDescent="0.35">
      <c r="C131" s="501" t="s">
        <v>85</v>
      </c>
      <c r="D131" s="116"/>
      <c r="E131" s="116" t="s">
        <v>37</v>
      </c>
      <c r="F131" s="116" t="s">
        <v>2</v>
      </c>
      <c r="G131" s="450" t="str">
        <f t="shared" si="5"/>
        <v>Terminal B-Restrooms-Toilets</v>
      </c>
      <c r="H131" s="116"/>
      <c r="I131" s="889" t="s">
        <v>66</v>
      </c>
      <c r="J131" s="890">
        <f>SUMIFS('Level of Efficiency Assumptions'!J:J,'Level of Efficiency Assumptions'!D:D,E131,'Level of Efficiency Assumptions'!F:F,F131,'Level of Efficiency Assumptions'!I:I,I131)</f>
        <v>1.28</v>
      </c>
      <c r="K131" s="383" t="s">
        <v>68</v>
      </c>
      <c r="L131" s="257" t="s">
        <v>66</v>
      </c>
      <c r="M131" s="879">
        <f>Q131+Q132+Q134+Q137+Q138</f>
        <v>0</v>
      </c>
      <c r="N131" s="880">
        <f>IFERROR(M131/M132,"-")</f>
        <v>0</v>
      </c>
      <c r="O131" s="881">
        <f>SUMIFS('Data Entry'!T:T,'Data Entry'!K:K,G131)</f>
        <v>0</v>
      </c>
      <c r="P131" s="258" t="s">
        <v>163</v>
      </c>
      <c r="Q131" s="882">
        <v>0</v>
      </c>
      <c r="R131" s="883"/>
      <c r="S131" s="883"/>
      <c r="T131" s="891"/>
      <c r="U131" s="884"/>
      <c r="V131" s="270"/>
      <c r="W131" s="270"/>
      <c r="X131" s="270"/>
      <c r="Y131" s="114"/>
      <c r="Z131" s="270"/>
      <c r="AA131" s="270"/>
    </row>
    <row r="132" spans="3:27" x14ac:dyDescent="0.3">
      <c r="C132" s="450"/>
      <c r="D132" s="182"/>
      <c r="E132" s="182"/>
      <c r="F132" s="182"/>
      <c r="G132" s="450" t="str">
        <f t="shared" si="5"/>
        <v>--</v>
      </c>
      <c r="H132" s="182"/>
      <c r="I132" s="440"/>
      <c r="J132" s="892"/>
      <c r="K132" s="259"/>
      <c r="L132" s="259" t="s">
        <v>46</v>
      </c>
      <c r="M132" s="893">
        <f>SUM(M129:M131)</f>
        <v>1</v>
      </c>
      <c r="N132" s="894"/>
      <c r="O132" s="894">
        <f>SUM(O129:O131)</f>
        <v>0</v>
      </c>
      <c r="P132" s="258" t="s">
        <v>165</v>
      </c>
      <c r="Q132" s="882">
        <v>0</v>
      </c>
      <c r="R132" s="883"/>
      <c r="S132" s="883"/>
      <c r="T132" s="891"/>
      <c r="U132" s="884"/>
      <c r="V132" s="270"/>
      <c r="W132" s="270"/>
      <c r="X132" s="270"/>
      <c r="Y132" s="114"/>
      <c r="Z132" s="270"/>
      <c r="AA132" s="270"/>
    </row>
    <row r="133" spans="3:27" ht="15" thickBot="1" x14ac:dyDescent="0.35">
      <c r="C133" s="450"/>
      <c r="D133" s="182"/>
      <c r="E133" s="182"/>
      <c r="F133" s="182"/>
      <c r="G133" s="450" t="str">
        <f t="shared" si="5"/>
        <v>--</v>
      </c>
      <c r="H133" s="182"/>
      <c r="I133" s="440"/>
      <c r="J133" s="892"/>
      <c r="K133" s="181"/>
      <c r="L133" s="181"/>
      <c r="M133" s="181"/>
      <c r="N133" s="892"/>
      <c r="O133" s="892"/>
      <c r="P133" s="256" t="s">
        <v>166</v>
      </c>
      <c r="Q133" s="895">
        <v>0</v>
      </c>
      <c r="R133" s="883"/>
      <c r="S133" s="883"/>
      <c r="T133" s="891"/>
      <c r="U133" s="896"/>
      <c r="V133" s="891"/>
      <c r="W133" s="270"/>
      <c r="X133" s="270"/>
      <c r="Y133" s="114"/>
      <c r="Z133" s="270"/>
      <c r="AA133" s="270"/>
    </row>
    <row r="134" spans="3:27" x14ac:dyDescent="0.3">
      <c r="C134" s="450"/>
      <c r="D134" s="182"/>
      <c r="E134" s="182"/>
      <c r="F134" s="182"/>
      <c r="G134" s="450" t="str">
        <f t="shared" si="5"/>
        <v>--</v>
      </c>
      <c r="H134" s="182"/>
      <c r="I134" s="440"/>
      <c r="J134" s="892"/>
      <c r="K134" s="181"/>
      <c r="L134" s="1384" t="s">
        <v>377</v>
      </c>
      <c r="M134" s="1385"/>
      <c r="N134" s="1385"/>
      <c r="O134" s="1386"/>
      <c r="P134" s="258" t="s">
        <v>167</v>
      </c>
      <c r="Q134" s="895">
        <v>0</v>
      </c>
      <c r="R134" s="883"/>
      <c r="S134" s="883"/>
      <c r="T134" s="891"/>
      <c r="U134" s="896"/>
      <c r="V134" s="891"/>
      <c r="W134" s="270"/>
      <c r="X134" s="270"/>
      <c r="Y134" s="270"/>
      <c r="Z134" s="270"/>
      <c r="AA134" s="270"/>
    </row>
    <row r="135" spans="3:27" x14ac:dyDescent="0.3">
      <c r="C135" s="450"/>
      <c r="D135" s="182"/>
      <c r="E135" s="182"/>
      <c r="F135" s="182"/>
      <c r="G135" s="450" t="str">
        <f t="shared" si="5"/>
        <v>--</v>
      </c>
      <c r="H135" s="182"/>
      <c r="I135" s="440"/>
      <c r="J135" s="892"/>
      <c r="K135" s="181"/>
      <c r="L135" s="1387"/>
      <c r="M135" s="1388"/>
      <c r="N135" s="1388"/>
      <c r="O135" s="1389"/>
      <c r="P135" s="254" t="s">
        <v>160</v>
      </c>
      <c r="Q135" s="895">
        <v>0</v>
      </c>
      <c r="R135" s="891"/>
      <c r="S135" s="891"/>
      <c r="T135" s="891"/>
      <c r="U135" s="896"/>
      <c r="V135" s="891"/>
      <c r="W135" s="270"/>
      <c r="X135" s="270"/>
      <c r="Y135" s="270"/>
      <c r="Z135" s="270"/>
      <c r="AA135" s="270"/>
    </row>
    <row r="136" spans="3:27" x14ac:dyDescent="0.3">
      <c r="C136" s="450"/>
      <c r="D136" s="182"/>
      <c r="E136" s="182"/>
      <c r="F136" s="182"/>
      <c r="G136" s="450" t="str">
        <f t="shared" si="5"/>
        <v>--</v>
      </c>
      <c r="H136" s="182"/>
      <c r="I136" s="440"/>
      <c r="J136" s="892"/>
      <c r="K136" s="181"/>
      <c r="L136" s="1387"/>
      <c r="M136" s="1388"/>
      <c r="N136" s="1388"/>
      <c r="O136" s="1389"/>
      <c r="P136" s="256" t="s">
        <v>162</v>
      </c>
      <c r="Q136" s="895">
        <v>0</v>
      </c>
      <c r="R136" s="891"/>
      <c r="S136" s="891"/>
      <c r="T136" s="891"/>
      <c r="U136" s="896"/>
      <c r="V136" s="891"/>
      <c r="W136" s="270"/>
      <c r="X136" s="270"/>
      <c r="Y136" s="270"/>
      <c r="Z136" s="270"/>
      <c r="AA136" s="270"/>
    </row>
    <row r="137" spans="3:27" ht="15" thickBot="1" x14ac:dyDescent="0.35">
      <c r="C137" s="450"/>
      <c r="D137" s="182"/>
      <c r="E137" s="182"/>
      <c r="F137" s="182"/>
      <c r="G137" s="450" t="str">
        <f t="shared" si="5"/>
        <v>--</v>
      </c>
      <c r="H137" s="182"/>
      <c r="I137" s="440"/>
      <c r="J137" s="892"/>
      <c r="K137" s="181"/>
      <c r="L137" s="1390"/>
      <c r="M137" s="1391"/>
      <c r="N137" s="1391"/>
      <c r="O137" s="1392"/>
      <c r="P137" s="258" t="s">
        <v>164</v>
      </c>
      <c r="Q137" s="895">
        <v>0</v>
      </c>
      <c r="R137" s="114"/>
      <c r="S137" s="891"/>
      <c r="T137" s="114"/>
      <c r="U137" s="884"/>
      <c r="V137" s="114"/>
      <c r="W137" s="270"/>
      <c r="X137" s="270"/>
      <c r="Y137" s="270"/>
      <c r="Z137" s="270"/>
      <c r="AA137" s="270"/>
    </row>
    <row r="138" spans="3:27" x14ac:dyDescent="0.3">
      <c r="C138" s="450"/>
      <c r="D138" s="182"/>
      <c r="E138" s="182"/>
      <c r="F138" s="182"/>
      <c r="G138" s="450" t="str">
        <f t="shared" si="5"/>
        <v>--</v>
      </c>
      <c r="H138" s="182"/>
      <c r="I138" s="440"/>
      <c r="J138" s="892"/>
      <c r="K138" s="181"/>
      <c r="L138" s="181"/>
      <c r="M138" s="181"/>
      <c r="N138" s="892"/>
      <c r="O138" s="892"/>
      <c r="P138" s="258" t="s">
        <v>187</v>
      </c>
      <c r="Q138" s="895">
        <v>0</v>
      </c>
      <c r="R138" s="114"/>
      <c r="S138" s="891"/>
      <c r="T138" s="114"/>
      <c r="U138" s="884"/>
      <c r="V138" s="114"/>
      <c r="W138" s="270"/>
      <c r="X138" s="270"/>
      <c r="Y138" s="270"/>
      <c r="Z138" s="270"/>
      <c r="AA138" s="270"/>
    </row>
    <row r="139" spans="3:27" x14ac:dyDescent="0.3">
      <c r="C139" s="450"/>
      <c r="D139" s="182"/>
      <c r="E139" s="182"/>
      <c r="F139" s="182"/>
      <c r="G139" s="450" t="str">
        <f t="shared" si="5"/>
        <v>--</v>
      </c>
      <c r="H139" s="182"/>
      <c r="I139" s="440"/>
      <c r="J139" s="892"/>
      <c r="K139" s="181"/>
      <c r="L139" s="181"/>
      <c r="M139" s="181"/>
      <c r="N139" s="892"/>
      <c r="O139" s="892"/>
      <c r="P139" s="263" t="s">
        <v>46</v>
      </c>
      <c r="Q139" s="897">
        <f>SUM(Q129:Q138)</f>
        <v>1</v>
      </c>
      <c r="R139" s="898"/>
      <c r="S139" s="898"/>
      <c r="T139" s="899"/>
      <c r="U139" s="900"/>
      <c r="V139" s="114"/>
      <c r="W139" s="270"/>
      <c r="X139" s="270"/>
      <c r="Y139" s="270"/>
      <c r="Z139" s="270"/>
      <c r="AA139" s="270"/>
    </row>
    <row r="140" spans="3:27" x14ac:dyDescent="0.3">
      <c r="C140" s="450"/>
      <c r="D140" s="182"/>
      <c r="E140" s="182"/>
      <c r="F140" s="182"/>
      <c r="G140" s="450" t="str">
        <f t="shared" si="5"/>
        <v>--</v>
      </c>
      <c r="H140" s="182"/>
      <c r="I140" s="440"/>
      <c r="J140" s="892"/>
      <c r="K140" s="181"/>
      <c r="L140" s="181"/>
      <c r="M140" s="181"/>
      <c r="N140" s="892"/>
      <c r="O140" s="892"/>
      <c r="P140" s="114"/>
      <c r="Q140" s="114"/>
      <c r="R140" s="891"/>
      <c r="S140" s="891"/>
      <c r="T140" s="114"/>
      <c r="U140" s="114"/>
      <c r="V140" s="114"/>
      <c r="W140" s="270"/>
      <c r="X140" s="270"/>
      <c r="Y140" s="270"/>
      <c r="Z140" s="270"/>
      <c r="AA140" s="270"/>
    </row>
    <row r="141" spans="3:27" ht="15" thickBot="1" x14ac:dyDescent="0.35">
      <c r="C141" s="450"/>
      <c r="D141" s="182"/>
      <c r="E141" s="182"/>
      <c r="F141" s="182"/>
      <c r="G141" s="450" t="str">
        <f t="shared" si="5"/>
        <v>--</v>
      </c>
      <c r="H141" s="182"/>
      <c r="I141" s="892"/>
      <c r="J141" s="892"/>
      <c r="K141" s="182"/>
      <c r="L141" s="182"/>
      <c r="M141" s="870" t="s">
        <v>155</v>
      </c>
      <c r="N141" s="870" t="s">
        <v>188</v>
      </c>
      <c r="O141" s="870"/>
      <c r="P141" s="252" t="s">
        <v>175</v>
      </c>
      <c r="Q141" s="871" t="s">
        <v>155</v>
      </c>
      <c r="R141" s="872" t="s">
        <v>168</v>
      </c>
      <c r="S141" s="872" t="s">
        <v>169</v>
      </c>
      <c r="T141" s="902"/>
      <c r="U141" s="903"/>
      <c r="V141" s="270"/>
      <c r="W141" s="270"/>
      <c r="X141" s="270"/>
      <c r="Y141" s="270"/>
      <c r="Z141" s="270"/>
      <c r="AA141" s="270"/>
    </row>
    <row r="142" spans="3:27" ht="15" thickBot="1" x14ac:dyDescent="0.35">
      <c r="C142" s="566" t="s">
        <v>85</v>
      </c>
      <c r="D142" s="875" t="str">
        <f>VLOOKUP(C142,'Airport Mapping'!$C$5:$D$39,2,FALSE)</f>
        <v xml:space="preserve"> </v>
      </c>
      <c r="E142" s="567" t="s">
        <v>37</v>
      </c>
      <c r="F142" s="567" t="s">
        <v>4</v>
      </c>
      <c r="G142" s="450" t="str">
        <f t="shared" si="5"/>
        <v>Terminal B-Restrooms-Urinals</v>
      </c>
      <c r="H142" s="567" t="s">
        <v>3</v>
      </c>
      <c r="I142" s="877" t="s">
        <v>64</v>
      </c>
      <c r="J142" s="878">
        <f>SUMIFS('Level of Efficiency Assumptions'!J:J,'Level of Efficiency Assumptions'!D:D,E142,'Level of Efficiency Assumptions'!F:F,F142,'Level of Efficiency Assumptions'!I:I,I142)</f>
        <v>2</v>
      </c>
      <c r="K142" s="383" t="s">
        <v>68</v>
      </c>
      <c r="L142" s="253" t="s">
        <v>64</v>
      </c>
      <c r="M142" s="879">
        <f>Q142+Q143</f>
        <v>0</v>
      </c>
      <c r="N142" s="880">
        <f>IFERROR(M142/M145,"-")</f>
        <v>0</v>
      </c>
      <c r="O142" s="881">
        <f>SUMIFS('Data Entry'!R:R,'Data Entry'!K:K,G142)</f>
        <v>0</v>
      </c>
      <c r="P142" s="254" t="s">
        <v>177</v>
      </c>
      <c r="Q142" s="882">
        <v>0</v>
      </c>
      <c r="R142" s="883"/>
      <c r="S142" s="883"/>
      <c r="T142" s="114"/>
      <c r="U142" s="904"/>
      <c r="V142" s="270"/>
      <c r="W142" s="270"/>
      <c r="X142" s="270"/>
      <c r="Y142" s="270"/>
      <c r="Z142" s="270"/>
      <c r="AA142" s="270"/>
    </row>
    <row r="143" spans="3:27" ht="15" thickBot="1" x14ac:dyDescent="0.35">
      <c r="C143" s="494" t="s">
        <v>85</v>
      </c>
      <c r="D143" s="577"/>
      <c r="E143" s="577" t="s">
        <v>37</v>
      </c>
      <c r="F143" s="577" t="s">
        <v>4</v>
      </c>
      <c r="G143" s="450" t="str">
        <f t="shared" si="5"/>
        <v>Terminal B-Restrooms-Urinals</v>
      </c>
      <c r="H143" s="577"/>
      <c r="I143" s="887" t="s">
        <v>65</v>
      </c>
      <c r="J143" s="878">
        <f>SUMIFS('Level of Efficiency Assumptions'!J:J,'Level of Efficiency Assumptions'!D:D,E143,'Level of Efficiency Assumptions'!F:F,F143,'Level of Efficiency Assumptions'!I:I,I143)</f>
        <v>1</v>
      </c>
      <c r="K143" s="383" t="s">
        <v>68</v>
      </c>
      <c r="L143" s="255" t="s">
        <v>65</v>
      </c>
      <c r="M143" s="879">
        <f>Q144+Q145</f>
        <v>1</v>
      </c>
      <c r="N143" s="880">
        <f>IFERROR(M143/M145,"-")</f>
        <v>1</v>
      </c>
      <c r="O143" s="881">
        <f>SUMIFS('Data Entry'!S:S,'Data Entry'!K:K,G143)</f>
        <v>0</v>
      </c>
      <c r="P143" s="254" t="s">
        <v>179</v>
      </c>
      <c r="Q143" s="882">
        <v>0</v>
      </c>
      <c r="R143" s="883"/>
      <c r="S143" s="883"/>
      <c r="T143" s="114"/>
      <c r="U143" s="904"/>
      <c r="V143" s="270"/>
      <c r="W143" s="270"/>
      <c r="X143" s="270"/>
      <c r="Y143" s="270"/>
      <c r="Z143" s="270"/>
      <c r="AA143" s="270"/>
    </row>
    <row r="144" spans="3:27" ht="15" thickBot="1" x14ac:dyDescent="0.35">
      <c r="C144" s="501" t="s">
        <v>85</v>
      </c>
      <c r="D144" s="116"/>
      <c r="E144" s="116" t="s">
        <v>37</v>
      </c>
      <c r="F144" s="116" t="s">
        <v>4</v>
      </c>
      <c r="G144" s="450" t="str">
        <f t="shared" si="5"/>
        <v>Terminal B-Restrooms-Urinals</v>
      </c>
      <c r="H144" s="116"/>
      <c r="I144" s="889" t="s">
        <v>66</v>
      </c>
      <c r="J144" s="890">
        <f>SUMIFS('Level of Efficiency Assumptions'!J:J,'Level of Efficiency Assumptions'!D:D,E144,'Level of Efficiency Assumptions'!F:F,F144,'Level of Efficiency Assumptions'!I:I,I144)</f>
        <v>0.125</v>
      </c>
      <c r="K144" s="383" t="s">
        <v>68</v>
      </c>
      <c r="L144" s="257" t="s">
        <v>66</v>
      </c>
      <c r="M144" s="879">
        <f>Q146+Q147</f>
        <v>0</v>
      </c>
      <c r="N144" s="880">
        <f>IFERROR(M144/M145,"-")</f>
        <v>0</v>
      </c>
      <c r="O144" s="881">
        <f>SUMIFS('Data Entry'!T:T,'Data Entry'!K:K,G144)</f>
        <v>0</v>
      </c>
      <c r="P144" s="256" t="s">
        <v>189</v>
      </c>
      <c r="Q144" s="882">
        <v>0</v>
      </c>
      <c r="R144" s="883"/>
      <c r="S144" s="883"/>
      <c r="T144" s="114"/>
      <c r="U144" s="904"/>
      <c r="V144" s="270"/>
      <c r="W144" s="270"/>
      <c r="X144" s="270"/>
      <c r="Y144" s="270"/>
      <c r="Z144" s="270"/>
      <c r="AA144" s="270"/>
    </row>
    <row r="145" spans="3:27" x14ac:dyDescent="0.3">
      <c r="C145" s="450"/>
      <c r="D145" s="182"/>
      <c r="E145" s="182"/>
      <c r="F145" s="182"/>
      <c r="G145" s="450" t="str">
        <f t="shared" si="5"/>
        <v>--</v>
      </c>
      <c r="H145" s="182"/>
      <c r="I145" s="440"/>
      <c r="J145" s="892"/>
      <c r="K145" s="259"/>
      <c r="L145" s="259" t="s">
        <v>46</v>
      </c>
      <c r="M145" s="893">
        <f>SUM(M142:M144)</f>
        <v>1</v>
      </c>
      <c r="N145" s="894"/>
      <c r="O145" s="894">
        <f>SUM(O142:O144)</f>
        <v>0</v>
      </c>
      <c r="P145" s="256" t="s">
        <v>181</v>
      </c>
      <c r="Q145" s="882">
        <v>1</v>
      </c>
      <c r="R145" s="883"/>
      <c r="S145" s="883"/>
      <c r="T145" s="114"/>
      <c r="U145" s="264"/>
      <c r="V145" s="270"/>
      <c r="W145" s="270"/>
      <c r="X145" s="270"/>
      <c r="Y145" s="270"/>
      <c r="Z145" s="270"/>
      <c r="AA145" s="270"/>
    </row>
    <row r="146" spans="3:27" x14ac:dyDescent="0.3">
      <c r="C146" s="450"/>
      <c r="D146" s="182"/>
      <c r="E146" s="182"/>
      <c r="F146" s="182"/>
      <c r="G146" s="450" t="str">
        <f t="shared" si="5"/>
        <v>--</v>
      </c>
      <c r="H146" s="182"/>
      <c r="I146" s="440"/>
      <c r="J146" s="182"/>
      <c r="K146" s="181"/>
      <c r="L146" s="181"/>
      <c r="M146" s="181"/>
      <c r="N146" s="892"/>
      <c r="O146" s="892"/>
      <c r="P146" s="258" t="s">
        <v>183</v>
      </c>
      <c r="Q146" s="882">
        <v>0</v>
      </c>
      <c r="R146" s="883"/>
      <c r="S146" s="883"/>
      <c r="T146" s="114"/>
      <c r="U146" s="884"/>
      <c r="V146" s="114"/>
      <c r="W146" s="270"/>
      <c r="X146" s="270"/>
      <c r="Y146" s="270"/>
      <c r="Z146" s="270"/>
      <c r="AA146" s="270"/>
    </row>
    <row r="147" spans="3:27" x14ac:dyDescent="0.3">
      <c r="C147" s="450"/>
      <c r="D147" s="182"/>
      <c r="E147" s="182"/>
      <c r="F147" s="182"/>
      <c r="G147" s="450" t="str">
        <f t="shared" si="5"/>
        <v>--</v>
      </c>
      <c r="H147" s="182"/>
      <c r="I147" s="440"/>
      <c r="J147" s="182"/>
      <c r="K147" s="181"/>
      <c r="L147" s="181"/>
      <c r="M147" s="181"/>
      <c r="N147" s="892"/>
      <c r="O147" s="892"/>
      <c r="P147" s="258" t="s">
        <v>190</v>
      </c>
      <c r="Q147" s="882">
        <v>0</v>
      </c>
      <c r="R147" s="114"/>
      <c r="S147" s="114"/>
      <c r="T147" s="114"/>
      <c r="U147" s="884"/>
      <c r="V147" s="114"/>
      <c r="W147" s="270"/>
      <c r="X147" s="270"/>
      <c r="Y147" s="270"/>
      <c r="Z147" s="270"/>
      <c r="AA147" s="270"/>
    </row>
    <row r="148" spans="3:27" x14ac:dyDescent="0.3">
      <c r="C148" s="450"/>
      <c r="D148" s="182"/>
      <c r="E148" s="182"/>
      <c r="F148" s="182"/>
      <c r="G148" s="450" t="str">
        <f t="shared" si="5"/>
        <v>--</v>
      </c>
      <c r="H148" s="182"/>
      <c r="I148" s="440"/>
      <c r="J148" s="182"/>
      <c r="K148" s="181"/>
      <c r="L148" s="181"/>
      <c r="M148" s="181"/>
      <c r="N148" s="892"/>
      <c r="O148" s="892"/>
      <c r="P148" s="263" t="s">
        <v>46</v>
      </c>
      <c r="Q148" s="897">
        <f>SUM(Q142:Q147)</f>
        <v>1</v>
      </c>
      <c r="R148" s="899"/>
      <c r="S148" s="899"/>
      <c r="T148" s="899"/>
      <c r="U148" s="900"/>
      <c r="V148" s="114"/>
      <c r="W148" s="270"/>
      <c r="X148" s="270"/>
      <c r="Y148" s="270"/>
      <c r="Z148" s="270"/>
      <c r="AA148" s="270"/>
    </row>
    <row r="149" spans="3:27" x14ac:dyDescent="0.3">
      <c r="C149" s="450"/>
      <c r="D149" s="182"/>
      <c r="E149" s="182"/>
      <c r="F149" s="182"/>
      <c r="G149" s="450" t="str">
        <f t="shared" si="5"/>
        <v>--</v>
      </c>
      <c r="H149" s="182"/>
      <c r="I149" s="440"/>
      <c r="J149" s="182"/>
      <c r="K149" s="181"/>
      <c r="L149" s="181"/>
      <c r="M149" s="181"/>
      <c r="N149" s="892"/>
      <c r="O149" s="892"/>
      <c r="P149" s="262"/>
      <c r="Q149" s="114"/>
      <c r="R149" s="114"/>
      <c r="S149" s="114"/>
      <c r="T149" s="114"/>
      <c r="U149" s="114"/>
      <c r="V149" s="114"/>
      <c r="W149" s="270"/>
      <c r="X149" s="270"/>
      <c r="Y149" s="270"/>
      <c r="Z149" s="270"/>
      <c r="AA149" s="270"/>
    </row>
    <row r="150" spans="3:27" ht="15" thickBot="1" x14ac:dyDescent="0.35">
      <c r="C150" s="450"/>
      <c r="D150" s="182"/>
      <c r="E150" s="182"/>
      <c r="F150" s="182"/>
      <c r="G150" s="450" t="str">
        <f t="shared" si="5"/>
        <v>--</v>
      </c>
      <c r="H150" s="182"/>
      <c r="I150" s="892"/>
      <c r="J150" s="892"/>
      <c r="K150" s="182"/>
      <c r="L150" s="182"/>
      <c r="M150" s="870" t="s">
        <v>155</v>
      </c>
      <c r="N150" s="870" t="s">
        <v>188</v>
      </c>
      <c r="O150" s="870"/>
      <c r="P150" s="265" t="s">
        <v>33</v>
      </c>
      <c r="Q150" s="871" t="s">
        <v>155</v>
      </c>
      <c r="R150" s="872" t="s">
        <v>168</v>
      </c>
      <c r="S150" s="872" t="s">
        <v>169</v>
      </c>
      <c r="T150" s="872" t="s">
        <v>170</v>
      </c>
      <c r="U150" s="872" t="s">
        <v>171</v>
      </c>
      <c r="V150" s="902"/>
      <c r="W150" s="902"/>
      <c r="X150" s="874"/>
      <c r="Y150" s="270"/>
      <c r="Z150" s="270"/>
      <c r="AA150" s="270"/>
    </row>
    <row r="151" spans="3:27" ht="15" thickBot="1" x14ac:dyDescent="0.35">
      <c r="C151" s="566" t="s">
        <v>85</v>
      </c>
      <c r="D151" s="875" t="str">
        <f>VLOOKUP(C151,'Airport Mapping'!$C$5:$D$39,2,FALSE)</f>
        <v xml:space="preserve"> </v>
      </c>
      <c r="E151" s="567" t="s">
        <v>37</v>
      </c>
      <c r="F151" s="567" t="s">
        <v>33</v>
      </c>
      <c r="G151" s="450" t="str">
        <f t="shared" si="5"/>
        <v>Terminal B-Restrooms-Faucets</v>
      </c>
      <c r="H151" s="567" t="s">
        <v>3</v>
      </c>
      <c r="I151" s="877" t="s">
        <v>64</v>
      </c>
      <c r="J151" s="878">
        <f>SUMIFS('Level of Efficiency Assumptions'!J:J,'Level of Efficiency Assumptions'!D:D,E151,'Level of Efficiency Assumptions'!F:F,F151,'Level of Efficiency Assumptions'!I:I,I151)</f>
        <v>2</v>
      </c>
      <c r="K151" s="383" t="s">
        <v>212</v>
      </c>
      <c r="L151" s="253" t="s">
        <v>64</v>
      </c>
      <c r="M151" s="879">
        <f>Q151+Q152</f>
        <v>0</v>
      </c>
      <c r="N151" s="880">
        <f>IFERROR(M151/M154,"-")</f>
        <v>0</v>
      </c>
      <c r="O151" s="881">
        <f>SUMIFS('Data Entry'!R:R,'Data Entry'!K:K,G151)</f>
        <v>0</v>
      </c>
      <c r="P151" s="266" t="s">
        <v>180</v>
      </c>
      <c r="Q151" s="895">
        <v>0</v>
      </c>
      <c r="R151" s="883"/>
      <c r="S151" s="883"/>
      <c r="T151" s="883"/>
      <c r="U151" s="883"/>
      <c r="V151" s="114" t="s">
        <v>182</v>
      </c>
      <c r="W151" s="114"/>
      <c r="X151" s="884"/>
      <c r="Y151" s="270"/>
      <c r="Z151" s="270"/>
      <c r="AA151" s="270"/>
    </row>
    <row r="152" spans="3:27" ht="15" thickBot="1" x14ac:dyDescent="0.35">
      <c r="C152" s="494" t="s">
        <v>85</v>
      </c>
      <c r="D152" s="577"/>
      <c r="E152" s="577" t="s">
        <v>37</v>
      </c>
      <c r="F152" s="577" t="s">
        <v>33</v>
      </c>
      <c r="G152" s="450" t="str">
        <f t="shared" si="5"/>
        <v>Terminal B-Restrooms-Faucets</v>
      </c>
      <c r="H152" s="577"/>
      <c r="I152" s="887" t="s">
        <v>65</v>
      </c>
      <c r="J152" s="878">
        <f>SUMIFS('Level of Efficiency Assumptions'!J:J,'Level of Efficiency Assumptions'!D:D,E152,'Level of Efficiency Assumptions'!F:F,F152,'Level of Efficiency Assumptions'!I:I,I152)</f>
        <v>1</v>
      </c>
      <c r="K152" s="383" t="s">
        <v>212</v>
      </c>
      <c r="L152" s="255" t="s">
        <v>65</v>
      </c>
      <c r="M152" s="879">
        <f>Q153+Q154</f>
        <v>1</v>
      </c>
      <c r="N152" s="880">
        <f>IFERROR(M152/M154,"-")</f>
        <v>1</v>
      </c>
      <c r="O152" s="881">
        <f>SUMIFS('Data Entry'!S:S,'Data Entry'!K:K,G152)</f>
        <v>0</v>
      </c>
      <c r="P152" s="266" t="s">
        <v>178</v>
      </c>
      <c r="Q152" s="895">
        <v>0</v>
      </c>
      <c r="R152" s="883"/>
      <c r="S152" s="883"/>
      <c r="T152" s="883"/>
      <c r="U152" s="883"/>
      <c r="V152" s="114" t="s">
        <v>184</v>
      </c>
      <c r="W152" s="114"/>
      <c r="X152" s="884"/>
      <c r="Y152" s="270"/>
      <c r="Z152" s="270"/>
      <c r="AA152" s="270"/>
    </row>
    <row r="153" spans="3:27" ht="15" thickBot="1" x14ac:dyDescent="0.35">
      <c r="C153" s="501" t="s">
        <v>85</v>
      </c>
      <c r="D153" s="116"/>
      <c r="E153" s="116" t="s">
        <v>37</v>
      </c>
      <c r="F153" s="116" t="s">
        <v>33</v>
      </c>
      <c r="G153" s="450" t="str">
        <f t="shared" si="5"/>
        <v>Terminal B-Restrooms-Faucets</v>
      </c>
      <c r="H153" s="116"/>
      <c r="I153" s="889" t="s">
        <v>66</v>
      </c>
      <c r="J153" s="890">
        <f>SUMIFS('Level of Efficiency Assumptions'!J:J,'Level of Efficiency Assumptions'!D:D,E153,'Level of Efficiency Assumptions'!F:F,F153,'Level of Efficiency Assumptions'!I:I,I153)</f>
        <v>0.5</v>
      </c>
      <c r="K153" s="383" t="s">
        <v>212</v>
      </c>
      <c r="L153" s="257" t="s">
        <v>66</v>
      </c>
      <c r="M153" s="879">
        <f>Q155</f>
        <v>0</v>
      </c>
      <c r="N153" s="880">
        <f>IFERROR(M153/M154,"-")</f>
        <v>0</v>
      </c>
      <c r="O153" s="881">
        <f>SUMIFS('Data Entry'!T:T,'Data Entry'!K:K,G153)</f>
        <v>0</v>
      </c>
      <c r="P153" s="267" t="s">
        <v>176</v>
      </c>
      <c r="Q153" s="895">
        <v>1</v>
      </c>
      <c r="R153" s="883"/>
      <c r="S153" s="883"/>
      <c r="T153" s="883"/>
      <c r="U153" s="883"/>
      <c r="V153" s="114" t="s">
        <v>185</v>
      </c>
      <c r="W153" s="114"/>
      <c r="X153" s="884"/>
      <c r="Y153" s="270"/>
      <c r="Z153" s="270"/>
      <c r="AA153" s="270"/>
    </row>
    <row r="154" spans="3:27" x14ac:dyDescent="0.3">
      <c r="C154" s="450"/>
      <c r="D154" s="182"/>
      <c r="E154" s="182"/>
      <c r="F154" s="182"/>
      <c r="G154" s="450" t="str">
        <f t="shared" si="5"/>
        <v>--</v>
      </c>
      <c r="H154" s="182"/>
      <c r="I154" s="440"/>
      <c r="J154" s="892"/>
      <c r="K154" s="259"/>
      <c r="L154" s="259" t="s">
        <v>46</v>
      </c>
      <c r="M154" s="893">
        <f>SUM(M151:M153)</f>
        <v>1</v>
      </c>
      <c r="N154" s="894"/>
      <c r="O154" s="894">
        <f>SUM(O151:O153)</f>
        <v>0</v>
      </c>
      <c r="P154" s="256" t="s">
        <v>173</v>
      </c>
      <c r="Q154" s="895">
        <v>0</v>
      </c>
      <c r="R154" s="883"/>
      <c r="S154" s="883"/>
      <c r="T154" s="883"/>
      <c r="U154" s="883"/>
      <c r="V154" s="114" t="s">
        <v>186</v>
      </c>
      <c r="W154" s="114"/>
      <c r="X154" s="884"/>
      <c r="Y154" s="270"/>
      <c r="Z154" s="270"/>
      <c r="AA154" s="270"/>
    </row>
    <row r="155" spans="3:27" x14ac:dyDescent="0.3">
      <c r="C155" s="450"/>
      <c r="D155" s="182"/>
      <c r="E155" s="182"/>
      <c r="F155" s="182"/>
      <c r="G155" s="450" t="str">
        <f t="shared" si="5"/>
        <v>--</v>
      </c>
      <c r="H155" s="182"/>
      <c r="I155" s="440"/>
      <c r="J155" s="182"/>
      <c r="K155" s="181"/>
      <c r="L155" s="114"/>
      <c r="M155" s="114"/>
      <c r="N155" s="905"/>
      <c r="O155" s="905"/>
      <c r="P155" s="258" t="s">
        <v>172</v>
      </c>
      <c r="Q155" s="895">
        <v>0</v>
      </c>
      <c r="R155" s="883"/>
      <c r="S155" s="883"/>
      <c r="T155" s="883"/>
      <c r="U155" s="883"/>
      <c r="V155" s="114"/>
      <c r="W155" s="114"/>
      <c r="X155" s="884"/>
      <c r="Y155" s="270"/>
      <c r="Z155" s="270"/>
      <c r="AA155" s="270"/>
    </row>
    <row r="156" spans="3:27" x14ac:dyDescent="0.3">
      <c r="C156" s="450"/>
      <c r="D156" s="182"/>
      <c r="E156" s="182"/>
      <c r="F156" s="182"/>
      <c r="G156" s="450" t="str">
        <f t="shared" si="5"/>
        <v>--</v>
      </c>
      <c r="H156" s="182"/>
      <c r="I156" s="440"/>
      <c r="J156" s="182"/>
      <c r="K156" s="181"/>
      <c r="L156" s="181"/>
      <c r="M156" s="181"/>
      <c r="N156" s="892"/>
      <c r="O156" s="892"/>
      <c r="P156" s="263" t="s">
        <v>46</v>
      </c>
      <c r="Q156" s="897">
        <f>SUM(Q150:Q155)</f>
        <v>1</v>
      </c>
      <c r="R156" s="899"/>
      <c r="S156" s="899"/>
      <c r="T156" s="899"/>
      <c r="U156" s="899"/>
      <c r="V156" s="899"/>
      <c r="W156" s="899"/>
      <c r="X156" s="900"/>
      <c r="Y156" s="270"/>
      <c r="Z156" s="270"/>
      <c r="AA156" s="270"/>
    </row>
    <row r="157" spans="3:27" x14ac:dyDescent="0.3">
      <c r="C157" s="450"/>
      <c r="D157" s="182"/>
      <c r="E157" s="182"/>
      <c r="F157" s="182"/>
      <c r="G157" s="450" t="str">
        <f t="shared" si="5"/>
        <v>--</v>
      </c>
      <c r="H157" s="182"/>
      <c r="I157" s="440"/>
      <c r="J157" s="182"/>
      <c r="K157" s="181"/>
      <c r="L157" s="181"/>
      <c r="M157" s="181"/>
      <c r="N157" s="892"/>
      <c r="O157" s="892"/>
      <c r="P157" s="262"/>
      <c r="Q157" s="114"/>
      <c r="R157" s="114"/>
      <c r="S157" s="114"/>
      <c r="T157" s="114"/>
      <c r="U157" s="114"/>
      <c r="V157" s="114"/>
      <c r="W157" s="270"/>
      <c r="X157" s="270"/>
      <c r="Y157" s="270"/>
      <c r="Z157" s="270"/>
      <c r="AA157" s="270"/>
    </row>
    <row r="158" spans="3:27" ht="15" thickBot="1" x14ac:dyDescent="0.35">
      <c r="C158" s="450"/>
      <c r="D158" s="182"/>
      <c r="E158" s="182"/>
      <c r="F158" s="182"/>
      <c r="G158" s="450" t="str">
        <f t="shared" si="5"/>
        <v>--</v>
      </c>
      <c r="H158" s="182"/>
      <c r="I158" s="892"/>
      <c r="J158" s="892"/>
      <c r="K158" s="182"/>
      <c r="L158" s="182"/>
      <c r="M158" s="870" t="s">
        <v>155</v>
      </c>
      <c r="N158" s="870" t="s">
        <v>188</v>
      </c>
      <c r="O158" s="870"/>
      <c r="P158" s="265" t="s">
        <v>33</v>
      </c>
      <c r="Q158" s="871" t="s">
        <v>155</v>
      </c>
      <c r="R158" s="872" t="s">
        <v>168</v>
      </c>
      <c r="S158" s="872" t="s">
        <v>169</v>
      </c>
      <c r="T158" s="872" t="s">
        <v>170</v>
      </c>
      <c r="U158" s="872" t="s">
        <v>171</v>
      </c>
      <c r="V158" s="902"/>
      <c r="W158" s="902"/>
      <c r="X158" s="874"/>
      <c r="Y158" s="270"/>
      <c r="Z158" s="270"/>
      <c r="AA158" s="270"/>
    </row>
    <row r="159" spans="3:27" ht="15" thickBot="1" x14ac:dyDescent="0.35">
      <c r="C159" s="566" t="s">
        <v>85</v>
      </c>
      <c r="D159" s="875" t="str">
        <f>VLOOKUP(C159,'Airport Mapping'!$C$5:$D$39,2,FALSE)</f>
        <v xml:space="preserve"> </v>
      </c>
      <c r="E159" s="567" t="s">
        <v>38</v>
      </c>
      <c r="F159" s="567" t="s">
        <v>114</v>
      </c>
      <c r="G159" s="450" t="str">
        <f t="shared" si="5"/>
        <v>Terminal B-Food Service-Kitchen faucets</v>
      </c>
      <c r="H159" s="567" t="s">
        <v>19</v>
      </c>
      <c r="I159" s="877" t="s">
        <v>64</v>
      </c>
      <c r="J159" s="878">
        <f>SUMIFS('Level of Efficiency Assumptions'!J:J,'Level of Efficiency Assumptions'!D:D,E159,'Level of Efficiency Assumptions'!F:F,F159,'Level of Efficiency Assumptions'!I:I,I159)</f>
        <v>2</v>
      </c>
      <c r="K159" s="383" t="s">
        <v>78</v>
      </c>
      <c r="L159" s="253" t="s">
        <v>64</v>
      </c>
      <c r="M159" s="879">
        <f>Q159+Q160</f>
        <v>0</v>
      </c>
      <c r="N159" s="880">
        <f>IFERROR(M159/M162,"-")</f>
        <v>0</v>
      </c>
      <c r="O159" s="881">
        <f>SUMIFS('Data Entry'!R:R,'Data Entry'!K:K,G159)</f>
        <v>0</v>
      </c>
      <c r="P159" s="266" t="s">
        <v>180</v>
      </c>
      <c r="Q159" s="895">
        <v>0</v>
      </c>
      <c r="R159" s="883"/>
      <c r="S159" s="883"/>
      <c r="T159" s="883"/>
      <c r="U159" s="883"/>
      <c r="V159" s="114" t="s">
        <v>182</v>
      </c>
      <c r="W159" s="114"/>
      <c r="X159" s="884"/>
      <c r="Y159" s="270"/>
      <c r="Z159" s="270"/>
      <c r="AA159" s="270"/>
    </row>
    <row r="160" spans="3:27" ht="15" thickBot="1" x14ac:dyDescent="0.35">
      <c r="C160" s="494" t="s">
        <v>85</v>
      </c>
      <c r="D160" s="577"/>
      <c r="E160" s="577" t="s">
        <v>38</v>
      </c>
      <c r="F160" s="577" t="s">
        <v>114</v>
      </c>
      <c r="G160" s="450" t="str">
        <f t="shared" si="5"/>
        <v>Terminal B-Food Service-Kitchen faucets</v>
      </c>
      <c r="H160" s="577"/>
      <c r="I160" s="887" t="s">
        <v>65</v>
      </c>
      <c r="J160" s="878">
        <f>SUMIFS('Level of Efficiency Assumptions'!J:J,'Level of Efficiency Assumptions'!D:D,E160,'Level of Efficiency Assumptions'!F:F,F160,'Level of Efficiency Assumptions'!I:I,I160)</f>
        <v>1</v>
      </c>
      <c r="K160" s="383" t="s">
        <v>78</v>
      </c>
      <c r="L160" s="255" t="s">
        <v>65</v>
      </c>
      <c r="M160" s="879">
        <f>Q161+Q162</f>
        <v>1</v>
      </c>
      <c r="N160" s="880">
        <f>IFERROR(M160/M162,"-")</f>
        <v>1</v>
      </c>
      <c r="O160" s="881">
        <f>SUMIFS('Data Entry'!S:S,'Data Entry'!K:K,G160)</f>
        <v>0</v>
      </c>
      <c r="P160" s="266" t="s">
        <v>178</v>
      </c>
      <c r="Q160" s="895">
        <v>0</v>
      </c>
      <c r="R160" s="883"/>
      <c r="S160" s="883"/>
      <c r="T160" s="883"/>
      <c r="U160" s="883"/>
      <c r="V160" s="114" t="s">
        <v>184</v>
      </c>
      <c r="W160" s="114"/>
      <c r="X160" s="884"/>
      <c r="Y160" s="270"/>
      <c r="Z160" s="270"/>
      <c r="AA160" s="270"/>
    </row>
    <row r="161" spans="3:27" ht="15" thickBot="1" x14ac:dyDescent="0.35">
      <c r="C161" s="501" t="s">
        <v>85</v>
      </c>
      <c r="D161" s="116"/>
      <c r="E161" s="116" t="s">
        <v>38</v>
      </c>
      <c r="F161" s="116" t="s">
        <v>114</v>
      </c>
      <c r="G161" s="450" t="str">
        <f t="shared" si="5"/>
        <v>Terminal B-Food Service-Kitchen faucets</v>
      </c>
      <c r="H161" s="116"/>
      <c r="I161" s="889" t="s">
        <v>66</v>
      </c>
      <c r="J161" s="890">
        <f>SUMIFS('Level of Efficiency Assumptions'!J:J,'Level of Efficiency Assumptions'!D:D,E161,'Level of Efficiency Assumptions'!F:F,F161,'Level of Efficiency Assumptions'!I:I,I161)</f>
        <v>0.5</v>
      </c>
      <c r="K161" s="383" t="s">
        <v>78</v>
      </c>
      <c r="L161" s="257" t="s">
        <v>66</v>
      </c>
      <c r="M161" s="879">
        <f>Q163</f>
        <v>0</v>
      </c>
      <c r="N161" s="880">
        <f>IFERROR(M161/M162,"-")</f>
        <v>0</v>
      </c>
      <c r="O161" s="881">
        <f>SUMIFS('Data Entry'!T:T,'Data Entry'!K:K,G161)</f>
        <v>0</v>
      </c>
      <c r="P161" s="267" t="s">
        <v>176</v>
      </c>
      <c r="Q161" s="895">
        <v>1</v>
      </c>
      <c r="R161" s="883"/>
      <c r="S161" s="883"/>
      <c r="T161" s="883"/>
      <c r="U161" s="883"/>
      <c r="V161" s="114" t="s">
        <v>185</v>
      </c>
      <c r="W161" s="114"/>
      <c r="X161" s="884"/>
      <c r="Y161" s="270"/>
      <c r="Z161" s="270"/>
      <c r="AA161" s="270"/>
    </row>
    <row r="162" spans="3:27" x14ac:dyDescent="0.3">
      <c r="C162" s="450"/>
      <c r="D162" s="182"/>
      <c r="E162" s="182"/>
      <c r="F162" s="182"/>
      <c r="G162" s="450" t="str">
        <f t="shared" si="5"/>
        <v>--</v>
      </c>
      <c r="H162" s="182"/>
      <c r="I162" s="440"/>
      <c r="J162" s="892"/>
      <c r="K162" s="259"/>
      <c r="L162" s="259" t="s">
        <v>46</v>
      </c>
      <c r="M162" s="893">
        <f>SUM(M159:M161)</f>
        <v>1</v>
      </c>
      <c r="N162" s="894"/>
      <c r="O162" s="894">
        <f>SUM(O159:O161)</f>
        <v>0</v>
      </c>
      <c r="P162" s="256" t="s">
        <v>173</v>
      </c>
      <c r="Q162" s="895">
        <v>0</v>
      </c>
      <c r="R162" s="883"/>
      <c r="S162" s="883"/>
      <c r="T162" s="883"/>
      <c r="U162" s="883"/>
      <c r="V162" s="114" t="s">
        <v>186</v>
      </c>
      <c r="W162" s="114"/>
      <c r="X162" s="884"/>
      <c r="Y162" s="270"/>
      <c r="Z162" s="270"/>
      <c r="AA162" s="270"/>
    </row>
    <row r="163" spans="3:27" x14ac:dyDescent="0.3">
      <c r="C163" s="450"/>
      <c r="D163" s="182"/>
      <c r="E163" s="182"/>
      <c r="F163" s="182"/>
      <c r="G163" s="450" t="str">
        <f t="shared" si="5"/>
        <v>--</v>
      </c>
      <c r="H163" s="182"/>
      <c r="I163" s="892"/>
      <c r="J163" s="892"/>
      <c r="K163" s="182"/>
      <c r="L163" s="182"/>
      <c r="M163" s="270"/>
      <c r="N163" s="892"/>
      <c r="O163" s="892"/>
      <c r="P163" s="258" t="s">
        <v>172</v>
      </c>
      <c r="Q163" s="895">
        <v>0</v>
      </c>
      <c r="R163" s="883"/>
      <c r="S163" s="883"/>
      <c r="T163" s="883"/>
      <c r="U163" s="883"/>
      <c r="V163" s="114"/>
      <c r="W163" s="114"/>
      <c r="X163" s="884"/>
      <c r="Y163" s="270"/>
      <c r="Z163" s="270"/>
      <c r="AA163" s="270"/>
    </row>
    <row r="164" spans="3:27" x14ac:dyDescent="0.3">
      <c r="C164" s="450"/>
      <c r="D164" s="182"/>
      <c r="E164" s="182"/>
      <c r="F164" s="182"/>
      <c r="G164" s="450" t="str">
        <f t="shared" si="5"/>
        <v>--</v>
      </c>
      <c r="H164" s="182"/>
      <c r="I164" s="892"/>
      <c r="J164" s="892"/>
      <c r="K164" s="182"/>
      <c r="L164" s="182"/>
      <c r="M164" s="270"/>
      <c r="N164" s="892"/>
      <c r="O164" s="892"/>
      <c r="P164" s="263" t="s">
        <v>46</v>
      </c>
      <c r="Q164" s="897">
        <f>SUM(Q158:Q163)</f>
        <v>1</v>
      </c>
      <c r="R164" s="899"/>
      <c r="S164" s="899"/>
      <c r="T164" s="899"/>
      <c r="U164" s="899"/>
      <c r="V164" s="899"/>
      <c r="W164" s="899"/>
      <c r="X164" s="900"/>
      <c r="Y164" s="270"/>
      <c r="Z164" s="270"/>
      <c r="AA164" s="270"/>
    </row>
    <row r="165" spans="3:27" x14ac:dyDescent="0.3">
      <c r="C165" s="450"/>
      <c r="D165" s="182"/>
      <c r="E165" s="182"/>
      <c r="F165" s="182"/>
      <c r="G165" s="450" t="str">
        <f t="shared" si="5"/>
        <v>--</v>
      </c>
      <c r="H165" s="182"/>
      <c r="I165" s="892"/>
      <c r="J165" s="892"/>
      <c r="K165" s="182"/>
      <c r="L165" s="182"/>
      <c r="M165" s="270"/>
      <c r="N165" s="892"/>
      <c r="O165" s="892"/>
      <c r="P165" s="259"/>
      <c r="Q165" s="114"/>
      <c r="R165" s="114"/>
      <c r="S165" s="114"/>
      <c r="T165" s="114"/>
      <c r="U165" s="114"/>
      <c r="V165" s="114"/>
      <c r="W165" s="270"/>
      <c r="X165" s="270"/>
      <c r="Y165" s="270"/>
      <c r="Z165" s="270"/>
      <c r="AA165" s="270"/>
    </row>
    <row r="166" spans="3:27" ht="15" thickBot="1" x14ac:dyDescent="0.35">
      <c r="C166" s="450"/>
      <c r="D166" s="182"/>
      <c r="E166" s="182"/>
      <c r="F166" s="182"/>
      <c r="G166" s="450" t="str">
        <f t="shared" si="5"/>
        <v>--</v>
      </c>
      <c r="H166" s="182"/>
      <c r="I166" s="892"/>
      <c r="J166" s="892"/>
      <c r="K166" s="182"/>
      <c r="L166" s="182"/>
      <c r="M166" s="870" t="s">
        <v>155</v>
      </c>
      <c r="N166" s="870" t="s">
        <v>188</v>
      </c>
      <c r="O166" s="870"/>
      <c r="P166" s="268" t="s">
        <v>157</v>
      </c>
      <c r="Q166" s="871" t="s">
        <v>155</v>
      </c>
      <c r="R166" s="874"/>
      <c r="S166" s="114"/>
      <c r="T166" s="270"/>
      <c r="U166" s="270"/>
      <c r="V166" s="270"/>
      <c r="W166" s="114"/>
      <c r="X166" s="270"/>
      <c r="Y166" s="270"/>
      <c r="Z166" s="270"/>
      <c r="AA166" s="270"/>
    </row>
    <row r="167" spans="3:27" ht="15" thickBot="1" x14ac:dyDescent="0.35">
      <c r="C167" s="566" t="s">
        <v>85</v>
      </c>
      <c r="D167" s="875" t="str">
        <f>VLOOKUP(C167,'Airport Mapping'!$C$5:$D$39,2,FALSE)</f>
        <v xml:space="preserve"> </v>
      </c>
      <c r="E167" s="567" t="s">
        <v>38</v>
      </c>
      <c r="F167" s="567" t="s">
        <v>127</v>
      </c>
      <c r="G167" s="450" t="str">
        <f t="shared" si="5"/>
        <v>Terminal B-Food Service-Pre-rinse spray valves</v>
      </c>
      <c r="H167" s="567" t="s">
        <v>19</v>
      </c>
      <c r="I167" s="877" t="s">
        <v>64</v>
      </c>
      <c r="J167" s="878">
        <f>SUMIFS('Level of Efficiency Assumptions'!J:J,'Level of Efficiency Assumptions'!D:D,E167,'Level of Efficiency Assumptions'!F:F,F167,'Level of Efficiency Assumptions'!I:I,I167)</f>
        <v>3</v>
      </c>
      <c r="K167" s="383" t="s">
        <v>78</v>
      </c>
      <c r="L167" s="253" t="s">
        <v>64</v>
      </c>
      <c r="M167" s="879">
        <f>Q167+Q168</f>
        <v>0</v>
      </c>
      <c r="N167" s="880">
        <f>IFERROR(M167/M170,"-")</f>
        <v>0</v>
      </c>
      <c r="O167" s="881">
        <f>SUMIFS('Data Entry'!R:R,'Data Entry'!K:K,G167)</f>
        <v>0</v>
      </c>
      <c r="P167" s="266" t="s">
        <v>191</v>
      </c>
      <c r="Q167" s="895">
        <v>0</v>
      </c>
      <c r="R167" s="884"/>
      <c r="S167" s="114"/>
      <c r="T167" s="270"/>
      <c r="U167" s="270"/>
      <c r="V167" s="270"/>
      <c r="W167" s="114"/>
      <c r="X167" s="270"/>
      <c r="Y167" s="270"/>
      <c r="Z167" s="270"/>
      <c r="AA167" s="270"/>
    </row>
    <row r="168" spans="3:27" ht="15" thickBot="1" x14ac:dyDescent="0.35">
      <c r="C168" s="494" t="s">
        <v>85</v>
      </c>
      <c r="D168" s="577"/>
      <c r="E168" s="577" t="s">
        <v>38</v>
      </c>
      <c r="F168" s="577" t="s">
        <v>127</v>
      </c>
      <c r="G168" s="450" t="str">
        <f t="shared" si="5"/>
        <v>Terminal B-Food Service-Pre-rinse spray valves</v>
      </c>
      <c r="H168" s="577"/>
      <c r="I168" s="887" t="s">
        <v>65</v>
      </c>
      <c r="J168" s="878">
        <f>SUMIFS('Level of Efficiency Assumptions'!J:J,'Level of Efficiency Assumptions'!D:D,E168,'Level of Efficiency Assumptions'!F:F,F168,'Level of Efficiency Assumptions'!I:I,I168)</f>
        <v>2</v>
      </c>
      <c r="K168" s="383" t="s">
        <v>78</v>
      </c>
      <c r="L168" s="255" t="s">
        <v>65</v>
      </c>
      <c r="M168" s="879">
        <f>Q169+Q170</f>
        <v>1</v>
      </c>
      <c r="N168" s="880">
        <f>IFERROR(M168/M170,"-")</f>
        <v>1</v>
      </c>
      <c r="O168" s="881">
        <f>SUMIFS('Data Entry'!S:S,'Data Entry'!K:K,G168)</f>
        <v>0</v>
      </c>
      <c r="P168" s="266" t="s">
        <v>192</v>
      </c>
      <c r="Q168" s="895">
        <v>0</v>
      </c>
      <c r="R168" s="884"/>
      <c r="S168" s="114"/>
      <c r="T168" s="270"/>
      <c r="U168" s="270"/>
      <c r="V168" s="270"/>
      <c r="W168" s="114"/>
      <c r="X168" s="270"/>
      <c r="Y168" s="270"/>
      <c r="Z168" s="270"/>
      <c r="AA168" s="270"/>
    </row>
    <row r="169" spans="3:27" ht="15" thickBot="1" x14ac:dyDescent="0.35">
      <c r="C169" s="501" t="s">
        <v>85</v>
      </c>
      <c r="D169" s="116"/>
      <c r="E169" s="116" t="s">
        <v>38</v>
      </c>
      <c r="F169" s="116" t="s">
        <v>127</v>
      </c>
      <c r="G169" s="450" t="str">
        <f t="shared" si="5"/>
        <v>Terminal B-Food Service-Pre-rinse spray valves</v>
      </c>
      <c r="H169" s="116"/>
      <c r="I169" s="889" t="s">
        <v>66</v>
      </c>
      <c r="J169" s="890">
        <f>SUMIFS('Level of Efficiency Assumptions'!J:J,'Level of Efficiency Assumptions'!D:D,E169,'Level of Efficiency Assumptions'!F:F,F169,'Level of Efficiency Assumptions'!I:I,I169)</f>
        <v>1.28</v>
      </c>
      <c r="K169" s="383" t="s">
        <v>78</v>
      </c>
      <c r="L169" s="257" t="s">
        <v>66</v>
      </c>
      <c r="M169" s="879">
        <f>Q171</f>
        <v>0</v>
      </c>
      <c r="N169" s="880">
        <f>IFERROR(M169/M170,"-")</f>
        <v>0</v>
      </c>
      <c r="O169" s="881">
        <f>SUMIFS('Data Entry'!T:T,'Data Entry'!K:K,G169)</f>
        <v>0</v>
      </c>
      <c r="P169" s="267" t="s">
        <v>193</v>
      </c>
      <c r="Q169" s="895">
        <v>0</v>
      </c>
      <c r="R169" s="884"/>
      <c r="S169" s="114"/>
      <c r="T169" s="270"/>
      <c r="U169" s="270"/>
      <c r="V169" s="270"/>
      <c r="W169" s="114"/>
      <c r="X169" s="270"/>
      <c r="Y169" s="270"/>
      <c r="Z169" s="270"/>
      <c r="AA169" s="270"/>
    </row>
    <row r="170" spans="3:27" x14ac:dyDescent="0.3">
      <c r="C170" s="450"/>
      <c r="D170" s="182"/>
      <c r="E170" s="182"/>
      <c r="F170" s="182"/>
      <c r="G170" s="450" t="str">
        <f t="shared" si="5"/>
        <v>--</v>
      </c>
      <c r="H170" s="182"/>
      <c r="I170" s="440"/>
      <c r="J170" s="892"/>
      <c r="K170" s="259"/>
      <c r="L170" s="259" t="s">
        <v>46</v>
      </c>
      <c r="M170" s="893">
        <f>SUM(M167:M169)</f>
        <v>1</v>
      </c>
      <c r="N170" s="894"/>
      <c r="O170" s="894">
        <f>SUM(O167:O169)</f>
        <v>0</v>
      </c>
      <c r="P170" s="267" t="s">
        <v>194</v>
      </c>
      <c r="Q170" s="895">
        <v>1</v>
      </c>
      <c r="R170" s="884"/>
      <c r="S170" s="114"/>
      <c r="T170" s="270"/>
      <c r="U170" s="270"/>
      <c r="V170" s="270"/>
      <c r="W170" s="114"/>
      <c r="X170" s="270"/>
      <c r="Y170" s="270"/>
      <c r="Z170" s="270"/>
      <c r="AA170" s="270"/>
    </row>
    <row r="171" spans="3:27" x14ac:dyDescent="0.3">
      <c r="C171" s="224"/>
      <c r="D171" s="211"/>
      <c r="E171" s="182"/>
      <c r="F171" s="182"/>
      <c r="G171" s="450" t="str">
        <f t="shared" si="5"/>
        <v>--</v>
      </c>
      <c r="H171" s="182"/>
      <c r="I171" s="892"/>
      <c r="J171" s="892"/>
      <c r="K171" s="182"/>
      <c r="L171" s="182"/>
      <c r="M171" s="270"/>
      <c r="N171" s="892"/>
      <c r="O171" s="892"/>
      <c r="P171" s="269" t="s">
        <v>195</v>
      </c>
      <c r="Q171" s="895">
        <v>0</v>
      </c>
      <c r="R171" s="884"/>
      <c r="S171" s="114"/>
      <c r="T171" s="114"/>
      <c r="U171" s="114"/>
      <c r="V171" s="114"/>
      <c r="W171" s="114"/>
      <c r="X171" s="270"/>
      <c r="Y171" s="270"/>
      <c r="Z171" s="270"/>
      <c r="AA171" s="270"/>
    </row>
    <row r="172" spans="3:27" x14ac:dyDescent="0.3">
      <c r="C172" s="224"/>
      <c r="D172" s="211"/>
      <c r="E172" s="182"/>
      <c r="F172" s="182"/>
      <c r="G172" s="450" t="str">
        <f t="shared" si="5"/>
        <v>--</v>
      </c>
      <c r="H172" s="182"/>
      <c r="I172" s="892"/>
      <c r="J172" s="892"/>
      <c r="K172" s="182"/>
      <c r="L172" s="182"/>
      <c r="M172" s="270"/>
      <c r="N172" s="892"/>
      <c r="O172" s="892"/>
      <c r="P172" s="263" t="s">
        <v>46</v>
      </c>
      <c r="Q172" s="897">
        <f>SUM(Q167:Q171)</f>
        <v>1</v>
      </c>
      <c r="R172" s="900"/>
      <c r="S172" s="114"/>
      <c r="T172" s="114"/>
      <c r="U172" s="114"/>
      <c r="V172" s="114"/>
      <c r="W172" s="114"/>
      <c r="X172" s="270"/>
      <c r="Y172" s="270"/>
      <c r="Z172" s="270"/>
      <c r="AA172" s="270"/>
    </row>
    <row r="173" spans="3:27" x14ac:dyDescent="0.3">
      <c r="C173" s="224"/>
      <c r="D173" s="211"/>
      <c r="E173" s="182"/>
      <c r="F173" s="182"/>
      <c r="G173" s="450" t="str">
        <f t="shared" si="5"/>
        <v>--</v>
      </c>
      <c r="H173" s="182"/>
      <c r="I173" s="892"/>
      <c r="J173" s="892"/>
      <c r="K173" s="182"/>
      <c r="L173" s="182"/>
      <c r="M173" s="270"/>
      <c r="N173" s="892"/>
      <c r="O173" s="892"/>
      <c r="P173" s="270"/>
      <c r="Q173" s="270"/>
      <c r="R173" s="270"/>
      <c r="S173" s="270"/>
      <c r="T173" s="270"/>
      <c r="U173" s="270"/>
      <c r="V173" s="270"/>
      <c r="W173" s="270"/>
      <c r="X173" s="270"/>
      <c r="Y173" s="270"/>
      <c r="Z173" s="270"/>
      <c r="AA173" s="270"/>
    </row>
    <row r="174" spans="3:27" x14ac:dyDescent="0.3">
      <c r="C174" s="224"/>
      <c r="D174" s="211"/>
      <c r="E174" s="182"/>
      <c r="F174" s="182"/>
      <c r="G174" s="450" t="str">
        <f t="shared" si="5"/>
        <v>--</v>
      </c>
      <c r="H174" s="182"/>
      <c r="I174" s="892"/>
      <c r="J174" s="892"/>
      <c r="K174" s="182"/>
      <c r="L174" s="182"/>
      <c r="M174" s="270"/>
      <c r="N174" s="892"/>
      <c r="O174" s="892"/>
      <c r="P174" s="268" t="s">
        <v>196</v>
      </c>
      <c r="Q174" s="906"/>
      <c r="R174" s="902"/>
      <c r="S174" s="902"/>
      <c r="T174" s="902"/>
      <c r="U174" s="902"/>
      <c r="V174" s="902"/>
      <c r="W174" s="902"/>
      <c r="X174" s="902"/>
      <c r="Y174" s="902"/>
      <c r="Z174" s="902"/>
      <c r="AA174" s="874"/>
    </row>
    <row r="175" spans="3:27" ht="15" thickBot="1" x14ac:dyDescent="0.35">
      <c r="C175" s="224"/>
      <c r="D175" s="182"/>
      <c r="E175" s="182"/>
      <c r="F175" s="182"/>
      <c r="G175" s="450" t="str">
        <f t="shared" si="5"/>
        <v>--</v>
      </c>
      <c r="H175" s="182"/>
      <c r="I175" s="892"/>
      <c r="J175" s="892"/>
      <c r="K175" s="182"/>
      <c r="L175" s="182"/>
      <c r="M175" s="870" t="s">
        <v>155</v>
      </c>
      <c r="N175" s="870" t="s">
        <v>188</v>
      </c>
      <c r="O175" s="870"/>
      <c r="P175" s="271" t="s">
        <v>203</v>
      </c>
      <c r="Q175" s="871" t="s">
        <v>155</v>
      </c>
      <c r="R175" s="114"/>
      <c r="S175" s="114"/>
      <c r="T175" s="907" t="s">
        <v>156</v>
      </c>
      <c r="U175" s="114"/>
      <c r="V175" s="114"/>
      <c r="W175" s="114"/>
      <c r="X175" s="114"/>
      <c r="Y175" s="114"/>
      <c r="Z175" s="114"/>
      <c r="AA175" s="884"/>
    </row>
    <row r="176" spans="3:27" ht="15" thickBot="1" x14ac:dyDescent="0.35">
      <c r="C176" s="566" t="s">
        <v>85</v>
      </c>
      <c r="D176" s="875" t="str">
        <f>VLOOKUP(C176,'Airport Mapping'!$C$5:$D$39,2,FALSE)</f>
        <v xml:space="preserve"> </v>
      </c>
      <c r="E176" s="567" t="s">
        <v>38</v>
      </c>
      <c r="F176" s="567" t="s">
        <v>41</v>
      </c>
      <c r="G176" s="450" t="str">
        <f t="shared" si="5"/>
        <v>Terminal B-Food Service-Dishwashers</v>
      </c>
      <c r="H176" s="567" t="s">
        <v>19</v>
      </c>
      <c r="I176" s="877" t="s">
        <v>64</v>
      </c>
      <c r="J176" s="878">
        <f>SUMIFS('Level of Efficiency Assumptions'!J:J,'Level of Efficiency Assumptions'!D:D,E176,'Level of Efficiency Assumptions'!F:F,F176,'Level of Efficiency Assumptions'!I:I,I176)</f>
        <v>4.5</v>
      </c>
      <c r="K176" s="383" t="s">
        <v>203</v>
      </c>
      <c r="L176" s="253" t="s">
        <v>64</v>
      </c>
      <c r="M176" s="879">
        <f>SUM(Q176:Q178)</f>
        <v>0</v>
      </c>
      <c r="N176" s="880">
        <f>IFERROR(M176/M179,"-")</f>
        <v>0</v>
      </c>
      <c r="O176" s="881">
        <f>SUMIFS('Data Entry'!R:R,'Data Entry'!K:K,G176)</f>
        <v>0</v>
      </c>
      <c r="P176" s="266" t="s">
        <v>204</v>
      </c>
      <c r="Q176" s="895">
        <v>0</v>
      </c>
      <c r="R176" s="114"/>
      <c r="S176" s="905" t="s">
        <v>200</v>
      </c>
      <c r="T176" s="895">
        <v>1</v>
      </c>
      <c r="U176" s="114"/>
      <c r="V176" s="114" t="s">
        <v>218</v>
      </c>
      <c r="W176" s="114"/>
      <c r="X176" s="114"/>
      <c r="Y176" s="114"/>
      <c r="Z176" s="114"/>
      <c r="AA176" s="884"/>
    </row>
    <row r="177" spans="3:27" ht="15" thickBot="1" x14ac:dyDescent="0.35">
      <c r="C177" s="494" t="s">
        <v>85</v>
      </c>
      <c r="D177" s="577"/>
      <c r="E177" s="577" t="s">
        <v>38</v>
      </c>
      <c r="F177" s="577" t="s">
        <v>41</v>
      </c>
      <c r="G177" s="450" t="str">
        <f t="shared" si="5"/>
        <v>Terminal B-Food Service-Dishwashers</v>
      </c>
      <c r="H177" s="577"/>
      <c r="I177" s="887" t="s">
        <v>65</v>
      </c>
      <c r="J177" s="878">
        <f>SUMIFS('Level of Efficiency Assumptions'!J:J,'Level of Efficiency Assumptions'!D:D,E177,'Level of Efficiency Assumptions'!F:F,F177,'Level of Efficiency Assumptions'!I:I,I177)</f>
        <v>2.5</v>
      </c>
      <c r="K177" s="383" t="s">
        <v>203</v>
      </c>
      <c r="L177" s="255" t="s">
        <v>65</v>
      </c>
      <c r="M177" s="879">
        <f>Q179+Q180</f>
        <v>1</v>
      </c>
      <c r="N177" s="880">
        <f>IFERROR(M177/M179,"-")</f>
        <v>1</v>
      </c>
      <c r="O177" s="881">
        <f>SUMIFS('Data Entry'!S:S,'Data Entry'!K:K,G177)</f>
        <v>0</v>
      </c>
      <c r="P177" s="272" t="s">
        <v>205</v>
      </c>
      <c r="Q177" s="895">
        <v>0</v>
      </c>
      <c r="R177" s="114"/>
      <c r="S177" s="908" t="s">
        <v>201</v>
      </c>
      <c r="T177" s="895">
        <v>1</v>
      </c>
      <c r="U177" s="114"/>
      <c r="V177" s="114"/>
      <c r="W177" s="114"/>
      <c r="X177" s="114"/>
      <c r="Y177" s="114"/>
      <c r="Z177" s="114"/>
      <c r="AA177" s="884"/>
    </row>
    <row r="178" spans="3:27" ht="15" thickBot="1" x14ac:dyDescent="0.35">
      <c r="C178" s="501" t="s">
        <v>85</v>
      </c>
      <c r="D178" s="116"/>
      <c r="E178" s="116" t="s">
        <v>38</v>
      </c>
      <c r="F178" s="116" t="s">
        <v>41</v>
      </c>
      <c r="G178" s="450" t="str">
        <f t="shared" si="5"/>
        <v>Terminal B-Food Service-Dishwashers</v>
      </c>
      <c r="H178" s="116"/>
      <c r="I178" s="889" t="s">
        <v>66</v>
      </c>
      <c r="J178" s="890">
        <f>SUMIFS('Level of Efficiency Assumptions'!J:J,'Level of Efficiency Assumptions'!D:D,E178,'Level of Efficiency Assumptions'!F:F,F178,'Level of Efficiency Assumptions'!I:I,I178)</f>
        <v>1</v>
      </c>
      <c r="K178" s="383" t="s">
        <v>203</v>
      </c>
      <c r="L178" s="257" t="s">
        <v>66</v>
      </c>
      <c r="M178" s="879">
        <f>Q181+Q182</f>
        <v>0</v>
      </c>
      <c r="N178" s="880">
        <f>IFERROR(M178/M179,"-")</f>
        <v>0</v>
      </c>
      <c r="O178" s="881">
        <f>SUMIFS('Data Entry'!T:T,'Data Entry'!K:K,G178)</f>
        <v>0</v>
      </c>
      <c r="P178" s="272" t="s">
        <v>206</v>
      </c>
      <c r="Q178" s="895">
        <v>0</v>
      </c>
      <c r="R178" s="114"/>
      <c r="S178" s="908" t="s">
        <v>202</v>
      </c>
      <c r="T178" s="895">
        <v>1</v>
      </c>
      <c r="U178" s="114"/>
      <c r="V178" s="114"/>
      <c r="W178" s="114"/>
      <c r="X178" s="114"/>
      <c r="Y178" s="114"/>
      <c r="Z178" s="114"/>
      <c r="AA178" s="884"/>
    </row>
    <row r="179" spans="3:27" x14ac:dyDescent="0.3">
      <c r="C179" s="450"/>
      <c r="D179" s="182"/>
      <c r="E179" s="182"/>
      <c r="F179" s="182"/>
      <c r="G179" s="450" t="str">
        <f t="shared" si="5"/>
        <v>--</v>
      </c>
      <c r="H179" s="182"/>
      <c r="I179" s="440"/>
      <c r="J179" s="892"/>
      <c r="K179" s="259"/>
      <c r="L179" s="259" t="s">
        <v>46</v>
      </c>
      <c r="M179" s="893">
        <f>SUM(M176:M178)</f>
        <v>1</v>
      </c>
      <c r="N179" s="894"/>
      <c r="O179" s="894">
        <f>SUM(O176:O178)</f>
        <v>0</v>
      </c>
      <c r="P179" s="267" t="s">
        <v>207</v>
      </c>
      <c r="Q179" s="895">
        <v>1</v>
      </c>
      <c r="R179" s="114"/>
      <c r="S179" s="908" t="s">
        <v>199</v>
      </c>
      <c r="T179" s="895">
        <v>1</v>
      </c>
      <c r="U179" s="114"/>
      <c r="V179" s="114"/>
      <c r="W179" s="114"/>
      <c r="X179" s="114"/>
      <c r="Y179" s="114"/>
      <c r="Z179" s="114"/>
      <c r="AA179" s="884"/>
    </row>
    <row r="180" spans="3:27" x14ac:dyDescent="0.3">
      <c r="C180" s="450"/>
      <c r="D180" s="182"/>
      <c r="E180" s="182"/>
      <c r="F180" s="182"/>
      <c r="G180" s="450" t="str">
        <f t="shared" si="5"/>
        <v>--</v>
      </c>
      <c r="H180" s="182"/>
      <c r="I180" s="892"/>
      <c r="J180" s="892"/>
      <c r="K180" s="182"/>
      <c r="L180" s="182"/>
      <c r="M180" s="270"/>
      <c r="N180" s="892"/>
      <c r="O180" s="892"/>
      <c r="P180" s="267" t="s">
        <v>208</v>
      </c>
      <c r="Q180" s="895">
        <v>0</v>
      </c>
      <c r="R180" s="114"/>
      <c r="S180" s="909" t="s">
        <v>198</v>
      </c>
      <c r="T180" s="895">
        <v>1</v>
      </c>
      <c r="U180" s="114"/>
      <c r="V180" s="114"/>
      <c r="W180" s="114"/>
      <c r="X180" s="114"/>
      <c r="Y180" s="114"/>
      <c r="Z180" s="114"/>
      <c r="AA180" s="884"/>
    </row>
    <row r="181" spans="3:27" x14ac:dyDescent="0.3">
      <c r="C181" s="450"/>
      <c r="D181" s="182"/>
      <c r="E181" s="182"/>
      <c r="F181" s="182"/>
      <c r="G181" s="450" t="str">
        <f t="shared" si="5"/>
        <v>--</v>
      </c>
      <c r="H181" s="182"/>
      <c r="I181" s="892"/>
      <c r="J181" s="892"/>
      <c r="K181" s="182"/>
      <c r="L181" s="182"/>
      <c r="M181" s="270"/>
      <c r="N181" s="892"/>
      <c r="O181" s="892"/>
      <c r="P181" s="269" t="s">
        <v>209</v>
      </c>
      <c r="Q181" s="895">
        <v>0</v>
      </c>
      <c r="R181" s="114"/>
      <c r="S181" s="905" t="s">
        <v>197</v>
      </c>
      <c r="T181" s="895">
        <v>1</v>
      </c>
      <c r="U181" s="114"/>
      <c r="V181" s="114"/>
      <c r="W181" s="114"/>
      <c r="X181" s="114"/>
      <c r="Y181" s="114"/>
      <c r="Z181" s="114"/>
      <c r="AA181" s="884"/>
    </row>
    <row r="182" spans="3:27" x14ac:dyDescent="0.3">
      <c r="C182" s="450"/>
      <c r="D182" s="182"/>
      <c r="E182" s="182"/>
      <c r="F182" s="182"/>
      <c r="G182" s="450" t="str">
        <f t="shared" si="5"/>
        <v>--</v>
      </c>
      <c r="H182" s="182"/>
      <c r="I182" s="892"/>
      <c r="J182" s="892"/>
      <c r="K182" s="182"/>
      <c r="L182" s="182"/>
      <c r="M182" s="270"/>
      <c r="N182" s="892"/>
      <c r="O182" s="892"/>
      <c r="P182" s="269" t="s">
        <v>210</v>
      </c>
      <c r="Q182" s="895">
        <v>0</v>
      </c>
      <c r="R182" s="114"/>
      <c r="S182" s="114" t="s">
        <v>216</v>
      </c>
      <c r="T182" s="910">
        <f>(T176*55)+(T177*45)+(T178*35)+(T179*25)+(T180*15)+(T181*5)</f>
        <v>180</v>
      </c>
      <c r="U182" s="1393" t="s">
        <v>217</v>
      </c>
      <c r="V182" s="1393"/>
      <c r="W182" s="1393"/>
      <c r="X182" s="114"/>
      <c r="Y182" s="114"/>
      <c r="Z182" s="114"/>
      <c r="AA182" s="884"/>
    </row>
    <row r="183" spans="3:27" x14ac:dyDescent="0.3">
      <c r="C183" s="450"/>
      <c r="D183" s="182"/>
      <c r="E183" s="182"/>
      <c r="F183" s="182"/>
      <c r="G183" s="450" t="str">
        <f t="shared" si="5"/>
        <v>--</v>
      </c>
      <c r="H183" s="182"/>
      <c r="I183" s="892"/>
      <c r="J183" s="892"/>
      <c r="K183" s="182"/>
      <c r="L183" s="182"/>
      <c r="M183" s="270"/>
      <c r="N183" s="892"/>
      <c r="O183" s="892"/>
      <c r="P183" s="263" t="s">
        <v>46</v>
      </c>
      <c r="Q183" s="897">
        <f>SUM(Q176:Q182)</f>
        <v>1</v>
      </c>
      <c r="R183" s="899"/>
      <c r="S183" s="899"/>
      <c r="T183" s="899"/>
      <c r="U183" s="1394"/>
      <c r="V183" s="1394"/>
      <c r="W183" s="1394"/>
      <c r="X183" s="899"/>
      <c r="Y183" s="899"/>
      <c r="Z183" s="899"/>
      <c r="AA183" s="900"/>
    </row>
    <row r="184" spans="3:27" x14ac:dyDescent="0.3">
      <c r="C184" s="450"/>
      <c r="D184" s="182"/>
      <c r="E184" s="182"/>
      <c r="F184" s="182"/>
      <c r="G184" s="450" t="str">
        <f t="shared" si="5"/>
        <v>--</v>
      </c>
      <c r="H184" s="182"/>
      <c r="I184" s="892"/>
      <c r="J184" s="892"/>
      <c r="K184" s="182"/>
      <c r="L184" s="182"/>
      <c r="M184" s="270"/>
      <c r="N184" s="892"/>
      <c r="O184" s="892"/>
      <c r="P184" s="114"/>
      <c r="Q184" s="114"/>
      <c r="R184" s="114"/>
      <c r="S184" s="114"/>
      <c r="T184" s="114"/>
      <c r="U184" s="114"/>
      <c r="V184" s="114"/>
      <c r="W184" s="114"/>
      <c r="X184" s="270"/>
      <c r="Y184" s="270"/>
      <c r="Z184" s="270"/>
      <c r="AA184" s="270"/>
    </row>
    <row r="185" spans="3:27" x14ac:dyDescent="0.3">
      <c r="C185" s="450"/>
      <c r="D185" s="182"/>
      <c r="E185" s="182"/>
      <c r="F185" s="182"/>
      <c r="G185" s="450" t="str">
        <f t="shared" si="5"/>
        <v>--</v>
      </c>
      <c r="H185" s="182"/>
      <c r="I185" s="892"/>
      <c r="J185" s="892"/>
      <c r="K185" s="182"/>
      <c r="L185" s="182"/>
      <c r="M185" s="270"/>
      <c r="N185" s="892"/>
      <c r="O185" s="892"/>
      <c r="P185" s="268" t="s">
        <v>174</v>
      </c>
      <c r="Q185" s="911"/>
      <c r="R185" s="872"/>
      <c r="S185" s="874"/>
      <c r="T185" s="270"/>
      <c r="U185" s="270"/>
      <c r="V185" s="270"/>
      <c r="W185" s="270"/>
      <c r="X185" s="270"/>
      <c r="Y185" s="270"/>
      <c r="Z185" s="270"/>
      <c r="AA185" s="270"/>
    </row>
    <row r="186" spans="3:27" ht="15" thickBot="1" x14ac:dyDescent="0.35">
      <c r="C186" s="450"/>
      <c r="D186" s="182"/>
      <c r="E186" s="182"/>
      <c r="F186" s="182"/>
      <c r="G186" s="450" t="str">
        <f t="shared" si="5"/>
        <v>--</v>
      </c>
      <c r="H186" s="182"/>
      <c r="I186" s="892"/>
      <c r="J186" s="892"/>
      <c r="K186" s="182"/>
      <c r="L186" s="182"/>
      <c r="M186" s="870" t="s">
        <v>155</v>
      </c>
      <c r="N186" s="870" t="s">
        <v>188</v>
      </c>
      <c r="O186" s="870"/>
      <c r="P186" s="273" t="s">
        <v>220</v>
      </c>
      <c r="Q186" s="871" t="s">
        <v>155</v>
      </c>
      <c r="R186" s="114"/>
      <c r="S186" s="884"/>
      <c r="T186" s="270"/>
      <c r="U186" s="270"/>
      <c r="V186" s="270"/>
      <c r="W186" s="270"/>
      <c r="X186" s="270"/>
      <c r="Y186" s="270"/>
      <c r="Z186" s="270"/>
      <c r="AA186" s="270"/>
    </row>
    <row r="187" spans="3:27" ht="15" thickBot="1" x14ac:dyDescent="0.35">
      <c r="C187" s="566" t="s">
        <v>85</v>
      </c>
      <c r="D187" s="875" t="str">
        <f>VLOOKUP(C187,'Airport Mapping'!$C$5:$D$39,2,FALSE)</f>
        <v xml:space="preserve"> </v>
      </c>
      <c r="E187" s="567" t="s">
        <v>38</v>
      </c>
      <c r="F187" s="567" t="s">
        <v>20</v>
      </c>
      <c r="G187" s="450" t="str">
        <f t="shared" ref="G187:G232" si="6">C187&amp;"-"&amp;E187&amp;"-"&amp;F187</f>
        <v>Terminal B-Food Service-Ice machines</v>
      </c>
      <c r="H187" s="567" t="s">
        <v>19</v>
      </c>
      <c r="I187" s="877" t="s">
        <v>64</v>
      </c>
      <c r="J187" s="878">
        <f>SUMIFS('Level of Efficiency Assumptions'!J:J,'Level of Efficiency Assumptions'!D:D,E187,'Level of Efficiency Assumptions'!F:F,F187,'Level of Efficiency Assumptions'!I:I,I187)</f>
        <v>1.5</v>
      </c>
      <c r="K187" s="383" t="s">
        <v>220</v>
      </c>
      <c r="L187" s="253" t="s">
        <v>64</v>
      </c>
      <c r="M187" s="879">
        <f>SUM(Q187:Q189)</f>
        <v>0</v>
      </c>
      <c r="N187" s="880">
        <f>IFERROR(M187/M190,"-")</f>
        <v>0</v>
      </c>
      <c r="O187" s="881">
        <f>SUMIFS('Data Entry'!R:R,'Data Entry'!K:K,G187)</f>
        <v>0</v>
      </c>
      <c r="P187" s="266" t="s">
        <v>204</v>
      </c>
      <c r="Q187" s="895">
        <v>0</v>
      </c>
      <c r="R187" s="114"/>
      <c r="S187" s="884"/>
      <c r="T187" s="270"/>
      <c r="U187" s="270"/>
      <c r="V187" s="270"/>
      <c r="W187" s="912"/>
      <c r="X187" s="270"/>
      <c r="Y187" s="270"/>
      <c r="Z187" s="270"/>
      <c r="AA187" s="270"/>
    </row>
    <row r="188" spans="3:27" ht="15" thickBot="1" x14ac:dyDescent="0.35">
      <c r="C188" s="494" t="s">
        <v>85</v>
      </c>
      <c r="D188" s="577"/>
      <c r="E188" s="577" t="s">
        <v>38</v>
      </c>
      <c r="F188" s="577" t="s">
        <v>20</v>
      </c>
      <c r="G188" s="450" t="str">
        <f t="shared" si="6"/>
        <v>Terminal B-Food Service-Ice machines</v>
      </c>
      <c r="H188" s="577"/>
      <c r="I188" s="887" t="s">
        <v>65</v>
      </c>
      <c r="J188" s="878">
        <f>SUMIFS('Level of Efficiency Assumptions'!J:J,'Level of Efficiency Assumptions'!D:D,E188,'Level of Efficiency Assumptions'!F:F,F188,'Level of Efficiency Assumptions'!I:I,I188)</f>
        <v>0.25</v>
      </c>
      <c r="K188" s="383" t="s">
        <v>220</v>
      </c>
      <c r="L188" s="255" t="s">
        <v>65</v>
      </c>
      <c r="M188" s="879">
        <f>Q190+Q191</f>
        <v>1</v>
      </c>
      <c r="N188" s="880">
        <f>IFERROR(M188/M190,"-")</f>
        <v>1</v>
      </c>
      <c r="O188" s="881">
        <f>SUMIFS('Data Entry'!S:S,'Data Entry'!K:K,G188)</f>
        <v>0</v>
      </c>
      <c r="P188" s="272" t="s">
        <v>205</v>
      </c>
      <c r="Q188" s="895">
        <v>0</v>
      </c>
      <c r="R188" s="114"/>
      <c r="S188" s="884"/>
      <c r="T188" s="270"/>
      <c r="U188" s="270"/>
      <c r="V188" s="270"/>
      <c r="W188" s="912"/>
      <c r="X188" s="270"/>
      <c r="Y188" s="270"/>
      <c r="Z188" s="270"/>
      <c r="AA188" s="270"/>
    </row>
    <row r="189" spans="3:27" ht="15" thickBot="1" x14ac:dyDescent="0.35">
      <c r="C189" s="501" t="s">
        <v>85</v>
      </c>
      <c r="D189" s="116"/>
      <c r="E189" s="116" t="s">
        <v>38</v>
      </c>
      <c r="F189" s="116" t="s">
        <v>20</v>
      </c>
      <c r="G189" s="450" t="str">
        <f t="shared" si="6"/>
        <v>Terminal B-Food Service-Ice machines</v>
      </c>
      <c r="H189" s="116"/>
      <c r="I189" s="889" t="s">
        <v>66</v>
      </c>
      <c r="J189" s="890">
        <f>SUMIFS('Level of Efficiency Assumptions'!J:J,'Level of Efficiency Assumptions'!D:D,E189,'Level of Efficiency Assumptions'!F:F,F189,'Level of Efficiency Assumptions'!I:I,I189)</f>
        <v>0.12</v>
      </c>
      <c r="K189" s="383" t="s">
        <v>220</v>
      </c>
      <c r="L189" s="257" t="s">
        <v>66</v>
      </c>
      <c r="M189" s="879">
        <f>Q192+Q193</f>
        <v>0</v>
      </c>
      <c r="N189" s="880">
        <f>IFERROR(M189/M190,"-")</f>
        <v>0</v>
      </c>
      <c r="O189" s="881">
        <f>SUMIFS('Data Entry'!T:T,'Data Entry'!K:K,G189)</f>
        <v>0</v>
      </c>
      <c r="P189" s="272" t="s">
        <v>206</v>
      </c>
      <c r="Q189" s="895">
        <v>0</v>
      </c>
      <c r="R189" s="114"/>
      <c r="S189" s="884"/>
      <c r="T189" s="270"/>
      <c r="U189" s="270"/>
      <c r="V189" s="270"/>
      <c r="W189" s="280"/>
      <c r="X189" s="270"/>
      <c r="Y189" s="270"/>
      <c r="Z189" s="270"/>
      <c r="AA189" s="270"/>
    </row>
    <row r="190" spans="3:27" x14ac:dyDescent="0.3">
      <c r="C190" s="450"/>
      <c r="D190" s="182"/>
      <c r="E190" s="182"/>
      <c r="F190" s="182"/>
      <c r="G190" s="450" t="str">
        <f t="shared" si="6"/>
        <v>--</v>
      </c>
      <c r="H190" s="182"/>
      <c r="I190" s="440"/>
      <c r="J190" s="892"/>
      <c r="K190" s="259"/>
      <c r="L190" s="259" t="s">
        <v>46</v>
      </c>
      <c r="M190" s="893">
        <f>SUM(M187:M189)</f>
        <v>1</v>
      </c>
      <c r="N190" s="894"/>
      <c r="O190" s="894">
        <f>SUM(O187:O189)</f>
        <v>0</v>
      </c>
      <c r="P190" s="274" t="s">
        <v>228</v>
      </c>
      <c r="Q190" s="895">
        <v>1</v>
      </c>
      <c r="R190" s="114"/>
      <c r="S190" s="884"/>
      <c r="T190" s="270"/>
      <c r="U190" s="270"/>
      <c r="V190" s="270"/>
      <c r="W190" s="270"/>
      <c r="X190" s="270"/>
      <c r="Y190" s="270"/>
      <c r="Z190" s="270"/>
      <c r="AA190" s="270"/>
    </row>
    <row r="191" spans="3:27" x14ac:dyDescent="0.3">
      <c r="C191" s="450"/>
      <c r="D191" s="182"/>
      <c r="E191" s="182"/>
      <c r="F191" s="182"/>
      <c r="G191" s="450" t="str">
        <f t="shared" si="6"/>
        <v>--</v>
      </c>
      <c r="H191" s="182"/>
      <c r="I191" s="892"/>
      <c r="J191" s="892"/>
      <c r="K191" s="182"/>
      <c r="L191" s="182"/>
      <c r="M191" s="270"/>
      <c r="N191" s="892"/>
      <c r="O191" s="892"/>
      <c r="P191" s="274" t="s">
        <v>227</v>
      </c>
      <c r="Q191" s="895">
        <v>0</v>
      </c>
      <c r="R191" s="114"/>
      <c r="S191" s="884"/>
      <c r="T191" s="270"/>
      <c r="U191" s="270"/>
      <c r="V191" s="270"/>
      <c r="W191" s="270"/>
      <c r="X191" s="270"/>
      <c r="Y191" s="270"/>
      <c r="Z191" s="270"/>
      <c r="AA191" s="270"/>
    </row>
    <row r="192" spans="3:27" x14ac:dyDescent="0.3">
      <c r="C192" s="450"/>
      <c r="D192" s="182"/>
      <c r="E192" s="182"/>
      <c r="F192" s="182"/>
      <c r="G192" s="450" t="str">
        <f t="shared" si="6"/>
        <v>--</v>
      </c>
      <c r="H192" s="182"/>
      <c r="I192" s="892"/>
      <c r="J192" s="892"/>
      <c r="K192" s="182"/>
      <c r="L192" s="182"/>
      <c r="M192" s="270"/>
      <c r="N192" s="892"/>
      <c r="O192" s="892"/>
      <c r="P192" s="275" t="s">
        <v>226</v>
      </c>
      <c r="Q192" s="895">
        <v>0</v>
      </c>
      <c r="R192" s="114"/>
      <c r="S192" s="884"/>
      <c r="T192" s="270"/>
      <c r="U192" s="270"/>
      <c r="V192" s="270"/>
      <c r="W192" s="270"/>
      <c r="X192" s="270"/>
      <c r="Y192" s="270"/>
      <c r="Z192" s="270"/>
      <c r="AA192" s="270"/>
    </row>
    <row r="193" spans="3:27" x14ac:dyDescent="0.3">
      <c r="C193" s="450"/>
      <c r="D193" s="182"/>
      <c r="E193" s="182"/>
      <c r="F193" s="182"/>
      <c r="G193" s="450" t="str">
        <f t="shared" si="6"/>
        <v>--</v>
      </c>
      <c r="H193" s="182"/>
      <c r="I193" s="892"/>
      <c r="J193" s="892"/>
      <c r="K193" s="182"/>
      <c r="L193" s="182"/>
      <c r="M193" s="270"/>
      <c r="N193" s="892"/>
      <c r="O193" s="892"/>
      <c r="P193" s="269" t="s">
        <v>225</v>
      </c>
      <c r="Q193" s="895">
        <v>0</v>
      </c>
      <c r="R193" s="114"/>
      <c r="S193" s="884"/>
      <c r="T193" s="270"/>
      <c r="U193" s="270"/>
      <c r="V193" s="270"/>
      <c r="W193" s="270"/>
      <c r="X193" s="270"/>
      <c r="Y193" s="270"/>
      <c r="Z193" s="270"/>
      <c r="AA193" s="270"/>
    </row>
    <row r="194" spans="3:27" x14ac:dyDescent="0.3">
      <c r="C194" s="450"/>
      <c r="D194" s="182"/>
      <c r="E194" s="182"/>
      <c r="F194" s="182"/>
      <c r="G194" s="450" t="str">
        <f t="shared" si="6"/>
        <v>--</v>
      </c>
      <c r="H194" s="182"/>
      <c r="I194" s="892"/>
      <c r="J194" s="892"/>
      <c r="K194" s="182"/>
      <c r="L194" s="182"/>
      <c r="M194" s="270"/>
      <c r="N194" s="892"/>
      <c r="O194" s="892"/>
      <c r="P194" s="263" t="s">
        <v>46</v>
      </c>
      <c r="Q194" s="897">
        <f>SUM(Q187:Q193)</f>
        <v>1</v>
      </c>
      <c r="R194" s="899"/>
      <c r="S194" s="900"/>
      <c r="T194" s="270"/>
      <c r="U194" s="270"/>
      <c r="V194" s="270"/>
      <c r="W194" s="270"/>
      <c r="X194" s="270"/>
      <c r="Y194" s="270"/>
      <c r="Z194" s="270"/>
      <c r="AA194" s="270"/>
    </row>
    <row r="195" spans="3:27" x14ac:dyDescent="0.3">
      <c r="C195" s="450"/>
      <c r="D195" s="182"/>
      <c r="E195" s="182"/>
      <c r="F195" s="182"/>
      <c r="G195" s="450" t="str">
        <f t="shared" si="6"/>
        <v>--</v>
      </c>
      <c r="H195" s="182"/>
      <c r="I195" s="892"/>
      <c r="J195" s="892"/>
      <c r="K195" s="182"/>
      <c r="L195" s="182"/>
      <c r="M195" s="270"/>
      <c r="N195" s="892"/>
      <c r="O195" s="892"/>
      <c r="P195" s="270"/>
      <c r="Q195" s="270"/>
      <c r="R195" s="270"/>
      <c r="S195" s="270"/>
      <c r="T195" s="270"/>
      <c r="U195" s="270"/>
      <c r="V195" s="270"/>
      <c r="W195" s="270"/>
      <c r="X195" s="270"/>
      <c r="Y195" s="270"/>
      <c r="Z195" s="270"/>
      <c r="AA195" s="270"/>
    </row>
    <row r="196" spans="3:27" x14ac:dyDescent="0.3">
      <c r="C196" s="450"/>
      <c r="D196" s="182"/>
      <c r="E196" s="182"/>
      <c r="F196" s="182"/>
      <c r="G196" s="450" t="str">
        <f t="shared" si="6"/>
        <v>--</v>
      </c>
      <c r="H196" s="182"/>
      <c r="I196" s="892"/>
      <c r="J196" s="892"/>
      <c r="K196" s="182"/>
      <c r="L196" s="182"/>
      <c r="M196" s="270"/>
      <c r="N196" s="892"/>
      <c r="O196" s="892"/>
      <c r="P196" s="276" t="s">
        <v>42</v>
      </c>
      <c r="Q196" s="902"/>
      <c r="R196" s="902"/>
      <c r="S196" s="874"/>
      <c r="T196" s="270"/>
      <c r="U196" s="270"/>
      <c r="V196" s="270"/>
      <c r="W196" s="270"/>
      <c r="X196" s="270"/>
      <c r="Y196" s="270"/>
      <c r="Z196" s="270"/>
      <c r="AA196" s="270"/>
    </row>
    <row r="197" spans="3:27" ht="15" thickBot="1" x14ac:dyDescent="0.35">
      <c r="C197" s="450"/>
      <c r="D197" s="182"/>
      <c r="E197" s="182"/>
      <c r="F197" s="182"/>
      <c r="G197" s="450" t="str">
        <f t="shared" si="6"/>
        <v>--</v>
      </c>
      <c r="H197" s="182"/>
      <c r="I197" s="892"/>
      <c r="J197" s="892"/>
      <c r="K197" s="182"/>
      <c r="L197" s="182"/>
      <c r="M197" s="870" t="s">
        <v>155</v>
      </c>
      <c r="N197" s="870" t="s">
        <v>188</v>
      </c>
      <c r="O197" s="870"/>
      <c r="P197" s="277" t="s">
        <v>818</v>
      </c>
      <c r="Q197" s="871" t="s">
        <v>155</v>
      </c>
      <c r="R197" s="114"/>
      <c r="S197" s="884"/>
      <c r="T197" s="270"/>
      <c r="U197" s="270"/>
      <c r="V197" s="270"/>
      <c r="W197" s="270"/>
      <c r="X197" s="270"/>
      <c r="Y197" s="270"/>
      <c r="Z197" s="270"/>
      <c r="AA197" s="270"/>
    </row>
    <row r="198" spans="3:27" ht="15" thickBot="1" x14ac:dyDescent="0.35">
      <c r="C198" s="566" t="s">
        <v>85</v>
      </c>
      <c r="D198" s="875" t="str">
        <f>VLOOKUP(C198,'Airport Mapping'!$C$5:$D$39,2,FALSE)</f>
        <v xml:space="preserve"> </v>
      </c>
      <c r="E198" s="567" t="s">
        <v>39</v>
      </c>
      <c r="F198" s="567" t="s">
        <v>42</v>
      </c>
      <c r="G198" s="450" t="str">
        <f t="shared" si="6"/>
        <v>Terminal B-Landscaping-Outdoor irrigation</v>
      </c>
      <c r="H198" s="567" t="s">
        <v>32</v>
      </c>
      <c r="I198" s="877" t="s">
        <v>64</v>
      </c>
      <c r="J198" s="878">
        <f>SUMIFS('Level of Efficiency Assumptions'!J:J,'Level of Efficiency Assumptions'!D:D,E198,'Level of Efficiency Assumptions'!F:F,F198,'Level of Efficiency Assumptions'!I:I,I198)</f>
        <v>28.6</v>
      </c>
      <c r="K198" s="383" t="s">
        <v>816</v>
      </c>
      <c r="L198" s="253" t="s">
        <v>64</v>
      </c>
      <c r="M198" s="879">
        <f>SUM(Q198:Q199)</f>
        <v>0</v>
      </c>
      <c r="N198" s="880">
        <f>IFERROR(M198/M201,"-")</f>
        <v>0</v>
      </c>
      <c r="O198" s="881">
        <f>SUMIFS('Data Entry'!R:R,'Data Entry'!K:K,G198)</f>
        <v>0</v>
      </c>
      <c r="P198" s="272" t="s">
        <v>237</v>
      </c>
      <c r="Q198" s="895">
        <v>0</v>
      </c>
      <c r="R198" s="114"/>
      <c r="S198" s="884"/>
      <c r="T198" s="270"/>
      <c r="U198" s="270"/>
      <c r="V198" s="270"/>
      <c r="W198" s="270"/>
      <c r="X198" s="270"/>
      <c r="Y198" s="270"/>
      <c r="Z198" s="270"/>
      <c r="AA198" s="270"/>
    </row>
    <row r="199" spans="3:27" ht="15" thickBot="1" x14ac:dyDescent="0.35">
      <c r="C199" s="494" t="s">
        <v>85</v>
      </c>
      <c r="D199" s="577"/>
      <c r="E199" s="577" t="s">
        <v>39</v>
      </c>
      <c r="F199" s="577" t="s">
        <v>42</v>
      </c>
      <c r="G199" s="450" t="str">
        <f t="shared" si="6"/>
        <v>Terminal B-Landscaping-Outdoor irrigation</v>
      </c>
      <c r="H199" s="577"/>
      <c r="I199" s="887" t="s">
        <v>65</v>
      </c>
      <c r="J199" s="878">
        <f>SUMIFS('Level of Efficiency Assumptions'!J:J,'Level of Efficiency Assumptions'!D:D,E199,'Level of Efficiency Assumptions'!F:F,F199,'Level of Efficiency Assumptions'!I:I,I199)</f>
        <v>13.980821518350929</v>
      </c>
      <c r="K199" s="383" t="s">
        <v>816</v>
      </c>
      <c r="L199" s="255" t="s">
        <v>65</v>
      </c>
      <c r="M199" s="879">
        <f>Q200+Q201</f>
        <v>1</v>
      </c>
      <c r="N199" s="880">
        <f>IFERROR(M199/M201,"-")</f>
        <v>1</v>
      </c>
      <c r="O199" s="881">
        <f>SUMIFS('Data Entry'!S:S,'Data Entry'!K:K,G199)</f>
        <v>0</v>
      </c>
      <c r="P199" s="272" t="s">
        <v>232</v>
      </c>
      <c r="Q199" s="895">
        <v>0</v>
      </c>
      <c r="R199" s="114"/>
      <c r="S199" s="884"/>
      <c r="T199" s="270"/>
      <c r="U199" s="270"/>
      <c r="V199" s="270"/>
      <c r="W199" s="270"/>
      <c r="X199" s="270"/>
      <c r="Y199" s="270"/>
      <c r="Z199" s="270"/>
      <c r="AA199" s="270"/>
    </row>
    <row r="200" spans="3:27" ht="15" thickBot="1" x14ac:dyDescent="0.35">
      <c r="C200" s="501" t="s">
        <v>85</v>
      </c>
      <c r="D200" s="116"/>
      <c r="E200" s="116" t="s">
        <v>39</v>
      </c>
      <c r="F200" s="116" t="s">
        <v>42</v>
      </c>
      <c r="G200" s="450" t="str">
        <f t="shared" si="6"/>
        <v>Terminal B-Landscaping-Outdoor irrigation</v>
      </c>
      <c r="H200" s="116"/>
      <c r="I200" s="889" t="s">
        <v>66</v>
      </c>
      <c r="J200" s="890">
        <f>SUMIFS('Level of Efficiency Assumptions'!J:J,'Level of Efficiency Assumptions'!D:D,E200,'Level of Efficiency Assumptions'!F:F,F200,'Level of Efficiency Assumptions'!I:I,I200)</f>
        <v>0.59137254901960778</v>
      </c>
      <c r="K200" s="383" t="s">
        <v>816</v>
      </c>
      <c r="L200" s="257" t="s">
        <v>66</v>
      </c>
      <c r="M200" s="879">
        <f>Q202+Q203</f>
        <v>0</v>
      </c>
      <c r="N200" s="880">
        <f>IFERROR(M200/M201,"-")</f>
        <v>0</v>
      </c>
      <c r="O200" s="881">
        <f>SUMIFS('Data Entry'!T:T,'Data Entry'!K:K,G200)</f>
        <v>0</v>
      </c>
      <c r="P200" s="274" t="s">
        <v>231</v>
      </c>
      <c r="Q200" s="895">
        <v>1</v>
      </c>
      <c r="R200" s="114"/>
      <c r="S200" s="884"/>
      <c r="T200" s="270"/>
      <c r="U200" s="270"/>
      <c r="V200" s="270"/>
      <c r="W200" s="270"/>
      <c r="X200" s="270"/>
      <c r="Y200" s="270"/>
      <c r="Z200" s="270"/>
      <c r="AA200" s="270"/>
    </row>
    <row r="201" spans="3:27" x14ac:dyDescent="0.3">
      <c r="C201" s="450"/>
      <c r="D201" s="182"/>
      <c r="E201" s="182"/>
      <c r="F201" s="182"/>
      <c r="G201" s="450" t="str">
        <f t="shared" si="6"/>
        <v>--</v>
      </c>
      <c r="H201" s="182"/>
      <c r="I201" s="440"/>
      <c r="J201" s="892"/>
      <c r="K201" s="259"/>
      <c r="L201" s="259" t="s">
        <v>46</v>
      </c>
      <c r="M201" s="893">
        <f>SUM(M198:M200)</f>
        <v>1</v>
      </c>
      <c r="N201" s="894"/>
      <c r="O201" s="894">
        <f>SUM(O198:O200)</f>
        <v>0</v>
      </c>
      <c r="P201" s="274" t="s">
        <v>230</v>
      </c>
      <c r="Q201" s="895">
        <v>0</v>
      </c>
      <c r="R201" s="114"/>
      <c r="S201" s="884"/>
      <c r="T201" s="270"/>
      <c r="U201" s="270"/>
      <c r="V201" s="270"/>
      <c r="W201" s="270"/>
      <c r="X201" s="270"/>
      <c r="Y201" s="270"/>
      <c r="Z201" s="270"/>
      <c r="AA201" s="270"/>
    </row>
    <row r="202" spans="3:27" x14ac:dyDescent="0.3">
      <c r="C202" s="450"/>
      <c r="D202" s="182"/>
      <c r="E202" s="182"/>
      <c r="F202" s="182"/>
      <c r="G202" s="450" t="str">
        <f t="shared" si="6"/>
        <v>--</v>
      </c>
      <c r="H202" s="182"/>
      <c r="I202" s="892"/>
      <c r="J202" s="892"/>
      <c r="K202" s="182"/>
      <c r="L202" s="182"/>
      <c r="M202" s="270"/>
      <c r="N202" s="892"/>
      <c r="O202" s="892"/>
      <c r="P202" s="275" t="s">
        <v>229</v>
      </c>
      <c r="Q202" s="895">
        <v>0</v>
      </c>
      <c r="R202" s="114"/>
      <c r="S202" s="884"/>
      <c r="T202" s="270"/>
      <c r="U202" s="270"/>
      <c r="V202" s="270"/>
      <c r="W202" s="270"/>
      <c r="X202" s="270"/>
      <c r="Y202" s="270"/>
      <c r="Z202" s="270"/>
      <c r="AA202" s="270"/>
    </row>
    <row r="203" spans="3:27" x14ac:dyDescent="0.3">
      <c r="C203" s="450"/>
      <c r="D203" s="182"/>
      <c r="E203" s="182"/>
      <c r="F203" s="182"/>
      <c r="G203" s="450" t="str">
        <f t="shared" si="6"/>
        <v>--</v>
      </c>
      <c r="H203" s="182"/>
      <c r="I203" s="892"/>
      <c r="J203" s="892"/>
      <c r="K203" s="182"/>
      <c r="L203" s="182"/>
      <c r="M203" s="270"/>
      <c r="N203" s="892"/>
      <c r="O203" s="892"/>
      <c r="P203" s="269" t="s">
        <v>225</v>
      </c>
      <c r="Q203" s="895">
        <v>0</v>
      </c>
      <c r="R203" s="114"/>
      <c r="S203" s="884"/>
      <c r="T203" s="270"/>
      <c r="U203" s="270"/>
      <c r="V203" s="270"/>
      <c r="W203" s="270"/>
      <c r="X203" s="270"/>
      <c r="Y203" s="270"/>
      <c r="Z203" s="270"/>
      <c r="AA203" s="270"/>
    </row>
    <row r="204" spans="3:27" x14ac:dyDescent="0.3">
      <c r="C204" s="450"/>
      <c r="D204" s="182"/>
      <c r="E204" s="182"/>
      <c r="F204" s="182"/>
      <c r="G204" s="450" t="str">
        <f t="shared" si="6"/>
        <v>--</v>
      </c>
      <c r="H204" s="182"/>
      <c r="I204" s="892"/>
      <c r="J204" s="892"/>
      <c r="K204" s="182"/>
      <c r="L204" s="182"/>
      <c r="M204" s="270"/>
      <c r="N204" s="892"/>
      <c r="O204" s="892"/>
      <c r="P204" s="263" t="s">
        <v>46</v>
      </c>
      <c r="Q204" s="897">
        <f>SUM(Q198:Q203)</f>
        <v>1</v>
      </c>
      <c r="R204" s="899"/>
      <c r="S204" s="900"/>
      <c r="T204" s="270"/>
      <c r="U204" s="270"/>
      <c r="V204" s="270"/>
      <c r="W204" s="270"/>
      <c r="X204" s="270"/>
      <c r="Y204" s="270"/>
      <c r="Z204" s="270"/>
      <c r="AA204" s="270"/>
    </row>
    <row r="205" spans="3:27" x14ac:dyDescent="0.3">
      <c r="C205" s="450"/>
      <c r="D205" s="182"/>
      <c r="E205" s="182"/>
      <c r="F205" s="182"/>
      <c r="G205" s="450" t="str">
        <f t="shared" si="6"/>
        <v>--</v>
      </c>
      <c r="H205" s="182"/>
      <c r="I205" s="892"/>
      <c r="J205" s="892"/>
      <c r="K205" s="182"/>
      <c r="L205" s="182"/>
      <c r="M205" s="270"/>
      <c r="N205" s="892"/>
      <c r="O205" s="892"/>
      <c r="P205" s="259"/>
      <c r="Q205" s="114"/>
      <c r="R205" s="270"/>
      <c r="S205" s="270"/>
      <c r="T205" s="270"/>
      <c r="U205" s="270"/>
      <c r="V205" s="270"/>
      <c r="W205" s="270"/>
      <c r="X205" s="270"/>
      <c r="Y205" s="270"/>
      <c r="Z205" s="270"/>
      <c r="AA205" s="270"/>
    </row>
    <row r="206" spans="3:27" ht="15" thickBot="1" x14ac:dyDescent="0.35">
      <c r="C206" s="450"/>
      <c r="D206" s="182"/>
      <c r="E206" s="182"/>
      <c r="F206" s="182"/>
      <c r="G206" s="450" t="str">
        <f t="shared" si="6"/>
        <v>--</v>
      </c>
      <c r="H206" s="182"/>
      <c r="I206" s="892"/>
      <c r="J206" s="892"/>
      <c r="K206" s="182"/>
      <c r="L206" s="182"/>
      <c r="M206" s="870" t="s">
        <v>155</v>
      </c>
      <c r="N206" s="870" t="s">
        <v>188</v>
      </c>
      <c r="O206" s="870"/>
      <c r="P206" s="276" t="s">
        <v>111</v>
      </c>
      <c r="Q206" s="871" t="s">
        <v>155</v>
      </c>
      <c r="R206" s="902"/>
      <c r="S206" s="874"/>
      <c r="T206" s="270"/>
      <c r="U206" s="270"/>
      <c r="V206" s="270"/>
      <c r="W206" s="270"/>
      <c r="X206" s="270"/>
      <c r="Y206" s="270"/>
      <c r="Z206" s="270"/>
      <c r="AA206" s="270"/>
    </row>
    <row r="207" spans="3:27" ht="15" thickBot="1" x14ac:dyDescent="0.35">
      <c r="C207" s="566" t="s">
        <v>85</v>
      </c>
      <c r="D207" s="875" t="str">
        <f>VLOOKUP(C207,'Airport Mapping'!$C$5:$D$39,2,FALSE)</f>
        <v xml:space="preserve"> </v>
      </c>
      <c r="E207" s="567" t="s">
        <v>43</v>
      </c>
      <c r="F207" s="567" t="s">
        <v>111</v>
      </c>
      <c r="G207" s="450" t="str">
        <f t="shared" si="6"/>
        <v>Terminal B-Maintenance-Boiler</v>
      </c>
      <c r="H207" s="567" t="s">
        <v>424</v>
      </c>
      <c r="I207" s="877" t="s">
        <v>64</v>
      </c>
      <c r="J207" s="878">
        <f>SUMIFS('Level of Efficiency Assumptions'!J:J,'Level of Efficiency Assumptions'!D:D,E207,'Level of Efficiency Assumptions'!F:F,F207,'Level of Efficiency Assumptions'!I:I,I207)</f>
        <v>100</v>
      </c>
      <c r="K207" s="383" t="s">
        <v>585</v>
      </c>
      <c r="L207" s="253" t="s">
        <v>64</v>
      </c>
      <c r="M207" s="879">
        <f>SUM(Q207:Q208)</f>
        <v>0</v>
      </c>
      <c r="N207" s="880">
        <f>IFERROR(M207/M210,"-")</f>
        <v>0</v>
      </c>
      <c r="O207" s="881">
        <f>SUMIFS('Data Entry'!R:R,'Data Entry'!K:K,G207)</f>
        <v>0</v>
      </c>
      <c r="P207" s="272"/>
      <c r="Q207" s="895">
        <v>0</v>
      </c>
      <c r="R207" s="114"/>
      <c r="S207" s="884"/>
      <c r="T207" s="270"/>
      <c r="U207" s="270"/>
      <c r="V207" s="270"/>
      <c r="W207" s="270"/>
      <c r="X207" s="270"/>
      <c r="Y207" s="270"/>
      <c r="Z207" s="270"/>
      <c r="AA207" s="270"/>
    </row>
    <row r="208" spans="3:27" ht="15" thickBot="1" x14ac:dyDescent="0.35">
      <c r="C208" s="494" t="s">
        <v>85</v>
      </c>
      <c r="D208" s="577"/>
      <c r="E208" s="577" t="s">
        <v>43</v>
      </c>
      <c r="F208" s="577" t="s">
        <v>111</v>
      </c>
      <c r="G208" s="450" t="str">
        <f t="shared" si="6"/>
        <v>Terminal B-Maintenance-Boiler</v>
      </c>
      <c r="H208" s="577"/>
      <c r="I208" s="887" t="s">
        <v>65</v>
      </c>
      <c r="J208" s="878">
        <f>SUMIFS('Level of Efficiency Assumptions'!J:J,'Level of Efficiency Assumptions'!D:D,E208,'Level of Efficiency Assumptions'!F:F,F208,'Level of Efficiency Assumptions'!I:I,I208)</f>
        <v>75</v>
      </c>
      <c r="K208" s="383" t="s">
        <v>585</v>
      </c>
      <c r="L208" s="255" t="s">
        <v>65</v>
      </c>
      <c r="M208" s="879">
        <f>Q209+Q210</f>
        <v>1</v>
      </c>
      <c r="N208" s="880">
        <f>IFERROR(M208/M210,"-")</f>
        <v>1</v>
      </c>
      <c r="O208" s="881">
        <f>SUMIFS('Data Entry'!S:S,'Data Entry'!K:K,G208)</f>
        <v>0</v>
      </c>
      <c r="P208" s="272"/>
      <c r="Q208" s="895">
        <v>0</v>
      </c>
      <c r="R208" s="114"/>
      <c r="S208" s="884"/>
      <c r="T208" s="270"/>
      <c r="U208" s="270"/>
      <c r="V208" s="270"/>
      <c r="W208" s="270"/>
      <c r="X208" s="270"/>
      <c r="Y208" s="270"/>
      <c r="Z208" s="270"/>
      <c r="AA208" s="270"/>
    </row>
    <row r="209" spans="3:27" ht="15" thickBot="1" x14ac:dyDescent="0.35">
      <c r="C209" s="501" t="s">
        <v>85</v>
      </c>
      <c r="D209" s="116"/>
      <c r="E209" s="116" t="s">
        <v>43</v>
      </c>
      <c r="F209" s="116" t="s">
        <v>111</v>
      </c>
      <c r="G209" s="450" t="str">
        <f t="shared" si="6"/>
        <v>Terminal B-Maintenance-Boiler</v>
      </c>
      <c r="H209" s="116"/>
      <c r="I209" s="889" t="s">
        <v>66</v>
      </c>
      <c r="J209" s="890">
        <f>SUMIFS('Level of Efficiency Assumptions'!J:J,'Level of Efficiency Assumptions'!D:D,E209,'Level of Efficiency Assumptions'!F:F,F209,'Level of Efficiency Assumptions'!I:I,I209)</f>
        <v>50</v>
      </c>
      <c r="K209" s="383" t="s">
        <v>585</v>
      </c>
      <c r="L209" s="257" t="s">
        <v>66</v>
      </c>
      <c r="M209" s="879">
        <f>Q211+Q212</f>
        <v>0</v>
      </c>
      <c r="N209" s="880">
        <f>IFERROR(M209/M210,"-")</f>
        <v>0</v>
      </c>
      <c r="O209" s="881">
        <f>SUMIFS('Data Entry'!T:T,'Data Entry'!K:K,G209)</f>
        <v>0</v>
      </c>
      <c r="P209" s="274"/>
      <c r="Q209" s="895">
        <v>1</v>
      </c>
      <c r="R209" s="114"/>
      <c r="S209" s="884"/>
      <c r="T209" s="270"/>
      <c r="U209" s="270"/>
      <c r="V209" s="270"/>
      <c r="W209" s="270"/>
      <c r="X209" s="270"/>
      <c r="Y209" s="270"/>
      <c r="Z209" s="270"/>
      <c r="AA209" s="270"/>
    </row>
    <row r="210" spans="3:27" x14ac:dyDescent="0.3">
      <c r="C210" s="450"/>
      <c r="D210" s="182"/>
      <c r="E210" s="182"/>
      <c r="F210" s="182"/>
      <c r="G210" s="450" t="str">
        <f t="shared" si="6"/>
        <v>--</v>
      </c>
      <c r="H210" s="182"/>
      <c r="I210" s="440"/>
      <c r="J210" s="892"/>
      <c r="K210" s="259"/>
      <c r="L210" s="259" t="s">
        <v>46</v>
      </c>
      <c r="M210" s="893">
        <f>SUM(M207:M209)</f>
        <v>1</v>
      </c>
      <c r="N210" s="894"/>
      <c r="O210" s="894">
        <f>SUM(O207:O209)</f>
        <v>0</v>
      </c>
      <c r="P210" s="274"/>
      <c r="Q210" s="895">
        <v>0</v>
      </c>
      <c r="R210" s="114"/>
      <c r="S210" s="884"/>
      <c r="T210" s="270"/>
      <c r="U210" s="270"/>
      <c r="V210" s="270"/>
      <c r="W210" s="270"/>
      <c r="X210" s="270"/>
      <c r="Y210" s="270"/>
      <c r="Z210" s="270"/>
      <c r="AA210" s="270"/>
    </row>
    <row r="211" spans="3:27" x14ac:dyDescent="0.3">
      <c r="C211" s="450"/>
      <c r="D211" s="182"/>
      <c r="E211" s="182"/>
      <c r="F211" s="182"/>
      <c r="G211" s="450" t="str">
        <f t="shared" si="6"/>
        <v>--</v>
      </c>
      <c r="H211" s="182"/>
      <c r="I211" s="892"/>
      <c r="J211" s="892"/>
      <c r="K211" s="182"/>
      <c r="L211" s="182"/>
      <c r="M211" s="270"/>
      <c r="N211" s="892"/>
      <c r="O211" s="892"/>
      <c r="P211" s="275"/>
      <c r="Q211" s="895">
        <v>0</v>
      </c>
      <c r="R211" s="114"/>
      <c r="S211" s="884"/>
      <c r="T211" s="270"/>
      <c r="U211" s="270"/>
      <c r="V211" s="270"/>
      <c r="W211" s="270"/>
      <c r="X211" s="270"/>
      <c r="Y211" s="270"/>
      <c r="Z211" s="270"/>
      <c r="AA211" s="270"/>
    </row>
    <row r="212" spans="3:27" x14ac:dyDescent="0.3">
      <c r="C212" s="450"/>
      <c r="D212" s="182"/>
      <c r="E212" s="182"/>
      <c r="F212" s="182"/>
      <c r="G212" s="450" t="str">
        <f t="shared" si="6"/>
        <v>--</v>
      </c>
      <c r="H212" s="182"/>
      <c r="I212" s="892"/>
      <c r="J212" s="892"/>
      <c r="K212" s="182"/>
      <c r="L212" s="182"/>
      <c r="M212" s="270"/>
      <c r="N212" s="892"/>
      <c r="O212" s="892"/>
      <c r="P212" s="269"/>
      <c r="Q212" s="895">
        <v>0</v>
      </c>
      <c r="R212" s="114"/>
      <c r="S212" s="884"/>
      <c r="T212" s="270"/>
      <c r="U212" s="270"/>
      <c r="V212" s="270"/>
      <c r="W212" s="270"/>
      <c r="X212" s="270"/>
      <c r="Y212" s="270"/>
      <c r="Z212" s="270"/>
      <c r="AA212" s="270"/>
    </row>
    <row r="213" spans="3:27" x14ac:dyDescent="0.3">
      <c r="C213" s="450"/>
      <c r="D213" s="182"/>
      <c r="E213" s="182"/>
      <c r="F213" s="182"/>
      <c r="G213" s="450" t="str">
        <f t="shared" si="6"/>
        <v>--</v>
      </c>
      <c r="H213" s="182"/>
      <c r="I213" s="892"/>
      <c r="J213" s="892"/>
      <c r="K213" s="182"/>
      <c r="L213" s="182"/>
      <c r="M213" s="270"/>
      <c r="N213" s="892"/>
      <c r="O213" s="892"/>
      <c r="P213" s="263" t="s">
        <v>46</v>
      </c>
      <c r="Q213" s="897">
        <f>SUM(Q207:Q212)</f>
        <v>1</v>
      </c>
      <c r="R213" s="899"/>
      <c r="S213" s="900"/>
      <c r="T213" s="270"/>
      <c r="U213" s="270"/>
      <c r="V213" s="270"/>
      <c r="W213" s="270"/>
      <c r="X213" s="270"/>
      <c r="Y213" s="270"/>
      <c r="Z213" s="270"/>
      <c r="AA213" s="270"/>
    </row>
    <row r="214" spans="3:27" x14ac:dyDescent="0.3">
      <c r="C214" s="450"/>
      <c r="D214" s="182"/>
      <c r="E214" s="182"/>
      <c r="F214" s="182"/>
      <c r="G214" s="450" t="str">
        <f t="shared" si="6"/>
        <v>--</v>
      </c>
      <c r="H214" s="182"/>
      <c r="I214" s="892"/>
      <c r="J214" s="892"/>
      <c r="K214" s="182"/>
      <c r="L214" s="182"/>
      <c r="M214" s="270"/>
      <c r="N214" s="892"/>
      <c r="O214" s="892"/>
      <c r="P214" s="259"/>
      <c r="Q214" s="114"/>
      <c r="R214" s="270"/>
      <c r="S214" s="270"/>
      <c r="T214" s="270"/>
      <c r="U214" s="270"/>
      <c r="V214" s="270"/>
      <c r="W214" s="270"/>
      <c r="X214" s="270"/>
      <c r="Y214" s="270"/>
      <c r="Z214" s="270"/>
      <c r="AA214" s="270"/>
    </row>
    <row r="215" spans="3:27" ht="15" thickBot="1" x14ac:dyDescent="0.35">
      <c r="C215" s="450"/>
      <c r="D215" s="182"/>
      <c r="E215" s="182"/>
      <c r="F215" s="182"/>
      <c r="G215" s="450" t="str">
        <f t="shared" si="6"/>
        <v>--</v>
      </c>
      <c r="H215" s="182"/>
      <c r="I215" s="892"/>
      <c r="J215" s="892"/>
      <c r="K215" s="182"/>
      <c r="L215" s="182"/>
      <c r="M215" s="870" t="s">
        <v>155</v>
      </c>
      <c r="N215" s="870" t="s">
        <v>188</v>
      </c>
      <c r="O215" s="870"/>
      <c r="P215" s="276" t="s">
        <v>426</v>
      </c>
      <c r="Q215" s="871" t="s">
        <v>155</v>
      </c>
      <c r="R215" s="902"/>
      <c r="S215" s="874"/>
      <c r="T215" s="270"/>
      <c r="U215" s="270"/>
      <c r="V215" s="270"/>
      <c r="W215" s="270"/>
      <c r="X215" s="270"/>
      <c r="Y215" s="270"/>
      <c r="Z215" s="270"/>
      <c r="AA215" s="270"/>
    </row>
    <row r="216" spans="3:27" ht="15" thickBot="1" x14ac:dyDescent="0.35">
      <c r="C216" s="566" t="s">
        <v>85</v>
      </c>
      <c r="D216" s="875" t="str">
        <f>VLOOKUP(C216,'Airport Mapping'!$C$5:$D$39,2,FALSE)</f>
        <v xml:space="preserve"> </v>
      </c>
      <c r="E216" s="567" t="s">
        <v>43</v>
      </c>
      <c r="F216" s="567" t="s">
        <v>426</v>
      </c>
      <c r="G216" s="450" t="str">
        <f t="shared" si="6"/>
        <v>Terminal B-Maintenance-Pavement cleaning</v>
      </c>
      <c r="H216" s="567" t="s">
        <v>3</v>
      </c>
      <c r="I216" s="877" t="s">
        <v>64</v>
      </c>
      <c r="J216" s="878">
        <f>SUMIFS('Level of Efficiency Assumptions'!J:J,'Level of Efficiency Assumptions'!D:D,E216,'Level of Efficiency Assumptions'!F:F,F216,'Level of Efficiency Assumptions'!I:I,I216)</f>
        <v>10</v>
      </c>
      <c r="K216" s="383" t="s">
        <v>588</v>
      </c>
      <c r="L216" s="253" t="s">
        <v>64</v>
      </c>
      <c r="M216" s="879">
        <f>SUM(Q216:Q217)</f>
        <v>0</v>
      </c>
      <c r="N216" s="880">
        <f>IFERROR(M216/M219,"-")</f>
        <v>0</v>
      </c>
      <c r="O216" s="881">
        <f>SUMIFS('Data Entry'!R:R,'Data Entry'!K:K,G216)</f>
        <v>0</v>
      </c>
      <c r="P216" s="272"/>
      <c r="Q216" s="895">
        <v>0</v>
      </c>
      <c r="R216" s="114"/>
      <c r="S216" s="884"/>
      <c r="T216" s="270"/>
      <c r="U216" s="270"/>
      <c r="V216" s="270"/>
      <c r="W216" s="270"/>
      <c r="X216" s="270"/>
      <c r="Y216" s="270"/>
      <c r="Z216" s="270"/>
      <c r="AA216" s="270"/>
    </row>
    <row r="217" spans="3:27" ht="15" thickBot="1" x14ac:dyDescent="0.35">
      <c r="C217" s="494" t="s">
        <v>85</v>
      </c>
      <c r="D217" s="577"/>
      <c r="E217" s="577" t="s">
        <v>43</v>
      </c>
      <c r="F217" s="577" t="s">
        <v>426</v>
      </c>
      <c r="G217" s="450" t="str">
        <f t="shared" si="6"/>
        <v>Terminal B-Maintenance-Pavement cleaning</v>
      </c>
      <c r="H217" s="577"/>
      <c r="I217" s="887" t="s">
        <v>65</v>
      </c>
      <c r="J217" s="878">
        <f>SUMIFS('Level of Efficiency Assumptions'!J:J,'Level of Efficiency Assumptions'!D:D,E217,'Level of Efficiency Assumptions'!F:F,F217,'Level of Efficiency Assumptions'!I:I,I217)</f>
        <v>7.5</v>
      </c>
      <c r="K217" s="383" t="s">
        <v>588</v>
      </c>
      <c r="L217" s="255" t="s">
        <v>65</v>
      </c>
      <c r="M217" s="879">
        <f>Q218+Q219</f>
        <v>1</v>
      </c>
      <c r="N217" s="880">
        <f>IFERROR(M217/M219,"-")</f>
        <v>1</v>
      </c>
      <c r="O217" s="881">
        <f>SUMIFS('Data Entry'!S:S,'Data Entry'!K:K,G217)</f>
        <v>0</v>
      </c>
      <c r="P217" s="272"/>
      <c r="Q217" s="895">
        <v>0</v>
      </c>
      <c r="R217" s="114"/>
      <c r="S217" s="884"/>
      <c r="T217" s="270"/>
      <c r="U217" s="270"/>
      <c r="V217" s="270"/>
      <c r="W217" s="270"/>
      <c r="X217" s="270"/>
      <c r="Y217" s="270"/>
      <c r="Z217" s="270"/>
      <c r="AA217" s="270"/>
    </row>
    <row r="218" spans="3:27" ht="15" thickBot="1" x14ac:dyDescent="0.35">
      <c r="C218" s="501" t="s">
        <v>85</v>
      </c>
      <c r="D218" s="116"/>
      <c r="E218" s="116" t="s">
        <v>43</v>
      </c>
      <c r="F218" s="116" t="s">
        <v>426</v>
      </c>
      <c r="G218" s="450" t="str">
        <f t="shared" si="6"/>
        <v>Terminal B-Maintenance-Pavement cleaning</v>
      </c>
      <c r="H218" s="116"/>
      <c r="I218" s="889" t="s">
        <v>66</v>
      </c>
      <c r="J218" s="890">
        <f>SUMIFS('Level of Efficiency Assumptions'!J:J,'Level of Efficiency Assumptions'!D:D,E218,'Level of Efficiency Assumptions'!F:F,F218,'Level of Efficiency Assumptions'!I:I,I218)</f>
        <v>5</v>
      </c>
      <c r="K218" s="383" t="s">
        <v>588</v>
      </c>
      <c r="L218" s="257" t="s">
        <v>66</v>
      </c>
      <c r="M218" s="879">
        <f>Q220+Q221</f>
        <v>0</v>
      </c>
      <c r="N218" s="880">
        <f>IFERROR(M218/M219,"-")</f>
        <v>0</v>
      </c>
      <c r="O218" s="881">
        <f>SUMIFS('Data Entry'!T:T,'Data Entry'!K:K,G218)</f>
        <v>0</v>
      </c>
      <c r="P218" s="274"/>
      <c r="Q218" s="895">
        <v>1</v>
      </c>
      <c r="R218" s="114"/>
      <c r="S218" s="884"/>
      <c r="T218" s="270"/>
      <c r="U218" s="270"/>
      <c r="V218" s="270"/>
      <c r="W218" s="270"/>
      <c r="X218" s="270"/>
      <c r="Y218" s="270"/>
      <c r="Z218" s="270"/>
      <c r="AA218" s="270"/>
    </row>
    <row r="219" spans="3:27" x14ac:dyDescent="0.3">
      <c r="C219" s="450"/>
      <c r="D219" s="182"/>
      <c r="E219" s="182"/>
      <c r="F219" s="182"/>
      <c r="G219" s="450" t="str">
        <f t="shared" si="6"/>
        <v>--</v>
      </c>
      <c r="H219" s="182"/>
      <c r="I219" s="440"/>
      <c r="J219" s="892"/>
      <c r="K219" s="259"/>
      <c r="L219" s="259" t="s">
        <v>46</v>
      </c>
      <c r="M219" s="893">
        <f>SUM(M216:M218)</f>
        <v>1</v>
      </c>
      <c r="N219" s="894"/>
      <c r="O219" s="894">
        <f>SUM(O216:O218)</f>
        <v>0</v>
      </c>
      <c r="P219" s="274"/>
      <c r="Q219" s="895">
        <v>0</v>
      </c>
      <c r="R219" s="114"/>
      <c r="S219" s="884"/>
      <c r="T219" s="270"/>
      <c r="U219" s="270"/>
      <c r="V219" s="270"/>
      <c r="W219" s="270"/>
      <c r="X219" s="270"/>
      <c r="Y219" s="270"/>
      <c r="Z219" s="270"/>
      <c r="AA219" s="270"/>
    </row>
    <row r="220" spans="3:27" x14ac:dyDescent="0.3">
      <c r="C220" s="450"/>
      <c r="D220" s="182"/>
      <c r="E220" s="182"/>
      <c r="F220" s="182"/>
      <c r="G220" s="450" t="str">
        <f t="shared" si="6"/>
        <v>--</v>
      </c>
      <c r="H220" s="182"/>
      <c r="I220" s="892"/>
      <c r="J220" s="892"/>
      <c r="K220" s="182"/>
      <c r="L220" s="182"/>
      <c r="M220" s="270"/>
      <c r="N220" s="892"/>
      <c r="O220" s="892"/>
      <c r="P220" s="275"/>
      <c r="Q220" s="895">
        <v>0</v>
      </c>
      <c r="R220" s="114"/>
      <c r="S220" s="884"/>
      <c r="T220" s="270"/>
      <c r="U220" s="270"/>
      <c r="V220" s="270"/>
      <c r="W220" s="270"/>
      <c r="X220" s="270"/>
      <c r="Y220" s="270"/>
      <c r="Z220" s="270"/>
      <c r="AA220" s="270"/>
    </row>
    <row r="221" spans="3:27" x14ac:dyDescent="0.3">
      <c r="C221" s="450"/>
      <c r="D221" s="182"/>
      <c r="E221" s="182"/>
      <c r="F221" s="182"/>
      <c r="G221" s="450" t="str">
        <f t="shared" si="6"/>
        <v>--</v>
      </c>
      <c r="H221" s="182"/>
      <c r="I221" s="892"/>
      <c r="J221" s="892"/>
      <c r="K221" s="182"/>
      <c r="L221" s="182"/>
      <c r="M221" s="270"/>
      <c r="N221" s="892"/>
      <c r="O221" s="892"/>
      <c r="P221" s="269"/>
      <c r="Q221" s="895">
        <v>0</v>
      </c>
      <c r="R221" s="114"/>
      <c r="S221" s="884"/>
      <c r="T221" s="270"/>
      <c r="U221" s="270"/>
      <c r="V221" s="270"/>
      <c r="W221" s="270"/>
      <c r="X221" s="270"/>
      <c r="Y221" s="270"/>
      <c r="Z221" s="270"/>
      <c r="AA221" s="270"/>
    </row>
    <row r="222" spans="3:27" x14ac:dyDescent="0.3">
      <c r="C222" s="450"/>
      <c r="D222" s="182"/>
      <c r="E222" s="182"/>
      <c r="F222" s="182"/>
      <c r="G222" s="450" t="str">
        <f t="shared" si="6"/>
        <v>--</v>
      </c>
      <c r="H222" s="182"/>
      <c r="I222" s="892"/>
      <c r="J222" s="892"/>
      <c r="K222" s="182"/>
      <c r="L222" s="182"/>
      <c r="M222" s="270"/>
      <c r="N222" s="892"/>
      <c r="O222" s="892"/>
      <c r="P222" s="263" t="s">
        <v>46</v>
      </c>
      <c r="Q222" s="897">
        <f>SUM(Q216:Q221)</f>
        <v>1</v>
      </c>
      <c r="R222" s="899"/>
      <c r="S222" s="900"/>
      <c r="T222" s="270"/>
      <c r="U222" s="270"/>
      <c r="V222" s="270"/>
      <c r="W222" s="270"/>
      <c r="X222" s="270"/>
      <c r="Y222" s="270"/>
      <c r="Z222" s="270"/>
      <c r="AA222" s="270"/>
    </row>
    <row r="223" spans="3:27" x14ac:dyDescent="0.3">
      <c r="C223" s="450"/>
      <c r="D223" s="182"/>
      <c r="E223" s="182"/>
      <c r="F223" s="182"/>
      <c r="G223" s="450" t="str">
        <f t="shared" si="6"/>
        <v>--</v>
      </c>
      <c r="H223" s="182"/>
      <c r="I223" s="892"/>
      <c r="J223" s="892"/>
      <c r="K223" s="182"/>
      <c r="L223" s="182"/>
      <c r="M223" s="270"/>
      <c r="N223" s="892"/>
      <c r="O223" s="892"/>
      <c r="P223" s="259"/>
      <c r="Q223" s="114"/>
      <c r="R223" s="270"/>
      <c r="S223" s="270"/>
      <c r="T223" s="270"/>
      <c r="U223" s="270"/>
      <c r="V223" s="270"/>
      <c r="W223" s="270"/>
      <c r="X223" s="270"/>
      <c r="Y223" s="270"/>
      <c r="Z223" s="270"/>
      <c r="AA223" s="270"/>
    </row>
    <row r="224" spans="3:27" ht="15" thickBot="1" x14ac:dyDescent="0.35">
      <c r="C224" s="450"/>
      <c r="D224" s="182"/>
      <c r="E224" s="182"/>
      <c r="F224" s="182"/>
      <c r="G224" s="450" t="str">
        <f t="shared" si="6"/>
        <v>--</v>
      </c>
      <c r="H224" s="182"/>
      <c r="I224" s="892"/>
      <c r="J224" s="892"/>
      <c r="K224" s="182"/>
      <c r="L224" s="182"/>
      <c r="M224" s="870" t="s">
        <v>155</v>
      </c>
      <c r="N224" s="870" t="s">
        <v>188</v>
      </c>
      <c r="O224" s="870"/>
      <c r="P224" s="276" t="s">
        <v>52</v>
      </c>
      <c r="Q224" s="871" t="s">
        <v>155</v>
      </c>
      <c r="R224" s="902"/>
      <c r="S224" s="874"/>
      <c r="T224" s="270"/>
      <c r="U224" s="270"/>
      <c r="V224" s="270"/>
      <c r="W224" s="270"/>
      <c r="X224" s="270"/>
      <c r="Y224" s="270"/>
      <c r="Z224" s="270"/>
      <c r="AA224" s="270"/>
    </row>
    <row r="225" spans="3:27" ht="15" thickBot="1" x14ac:dyDescent="0.35">
      <c r="C225" s="566" t="s">
        <v>85</v>
      </c>
      <c r="D225" s="875" t="str">
        <f>VLOOKUP(C225,'Airport Mapping'!$C$5:$D$39,2,FALSE)</f>
        <v xml:space="preserve"> </v>
      </c>
      <c r="E225" s="567" t="s">
        <v>8</v>
      </c>
      <c r="F225" s="567" t="s">
        <v>52</v>
      </c>
      <c r="G225" s="450" t="str">
        <f t="shared" si="6"/>
        <v>Terminal B-Other-Other 1</v>
      </c>
      <c r="H225" s="567" t="s">
        <v>362</v>
      </c>
      <c r="I225" s="877" t="s">
        <v>64</v>
      </c>
      <c r="J225" s="878">
        <f>SUMIFS('Level of Efficiency Assumptions'!J:J,'Level of Efficiency Assumptions'!D:D,E225,'Level of Efficiency Assumptions'!F:F,F225,'Level of Efficiency Assumptions'!I:I,I225)</f>
        <v>10</v>
      </c>
      <c r="K225" s="383" t="s">
        <v>588</v>
      </c>
      <c r="L225" s="253" t="s">
        <v>64</v>
      </c>
      <c r="M225" s="879">
        <f>SUM(Q225:Q225)</f>
        <v>0</v>
      </c>
      <c r="N225" s="880">
        <f>IFERROR(M225/M228,"-")</f>
        <v>0</v>
      </c>
      <c r="O225" s="881">
        <f>SUMIFS('Data Entry'!R:R,'Data Entry'!K:K,G225)</f>
        <v>0</v>
      </c>
      <c r="P225" s="272" t="s">
        <v>129</v>
      </c>
      <c r="Q225" s="895">
        <v>0</v>
      </c>
      <c r="R225" s="114"/>
      <c r="S225" s="884"/>
      <c r="T225" s="270"/>
      <c r="U225" s="270"/>
      <c r="V225" s="270"/>
      <c r="W225" s="270"/>
      <c r="X225" s="270"/>
      <c r="Y225" s="270"/>
      <c r="Z225" s="270"/>
      <c r="AA225" s="270"/>
    </row>
    <row r="226" spans="3:27" ht="15" thickBot="1" x14ac:dyDescent="0.35">
      <c r="C226" s="494" t="s">
        <v>85</v>
      </c>
      <c r="D226" s="577"/>
      <c r="E226" s="577" t="s">
        <v>8</v>
      </c>
      <c r="F226" s="577" t="s">
        <v>52</v>
      </c>
      <c r="G226" s="450" t="str">
        <f t="shared" si="6"/>
        <v>Terminal B-Other-Other 1</v>
      </c>
      <c r="H226" s="577"/>
      <c r="I226" s="887" t="s">
        <v>65</v>
      </c>
      <c r="J226" s="878">
        <f>SUMIFS('Level of Efficiency Assumptions'!J:J,'Level of Efficiency Assumptions'!D:D,E226,'Level of Efficiency Assumptions'!F:F,F226,'Level of Efficiency Assumptions'!I:I,I226)</f>
        <v>7.5</v>
      </c>
      <c r="K226" s="383" t="s">
        <v>588</v>
      </c>
      <c r="L226" s="255" t="s">
        <v>65</v>
      </c>
      <c r="M226" s="879">
        <f t="shared" ref="M226:M227" si="7">SUM(Q226:Q226)</f>
        <v>1</v>
      </c>
      <c r="N226" s="880">
        <f>IFERROR(M226/M228,"-")</f>
        <v>1</v>
      </c>
      <c r="O226" s="881">
        <f>SUMIFS('Data Entry'!S:S,'Data Entry'!K:K,G226)</f>
        <v>0</v>
      </c>
      <c r="P226" s="274" t="s">
        <v>233</v>
      </c>
      <c r="Q226" s="895">
        <v>1</v>
      </c>
      <c r="R226" s="114"/>
      <c r="S226" s="884"/>
      <c r="T226" s="270"/>
      <c r="U226" s="270"/>
      <c r="V226" s="270"/>
      <c r="W226" s="270"/>
      <c r="X226" s="270"/>
      <c r="Y226" s="270"/>
      <c r="Z226" s="270"/>
      <c r="AA226" s="270"/>
    </row>
    <row r="227" spans="3:27" ht="15" thickBot="1" x14ac:dyDescent="0.35">
      <c r="C227" s="501" t="s">
        <v>85</v>
      </c>
      <c r="D227" s="116"/>
      <c r="E227" s="116" t="s">
        <v>8</v>
      </c>
      <c r="F227" s="116" t="s">
        <v>52</v>
      </c>
      <c r="G227" s="450" t="str">
        <f t="shared" si="6"/>
        <v>Terminal B-Other-Other 1</v>
      </c>
      <c r="H227" s="116"/>
      <c r="I227" s="889" t="s">
        <v>66</v>
      </c>
      <c r="J227" s="890">
        <f>SUMIFS('Level of Efficiency Assumptions'!J:J,'Level of Efficiency Assumptions'!D:D,E227,'Level of Efficiency Assumptions'!F:F,F227,'Level of Efficiency Assumptions'!I:I,I227)</f>
        <v>5</v>
      </c>
      <c r="K227" s="383" t="s">
        <v>588</v>
      </c>
      <c r="L227" s="257" t="s">
        <v>66</v>
      </c>
      <c r="M227" s="879">
        <f t="shared" si="7"/>
        <v>0</v>
      </c>
      <c r="N227" s="880">
        <f>IFERROR(M227/M228,"-")</f>
        <v>0</v>
      </c>
      <c r="O227" s="881">
        <f>SUMIFS('Data Entry'!T:T,'Data Entry'!K:K,G227)</f>
        <v>0</v>
      </c>
      <c r="P227" s="269" t="s">
        <v>234</v>
      </c>
      <c r="Q227" s="895">
        <v>0</v>
      </c>
      <c r="R227" s="114"/>
      <c r="S227" s="884"/>
      <c r="T227" s="270"/>
      <c r="U227" s="270"/>
      <c r="V227" s="270"/>
      <c r="W227" s="270"/>
      <c r="X227" s="270"/>
      <c r="Y227" s="270"/>
      <c r="Z227" s="270"/>
      <c r="AA227" s="270"/>
    </row>
    <row r="228" spans="3:27" x14ac:dyDescent="0.3">
      <c r="C228" s="450"/>
      <c r="D228" s="182"/>
      <c r="E228" s="182"/>
      <c r="F228" s="182"/>
      <c r="G228" s="450" t="str">
        <f t="shared" si="6"/>
        <v>--</v>
      </c>
      <c r="H228" s="182"/>
      <c r="I228" s="440"/>
      <c r="J228" s="892"/>
      <c r="K228" s="259"/>
      <c r="L228" s="259" t="s">
        <v>46</v>
      </c>
      <c r="M228" s="893">
        <f>SUM(M225:M227)</f>
        <v>1</v>
      </c>
      <c r="N228" s="894"/>
      <c r="O228" s="894">
        <f>SUM(O225:O227)</f>
        <v>0</v>
      </c>
      <c r="P228" s="263" t="s">
        <v>46</v>
      </c>
      <c r="Q228" s="897">
        <f>SUM(Q225:Q227)</f>
        <v>1</v>
      </c>
      <c r="R228" s="899"/>
      <c r="S228" s="900"/>
      <c r="T228" s="270"/>
      <c r="U228" s="270"/>
      <c r="V228" s="270"/>
      <c r="W228" s="270"/>
      <c r="X228" s="270"/>
      <c r="Y228" s="270"/>
      <c r="Z228" s="270"/>
      <c r="AA228" s="270"/>
    </row>
    <row r="229" spans="3:27" x14ac:dyDescent="0.3">
      <c r="C229" s="450"/>
      <c r="D229" s="182"/>
      <c r="E229" s="182"/>
      <c r="F229" s="182"/>
      <c r="G229" s="450" t="str">
        <f t="shared" si="6"/>
        <v>--</v>
      </c>
      <c r="H229" s="182"/>
      <c r="I229" s="892"/>
      <c r="J229" s="892"/>
      <c r="K229" s="182"/>
      <c r="L229" s="182"/>
      <c r="M229" s="270"/>
      <c r="N229" s="892"/>
      <c r="O229" s="892"/>
      <c r="P229" s="270"/>
      <c r="Q229" s="270"/>
      <c r="R229" s="270"/>
      <c r="S229" s="270"/>
      <c r="T229" s="270"/>
      <c r="U229" s="270"/>
      <c r="V229" s="270"/>
      <c r="W229" s="270"/>
      <c r="X229" s="270"/>
      <c r="Y229" s="270"/>
      <c r="Z229" s="270"/>
      <c r="AA229" s="270"/>
    </row>
    <row r="230" spans="3:27" ht="15" thickBot="1" x14ac:dyDescent="0.35">
      <c r="C230" s="450"/>
      <c r="D230" s="182"/>
      <c r="E230" s="182"/>
      <c r="F230" s="182"/>
      <c r="G230" s="450" t="str">
        <f t="shared" si="6"/>
        <v>--</v>
      </c>
      <c r="H230" s="182"/>
      <c r="I230" s="892"/>
      <c r="J230" s="892"/>
      <c r="K230" s="182"/>
      <c r="L230" s="182"/>
      <c r="M230" s="870" t="s">
        <v>155</v>
      </c>
      <c r="N230" s="870" t="s">
        <v>188</v>
      </c>
      <c r="O230" s="870"/>
      <c r="P230" s="276" t="s">
        <v>53</v>
      </c>
      <c r="Q230" s="871" t="s">
        <v>155</v>
      </c>
      <c r="R230" s="902"/>
      <c r="S230" s="874"/>
      <c r="T230" s="270"/>
      <c r="U230" s="270"/>
      <c r="V230" s="270"/>
      <c r="W230" s="270"/>
      <c r="X230" s="270"/>
      <c r="Y230" s="270"/>
      <c r="Z230" s="270"/>
      <c r="AA230" s="270"/>
    </row>
    <row r="231" spans="3:27" ht="15" thickBot="1" x14ac:dyDescent="0.35">
      <c r="C231" s="566" t="s">
        <v>85</v>
      </c>
      <c r="D231" s="875" t="str">
        <f>VLOOKUP(C231,'Airport Mapping'!$C$5:$D$39,2,FALSE)</f>
        <v xml:space="preserve"> </v>
      </c>
      <c r="E231" s="567" t="s">
        <v>8</v>
      </c>
      <c r="F231" s="567" t="s">
        <v>53</v>
      </c>
      <c r="G231" s="450" t="str">
        <f t="shared" si="6"/>
        <v>Terminal B-Other-Other 2</v>
      </c>
      <c r="H231" s="567" t="s">
        <v>363</v>
      </c>
      <c r="I231" s="877" t="s">
        <v>64</v>
      </c>
      <c r="J231" s="878">
        <f>SUMIFS('Level of Efficiency Assumptions'!J:J,'Level of Efficiency Assumptions'!D:D,E231,'Level of Efficiency Assumptions'!F:F,F231,'Level of Efficiency Assumptions'!I:I,I231)</f>
        <v>10</v>
      </c>
      <c r="K231" s="383" t="s">
        <v>588</v>
      </c>
      <c r="L231" s="253" t="s">
        <v>64</v>
      </c>
      <c r="M231" s="879">
        <f>SUM(Q231:Q231)</f>
        <v>0</v>
      </c>
      <c r="N231" s="880">
        <f>IFERROR(M231/M234,"-")</f>
        <v>0</v>
      </c>
      <c r="O231" s="881">
        <f>SUMIFS('Data Entry'!R:R,'Data Entry'!K:K,G231)</f>
        <v>0</v>
      </c>
      <c r="P231" s="272" t="s">
        <v>129</v>
      </c>
      <c r="Q231" s="895">
        <v>0</v>
      </c>
      <c r="R231" s="114"/>
      <c r="S231" s="884"/>
      <c r="T231" s="270"/>
      <c r="U231" s="270"/>
      <c r="V231" s="270"/>
      <c r="W231" s="270"/>
      <c r="X231" s="270"/>
      <c r="Y231" s="270"/>
      <c r="Z231" s="270"/>
      <c r="AA231" s="270"/>
    </row>
    <row r="232" spans="3:27" ht="15" thickBot="1" x14ac:dyDescent="0.35">
      <c r="C232" s="494" t="s">
        <v>85</v>
      </c>
      <c r="D232" s="577"/>
      <c r="E232" s="577" t="s">
        <v>8</v>
      </c>
      <c r="F232" s="577" t="s">
        <v>53</v>
      </c>
      <c r="G232" s="450" t="str">
        <f t="shared" si="6"/>
        <v>Terminal B-Other-Other 2</v>
      </c>
      <c r="H232" s="577"/>
      <c r="I232" s="887" t="s">
        <v>65</v>
      </c>
      <c r="J232" s="878">
        <f>SUMIFS('Level of Efficiency Assumptions'!J:J,'Level of Efficiency Assumptions'!D:D,E232,'Level of Efficiency Assumptions'!F:F,F232,'Level of Efficiency Assumptions'!I:I,I232)</f>
        <v>7.5</v>
      </c>
      <c r="K232" s="383" t="s">
        <v>588</v>
      </c>
      <c r="L232" s="255" t="s">
        <v>65</v>
      </c>
      <c r="M232" s="879">
        <f t="shared" ref="M232:M233" si="8">SUM(Q232:Q232)</f>
        <v>1</v>
      </c>
      <c r="N232" s="880">
        <f>IFERROR(M232/M234,"-")</f>
        <v>1</v>
      </c>
      <c r="O232" s="881">
        <f>SUMIFS('Data Entry'!S:S,'Data Entry'!K:K,G232)</f>
        <v>0</v>
      </c>
      <c r="P232" s="274" t="s">
        <v>233</v>
      </c>
      <c r="Q232" s="895">
        <v>1</v>
      </c>
      <c r="R232" s="114"/>
      <c r="S232" s="884"/>
      <c r="T232" s="270"/>
      <c r="U232" s="270"/>
      <c r="V232" s="270"/>
      <c r="W232" s="270"/>
      <c r="X232" s="270"/>
      <c r="Y232" s="270"/>
      <c r="Z232" s="270"/>
      <c r="AA232" s="270"/>
    </row>
    <row r="233" spans="3:27" ht="15" thickBot="1" x14ac:dyDescent="0.35">
      <c r="C233" s="501" t="s">
        <v>85</v>
      </c>
      <c r="D233" s="116"/>
      <c r="E233" s="116" t="s">
        <v>8</v>
      </c>
      <c r="F233" s="116" t="s">
        <v>53</v>
      </c>
      <c r="G233" s="450" t="str">
        <f t="shared" ref="G233:G294" si="9">C233&amp;"-"&amp;E233&amp;"-"&amp;F233</f>
        <v>Terminal B-Other-Other 2</v>
      </c>
      <c r="H233" s="116"/>
      <c r="I233" s="889" t="s">
        <v>66</v>
      </c>
      <c r="J233" s="890">
        <f>SUMIFS('Level of Efficiency Assumptions'!J:J,'Level of Efficiency Assumptions'!D:D,E233,'Level of Efficiency Assumptions'!F:F,F233,'Level of Efficiency Assumptions'!I:I,I233)</f>
        <v>5</v>
      </c>
      <c r="K233" s="383" t="s">
        <v>588</v>
      </c>
      <c r="L233" s="257" t="s">
        <v>66</v>
      </c>
      <c r="M233" s="879">
        <f t="shared" si="8"/>
        <v>0</v>
      </c>
      <c r="N233" s="880">
        <f>IFERROR(M233/M234,"-")</f>
        <v>0</v>
      </c>
      <c r="O233" s="881">
        <f>SUMIFS('Data Entry'!T:T,'Data Entry'!K:K,G233)</f>
        <v>0</v>
      </c>
      <c r="P233" s="269" t="s">
        <v>234</v>
      </c>
      <c r="Q233" s="895">
        <v>0</v>
      </c>
      <c r="R233" s="114"/>
      <c r="S233" s="884"/>
      <c r="T233" s="270"/>
      <c r="U233" s="270"/>
      <c r="V233" s="270"/>
      <c r="W233" s="270"/>
      <c r="X233" s="270"/>
      <c r="Y233" s="270"/>
      <c r="Z233" s="270"/>
      <c r="AA233" s="270"/>
    </row>
    <row r="234" spans="3:27" x14ac:dyDescent="0.3">
      <c r="C234" s="450"/>
      <c r="D234" s="182"/>
      <c r="E234" s="182"/>
      <c r="F234" s="182"/>
      <c r="G234" s="450" t="str">
        <f t="shared" si="9"/>
        <v>--</v>
      </c>
      <c r="H234" s="182"/>
      <c r="I234" s="440"/>
      <c r="J234" s="892"/>
      <c r="K234" s="259"/>
      <c r="L234" s="259" t="s">
        <v>46</v>
      </c>
      <c r="M234" s="893">
        <f>SUM(M231:M233)</f>
        <v>1</v>
      </c>
      <c r="N234" s="894"/>
      <c r="O234" s="894">
        <f>SUM(O231:O233)</f>
        <v>0</v>
      </c>
      <c r="P234" s="263" t="s">
        <v>46</v>
      </c>
      <c r="Q234" s="897">
        <f>SUM(Q231:Q233)</f>
        <v>1</v>
      </c>
      <c r="R234" s="899"/>
      <c r="S234" s="900"/>
      <c r="T234" s="270"/>
      <c r="U234" s="270"/>
      <c r="V234" s="270"/>
      <c r="W234" s="270"/>
      <c r="X234" s="270"/>
      <c r="Y234" s="270"/>
      <c r="Z234" s="270"/>
      <c r="AA234" s="270"/>
    </row>
    <row r="235" spans="3:27" x14ac:dyDescent="0.3">
      <c r="C235" s="450"/>
      <c r="D235" s="182"/>
      <c r="E235" s="182"/>
      <c r="F235" s="182"/>
      <c r="G235" s="450" t="str">
        <f t="shared" si="9"/>
        <v>--</v>
      </c>
      <c r="H235" s="182"/>
      <c r="I235" s="892"/>
      <c r="J235" s="892"/>
      <c r="K235" s="182"/>
      <c r="L235" s="182"/>
      <c r="M235" s="270"/>
      <c r="N235" s="892"/>
      <c r="O235" s="892"/>
      <c r="P235" s="270"/>
      <c r="Q235" s="270"/>
      <c r="R235" s="270"/>
      <c r="S235" s="270"/>
      <c r="T235" s="270"/>
      <c r="U235" s="270"/>
      <c r="V235" s="270"/>
      <c r="W235" s="270"/>
      <c r="X235" s="270"/>
      <c r="Y235" s="270"/>
      <c r="Z235" s="270"/>
      <c r="AA235" s="270"/>
    </row>
    <row r="236" spans="3:27" ht="15" thickBot="1" x14ac:dyDescent="0.35">
      <c r="C236" s="450"/>
      <c r="D236" s="182"/>
      <c r="E236" s="182"/>
      <c r="F236" s="182"/>
      <c r="G236" s="450" t="str">
        <f t="shared" si="9"/>
        <v>--</v>
      </c>
      <c r="H236" s="182"/>
      <c r="I236" s="892"/>
      <c r="J236" s="892"/>
      <c r="K236" s="182"/>
      <c r="L236" s="182"/>
      <c r="M236" s="870" t="s">
        <v>155</v>
      </c>
      <c r="N236" s="870" t="s">
        <v>188</v>
      </c>
      <c r="O236" s="870"/>
      <c r="P236" s="276" t="s">
        <v>54</v>
      </c>
      <c r="Q236" s="871" t="s">
        <v>155</v>
      </c>
      <c r="R236" s="902"/>
      <c r="S236" s="874"/>
      <c r="T236" s="270"/>
      <c r="U236" s="270"/>
      <c r="V236" s="270"/>
      <c r="W236" s="270"/>
      <c r="X236" s="270"/>
      <c r="Y236" s="270"/>
      <c r="Z236" s="270"/>
      <c r="AA236" s="270"/>
    </row>
    <row r="237" spans="3:27" ht="15" thickBot="1" x14ac:dyDescent="0.35">
      <c r="C237" s="566" t="s">
        <v>85</v>
      </c>
      <c r="D237" s="875" t="str">
        <f>VLOOKUP(C237,'Airport Mapping'!$C$5:$D$39,2,FALSE)</f>
        <v xml:space="preserve"> </v>
      </c>
      <c r="E237" s="567" t="s">
        <v>8</v>
      </c>
      <c r="F237" s="567" t="s">
        <v>54</v>
      </c>
      <c r="G237" s="450" t="str">
        <f t="shared" si="9"/>
        <v>Terminal B-Other-Other 3</v>
      </c>
      <c r="H237" s="567" t="s">
        <v>364</v>
      </c>
      <c r="I237" s="877" t="s">
        <v>64</v>
      </c>
      <c r="J237" s="878">
        <f>SUMIFS('Level of Efficiency Assumptions'!J:J,'Level of Efficiency Assumptions'!D:D,E237,'Level of Efficiency Assumptions'!F:F,F237,'Level of Efficiency Assumptions'!I:I,I237)</f>
        <v>10</v>
      </c>
      <c r="K237" s="383" t="s">
        <v>588</v>
      </c>
      <c r="L237" s="253" t="s">
        <v>64</v>
      </c>
      <c r="M237" s="879">
        <f>SUM(Q237:Q237)</f>
        <v>0</v>
      </c>
      <c r="N237" s="880">
        <f>IFERROR(M237/M240,"-")</f>
        <v>0</v>
      </c>
      <c r="O237" s="881">
        <f>SUMIFS('Data Entry'!R:R,'Data Entry'!K:K,G237)</f>
        <v>0</v>
      </c>
      <c r="P237" s="272" t="s">
        <v>129</v>
      </c>
      <c r="Q237" s="895">
        <v>0</v>
      </c>
      <c r="R237" s="114"/>
      <c r="S237" s="884"/>
      <c r="T237" s="270"/>
      <c r="U237" s="270"/>
      <c r="V237" s="270"/>
      <c r="W237" s="270"/>
      <c r="X237" s="270"/>
      <c r="Y237" s="270"/>
      <c r="Z237" s="270"/>
      <c r="AA237" s="270"/>
    </row>
    <row r="238" spans="3:27" ht="15" thickBot="1" x14ac:dyDescent="0.35">
      <c r="C238" s="494" t="s">
        <v>85</v>
      </c>
      <c r="D238" s="577"/>
      <c r="E238" s="577" t="s">
        <v>8</v>
      </c>
      <c r="F238" s="577" t="s">
        <v>54</v>
      </c>
      <c r="G238" s="450" t="str">
        <f t="shared" si="9"/>
        <v>Terminal B-Other-Other 3</v>
      </c>
      <c r="H238" s="577"/>
      <c r="I238" s="887" t="s">
        <v>65</v>
      </c>
      <c r="J238" s="878">
        <f>SUMIFS('Level of Efficiency Assumptions'!J:J,'Level of Efficiency Assumptions'!D:D,E238,'Level of Efficiency Assumptions'!F:F,F238,'Level of Efficiency Assumptions'!I:I,I238)</f>
        <v>7.5</v>
      </c>
      <c r="K238" s="383" t="s">
        <v>588</v>
      </c>
      <c r="L238" s="255" t="s">
        <v>65</v>
      </c>
      <c r="M238" s="879">
        <f t="shared" ref="M238:M239" si="10">SUM(Q238:Q238)</f>
        <v>1</v>
      </c>
      <c r="N238" s="880">
        <f>IFERROR(M238/M240,"-")</f>
        <v>1</v>
      </c>
      <c r="O238" s="881">
        <f>SUMIFS('Data Entry'!S:S,'Data Entry'!K:K,G238)</f>
        <v>0</v>
      </c>
      <c r="P238" s="274" t="s">
        <v>233</v>
      </c>
      <c r="Q238" s="895">
        <v>1</v>
      </c>
      <c r="R238" s="114"/>
      <c r="S238" s="884"/>
      <c r="T238" s="270"/>
      <c r="U238" s="270"/>
      <c r="V238" s="270"/>
      <c r="W238" s="270"/>
      <c r="X238" s="270"/>
      <c r="Y238" s="270"/>
      <c r="Z238" s="270"/>
      <c r="AA238" s="270"/>
    </row>
    <row r="239" spans="3:27" ht="15" thickBot="1" x14ac:dyDescent="0.35">
      <c r="C239" s="501" t="s">
        <v>85</v>
      </c>
      <c r="D239" s="116"/>
      <c r="E239" s="116" t="s">
        <v>8</v>
      </c>
      <c r="F239" s="116" t="s">
        <v>54</v>
      </c>
      <c r="G239" s="450" t="str">
        <f t="shared" si="9"/>
        <v>Terminal B-Other-Other 3</v>
      </c>
      <c r="H239" s="116"/>
      <c r="I239" s="889" t="s">
        <v>66</v>
      </c>
      <c r="J239" s="890">
        <f>SUMIFS('Level of Efficiency Assumptions'!J:J,'Level of Efficiency Assumptions'!D:D,E239,'Level of Efficiency Assumptions'!F:F,F239,'Level of Efficiency Assumptions'!I:I,I239)</f>
        <v>5</v>
      </c>
      <c r="K239" s="383" t="s">
        <v>588</v>
      </c>
      <c r="L239" s="257" t="s">
        <v>66</v>
      </c>
      <c r="M239" s="879">
        <f t="shared" si="10"/>
        <v>0</v>
      </c>
      <c r="N239" s="880">
        <f>IFERROR(M239/M240,"-")</f>
        <v>0</v>
      </c>
      <c r="O239" s="881">
        <f>SUMIFS('Data Entry'!T:T,'Data Entry'!K:K,G239)</f>
        <v>0</v>
      </c>
      <c r="P239" s="269" t="s">
        <v>234</v>
      </c>
      <c r="Q239" s="895">
        <v>0</v>
      </c>
      <c r="R239" s="114"/>
      <c r="S239" s="884"/>
      <c r="T239" s="270"/>
      <c r="U239" s="270"/>
      <c r="V239" s="270"/>
      <c r="W239" s="270"/>
      <c r="X239" s="270"/>
      <c r="Y239" s="270"/>
      <c r="Z239" s="270"/>
      <c r="AA239" s="270"/>
    </row>
    <row r="240" spans="3:27" x14ac:dyDescent="0.3">
      <c r="C240" s="450"/>
      <c r="D240" s="182"/>
      <c r="E240" s="182"/>
      <c r="F240" s="182"/>
      <c r="G240" s="450" t="str">
        <f t="shared" si="9"/>
        <v>--</v>
      </c>
      <c r="H240" s="182"/>
      <c r="I240" s="440"/>
      <c r="J240" s="892"/>
      <c r="K240" s="259"/>
      <c r="L240" s="259" t="s">
        <v>46</v>
      </c>
      <c r="M240" s="893">
        <f>SUM(M237:M239)</f>
        <v>1</v>
      </c>
      <c r="N240" s="894"/>
      <c r="O240" s="894">
        <f>SUM(O237:O239)</f>
        <v>0</v>
      </c>
      <c r="P240" s="263" t="s">
        <v>46</v>
      </c>
      <c r="Q240" s="897">
        <f>SUM(Q237:Q239)</f>
        <v>1</v>
      </c>
      <c r="R240" s="899"/>
      <c r="S240" s="900"/>
      <c r="T240" s="270"/>
      <c r="U240" s="270"/>
      <c r="V240" s="270"/>
      <c r="W240" s="270"/>
      <c r="X240" s="270"/>
      <c r="Y240" s="270"/>
      <c r="Z240" s="270"/>
      <c r="AA240" s="270"/>
    </row>
    <row r="241" spans="3:27" ht="15" thickBot="1" x14ac:dyDescent="0.35">
      <c r="C241" s="500"/>
      <c r="D241" s="184"/>
      <c r="E241" s="184"/>
      <c r="F241" s="184"/>
      <c r="G241" s="450" t="str">
        <f t="shared" si="9"/>
        <v>--</v>
      </c>
      <c r="H241" s="184"/>
      <c r="I241" s="281"/>
      <c r="J241" s="281"/>
      <c r="K241" s="184"/>
      <c r="L241" s="184"/>
      <c r="M241" s="278"/>
      <c r="N241" s="281"/>
      <c r="O241" s="281"/>
      <c r="P241" s="278"/>
      <c r="Q241" s="278"/>
      <c r="R241" s="278"/>
      <c r="S241" s="278"/>
      <c r="T241" s="278"/>
      <c r="U241" s="270"/>
      <c r="V241" s="270"/>
      <c r="W241" s="270"/>
      <c r="X241" s="270"/>
      <c r="Y241" s="270"/>
      <c r="Z241" s="270"/>
      <c r="AA241" s="270"/>
    </row>
    <row r="242" spans="3:27" x14ac:dyDescent="0.3">
      <c r="C242" s="916"/>
      <c r="D242" s="697"/>
      <c r="E242" s="697"/>
      <c r="F242" s="698"/>
      <c r="G242" s="450" t="str">
        <f t="shared" si="9"/>
        <v>--</v>
      </c>
      <c r="H242" s="698"/>
      <c r="I242" s="917"/>
      <c r="J242" s="917"/>
      <c r="K242" s="698"/>
      <c r="L242" s="698"/>
      <c r="M242" s="901"/>
      <c r="N242" s="870"/>
      <c r="O242" s="870"/>
      <c r="P242" s="114"/>
      <c r="Q242" s="270"/>
      <c r="R242" s="114"/>
      <c r="S242" s="114"/>
      <c r="T242" s="114"/>
      <c r="U242" s="270"/>
      <c r="V242" s="270"/>
      <c r="W242" s="270"/>
      <c r="X242" s="270"/>
      <c r="Y242" s="270"/>
      <c r="Z242" s="270"/>
      <c r="AA242" s="270"/>
    </row>
    <row r="243" spans="3:27" ht="15" thickBot="1" x14ac:dyDescent="0.35">
      <c r="C243" s="225"/>
      <c r="D243" s="182"/>
      <c r="E243" s="182"/>
      <c r="F243" s="182"/>
      <c r="G243" s="450" t="str">
        <f t="shared" si="9"/>
        <v>--</v>
      </c>
      <c r="H243" s="182"/>
      <c r="I243" s="892"/>
      <c r="J243" s="892"/>
      <c r="K243" s="182"/>
      <c r="L243" s="182"/>
      <c r="M243" s="870" t="s">
        <v>155</v>
      </c>
      <c r="N243" s="870" t="s">
        <v>188</v>
      </c>
      <c r="O243" s="870"/>
      <c r="P243" s="252" t="s">
        <v>158</v>
      </c>
      <c r="Q243" s="871" t="s">
        <v>155</v>
      </c>
      <c r="R243" s="872" t="s">
        <v>168</v>
      </c>
      <c r="S243" s="872" t="s">
        <v>169</v>
      </c>
      <c r="T243" s="873"/>
      <c r="U243" s="874"/>
      <c r="V243" s="270"/>
      <c r="W243" s="270"/>
      <c r="X243" s="270"/>
      <c r="Y243" s="114"/>
      <c r="Z243" s="270"/>
      <c r="AA243" s="270"/>
    </row>
    <row r="244" spans="3:27" ht="15" thickBot="1" x14ac:dyDescent="0.35">
      <c r="C244" s="566" t="s">
        <v>86</v>
      </c>
      <c r="D244" s="875" t="str">
        <f>VLOOKUP(C244,'Airport Mapping'!$C$5:$D$39,2,FALSE)</f>
        <v xml:space="preserve"> </v>
      </c>
      <c r="E244" s="567" t="s">
        <v>37</v>
      </c>
      <c r="F244" s="567" t="s">
        <v>2</v>
      </c>
      <c r="G244" s="450" t="str">
        <f t="shared" si="9"/>
        <v>Terminal C-Restrooms-Toilets</v>
      </c>
      <c r="H244" s="567" t="s">
        <v>3</v>
      </c>
      <c r="I244" s="877" t="s">
        <v>64</v>
      </c>
      <c r="J244" s="878">
        <f>SUMIFS('Level of Efficiency Assumptions'!J:J,'Level of Efficiency Assumptions'!D:D,E244,'Level of Efficiency Assumptions'!F:F,F244,'Level of Efficiency Assumptions'!I:I,I244)</f>
        <v>3.5</v>
      </c>
      <c r="K244" s="383" t="s">
        <v>68</v>
      </c>
      <c r="L244" s="253" t="s">
        <v>64</v>
      </c>
      <c r="M244" s="879">
        <f>Q244+Q250</f>
        <v>0</v>
      </c>
      <c r="N244" s="880">
        <f>IFERROR(M244/M247,"-")</f>
        <v>0</v>
      </c>
      <c r="O244" s="881">
        <f>SUMIFS('Data Entry'!R:R,'Data Entry'!K:K,G244)</f>
        <v>0</v>
      </c>
      <c r="P244" s="254" t="s">
        <v>159</v>
      </c>
      <c r="Q244" s="882">
        <v>0</v>
      </c>
      <c r="R244" s="883"/>
      <c r="S244" s="883"/>
      <c r="T244" s="114" t="s">
        <v>182</v>
      </c>
      <c r="U244" s="884"/>
      <c r="V244" s="270"/>
      <c r="W244" s="270"/>
      <c r="X244" s="270"/>
      <c r="Y244" s="114"/>
      <c r="Z244" s="270"/>
      <c r="AA244" s="270"/>
    </row>
    <row r="245" spans="3:27" ht="15" thickBot="1" x14ac:dyDescent="0.35">
      <c r="C245" s="494" t="s">
        <v>86</v>
      </c>
      <c r="D245" s="577"/>
      <c r="E245" s="577" t="s">
        <v>37</v>
      </c>
      <c r="F245" s="577" t="s">
        <v>2</v>
      </c>
      <c r="G245" s="450" t="str">
        <f t="shared" si="9"/>
        <v>Terminal C-Restrooms-Toilets</v>
      </c>
      <c r="H245" s="577"/>
      <c r="I245" s="887" t="s">
        <v>65</v>
      </c>
      <c r="J245" s="878">
        <f>SUMIFS('Level of Efficiency Assumptions'!J:J,'Level of Efficiency Assumptions'!D:D,E245,'Level of Efficiency Assumptions'!F:F,F245,'Level of Efficiency Assumptions'!I:I,I245)</f>
        <v>1.6</v>
      </c>
      <c r="K245" s="383" t="s">
        <v>68</v>
      </c>
      <c r="L245" s="255" t="s">
        <v>65</v>
      </c>
      <c r="M245" s="879">
        <f>Q245+Q248+Q251</f>
        <v>1</v>
      </c>
      <c r="N245" s="880">
        <f>IFERROR(M245/M247,"-")</f>
        <v>1</v>
      </c>
      <c r="O245" s="881">
        <f>SUMIFS('Data Entry'!S:S,'Data Entry'!K:K,G245)</f>
        <v>0</v>
      </c>
      <c r="P245" s="256" t="s">
        <v>161</v>
      </c>
      <c r="Q245" s="882">
        <v>1</v>
      </c>
      <c r="R245" s="883"/>
      <c r="S245" s="883"/>
      <c r="T245" s="114" t="s">
        <v>184</v>
      </c>
      <c r="U245" s="884"/>
      <c r="V245" s="270"/>
      <c r="W245" s="270"/>
      <c r="X245" s="270"/>
      <c r="Y245" s="114"/>
      <c r="Z245" s="270"/>
      <c r="AA245" s="270"/>
    </row>
    <row r="246" spans="3:27" ht="15" thickBot="1" x14ac:dyDescent="0.35">
      <c r="C246" s="501" t="s">
        <v>86</v>
      </c>
      <c r="D246" s="116"/>
      <c r="E246" s="116" t="s">
        <v>37</v>
      </c>
      <c r="F246" s="116" t="s">
        <v>2</v>
      </c>
      <c r="G246" s="450" t="str">
        <f t="shared" si="9"/>
        <v>Terminal C-Restrooms-Toilets</v>
      </c>
      <c r="H246" s="116"/>
      <c r="I246" s="889" t="s">
        <v>66</v>
      </c>
      <c r="J246" s="890">
        <f>SUMIFS('Level of Efficiency Assumptions'!J:J,'Level of Efficiency Assumptions'!D:D,E246,'Level of Efficiency Assumptions'!F:F,F246,'Level of Efficiency Assumptions'!I:I,I246)</f>
        <v>1.28</v>
      </c>
      <c r="K246" s="383" t="s">
        <v>68</v>
      </c>
      <c r="L246" s="257" t="s">
        <v>66</v>
      </c>
      <c r="M246" s="879">
        <f>Q246+Q247+Q249+Q252+Q253</f>
        <v>0</v>
      </c>
      <c r="N246" s="880">
        <f>IFERROR(M246/M247,"-")</f>
        <v>0</v>
      </c>
      <c r="O246" s="881">
        <f>SUMIFS('Data Entry'!T:T,'Data Entry'!K:K,G246)</f>
        <v>0</v>
      </c>
      <c r="P246" s="258" t="s">
        <v>163</v>
      </c>
      <c r="Q246" s="882">
        <v>0</v>
      </c>
      <c r="R246" s="883"/>
      <c r="S246" s="883"/>
      <c r="T246" s="891"/>
      <c r="U246" s="884"/>
      <c r="V246" s="270"/>
      <c r="W246" s="270"/>
      <c r="X246" s="270"/>
      <c r="Y246" s="114"/>
      <c r="Z246" s="270"/>
      <c r="AA246" s="270"/>
    </row>
    <row r="247" spans="3:27" x14ac:dyDescent="0.3">
      <c r="C247" s="450"/>
      <c r="D247" s="182"/>
      <c r="E247" s="182"/>
      <c r="F247" s="182"/>
      <c r="G247" s="450" t="str">
        <f t="shared" si="9"/>
        <v>--</v>
      </c>
      <c r="H247" s="182"/>
      <c r="I247" s="440"/>
      <c r="J247" s="892"/>
      <c r="K247" s="259"/>
      <c r="L247" s="259" t="s">
        <v>46</v>
      </c>
      <c r="M247" s="893">
        <f>SUM(M244:M246)</f>
        <v>1</v>
      </c>
      <c r="N247" s="894"/>
      <c r="O247" s="894">
        <f>SUM(O244:O246)</f>
        <v>0</v>
      </c>
      <c r="P247" s="258" t="s">
        <v>165</v>
      </c>
      <c r="Q247" s="882">
        <v>0</v>
      </c>
      <c r="R247" s="883"/>
      <c r="S247" s="883"/>
      <c r="T247" s="891"/>
      <c r="U247" s="884"/>
      <c r="V247" s="270"/>
      <c r="W247" s="270"/>
      <c r="X247" s="270"/>
      <c r="Y247" s="114"/>
      <c r="Z247" s="270"/>
      <c r="AA247" s="270"/>
    </row>
    <row r="248" spans="3:27" ht="15" thickBot="1" x14ac:dyDescent="0.35">
      <c r="C248" s="450"/>
      <c r="D248" s="182"/>
      <c r="E248" s="182"/>
      <c r="F248" s="182"/>
      <c r="G248" s="450" t="str">
        <f t="shared" si="9"/>
        <v>--</v>
      </c>
      <c r="H248" s="182"/>
      <c r="I248" s="440"/>
      <c r="J248" s="892"/>
      <c r="K248" s="181"/>
      <c r="L248" s="181"/>
      <c r="M248" s="181"/>
      <c r="N248" s="892"/>
      <c r="O248" s="892"/>
      <c r="P248" s="256" t="s">
        <v>166</v>
      </c>
      <c r="Q248" s="895">
        <v>0</v>
      </c>
      <c r="R248" s="883"/>
      <c r="S248" s="883"/>
      <c r="T248" s="891"/>
      <c r="U248" s="896"/>
      <c r="V248" s="891"/>
      <c r="W248" s="270"/>
      <c r="X248" s="270"/>
      <c r="Y248" s="114"/>
      <c r="Z248" s="270"/>
      <c r="AA248" s="270"/>
    </row>
    <row r="249" spans="3:27" x14ac:dyDescent="0.3">
      <c r="C249" s="450"/>
      <c r="D249" s="182"/>
      <c r="E249" s="182"/>
      <c r="F249" s="182"/>
      <c r="G249" s="450" t="str">
        <f t="shared" si="9"/>
        <v>--</v>
      </c>
      <c r="H249" s="182"/>
      <c r="I249" s="440"/>
      <c r="J249" s="892"/>
      <c r="K249" s="181"/>
      <c r="L249" s="1384" t="s">
        <v>377</v>
      </c>
      <c r="M249" s="1385"/>
      <c r="N249" s="1385"/>
      <c r="O249" s="1386"/>
      <c r="P249" s="258" t="s">
        <v>167</v>
      </c>
      <c r="Q249" s="895">
        <v>0</v>
      </c>
      <c r="R249" s="883"/>
      <c r="S249" s="883"/>
      <c r="T249" s="891"/>
      <c r="U249" s="896"/>
      <c r="V249" s="891"/>
      <c r="W249" s="270"/>
      <c r="X249" s="270"/>
      <c r="Y249" s="270"/>
      <c r="Z249" s="270"/>
      <c r="AA249" s="270"/>
    </row>
    <row r="250" spans="3:27" x14ac:dyDescent="0.3">
      <c r="C250" s="450"/>
      <c r="D250" s="182"/>
      <c r="E250" s="182"/>
      <c r="F250" s="182"/>
      <c r="G250" s="450" t="str">
        <f t="shared" si="9"/>
        <v>--</v>
      </c>
      <c r="H250" s="182"/>
      <c r="I250" s="440"/>
      <c r="J250" s="892"/>
      <c r="K250" s="181"/>
      <c r="L250" s="1387"/>
      <c r="M250" s="1388"/>
      <c r="N250" s="1388"/>
      <c r="O250" s="1389"/>
      <c r="P250" s="254" t="s">
        <v>160</v>
      </c>
      <c r="Q250" s="895">
        <v>0</v>
      </c>
      <c r="R250" s="891"/>
      <c r="S250" s="891"/>
      <c r="T250" s="891"/>
      <c r="U250" s="896"/>
      <c r="V250" s="891"/>
      <c r="W250" s="270"/>
      <c r="X250" s="270"/>
      <c r="Y250" s="270"/>
      <c r="Z250" s="270"/>
      <c r="AA250" s="270"/>
    </row>
    <row r="251" spans="3:27" x14ac:dyDescent="0.3">
      <c r="C251" s="450"/>
      <c r="D251" s="182"/>
      <c r="E251" s="182"/>
      <c r="F251" s="182"/>
      <c r="G251" s="450" t="str">
        <f t="shared" si="9"/>
        <v>--</v>
      </c>
      <c r="H251" s="182"/>
      <c r="I251" s="440"/>
      <c r="J251" s="892"/>
      <c r="K251" s="181"/>
      <c r="L251" s="1387"/>
      <c r="M251" s="1388"/>
      <c r="N251" s="1388"/>
      <c r="O251" s="1389"/>
      <c r="P251" s="256" t="s">
        <v>162</v>
      </c>
      <c r="Q251" s="895">
        <v>0</v>
      </c>
      <c r="R251" s="891"/>
      <c r="S251" s="891"/>
      <c r="T251" s="891"/>
      <c r="U251" s="896"/>
      <c r="V251" s="891"/>
      <c r="W251" s="270"/>
      <c r="X251" s="270"/>
      <c r="Y251" s="270"/>
      <c r="Z251" s="270"/>
      <c r="AA251" s="270"/>
    </row>
    <row r="252" spans="3:27" ht="15" thickBot="1" x14ac:dyDescent="0.35">
      <c r="C252" s="450"/>
      <c r="D252" s="182"/>
      <c r="E252" s="182"/>
      <c r="F252" s="182"/>
      <c r="G252" s="450" t="str">
        <f t="shared" si="9"/>
        <v>--</v>
      </c>
      <c r="H252" s="182"/>
      <c r="I252" s="440"/>
      <c r="J252" s="892"/>
      <c r="K252" s="181"/>
      <c r="L252" s="1390"/>
      <c r="M252" s="1391"/>
      <c r="N252" s="1391"/>
      <c r="O252" s="1392"/>
      <c r="P252" s="258" t="s">
        <v>164</v>
      </c>
      <c r="Q252" s="895">
        <v>0</v>
      </c>
      <c r="R252" s="114"/>
      <c r="S252" s="891"/>
      <c r="T252" s="114"/>
      <c r="U252" s="884"/>
      <c r="V252" s="114"/>
      <c r="W252" s="270"/>
      <c r="X252" s="270"/>
      <c r="Y252" s="270"/>
      <c r="Z252" s="270"/>
      <c r="AA252" s="270"/>
    </row>
    <row r="253" spans="3:27" x14ac:dyDescent="0.3">
      <c r="C253" s="450"/>
      <c r="D253" s="182"/>
      <c r="E253" s="182"/>
      <c r="F253" s="182"/>
      <c r="G253" s="450" t="str">
        <f t="shared" si="9"/>
        <v>--</v>
      </c>
      <c r="H253" s="182"/>
      <c r="I253" s="440"/>
      <c r="J253" s="892"/>
      <c r="K253" s="181"/>
      <c r="L253" s="181"/>
      <c r="M253" s="181"/>
      <c r="N253" s="892"/>
      <c r="O253" s="892"/>
      <c r="P253" s="258" t="s">
        <v>187</v>
      </c>
      <c r="Q253" s="895">
        <v>0</v>
      </c>
      <c r="R253" s="114"/>
      <c r="S253" s="891"/>
      <c r="T253" s="114"/>
      <c r="U253" s="884"/>
      <c r="V253" s="114"/>
      <c r="W253" s="270"/>
      <c r="X253" s="270"/>
      <c r="Y253" s="270"/>
      <c r="Z253" s="270"/>
      <c r="AA253" s="270"/>
    </row>
    <row r="254" spans="3:27" x14ac:dyDescent="0.3">
      <c r="C254" s="450"/>
      <c r="D254" s="182"/>
      <c r="E254" s="182"/>
      <c r="F254" s="182"/>
      <c r="G254" s="450" t="str">
        <f t="shared" si="9"/>
        <v>--</v>
      </c>
      <c r="H254" s="182"/>
      <c r="I254" s="440"/>
      <c r="J254" s="892"/>
      <c r="K254" s="181"/>
      <c r="L254" s="181"/>
      <c r="M254" s="181"/>
      <c r="N254" s="892"/>
      <c r="O254" s="892"/>
      <c r="P254" s="263" t="s">
        <v>46</v>
      </c>
      <c r="Q254" s="897">
        <f>SUM(Q244:Q253)</f>
        <v>1</v>
      </c>
      <c r="R254" s="898"/>
      <c r="S254" s="898"/>
      <c r="T254" s="899"/>
      <c r="U254" s="900"/>
      <c r="V254" s="114"/>
      <c r="W254" s="270"/>
      <c r="X254" s="270"/>
      <c r="Y254" s="270"/>
      <c r="Z254" s="270"/>
      <c r="AA254" s="270"/>
    </row>
    <row r="255" spans="3:27" x14ac:dyDescent="0.3">
      <c r="C255" s="450"/>
      <c r="D255" s="182"/>
      <c r="E255" s="182"/>
      <c r="F255" s="182"/>
      <c r="G255" s="450" t="str">
        <f t="shared" si="9"/>
        <v>--</v>
      </c>
      <c r="H255" s="182"/>
      <c r="I255" s="440"/>
      <c r="J255" s="892"/>
      <c r="K255" s="181"/>
      <c r="L255" s="181"/>
      <c r="M255" s="181"/>
      <c r="N255" s="892"/>
      <c r="O255" s="892"/>
      <c r="P255" s="114"/>
      <c r="Q255" s="114"/>
      <c r="R255" s="891"/>
      <c r="S255" s="891"/>
      <c r="T255" s="114"/>
      <c r="U255" s="114"/>
      <c r="V255" s="114"/>
      <c r="W255" s="270"/>
      <c r="X255" s="270"/>
      <c r="Y255" s="270"/>
      <c r="Z255" s="270"/>
      <c r="AA255" s="270"/>
    </row>
    <row r="256" spans="3:27" ht="15" thickBot="1" x14ac:dyDescent="0.35">
      <c r="C256" s="450"/>
      <c r="D256" s="182"/>
      <c r="E256" s="182"/>
      <c r="F256" s="182"/>
      <c r="G256" s="450" t="str">
        <f t="shared" si="9"/>
        <v>--</v>
      </c>
      <c r="H256" s="182"/>
      <c r="I256" s="892"/>
      <c r="J256" s="892"/>
      <c r="K256" s="182"/>
      <c r="L256" s="182"/>
      <c r="M256" s="870" t="s">
        <v>155</v>
      </c>
      <c r="N256" s="870" t="s">
        <v>188</v>
      </c>
      <c r="O256" s="870"/>
      <c r="P256" s="252" t="s">
        <v>175</v>
      </c>
      <c r="Q256" s="871" t="s">
        <v>155</v>
      </c>
      <c r="R256" s="872" t="s">
        <v>168</v>
      </c>
      <c r="S256" s="872" t="s">
        <v>169</v>
      </c>
      <c r="T256" s="902"/>
      <c r="U256" s="903"/>
      <c r="V256" s="270"/>
      <c r="W256" s="270"/>
      <c r="X256" s="270"/>
      <c r="Y256" s="270"/>
      <c r="Z256" s="270"/>
      <c r="AA256" s="270"/>
    </row>
    <row r="257" spans="3:27" ht="15" thickBot="1" x14ac:dyDescent="0.35">
      <c r="C257" s="566" t="s">
        <v>86</v>
      </c>
      <c r="D257" s="875" t="str">
        <f>VLOOKUP(C257,'Airport Mapping'!$C$5:$D$39,2,FALSE)</f>
        <v xml:space="preserve"> </v>
      </c>
      <c r="E257" s="567" t="s">
        <v>37</v>
      </c>
      <c r="F257" s="567" t="s">
        <v>4</v>
      </c>
      <c r="G257" s="450" t="str">
        <f t="shared" si="9"/>
        <v>Terminal C-Restrooms-Urinals</v>
      </c>
      <c r="H257" s="567" t="s">
        <v>3</v>
      </c>
      <c r="I257" s="877" t="s">
        <v>64</v>
      </c>
      <c r="J257" s="878">
        <f>SUMIFS('Level of Efficiency Assumptions'!J:J,'Level of Efficiency Assumptions'!D:D,E257,'Level of Efficiency Assumptions'!F:F,F257,'Level of Efficiency Assumptions'!I:I,I257)</f>
        <v>2</v>
      </c>
      <c r="K257" s="383" t="s">
        <v>68</v>
      </c>
      <c r="L257" s="253" t="s">
        <v>64</v>
      </c>
      <c r="M257" s="879">
        <f>Q257+Q258</f>
        <v>0</v>
      </c>
      <c r="N257" s="880">
        <f>IFERROR(M257/M260,"-")</f>
        <v>0</v>
      </c>
      <c r="O257" s="881">
        <f>SUMIFS('Data Entry'!R:R,'Data Entry'!K:K,G257)</f>
        <v>0</v>
      </c>
      <c r="P257" s="254" t="s">
        <v>177</v>
      </c>
      <c r="Q257" s="882">
        <v>0</v>
      </c>
      <c r="R257" s="883"/>
      <c r="S257" s="883"/>
      <c r="T257" s="114"/>
      <c r="U257" s="904"/>
      <c r="V257" s="270"/>
      <c r="W257" s="270"/>
      <c r="X257" s="270"/>
      <c r="Y257" s="270"/>
      <c r="Z257" s="270"/>
      <c r="AA257" s="270"/>
    </row>
    <row r="258" spans="3:27" ht="15" thickBot="1" x14ac:dyDescent="0.35">
      <c r="C258" s="494" t="s">
        <v>86</v>
      </c>
      <c r="D258" s="577"/>
      <c r="E258" s="577" t="s">
        <v>37</v>
      </c>
      <c r="F258" s="577" t="s">
        <v>4</v>
      </c>
      <c r="G258" s="450" t="str">
        <f t="shared" si="9"/>
        <v>Terminal C-Restrooms-Urinals</v>
      </c>
      <c r="H258" s="577"/>
      <c r="I258" s="887" t="s">
        <v>65</v>
      </c>
      <c r="J258" s="878">
        <f>SUMIFS('Level of Efficiency Assumptions'!J:J,'Level of Efficiency Assumptions'!D:D,E258,'Level of Efficiency Assumptions'!F:F,F258,'Level of Efficiency Assumptions'!I:I,I258)</f>
        <v>1</v>
      </c>
      <c r="K258" s="383" t="s">
        <v>68</v>
      </c>
      <c r="L258" s="255" t="s">
        <v>65</v>
      </c>
      <c r="M258" s="879">
        <f>Q259+Q260</f>
        <v>1</v>
      </c>
      <c r="N258" s="880">
        <f>IFERROR(M258/M260,"-")</f>
        <v>1</v>
      </c>
      <c r="O258" s="881">
        <f>SUMIFS('Data Entry'!S:S,'Data Entry'!K:K,G258)</f>
        <v>0</v>
      </c>
      <c r="P258" s="254" t="s">
        <v>179</v>
      </c>
      <c r="Q258" s="882">
        <v>0</v>
      </c>
      <c r="R258" s="883"/>
      <c r="S258" s="883"/>
      <c r="T258" s="114"/>
      <c r="U258" s="904"/>
      <c r="V258" s="270"/>
      <c r="W258" s="270"/>
      <c r="X258" s="270"/>
      <c r="Y258" s="270"/>
      <c r="Z258" s="270"/>
      <c r="AA258" s="270"/>
    </row>
    <row r="259" spans="3:27" ht="15" thickBot="1" x14ac:dyDescent="0.35">
      <c r="C259" s="501" t="s">
        <v>86</v>
      </c>
      <c r="D259" s="116"/>
      <c r="E259" s="116" t="s">
        <v>37</v>
      </c>
      <c r="F259" s="116" t="s">
        <v>4</v>
      </c>
      <c r="G259" s="450" t="str">
        <f t="shared" si="9"/>
        <v>Terminal C-Restrooms-Urinals</v>
      </c>
      <c r="H259" s="116"/>
      <c r="I259" s="889" t="s">
        <v>66</v>
      </c>
      <c r="J259" s="890">
        <f>SUMIFS('Level of Efficiency Assumptions'!J:J,'Level of Efficiency Assumptions'!D:D,E259,'Level of Efficiency Assumptions'!F:F,F259,'Level of Efficiency Assumptions'!I:I,I259)</f>
        <v>0.125</v>
      </c>
      <c r="K259" s="383" t="s">
        <v>68</v>
      </c>
      <c r="L259" s="257" t="s">
        <v>66</v>
      </c>
      <c r="M259" s="879">
        <f>Q261+Q262</f>
        <v>0</v>
      </c>
      <c r="N259" s="880">
        <f>IFERROR(M259/M260,"-")</f>
        <v>0</v>
      </c>
      <c r="O259" s="881">
        <f>SUMIFS('Data Entry'!T:T,'Data Entry'!K:K,G259)</f>
        <v>0</v>
      </c>
      <c r="P259" s="256" t="s">
        <v>189</v>
      </c>
      <c r="Q259" s="882">
        <v>0</v>
      </c>
      <c r="R259" s="883"/>
      <c r="S259" s="883"/>
      <c r="T259" s="114"/>
      <c r="U259" s="904"/>
      <c r="V259" s="270"/>
      <c r="W259" s="270"/>
      <c r="X259" s="270"/>
      <c r="Y259" s="270"/>
      <c r="Z259" s="270"/>
      <c r="AA259" s="270"/>
    </row>
    <row r="260" spans="3:27" x14ac:dyDescent="0.3">
      <c r="C260" s="450"/>
      <c r="D260" s="182"/>
      <c r="E260" s="182"/>
      <c r="F260" s="182"/>
      <c r="G260" s="450" t="str">
        <f t="shared" si="9"/>
        <v>--</v>
      </c>
      <c r="H260" s="182"/>
      <c r="I260" s="440"/>
      <c r="J260" s="892"/>
      <c r="K260" s="259"/>
      <c r="L260" s="259" t="s">
        <v>46</v>
      </c>
      <c r="M260" s="893">
        <f>SUM(M257:M259)</f>
        <v>1</v>
      </c>
      <c r="N260" s="894"/>
      <c r="O260" s="894">
        <f>SUM(O257:O259)</f>
        <v>0</v>
      </c>
      <c r="P260" s="256" t="s">
        <v>181</v>
      </c>
      <c r="Q260" s="882">
        <v>1</v>
      </c>
      <c r="R260" s="883"/>
      <c r="S260" s="883"/>
      <c r="T260" s="114"/>
      <c r="U260" s="264"/>
      <c r="V260" s="270"/>
      <c r="W260" s="270"/>
      <c r="X260" s="270"/>
      <c r="Y260" s="270"/>
      <c r="Z260" s="270"/>
      <c r="AA260" s="270"/>
    </row>
    <row r="261" spans="3:27" x14ac:dyDescent="0.3">
      <c r="C261" s="450"/>
      <c r="D261" s="182"/>
      <c r="E261" s="182"/>
      <c r="F261" s="182"/>
      <c r="G261" s="450" t="str">
        <f t="shared" si="9"/>
        <v>--</v>
      </c>
      <c r="H261" s="182"/>
      <c r="I261" s="440"/>
      <c r="J261" s="182"/>
      <c r="K261" s="181"/>
      <c r="L261" s="181"/>
      <c r="M261" s="181"/>
      <c r="N261" s="892"/>
      <c r="O261" s="892"/>
      <c r="P261" s="258" t="s">
        <v>183</v>
      </c>
      <c r="Q261" s="882">
        <v>0</v>
      </c>
      <c r="R261" s="883"/>
      <c r="S261" s="883"/>
      <c r="T261" s="114"/>
      <c r="U261" s="884"/>
      <c r="V261" s="114"/>
      <c r="W261" s="270"/>
      <c r="X261" s="270"/>
      <c r="Y261" s="270"/>
      <c r="Z261" s="270"/>
      <c r="AA261" s="270"/>
    </row>
    <row r="262" spans="3:27" x14ac:dyDescent="0.3">
      <c r="C262" s="450"/>
      <c r="D262" s="182"/>
      <c r="E262" s="182"/>
      <c r="F262" s="182"/>
      <c r="G262" s="450" t="str">
        <f t="shared" si="9"/>
        <v>--</v>
      </c>
      <c r="H262" s="182"/>
      <c r="I262" s="440"/>
      <c r="J262" s="182"/>
      <c r="K262" s="181"/>
      <c r="L262" s="181"/>
      <c r="M262" s="181"/>
      <c r="N262" s="892"/>
      <c r="O262" s="892"/>
      <c r="P262" s="258" t="s">
        <v>190</v>
      </c>
      <c r="Q262" s="882">
        <v>0</v>
      </c>
      <c r="R262" s="114"/>
      <c r="S262" s="114"/>
      <c r="T262" s="114"/>
      <c r="U262" s="884"/>
      <c r="V262" s="114"/>
      <c r="W262" s="270"/>
      <c r="X262" s="270"/>
      <c r="Y262" s="270"/>
      <c r="Z262" s="270"/>
      <c r="AA262" s="270"/>
    </row>
    <row r="263" spans="3:27" x14ac:dyDescent="0.3">
      <c r="C263" s="450"/>
      <c r="D263" s="182"/>
      <c r="E263" s="182"/>
      <c r="F263" s="182"/>
      <c r="G263" s="450" t="str">
        <f t="shared" si="9"/>
        <v>--</v>
      </c>
      <c r="H263" s="182"/>
      <c r="I263" s="440"/>
      <c r="J263" s="182"/>
      <c r="K263" s="181"/>
      <c r="L263" s="181"/>
      <c r="M263" s="181"/>
      <c r="N263" s="892"/>
      <c r="O263" s="892"/>
      <c r="P263" s="263" t="s">
        <v>46</v>
      </c>
      <c r="Q263" s="897">
        <f>SUM(Q257:Q262)</f>
        <v>1</v>
      </c>
      <c r="R263" s="899"/>
      <c r="S263" s="899"/>
      <c r="T263" s="899"/>
      <c r="U263" s="900"/>
      <c r="V263" s="114"/>
      <c r="W263" s="270"/>
      <c r="X263" s="270"/>
      <c r="Y263" s="270"/>
      <c r="Z263" s="270"/>
      <c r="AA263" s="270"/>
    </row>
    <row r="264" spans="3:27" x14ac:dyDescent="0.3">
      <c r="C264" s="450"/>
      <c r="D264" s="182"/>
      <c r="E264" s="182"/>
      <c r="F264" s="182"/>
      <c r="G264" s="450" t="str">
        <f t="shared" si="9"/>
        <v>--</v>
      </c>
      <c r="H264" s="182"/>
      <c r="I264" s="440"/>
      <c r="J264" s="182"/>
      <c r="K264" s="181"/>
      <c r="L264" s="181"/>
      <c r="M264" s="181"/>
      <c r="N264" s="892"/>
      <c r="O264" s="892"/>
      <c r="P264" s="262"/>
      <c r="Q264" s="114"/>
      <c r="R264" s="114"/>
      <c r="S264" s="114"/>
      <c r="T264" s="114"/>
      <c r="U264" s="114"/>
      <c r="V264" s="114"/>
      <c r="W264" s="270"/>
      <c r="X264" s="270"/>
      <c r="Y264" s="270"/>
      <c r="Z264" s="270"/>
      <c r="AA264" s="270"/>
    </row>
    <row r="265" spans="3:27" ht="15" thickBot="1" x14ac:dyDescent="0.35">
      <c r="C265" s="450"/>
      <c r="D265" s="182"/>
      <c r="E265" s="182"/>
      <c r="F265" s="182"/>
      <c r="G265" s="450" t="str">
        <f t="shared" si="9"/>
        <v>--</v>
      </c>
      <c r="H265" s="182"/>
      <c r="I265" s="892"/>
      <c r="J265" s="892"/>
      <c r="K265" s="182"/>
      <c r="L265" s="182"/>
      <c r="M265" s="870" t="s">
        <v>155</v>
      </c>
      <c r="N265" s="870" t="s">
        <v>188</v>
      </c>
      <c r="O265" s="870"/>
      <c r="P265" s="265" t="s">
        <v>33</v>
      </c>
      <c r="Q265" s="871" t="s">
        <v>155</v>
      </c>
      <c r="R265" s="872" t="s">
        <v>168</v>
      </c>
      <c r="S265" s="872" t="s">
        <v>169</v>
      </c>
      <c r="T265" s="872" t="s">
        <v>170</v>
      </c>
      <c r="U265" s="872" t="s">
        <v>171</v>
      </c>
      <c r="V265" s="902"/>
      <c r="W265" s="902"/>
      <c r="X265" s="874"/>
      <c r="Y265" s="270"/>
      <c r="Z265" s="270"/>
      <c r="AA265" s="270"/>
    </row>
    <row r="266" spans="3:27" ht="15" thickBot="1" x14ac:dyDescent="0.35">
      <c r="C266" s="566" t="s">
        <v>86</v>
      </c>
      <c r="D266" s="875" t="str">
        <f>VLOOKUP(C266,'Airport Mapping'!$C$5:$D$39,2,FALSE)</f>
        <v xml:space="preserve"> </v>
      </c>
      <c r="E266" s="567" t="s">
        <v>37</v>
      </c>
      <c r="F266" s="567" t="s">
        <v>33</v>
      </c>
      <c r="G266" s="450" t="str">
        <f t="shared" si="9"/>
        <v>Terminal C-Restrooms-Faucets</v>
      </c>
      <c r="H266" s="567" t="s">
        <v>3</v>
      </c>
      <c r="I266" s="877" t="s">
        <v>64</v>
      </c>
      <c r="J266" s="878">
        <f>SUMIFS('Level of Efficiency Assumptions'!J:J,'Level of Efficiency Assumptions'!D:D,E266,'Level of Efficiency Assumptions'!F:F,F266,'Level of Efficiency Assumptions'!I:I,I266)</f>
        <v>2</v>
      </c>
      <c r="K266" s="383" t="s">
        <v>78</v>
      </c>
      <c r="L266" s="253" t="s">
        <v>64</v>
      </c>
      <c r="M266" s="879">
        <f>Q266+Q267</f>
        <v>0</v>
      </c>
      <c r="N266" s="880">
        <f>IFERROR(M266/M269,"-")</f>
        <v>0</v>
      </c>
      <c r="O266" s="881">
        <f>SUMIFS('Data Entry'!R:R,'Data Entry'!K:K,G266)</f>
        <v>0</v>
      </c>
      <c r="P266" s="266" t="s">
        <v>180</v>
      </c>
      <c r="Q266" s="895">
        <v>0</v>
      </c>
      <c r="R266" s="883"/>
      <c r="S266" s="883"/>
      <c r="T266" s="883"/>
      <c r="U266" s="883"/>
      <c r="V266" s="114" t="s">
        <v>182</v>
      </c>
      <c r="W266" s="114"/>
      <c r="X266" s="884"/>
      <c r="Y266" s="270"/>
      <c r="Z266" s="270"/>
      <c r="AA266" s="270"/>
    </row>
    <row r="267" spans="3:27" ht="15" thickBot="1" x14ac:dyDescent="0.35">
      <c r="C267" s="494" t="s">
        <v>86</v>
      </c>
      <c r="D267" s="577"/>
      <c r="E267" s="577" t="s">
        <v>37</v>
      </c>
      <c r="F267" s="577" t="s">
        <v>33</v>
      </c>
      <c r="G267" s="450" t="str">
        <f t="shared" si="9"/>
        <v>Terminal C-Restrooms-Faucets</v>
      </c>
      <c r="H267" s="577"/>
      <c r="I267" s="887" t="s">
        <v>65</v>
      </c>
      <c r="J267" s="878">
        <f>SUMIFS('Level of Efficiency Assumptions'!J:J,'Level of Efficiency Assumptions'!D:D,E267,'Level of Efficiency Assumptions'!F:F,F267,'Level of Efficiency Assumptions'!I:I,I267)</f>
        <v>1</v>
      </c>
      <c r="K267" s="383" t="s">
        <v>78</v>
      </c>
      <c r="L267" s="255" t="s">
        <v>65</v>
      </c>
      <c r="M267" s="879">
        <f>Q268+Q269</f>
        <v>1</v>
      </c>
      <c r="N267" s="880">
        <f>IFERROR(M267/M269,"-")</f>
        <v>1</v>
      </c>
      <c r="O267" s="881">
        <f>SUMIFS('Data Entry'!S:S,'Data Entry'!K:K,G267)</f>
        <v>0</v>
      </c>
      <c r="P267" s="266" t="s">
        <v>178</v>
      </c>
      <c r="Q267" s="895">
        <v>0</v>
      </c>
      <c r="R267" s="883"/>
      <c r="S267" s="883"/>
      <c r="T267" s="883"/>
      <c r="U267" s="883"/>
      <c r="V267" s="114" t="s">
        <v>184</v>
      </c>
      <c r="W267" s="114"/>
      <c r="X267" s="884"/>
      <c r="Y267" s="270"/>
      <c r="Z267" s="270"/>
      <c r="AA267" s="270"/>
    </row>
    <row r="268" spans="3:27" ht="15" thickBot="1" x14ac:dyDescent="0.35">
      <c r="C268" s="501" t="s">
        <v>86</v>
      </c>
      <c r="D268" s="116"/>
      <c r="E268" s="116" t="s">
        <v>37</v>
      </c>
      <c r="F268" s="116" t="s">
        <v>33</v>
      </c>
      <c r="G268" s="450" t="str">
        <f t="shared" si="9"/>
        <v>Terminal C-Restrooms-Faucets</v>
      </c>
      <c r="H268" s="116"/>
      <c r="I268" s="889" t="s">
        <v>66</v>
      </c>
      <c r="J268" s="890">
        <f>SUMIFS('Level of Efficiency Assumptions'!J:J,'Level of Efficiency Assumptions'!D:D,E268,'Level of Efficiency Assumptions'!F:F,F268,'Level of Efficiency Assumptions'!I:I,I268)</f>
        <v>0.5</v>
      </c>
      <c r="K268" s="383" t="s">
        <v>78</v>
      </c>
      <c r="L268" s="257" t="s">
        <v>66</v>
      </c>
      <c r="M268" s="879">
        <f>Q270</f>
        <v>0</v>
      </c>
      <c r="N268" s="880">
        <f>IFERROR(M268/M269,"-")</f>
        <v>0</v>
      </c>
      <c r="O268" s="881">
        <f>SUMIFS('Data Entry'!T:T,'Data Entry'!K:K,G268)</f>
        <v>0</v>
      </c>
      <c r="P268" s="267" t="s">
        <v>176</v>
      </c>
      <c r="Q268" s="895">
        <v>1</v>
      </c>
      <c r="R268" s="883"/>
      <c r="S268" s="883"/>
      <c r="T268" s="883"/>
      <c r="U268" s="883"/>
      <c r="V268" s="114" t="s">
        <v>185</v>
      </c>
      <c r="W268" s="114"/>
      <c r="X268" s="884"/>
      <c r="Y268" s="270"/>
      <c r="Z268" s="270"/>
      <c r="AA268" s="270"/>
    </row>
    <row r="269" spans="3:27" x14ac:dyDescent="0.3">
      <c r="C269" s="450"/>
      <c r="D269" s="182"/>
      <c r="E269" s="182"/>
      <c r="F269" s="182"/>
      <c r="G269" s="450" t="str">
        <f t="shared" si="9"/>
        <v>--</v>
      </c>
      <c r="H269" s="182"/>
      <c r="I269" s="440"/>
      <c r="J269" s="892"/>
      <c r="K269" s="259"/>
      <c r="L269" s="259" t="s">
        <v>46</v>
      </c>
      <c r="M269" s="893">
        <f>SUM(M266:M268)</f>
        <v>1</v>
      </c>
      <c r="N269" s="894"/>
      <c r="O269" s="894">
        <f>SUM(O266:O268)</f>
        <v>0</v>
      </c>
      <c r="P269" s="256" t="s">
        <v>173</v>
      </c>
      <c r="Q269" s="895">
        <v>0</v>
      </c>
      <c r="R269" s="883"/>
      <c r="S269" s="883"/>
      <c r="T269" s="883"/>
      <c r="U269" s="883"/>
      <c r="V269" s="114" t="s">
        <v>186</v>
      </c>
      <c r="W269" s="114"/>
      <c r="X269" s="884"/>
      <c r="Y269" s="270"/>
      <c r="Z269" s="270"/>
      <c r="AA269" s="270"/>
    </row>
    <row r="270" spans="3:27" x14ac:dyDescent="0.3">
      <c r="C270" s="450"/>
      <c r="D270" s="182"/>
      <c r="E270" s="182"/>
      <c r="F270" s="182"/>
      <c r="G270" s="450" t="str">
        <f t="shared" si="9"/>
        <v>--</v>
      </c>
      <c r="H270" s="182"/>
      <c r="I270" s="440"/>
      <c r="J270" s="182"/>
      <c r="K270" s="181"/>
      <c r="L270" s="114"/>
      <c r="M270" s="114"/>
      <c r="N270" s="905"/>
      <c r="O270" s="905"/>
      <c r="P270" s="258" t="s">
        <v>172</v>
      </c>
      <c r="Q270" s="895">
        <v>0</v>
      </c>
      <c r="R270" s="883"/>
      <c r="S270" s="883"/>
      <c r="T270" s="883"/>
      <c r="U270" s="883"/>
      <c r="V270" s="114"/>
      <c r="W270" s="114"/>
      <c r="X270" s="884"/>
      <c r="Y270" s="270"/>
      <c r="Z270" s="270"/>
      <c r="AA270" s="270"/>
    </row>
    <row r="271" spans="3:27" x14ac:dyDescent="0.3">
      <c r="C271" s="450"/>
      <c r="D271" s="182"/>
      <c r="E271" s="182"/>
      <c r="F271" s="182"/>
      <c r="G271" s="450" t="str">
        <f t="shared" si="9"/>
        <v>--</v>
      </c>
      <c r="H271" s="182"/>
      <c r="I271" s="440"/>
      <c r="J271" s="182"/>
      <c r="K271" s="181"/>
      <c r="L271" s="181"/>
      <c r="M271" s="181"/>
      <c r="N271" s="892"/>
      <c r="O271" s="892"/>
      <c r="P271" s="263" t="s">
        <v>46</v>
      </c>
      <c r="Q271" s="897">
        <f>SUM(Q265:Q270)</f>
        <v>1</v>
      </c>
      <c r="R271" s="899"/>
      <c r="S271" s="899"/>
      <c r="T271" s="899"/>
      <c r="U271" s="899"/>
      <c r="V271" s="899"/>
      <c r="W271" s="899"/>
      <c r="X271" s="900"/>
      <c r="Y271" s="270"/>
      <c r="Z271" s="270"/>
      <c r="AA271" s="270"/>
    </row>
    <row r="272" spans="3:27" x14ac:dyDescent="0.3">
      <c r="C272" s="450"/>
      <c r="D272" s="182"/>
      <c r="E272" s="182"/>
      <c r="F272" s="182"/>
      <c r="G272" s="450" t="str">
        <f t="shared" si="9"/>
        <v>--</v>
      </c>
      <c r="H272" s="182"/>
      <c r="I272" s="440"/>
      <c r="J272" s="182"/>
      <c r="K272" s="181"/>
      <c r="L272" s="181"/>
      <c r="M272" s="181"/>
      <c r="N272" s="892"/>
      <c r="O272" s="892"/>
      <c r="P272" s="262"/>
      <c r="Q272" s="114"/>
      <c r="R272" s="114"/>
      <c r="S272" s="114"/>
      <c r="T272" s="114"/>
      <c r="U272" s="114"/>
      <c r="V272" s="114"/>
      <c r="W272" s="270"/>
      <c r="X272" s="270"/>
      <c r="Y272" s="270"/>
      <c r="Z272" s="270"/>
      <c r="AA272" s="270"/>
    </row>
    <row r="273" spans="3:27" ht="15" thickBot="1" x14ac:dyDescent="0.35">
      <c r="C273" s="450"/>
      <c r="D273" s="182"/>
      <c r="E273" s="182"/>
      <c r="F273" s="182"/>
      <c r="G273" s="450" t="str">
        <f t="shared" si="9"/>
        <v>--</v>
      </c>
      <c r="H273" s="182"/>
      <c r="I273" s="892"/>
      <c r="J273" s="892"/>
      <c r="K273" s="182"/>
      <c r="L273" s="182"/>
      <c r="M273" s="870" t="s">
        <v>155</v>
      </c>
      <c r="N273" s="870" t="s">
        <v>188</v>
      </c>
      <c r="O273" s="870"/>
      <c r="P273" s="265" t="s">
        <v>33</v>
      </c>
      <c r="Q273" s="871" t="s">
        <v>155</v>
      </c>
      <c r="R273" s="872" t="s">
        <v>168</v>
      </c>
      <c r="S273" s="872" t="s">
        <v>169</v>
      </c>
      <c r="T273" s="872" t="s">
        <v>170</v>
      </c>
      <c r="U273" s="872" t="s">
        <v>171</v>
      </c>
      <c r="V273" s="902"/>
      <c r="W273" s="902"/>
      <c r="X273" s="874"/>
      <c r="Y273" s="270"/>
      <c r="Z273" s="270"/>
      <c r="AA273" s="270"/>
    </row>
    <row r="274" spans="3:27" ht="15" thickBot="1" x14ac:dyDescent="0.35">
      <c r="C274" s="566" t="s">
        <v>86</v>
      </c>
      <c r="D274" s="875" t="str">
        <f>VLOOKUP(C274,'Airport Mapping'!$C$5:$D$39,2,FALSE)</f>
        <v xml:space="preserve"> </v>
      </c>
      <c r="E274" s="567" t="s">
        <v>38</v>
      </c>
      <c r="F274" s="567" t="s">
        <v>114</v>
      </c>
      <c r="G274" s="450" t="str">
        <f t="shared" si="9"/>
        <v>Terminal C-Food Service-Kitchen faucets</v>
      </c>
      <c r="H274" s="567" t="s">
        <v>19</v>
      </c>
      <c r="I274" s="877" t="s">
        <v>64</v>
      </c>
      <c r="J274" s="878">
        <f>SUMIFS('Level of Efficiency Assumptions'!J:J,'Level of Efficiency Assumptions'!D:D,E274,'Level of Efficiency Assumptions'!F:F,F274,'Level of Efficiency Assumptions'!I:I,I274)</f>
        <v>2</v>
      </c>
      <c r="K274" s="383" t="s">
        <v>78</v>
      </c>
      <c r="L274" s="253" t="s">
        <v>64</v>
      </c>
      <c r="M274" s="879">
        <f>Q274+Q275</f>
        <v>0</v>
      </c>
      <c r="N274" s="880">
        <f>IFERROR(M274/M277,"-")</f>
        <v>0</v>
      </c>
      <c r="O274" s="881">
        <f>SUMIFS('Data Entry'!R:R,'Data Entry'!K:K,G274)</f>
        <v>0</v>
      </c>
      <c r="P274" s="266" t="s">
        <v>180</v>
      </c>
      <c r="Q274" s="895">
        <v>0</v>
      </c>
      <c r="R274" s="883"/>
      <c r="S274" s="883"/>
      <c r="T274" s="883"/>
      <c r="U274" s="883"/>
      <c r="V274" s="114" t="s">
        <v>182</v>
      </c>
      <c r="W274" s="114"/>
      <c r="X274" s="884"/>
      <c r="Y274" s="270"/>
      <c r="Z274" s="270"/>
      <c r="AA274" s="270"/>
    </row>
    <row r="275" spans="3:27" ht="15" thickBot="1" x14ac:dyDescent="0.35">
      <c r="C275" s="494" t="s">
        <v>86</v>
      </c>
      <c r="D275" s="577"/>
      <c r="E275" s="577" t="s">
        <v>38</v>
      </c>
      <c r="F275" s="577" t="s">
        <v>114</v>
      </c>
      <c r="G275" s="450" t="str">
        <f t="shared" si="9"/>
        <v>Terminal C-Food Service-Kitchen faucets</v>
      </c>
      <c r="H275" s="577"/>
      <c r="I275" s="887" t="s">
        <v>65</v>
      </c>
      <c r="J275" s="878">
        <f>SUMIFS('Level of Efficiency Assumptions'!J:J,'Level of Efficiency Assumptions'!D:D,E275,'Level of Efficiency Assumptions'!F:F,F275,'Level of Efficiency Assumptions'!I:I,I275)</f>
        <v>1</v>
      </c>
      <c r="K275" s="383" t="s">
        <v>78</v>
      </c>
      <c r="L275" s="255" t="s">
        <v>65</v>
      </c>
      <c r="M275" s="879">
        <f>Q276+Q277</f>
        <v>1</v>
      </c>
      <c r="N275" s="880">
        <f>IFERROR(M275/M277,"-")</f>
        <v>1</v>
      </c>
      <c r="O275" s="881">
        <f>SUMIFS('Data Entry'!S:S,'Data Entry'!K:K,G275)</f>
        <v>0</v>
      </c>
      <c r="P275" s="266" t="s">
        <v>178</v>
      </c>
      <c r="Q275" s="895">
        <v>0</v>
      </c>
      <c r="R275" s="883"/>
      <c r="S275" s="883"/>
      <c r="T275" s="883"/>
      <c r="U275" s="883"/>
      <c r="V275" s="114" t="s">
        <v>184</v>
      </c>
      <c r="W275" s="114"/>
      <c r="X275" s="884"/>
      <c r="Y275" s="270"/>
      <c r="Z275" s="270"/>
      <c r="AA275" s="270"/>
    </row>
    <row r="276" spans="3:27" ht="15" thickBot="1" x14ac:dyDescent="0.35">
      <c r="C276" s="501" t="s">
        <v>86</v>
      </c>
      <c r="D276" s="116"/>
      <c r="E276" s="116" t="s">
        <v>38</v>
      </c>
      <c r="F276" s="116" t="s">
        <v>114</v>
      </c>
      <c r="G276" s="450" t="str">
        <f t="shared" si="9"/>
        <v>Terminal C-Food Service-Kitchen faucets</v>
      </c>
      <c r="H276" s="116"/>
      <c r="I276" s="889" t="s">
        <v>66</v>
      </c>
      <c r="J276" s="890">
        <f>SUMIFS('Level of Efficiency Assumptions'!J:J,'Level of Efficiency Assumptions'!D:D,E276,'Level of Efficiency Assumptions'!F:F,F276,'Level of Efficiency Assumptions'!I:I,I276)</f>
        <v>0.5</v>
      </c>
      <c r="K276" s="383" t="s">
        <v>78</v>
      </c>
      <c r="L276" s="257" t="s">
        <v>66</v>
      </c>
      <c r="M276" s="879">
        <f>Q278</f>
        <v>0</v>
      </c>
      <c r="N276" s="880">
        <f>IFERROR(M276/M277,"-")</f>
        <v>0</v>
      </c>
      <c r="O276" s="881">
        <f>SUMIFS('Data Entry'!T:T,'Data Entry'!K:K,G276)</f>
        <v>0</v>
      </c>
      <c r="P276" s="267" t="s">
        <v>176</v>
      </c>
      <c r="Q276" s="895">
        <v>1</v>
      </c>
      <c r="R276" s="883"/>
      <c r="S276" s="883"/>
      <c r="T276" s="883"/>
      <c r="U276" s="883"/>
      <c r="V276" s="114" t="s">
        <v>185</v>
      </c>
      <c r="W276" s="114"/>
      <c r="X276" s="884"/>
      <c r="Y276" s="270"/>
      <c r="Z276" s="270"/>
      <c r="AA276" s="270"/>
    </row>
    <row r="277" spans="3:27" x14ac:dyDescent="0.3">
      <c r="C277" s="450"/>
      <c r="D277" s="182"/>
      <c r="E277" s="182"/>
      <c r="F277" s="182"/>
      <c r="G277" s="450" t="str">
        <f t="shared" si="9"/>
        <v>--</v>
      </c>
      <c r="H277" s="182"/>
      <c r="I277" s="440"/>
      <c r="J277" s="892"/>
      <c r="K277" s="259"/>
      <c r="L277" s="259" t="s">
        <v>46</v>
      </c>
      <c r="M277" s="893">
        <f>SUM(M274:M276)</f>
        <v>1</v>
      </c>
      <c r="N277" s="894"/>
      <c r="O277" s="894">
        <f>SUM(O274:O276)</f>
        <v>0</v>
      </c>
      <c r="P277" s="256" t="s">
        <v>173</v>
      </c>
      <c r="Q277" s="895">
        <v>0</v>
      </c>
      <c r="R277" s="883"/>
      <c r="S277" s="883"/>
      <c r="T277" s="883"/>
      <c r="U277" s="883"/>
      <c r="V277" s="114" t="s">
        <v>186</v>
      </c>
      <c r="W277" s="114"/>
      <c r="X277" s="884"/>
      <c r="Y277" s="270"/>
      <c r="Z277" s="270"/>
      <c r="AA277" s="270"/>
    </row>
    <row r="278" spans="3:27" x14ac:dyDescent="0.3">
      <c r="C278" s="450"/>
      <c r="D278" s="182"/>
      <c r="E278" s="182"/>
      <c r="F278" s="182"/>
      <c r="G278" s="450" t="str">
        <f t="shared" si="9"/>
        <v>--</v>
      </c>
      <c r="H278" s="182"/>
      <c r="I278" s="892"/>
      <c r="J278" s="892"/>
      <c r="K278" s="182"/>
      <c r="L278" s="182"/>
      <c r="M278" s="270"/>
      <c r="N278" s="892"/>
      <c r="O278" s="892"/>
      <c r="P278" s="258" t="s">
        <v>172</v>
      </c>
      <c r="Q278" s="895">
        <v>0</v>
      </c>
      <c r="R278" s="883"/>
      <c r="S278" s="883"/>
      <c r="T278" s="883"/>
      <c r="U278" s="883"/>
      <c r="V278" s="114"/>
      <c r="W278" s="114"/>
      <c r="X278" s="884"/>
      <c r="Y278" s="270"/>
      <c r="Z278" s="270"/>
      <c r="AA278" s="270"/>
    </row>
    <row r="279" spans="3:27" x14ac:dyDescent="0.3">
      <c r="C279" s="450"/>
      <c r="D279" s="182"/>
      <c r="E279" s="182"/>
      <c r="F279" s="182"/>
      <c r="G279" s="450" t="str">
        <f t="shared" si="9"/>
        <v>--</v>
      </c>
      <c r="H279" s="182"/>
      <c r="I279" s="892"/>
      <c r="J279" s="892"/>
      <c r="K279" s="182"/>
      <c r="L279" s="182"/>
      <c r="M279" s="270"/>
      <c r="N279" s="892"/>
      <c r="O279" s="892"/>
      <c r="P279" s="263" t="s">
        <v>46</v>
      </c>
      <c r="Q279" s="897">
        <f>SUM(Q273:Q278)</f>
        <v>1</v>
      </c>
      <c r="R279" s="899"/>
      <c r="S279" s="899"/>
      <c r="T279" s="899"/>
      <c r="U279" s="899"/>
      <c r="V279" s="899"/>
      <c r="W279" s="899"/>
      <c r="X279" s="900"/>
      <c r="Y279" s="270"/>
      <c r="Z279" s="270"/>
      <c r="AA279" s="270"/>
    </row>
    <row r="280" spans="3:27" x14ac:dyDescent="0.3">
      <c r="C280" s="450"/>
      <c r="D280" s="182"/>
      <c r="E280" s="182"/>
      <c r="F280" s="182"/>
      <c r="G280" s="450" t="str">
        <f t="shared" si="9"/>
        <v>--</v>
      </c>
      <c r="H280" s="182"/>
      <c r="I280" s="892"/>
      <c r="J280" s="892"/>
      <c r="K280" s="182"/>
      <c r="L280" s="182"/>
      <c r="M280" s="270"/>
      <c r="N280" s="892"/>
      <c r="O280" s="892"/>
      <c r="P280" s="259"/>
      <c r="Q280" s="114"/>
      <c r="R280" s="114"/>
      <c r="S280" s="114"/>
      <c r="T280" s="114"/>
      <c r="U280" s="114"/>
      <c r="V280" s="114"/>
      <c r="W280" s="270"/>
      <c r="X280" s="270"/>
      <c r="Y280" s="270"/>
      <c r="Z280" s="270"/>
      <c r="AA280" s="270"/>
    </row>
    <row r="281" spans="3:27" ht="15" thickBot="1" x14ac:dyDescent="0.35">
      <c r="C281" s="450"/>
      <c r="D281" s="182"/>
      <c r="E281" s="182"/>
      <c r="F281" s="182"/>
      <c r="G281" s="450" t="str">
        <f t="shared" si="9"/>
        <v>--</v>
      </c>
      <c r="H281" s="182"/>
      <c r="I281" s="892"/>
      <c r="J281" s="892"/>
      <c r="K281" s="182"/>
      <c r="L281" s="182"/>
      <c r="M281" s="870" t="s">
        <v>155</v>
      </c>
      <c r="N281" s="870" t="s">
        <v>188</v>
      </c>
      <c r="O281" s="870"/>
      <c r="P281" s="268" t="s">
        <v>157</v>
      </c>
      <c r="Q281" s="871" t="s">
        <v>155</v>
      </c>
      <c r="R281" s="874"/>
      <c r="S281" s="114"/>
      <c r="T281" s="270"/>
      <c r="U281" s="270"/>
      <c r="V281" s="270"/>
      <c r="W281" s="114"/>
      <c r="X281" s="270"/>
      <c r="Y281" s="270"/>
      <c r="Z281" s="270"/>
      <c r="AA281" s="270"/>
    </row>
    <row r="282" spans="3:27" ht="15" thickBot="1" x14ac:dyDescent="0.35">
      <c r="C282" s="566" t="s">
        <v>86</v>
      </c>
      <c r="D282" s="875" t="str">
        <f>VLOOKUP(C282,'Airport Mapping'!$C$5:$D$39,2,FALSE)</f>
        <v xml:space="preserve"> </v>
      </c>
      <c r="E282" s="567" t="s">
        <v>38</v>
      </c>
      <c r="F282" s="567" t="s">
        <v>127</v>
      </c>
      <c r="G282" s="450" t="str">
        <f t="shared" si="9"/>
        <v>Terminal C-Food Service-Pre-rinse spray valves</v>
      </c>
      <c r="H282" s="567" t="s">
        <v>19</v>
      </c>
      <c r="I282" s="877" t="s">
        <v>64</v>
      </c>
      <c r="J282" s="878">
        <f>SUMIFS('Level of Efficiency Assumptions'!J:J,'Level of Efficiency Assumptions'!D:D,E282,'Level of Efficiency Assumptions'!F:F,F282,'Level of Efficiency Assumptions'!I:I,I282)</f>
        <v>3</v>
      </c>
      <c r="K282" s="383" t="s">
        <v>78</v>
      </c>
      <c r="L282" s="253" t="s">
        <v>64</v>
      </c>
      <c r="M282" s="879">
        <f>Q282+Q283</f>
        <v>0</v>
      </c>
      <c r="N282" s="880">
        <f>IFERROR(M282/M285,"-")</f>
        <v>0</v>
      </c>
      <c r="O282" s="881">
        <f>SUMIFS('Data Entry'!R:R,'Data Entry'!K:K,G282)</f>
        <v>0</v>
      </c>
      <c r="P282" s="266" t="s">
        <v>191</v>
      </c>
      <c r="Q282" s="895">
        <v>0</v>
      </c>
      <c r="R282" s="884"/>
      <c r="S282" s="114"/>
      <c r="T282" s="270"/>
      <c r="U282" s="270"/>
      <c r="V282" s="270"/>
      <c r="W282" s="114"/>
      <c r="X282" s="270"/>
      <c r="Y282" s="270"/>
      <c r="Z282" s="270"/>
      <c r="AA282" s="270"/>
    </row>
    <row r="283" spans="3:27" ht="15" thickBot="1" x14ac:dyDescent="0.35">
      <c r="C283" s="494" t="s">
        <v>86</v>
      </c>
      <c r="D283" s="577"/>
      <c r="E283" s="577" t="s">
        <v>38</v>
      </c>
      <c r="F283" s="577" t="s">
        <v>127</v>
      </c>
      <c r="G283" s="450" t="str">
        <f t="shared" si="9"/>
        <v>Terminal C-Food Service-Pre-rinse spray valves</v>
      </c>
      <c r="H283" s="577"/>
      <c r="I283" s="887" t="s">
        <v>65</v>
      </c>
      <c r="J283" s="878">
        <f>SUMIFS('Level of Efficiency Assumptions'!J:J,'Level of Efficiency Assumptions'!D:D,E283,'Level of Efficiency Assumptions'!F:F,F283,'Level of Efficiency Assumptions'!I:I,I283)</f>
        <v>2</v>
      </c>
      <c r="K283" s="383" t="s">
        <v>78</v>
      </c>
      <c r="L283" s="255" t="s">
        <v>65</v>
      </c>
      <c r="M283" s="879">
        <f>Q284+Q285</f>
        <v>1</v>
      </c>
      <c r="N283" s="880">
        <f>IFERROR(M283/M285,"-")</f>
        <v>1</v>
      </c>
      <c r="O283" s="881">
        <f>SUMIFS('Data Entry'!S:S,'Data Entry'!K:K,G283)</f>
        <v>0</v>
      </c>
      <c r="P283" s="266" t="s">
        <v>192</v>
      </c>
      <c r="Q283" s="895">
        <v>0</v>
      </c>
      <c r="R283" s="884"/>
      <c r="S283" s="114"/>
      <c r="T283" s="270"/>
      <c r="U283" s="270"/>
      <c r="V283" s="270"/>
      <c r="W283" s="114"/>
      <c r="X283" s="270"/>
      <c r="Y283" s="270"/>
      <c r="Z283" s="270"/>
      <c r="AA283" s="270"/>
    </row>
    <row r="284" spans="3:27" ht="15" thickBot="1" x14ac:dyDescent="0.35">
      <c r="C284" s="501" t="s">
        <v>86</v>
      </c>
      <c r="D284" s="116"/>
      <c r="E284" s="116" t="s">
        <v>38</v>
      </c>
      <c r="F284" s="116" t="s">
        <v>127</v>
      </c>
      <c r="G284" s="450" t="str">
        <f t="shared" si="9"/>
        <v>Terminal C-Food Service-Pre-rinse spray valves</v>
      </c>
      <c r="H284" s="116"/>
      <c r="I284" s="889" t="s">
        <v>66</v>
      </c>
      <c r="J284" s="890">
        <f>SUMIFS('Level of Efficiency Assumptions'!J:J,'Level of Efficiency Assumptions'!D:D,E284,'Level of Efficiency Assumptions'!F:F,F284,'Level of Efficiency Assumptions'!I:I,I284)</f>
        <v>1.28</v>
      </c>
      <c r="K284" s="383" t="s">
        <v>78</v>
      </c>
      <c r="L284" s="257" t="s">
        <v>66</v>
      </c>
      <c r="M284" s="879">
        <f>Q286</f>
        <v>0</v>
      </c>
      <c r="N284" s="880">
        <f>IFERROR(M284/M285,"-")</f>
        <v>0</v>
      </c>
      <c r="O284" s="881">
        <f>SUMIFS('Data Entry'!T:T,'Data Entry'!K:K,G284)</f>
        <v>0</v>
      </c>
      <c r="P284" s="267" t="s">
        <v>193</v>
      </c>
      <c r="Q284" s="895">
        <v>0</v>
      </c>
      <c r="R284" s="884"/>
      <c r="S284" s="114"/>
      <c r="T284" s="270"/>
      <c r="U284" s="270"/>
      <c r="V284" s="270"/>
      <c r="W284" s="114"/>
      <c r="X284" s="270"/>
      <c r="Y284" s="270"/>
      <c r="Z284" s="270"/>
      <c r="AA284" s="270"/>
    </row>
    <row r="285" spans="3:27" x14ac:dyDescent="0.3">
      <c r="C285" s="450"/>
      <c r="D285" s="182"/>
      <c r="E285" s="182"/>
      <c r="F285" s="182"/>
      <c r="G285" s="450" t="str">
        <f t="shared" si="9"/>
        <v>--</v>
      </c>
      <c r="H285" s="182"/>
      <c r="I285" s="440"/>
      <c r="J285" s="892"/>
      <c r="K285" s="259"/>
      <c r="L285" s="259" t="s">
        <v>46</v>
      </c>
      <c r="M285" s="893">
        <f>SUM(M282:M284)</f>
        <v>1</v>
      </c>
      <c r="N285" s="894"/>
      <c r="O285" s="894">
        <f>SUM(O282:O284)</f>
        <v>0</v>
      </c>
      <c r="P285" s="267" t="s">
        <v>194</v>
      </c>
      <c r="Q285" s="895">
        <v>1</v>
      </c>
      <c r="R285" s="884"/>
      <c r="S285" s="114"/>
      <c r="T285" s="270"/>
      <c r="U285" s="270"/>
      <c r="V285" s="270"/>
      <c r="W285" s="114"/>
      <c r="X285" s="270"/>
      <c r="Y285" s="270"/>
      <c r="Z285" s="270"/>
      <c r="AA285" s="270"/>
    </row>
    <row r="286" spans="3:27" x14ac:dyDescent="0.3">
      <c r="C286" s="224"/>
      <c r="D286" s="211"/>
      <c r="E286" s="182"/>
      <c r="F286" s="182"/>
      <c r="G286" s="450" t="str">
        <f t="shared" si="9"/>
        <v>--</v>
      </c>
      <c r="H286" s="182"/>
      <c r="I286" s="892"/>
      <c r="J286" s="892"/>
      <c r="K286" s="182"/>
      <c r="L286" s="182"/>
      <c r="M286" s="270"/>
      <c r="N286" s="892"/>
      <c r="O286" s="892"/>
      <c r="P286" s="269" t="s">
        <v>195</v>
      </c>
      <c r="Q286" s="895">
        <v>0</v>
      </c>
      <c r="R286" s="884"/>
      <c r="S286" s="114"/>
      <c r="T286" s="114"/>
      <c r="U286" s="114"/>
      <c r="V286" s="114"/>
      <c r="W286" s="114"/>
      <c r="X286" s="270"/>
      <c r="Y286" s="270"/>
      <c r="Z286" s="270"/>
      <c r="AA286" s="270"/>
    </row>
    <row r="287" spans="3:27" x14ac:dyDescent="0.3">
      <c r="C287" s="224"/>
      <c r="D287" s="211"/>
      <c r="E287" s="182"/>
      <c r="F287" s="182"/>
      <c r="G287" s="450" t="str">
        <f t="shared" si="9"/>
        <v>--</v>
      </c>
      <c r="H287" s="182"/>
      <c r="I287" s="892"/>
      <c r="J287" s="892"/>
      <c r="K287" s="182"/>
      <c r="L287" s="182"/>
      <c r="M287" s="270"/>
      <c r="N287" s="892"/>
      <c r="O287" s="892"/>
      <c r="P287" s="263" t="s">
        <v>46</v>
      </c>
      <c r="Q287" s="897">
        <f>SUM(Q282:Q286)</f>
        <v>1</v>
      </c>
      <c r="R287" s="900"/>
      <c r="S287" s="114"/>
      <c r="T287" s="114"/>
      <c r="U287" s="114"/>
      <c r="V287" s="114"/>
      <c r="W287" s="114"/>
      <c r="X287" s="270"/>
      <c r="Y287" s="270"/>
      <c r="Z287" s="270"/>
      <c r="AA287" s="270"/>
    </row>
    <row r="288" spans="3:27" x14ac:dyDescent="0.3">
      <c r="C288" s="224"/>
      <c r="D288" s="211"/>
      <c r="E288" s="182"/>
      <c r="F288" s="182"/>
      <c r="G288" s="450" t="str">
        <f t="shared" si="9"/>
        <v>--</v>
      </c>
      <c r="H288" s="182"/>
      <c r="I288" s="892"/>
      <c r="J288" s="892"/>
      <c r="K288" s="182"/>
      <c r="L288" s="182"/>
      <c r="M288" s="270"/>
      <c r="N288" s="892"/>
      <c r="O288" s="892"/>
      <c r="P288" s="270"/>
      <c r="Q288" s="270"/>
      <c r="R288" s="270"/>
      <c r="S288" s="270"/>
      <c r="T288" s="270"/>
      <c r="U288" s="270"/>
      <c r="V288" s="270"/>
      <c r="W288" s="270"/>
      <c r="X288" s="270"/>
      <c r="Y288" s="270"/>
      <c r="Z288" s="270"/>
      <c r="AA288" s="270"/>
    </row>
    <row r="289" spans="3:27" ht="15" thickBot="1" x14ac:dyDescent="0.35">
      <c r="C289" s="224"/>
      <c r="D289" s="182"/>
      <c r="E289" s="182"/>
      <c r="F289" s="182"/>
      <c r="G289" s="450" t="str">
        <f t="shared" si="9"/>
        <v>--</v>
      </c>
      <c r="H289" s="182"/>
      <c r="I289" s="892"/>
      <c r="J289" s="892"/>
      <c r="K289" s="182"/>
      <c r="L289" s="182"/>
      <c r="M289" s="870" t="s">
        <v>155</v>
      </c>
      <c r="N289" s="870" t="s">
        <v>188</v>
      </c>
      <c r="O289" s="870"/>
      <c r="P289" s="268" t="s">
        <v>196</v>
      </c>
      <c r="Q289" s="906"/>
      <c r="R289" s="902"/>
      <c r="S289" s="902"/>
      <c r="T289" s="902"/>
      <c r="U289" s="902"/>
      <c r="V289" s="902"/>
      <c r="W289" s="902"/>
      <c r="X289" s="902"/>
      <c r="Y289" s="902"/>
      <c r="Z289" s="902"/>
      <c r="AA289" s="874"/>
    </row>
    <row r="290" spans="3:27" ht="15" thickBot="1" x14ac:dyDescent="0.35">
      <c r="C290" s="566" t="s">
        <v>86</v>
      </c>
      <c r="D290" s="875" t="str">
        <f>VLOOKUP(C290,'Airport Mapping'!$C$5:$D$39,2,FALSE)</f>
        <v xml:space="preserve"> </v>
      </c>
      <c r="E290" s="567" t="s">
        <v>38</v>
      </c>
      <c r="F290" s="567" t="s">
        <v>41</v>
      </c>
      <c r="G290" s="450" t="str">
        <f t="shared" si="9"/>
        <v>Terminal C-Food Service-Dishwashers</v>
      </c>
      <c r="H290" s="567" t="s">
        <v>19</v>
      </c>
      <c r="I290" s="877" t="s">
        <v>64</v>
      </c>
      <c r="J290" s="878">
        <f>SUMIFS('Level of Efficiency Assumptions'!J:J,'Level of Efficiency Assumptions'!D:D,E290,'Level of Efficiency Assumptions'!F:F,F290,'Level of Efficiency Assumptions'!I:I,I290)</f>
        <v>4.5</v>
      </c>
      <c r="K290" s="383" t="s">
        <v>203</v>
      </c>
      <c r="L290" s="253" t="s">
        <v>64</v>
      </c>
      <c r="M290" s="879">
        <f>SUM(Q291:Q293)</f>
        <v>0</v>
      </c>
      <c r="N290" s="880">
        <f>IFERROR(M290/M293,"-")</f>
        <v>0</v>
      </c>
      <c r="O290" s="881">
        <f>SUMIFS('Data Entry'!R:R,'Data Entry'!K:K,G291)</f>
        <v>0</v>
      </c>
      <c r="P290" s="271" t="s">
        <v>203</v>
      </c>
      <c r="Q290" s="871" t="s">
        <v>155</v>
      </c>
      <c r="R290" s="114"/>
      <c r="S290" s="114"/>
      <c r="T290" s="907" t="s">
        <v>156</v>
      </c>
      <c r="U290" s="114"/>
      <c r="V290" s="114"/>
      <c r="W290" s="114"/>
      <c r="X290" s="114"/>
      <c r="Y290" s="114"/>
      <c r="Z290" s="114"/>
      <c r="AA290" s="884"/>
    </row>
    <row r="291" spans="3:27" ht="15" thickBot="1" x14ac:dyDescent="0.35">
      <c r="C291" s="494" t="s">
        <v>86</v>
      </c>
      <c r="D291" s="577"/>
      <c r="E291" s="577" t="s">
        <v>38</v>
      </c>
      <c r="F291" s="577" t="s">
        <v>41</v>
      </c>
      <c r="G291" s="450" t="str">
        <f t="shared" si="9"/>
        <v>Terminal C-Food Service-Dishwashers</v>
      </c>
      <c r="H291" s="577"/>
      <c r="I291" s="887" t="s">
        <v>65</v>
      </c>
      <c r="J291" s="878">
        <f>SUMIFS('Level of Efficiency Assumptions'!J:J,'Level of Efficiency Assumptions'!D:D,E291,'Level of Efficiency Assumptions'!F:F,F291,'Level of Efficiency Assumptions'!I:I,I291)</f>
        <v>2.5</v>
      </c>
      <c r="K291" s="383" t="s">
        <v>203</v>
      </c>
      <c r="L291" s="255" t="s">
        <v>65</v>
      </c>
      <c r="M291" s="879">
        <f>Q294+Q295</f>
        <v>1</v>
      </c>
      <c r="N291" s="880">
        <f>IFERROR(M291/M293,"-")</f>
        <v>1</v>
      </c>
      <c r="O291" s="881">
        <f>SUMIFS('Data Entry'!S:S,'Data Entry'!K:K,G292)</f>
        <v>0</v>
      </c>
      <c r="P291" s="266" t="s">
        <v>204</v>
      </c>
      <c r="Q291" s="895">
        <v>0</v>
      </c>
      <c r="R291" s="114"/>
      <c r="S291" s="905" t="s">
        <v>200</v>
      </c>
      <c r="T291" s="895">
        <v>1</v>
      </c>
      <c r="U291" s="114"/>
      <c r="V291" s="114" t="s">
        <v>218</v>
      </c>
      <c r="W291" s="114"/>
      <c r="X291" s="114"/>
      <c r="Y291" s="114"/>
      <c r="Z291" s="114"/>
      <c r="AA291" s="884"/>
    </row>
    <row r="292" spans="3:27" ht="15" thickBot="1" x14ac:dyDescent="0.35">
      <c r="C292" s="501" t="s">
        <v>86</v>
      </c>
      <c r="D292" s="116"/>
      <c r="E292" s="116" t="s">
        <v>38</v>
      </c>
      <c r="F292" s="116" t="s">
        <v>41</v>
      </c>
      <c r="G292" s="450" t="str">
        <f t="shared" si="9"/>
        <v>Terminal C-Food Service-Dishwashers</v>
      </c>
      <c r="H292" s="116"/>
      <c r="I292" s="889" t="s">
        <v>66</v>
      </c>
      <c r="J292" s="890">
        <f>SUMIFS('Level of Efficiency Assumptions'!J:J,'Level of Efficiency Assumptions'!D:D,E292,'Level of Efficiency Assumptions'!F:F,F292,'Level of Efficiency Assumptions'!I:I,I292)</f>
        <v>1</v>
      </c>
      <c r="K292" s="383" t="s">
        <v>203</v>
      </c>
      <c r="L292" s="257" t="s">
        <v>66</v>
      </c>
      <c r="M292" s="879">
        <f>Q296+Q297</f>
        <v>0</v>
      </c>
      <c r="N292" s="880">
        <f>IFERROR(M292/M293,"-")</f>
        <v>0</v>
      </c>
      <c r="O292" s="881">
        <f>SUMIFS('Data Entry'!T:T,'Data Entry'!K:K,G293)</f>
        <v>0</v>
      </c>
      <c r="P292" s="272" t="s">
        <v>205</v>
      </c>
      <c r="Q292" s="895">
        <v>0</v>
      </c>
      <c r="R292" s="114"/>
      <c r="S292" s="908" t="s">
        <v>201</v>
      </c>
      <c r="T292" s="895">
        <v>1</v>
      </c>
      <c r="U292" s="114"/>
      <c r="V292" s="114"/>
      <c r="W292" s="114"/>
      <c r="X292" s="114"/>
      <c r="Y292" s="114"/>
      <c r="Z292" s="114"/>
      <c r="AA292" s="884"/>
    </row>
    <row r="293" spans="3:27" x14ac:dyDescent="0.3">
      <c r="C293" s="450"/>
      <c r="D293" s="182"/>
      <c r="E293" s="182"/>
      <c r="F293" s="182"/>
      <c r="G293" s="450" t="str">
        <f t="shared" si="9"/>
        <v>--</v>
      </c>
      <c r="H293" s="182"/>
      <c r="I293" s="440"/>
      <c r="J293" s="892"/>
      <c r="K293" s="259"/>
      <c r="L293" s="259" t="s">
        <v>46</v>
      </c>
      <c r="M293" s="893">
        <f>SUM(M290:M292)</f>
        <v>1</v>
      </c>
      <c r="N293" s="894"/>
      <c r="O293" s="894">
        <f>SUM(O290:O292)</f>
        <v>0</v>
      </c>
      <c r="P293" s="272" t="s">
        <v>206</v>
      </c>
      <c r="Q293" s="895">
        <v>0</v>
      </c>
      <c r="R293" s="114"/>
      <c r="S293" s="908" t="s">
        <v>202</v>
      </c>
      <c r="T293" s="895">
        <v>1</v>
      </c>
      <c r="U293" s="114"/>
      <c r="V293" s="114"/>
      <c r="W293" s="114"/>
      <c r="X293" s="114"/>
      <c r="Y293" s="114"/>
      <c r="Z293" s="114"/>
      <c r="AA293" s="884"/>
    </row>
    <row r="294" spans="3:27" x14ac:dyDescent="0.3">
      <c r="C294" s="450"/>
      <c r="D294" s="182"/>
      <c r="E294" s="182"/>
      <c r="F294" s="182"/>
      <c r="G294" s="450" t="str">
        <f t="shared" si="9"/>
        <v>--</v>
      </c>
      <c r="H294" s="182"/>
      <c r="I294" s="440"/>
      <c r="J294" s="892"/>
      <c r="K294" s="259"/>
      <c r="L294" s="182"/>
      <c r="M294" s="270"/>
      <c r="N294" s="892"/>
      <c r="O294" s="892"/>
      <c r="P294" s="267" t="s">
        <v>207</v>
      </c>
      <c r="Q294" s="895">
        <v>1</v>
      </c>
      <c r="R294" s="114"/>
      <c r="S294" s="908" t="s">
        <v>199</v>
      </c>
      <c r="T294" s="895">
        <v>1</v>
      </c>
      <c r="U294" s="114"/>
      <c r="V294" s="114"/>
      <c r="W294" s="114"/>
      <c r="X294" s="114"/>
      <c r="Y294" s="114"/>
      <c r="Z294" s="114"/>
      <c r="AA294" s="884"/>
    </row>
    <row r="295" spans="3:27" x14ac:dyDescent="0.3">
      <c r="C295" s="450"/>
      <c r="D295" s="182"/>
      <c r="E295" s="182"/>
      <c r="F295" s="182"/>
      <c r="G295" s="450" t="str">
        <f t="shared" ref="G295:G341" si="11">C295&amp;"-"&amp;E295&amp;"-"&amp;F295</f>
        <v>--</v>
      </c>
      <c r="H295" s="182"/>
      <c r="I295" s="892"/>
      <c r="J295" s="892"/>
      <c r="K295" s="182"/>
      <c r="L295" s="182"/>
      <c r="M295" s="270"/>
      <c r="N295" s="892"/>
      <c r="O295" s="892"/>
      <c r="P295" s="267" t="s">
        <v>208</v>
      </c>
      <c r="Q295" s="895">
        <v>0</v>
      </c>
      <c r="R295" s="114"/>
      <c r="S295" s="909" t="s">
        <v>198</v>
      </c>
      <c r="T295" s="895">
        <v>1</v>
      </c>
      <c r="U295" s="114"/>
      <c r="V295" s="114"/>
      <c r="W295" s="114"/>
      <c r="X295" s="114"/>
      <c r="Y295" s="114"/>
      <c r="Z295" s="114"/>
      <c r="AA295" s="884"/>
    </row>
    <row r="296" spans="3:27" x14ac:dyDescent="0.3">
      <c r="C296" s="450"/>
      <c r="D296" s="182"/>
      <c r="E296" s="182"/>
      <c r="F296" s="182"/>
      <c r="G296" s="450" t="str">
        <f t="shared" si="11"/>
        <v>--</v>
      </c>
      <c r="H296" s="182"/>
      <c r="I296" s="892"/>
      <c r="J296" s="892"/>
      <c r="K296" s="182"/>
      <c r="L296" s="182"/>
      <c r="M296" s="270"/>
      <c r="N296" s="892"/>
      <c r="O296" s="892"/>
      <c r="P296" s="269" t="s">
        <v>209</v>
      </c>
      <c r="Q296" s="895">
        <v>0</v>
      </c>
      <c r="R296" s="114"/>
      <c r="S296" s="905" t="s">
        <v>197</v>
      </c>
      <c r="T296" s="895">
        <v>1</v>
      </c>
      <c r="U296" s="114"/>
      <c r="V296" s="114"/>
      <c r="W296" s="114"/>
      <c r="X296" s="114"/>
      <c r="Y296" s="114"/>
      <c r="Z296" s="114"/>
      <c r="AA296" s="884"/>
    </row>
    <row r="297" spans="3:27" x14ac:dyDescent="0.3">
      <c r="C297" s="450"/>
      <c r="D297" s="182"/>
      <c r="E297" s="182"/>
      <c r="F297" s="182"/>
      <c r="G297" s="450" t="str">
        <f t="shared" si="11"/>
        <v>--</v>
      </c>
      <c r="H297" s="182"/>
      <c r="I297" s="892"/>
      <c r="J297" s="892"/>
      <c r="K297" s="182"/>
      <c r="L297" s="182"/>
      <c r="M297" s="270"/>
      <c r="N297" s="892"/>
      <c r="O297" s="892"/>
      <c r="P297" s="269" t="s">
        <v>210</v>
      </c>
      <c r="Q297" s="895">
        <v>0</v>
      </c>
      <c r="R297" s="114"/>
      <c r="S297" s="114" t="s">
        <v>216</v>
      </c>
      <c r="T297" s="910">
        <f>(T291*55)+(T292*45)+(T293*35)+(T294*25)+(T295*15)+(T296*5)</f>
        <v>180</v>
      </c>
      <c r="U297" s="1393" t="s">
        <v>217</v>
      </c>
      <c r="V297" s="1393"/>
      <c r="W297" s="1393"/>
      <c r="X297" s="114"/>
      <c r="Y297" s="114"/>
      <c r="Z297" s="114"/>
      <c r="AA297" s="884"/>
    </row>
    <row r="298" spans="3:27" x14ac:dyDescent="0.3">
      <c r="C298" s="450"/>
      <c r="D298" s="182"/>
      <c r="E298" s="182"/>
      <c r="F298" s="182"/>
      <c r="G298" s="450" t="str">
        <f t="shared" si="11"/>
        <v>--</v>
      </c>
      <c r="H298" s="182"/>
      <c r="I298" s="892"/>
      <c r="J298" s="892"/>
      <c r="K298" s="182"/>
      <c r="L298" s="182"/>
      <c r="M298" s="270"/>
      <c r="N298" s="892"/>
      <c r="O298" s="892"/>
      <c r="P298" s="263" t="s">
        <v>46</v>
      </c>
      <c r="Q298" s="897">
        <f>SUM(Q291:Q297)</f>
        <v>1</v>
      </c>
      <c r="R298" s="899"/>
      <c r="S298" s="899"/>
      <c r="T298" s="899"/>
      <c r="U298" s="1394"/>
      <c r="V298" s="1394"/>
      <c r="W298" s="1394"/>
      <c r="X298" s="899"/>
      <c r="Y298" s="899"/>
      <c r="Z298" s="899"/>
      <c r="AA298" s="900"/>
    </row>
    <row r="299" spans="3:27" x14ac:dyDescent="0.3">
      <c r="C299" s="450"/>
      <c r="D299" s="182"/>
      <c r="E299" s="182"/>
      <c r="F299" s="182"/>
      <c r="G299" s="450" t="str">
        <f t="shared" si="11"/>
        <v>--</v>
      </c>
      <c r="H299" s="182"/>
      <c r="I299" s="892"/>
      <c r="J299" s="892"/>
      <c r="K299" s="182"/>
      <c r="L299" s="182"/>
      <c r="M299" s="270"/>
      <c r="N299" s="892"/>
      <c r="O299" s="892"/>
      <c r="P299" s="114"/>
      <c r="Q299" s="114"/>
      <c r="R299" s="114"/>
      <c r="S299" s="114"/>
      <c r="T299" s="114"/>
      <c r="U299" s="114"/>
      <c r="V299" s="114"/>
      <c r="W299" s="114"/>
      <c r="X299" s="270"/>
      <c r="Y299" s="270"/>
      <c r="Z299" s="270"/>
      <c r="AA299" s="270"/>
    </row>
    <row r="300" spans="3:27" x14ac:dyDescent="0.3">
      <c r="C300" s="450"/>
      <c r="D300" s="182"/>
      <c r="E300" s="182"/>
      <c r="F300" s="182"/>
      <c r="G300" s="450" t="str">
        <f t="shared" si="11"/>
        <v>--</v>
      </c>
      <c r="H300" s="182"/>
      <c r="I300" s="892"/>
      <c r="J300" s="892"/>
      <c r="K300" s="182"/>
      <c r="L300" s="182"/>
      <c r="M300" s="270"/>
      <c r="N300" s="892"/>
      <c r="O300" s="892"/>
      <c r="P300" s="268" t="s">
        <v>174</v>
      </c>
      <c r="Q300" s="911"/>
      <c r="R300" s="872"/>
      <c r="S300" s="874"/>
      <c r="T300" s="270"/>
      <c r="U300" s="270"/>
      <c r="V300" s="270"/>
      <c r="W300" s="270"/>
      <c r="X300" s="270"/>
      <c r="Y300" s="270"/>
      <c r="Z300" s="270"/>
      <c r="AA300" s="270"/>
    </row>
    <row r="301" spans="3:27" ht="15" thickBot="1" x14ac:dyDescent="0.35">
      <c r="C301" s="450"/>
      <c r="D301" s="182"/>
      <c r="E301" s="182"/>
      <c r="F301" s="182"/>
      <c r="G301" s="450" t="str">
        <f t="shared" si="11"/>
        <v>--</v>
      </c>
      <c r="H301" s="182"/>
      <c r="I301" s="892"/>
      <c r="J301" s="892"/>
      <c r="K301" s="182"/>
      <c r="L301" s="182"/>
      <c r="M301" s="870" t="s">
        <v>155</v>
      </c>
      <c r="N301" s="870" t="s">
        <v>188</v>
      </c>
      <c r="O301" s="870"/>
      <c r="P301" s="273" t="s">
        <v>220</v>
      </c>
      <c r="Q301" s="871" t="s">
        <v>155</v>
      </c>
      <c r="R301" s="114"/>
      <c r="S301" s="884"/>
      <c r="T301" s="270"/>
      <c r="U301" s="270"/>
      <c r="V301" s="270"/>
      <c r="W301" s="270"/>
      <c r="X301" s="270"/>
      <c r="Y301" s="270"/>
      <c r="Z301" s="270"/>
      <c r="AA301" s="270"/>
    </row>
    <row r="302" spans="3:27" ht="15" thickBot="1" x14ac:dyDescent="0.35">
      <c r="C302" s="566" t="s">
        <v>86</v>
      </c>
      <c r="D302" s="875" t="str">
        <f>VLOOKUP(C302,'Airport Mapping'!$C$5:$D$39,2,FALSE)</f>
        <v xml:space="preserve"> </v>
      </c>
      <c r="E302" s="567" t="s">
        <v>38</v>
      </c>
      <c r="F302" s="567" t="s">
        <v>20</v>
      </c>
      <c r="G302" s="450" t="str">
        <f t="shared" si="11"/>
        <v>Terminal C-Food Service-Ice machines</v>
      </c>
      <c r="H302" s="567" t="s">
        <v>19</v>
      </c>
      <c r="I302" s="877" t="s">
        <v>64</v>
      </c>
      <c r="J302" s="878">
        <f>SUMIFS('Level of Efficiency Assumptions'!J:J,'Level of Efficiency Assumptions'!D:D,E302,'Level of Efficiency Assumptions'!F:F,F302,'Level of Efficiency Assumptions'!I:I,I302)</f>
        <v>1.5</v>
      </c>
      <c r="K302" s="383" t="s">
        <v>220</v>
      </c>
      <c r="L302" s="253" t="s">
        <v>64</v>
      </c>
      <c r="M302" s="879">
        <f>SUM(Q302:Q304)</f>
        <v>0</v>
      </c>
      <c r="N302" s="880">
        <f>IFERROR(M302/M305,"-")</f>
        <v>0</v>
      </c>
      <c r="O302" s="881">
        <f>SUMIFS('Data Entry'!R:R,'Data Entry'!K:K,G302)</f>
        <v>0</v>
      </c>
      <c r="P302" s="266" t="s">
        <v>204</v>
      </c>
      <c r="Q302" s="895">
        <v>0</v>
      </c>
      <c r="R302" s="114"/>
      <c r="S302" s="884"/>
      <c r="T302" s="270"/>
      <c r="U302" s="270"/>
      <c r="V302" s="270"/>
      <c r="W302" s="912"/>
      <c r="X302" s="270"/>
      <c r="Y302" s="270"/>
      <c r="Z302" s="270"/>
      <c r="AA302" s="270"/>
    </row>
    <row r="303" spans="3:27" ht="15" thickBot="1" x14ac:dyDescent="0.35">
      <c r="C303" s="494" t="s">
        <v>86</v>
      </c>
      <c r="D303" s="577"/>
      <c r="E303" s="577" t="s">
        <v>38</v>
      </c>
      <c r="F303" s="577" t="s">
        <v>20</v>
      </c>
      <c r="G303" s="450" t="str">
        <f t="shared" si="11"/>
        <v>Terminal C-Food Service-Ice machines</v>
      </c>
      <c r="H303" s="577"/>
      <c r="I303" s="887" t="s">
        <v>65</v>
      </c>
      <c r="J303" s="878">
        <f>SUMIFS('Level of Efficiency Assumptions'!J:J,'Level of Efficiency Assumptions'!D:D,E303,'Level of Efficiency Assumptions'!F:F,F303,'Level of Efficiency Assumptions'!I:I,I303)</f>
        <v>0.25</v>
      </c>
      <c r="K303" s="383" t="s">
        <v>220</v>
      </c>
      <c r="L303" s="255" t="s">
        <v>65</v>
      </c>
      <c r="M303" s="879">
        <f>Q305+Q306</f>
        <v>1</v>
      </c>
      <c r="N303" s="880">
        <f>IFERROR(M303/M305,"-")</f>
        <v>1</v>
      </c>
      <c r="O303" s="881">
        <f>SUMIFS('Data Entry'!S:S,'Data Entry'!K:K,G303)</f>
        <v>0</v>
      </c>
      <c r="P303" s="272" t="s">
        <v>205</v>
      </c>
      <c r="Q303" s="895">
        <v>0</v>
      </c>
      <c r="R303" s="114"/>
      <c r="S303" s="884"/>
      <c r="T303" s="270"/>
      <c r="U303" s="270"/>
      <c r="V303" s="270"/>
      <c r="W303" s="912"/>
      <c r="X303" s="270"/>
      <c r="Y303" s="270"/>
      <c r="Z303" s="270"/>
      <c r="AA303" s="270"/>
    </row>
    <row r="304" spans="3:27" ht="15" thickBot="1" x14ac:dyDescent="0.35">
      <c r="C304" s="501" t="s">
        <v>86</v>
      </c>
      <c r="D304" s="116"/>
      <c r="E304" s="116" t="s">
        <v>38</v>
      </c>
      <c r="F304" s="116" t="s">
        <v>20</v>
      </c>
      <c r="G304" s="450" t="str">
        <f t="shared" si="11"/>
        <v>Terminal C-Food Service-Ice machines</v>
      </c>
      <c r="H304" s="116"/>
      <c r="I304" s="889" t="s">
        <v>66</v>
      </c>
      <c r="J304" s="890">
        <f>SUMIFS('Level of Efficiency Assumptions'!J:J,'Level of Efficiency Assumptions'!D:D,E304,'Level of Efficiency Assumptions'!F:F,F304,'Level of Efficiency Assumptions'!I:I,I304)</f>
        <v>0.12</v>
      </c>
      <c r="K304" s="383" t="s">
        <v>220</v>
      </c>
      <c r="L304" s="257" t="s">
        <v>66</v>
      </c>
      <c r="M304" s="879">
        <f>Q307+Q308</f>
        <v>0</v>
      </c>
      <c r="N304" s="880">
        <f>IFERROR(M304/M305,"-")</f>
        <v>0</v>
      </c>
      <c r="O304" s="881">
        <f>SUMIFS('Data Entry'!T:T,'Data Entry'!K:K,G304)</f>
        <v>0</v>
      </c>
      <c r="P304" s="272" t="s">
        <v>206</v>
      </c>
      <c r="Q304" s="895">
        <v>0</v>
      </c>
      <c r="R304" s="114"/>
      <c r="S304" s="884"/>
      <c r="T304" s="270"/>
      <c r="U304" s="270"/>
      <c r="V304" s="270"/>
      <c r="W304" s="280"/>
      <c r="X304" s="270"/>
      <c r="Y304" s="270"/>
      <c r="Z304" s="270"/>
      <c r="AA304" s="270"/>
    </row>
    <row r="305" spans="3:27" x14ac:dyDescent="0.3">
      <c r="C305" s="450"/>
      <c r="D305" s="182"/>
      <c r="E305" s="182"/>
      <c r="F305" s="182"/>
      <c r="G305" s="450" t="str">
        <f t="shared" si="11"/>
        <v>--</v>
      </c>
      <c r="H305" s="182"/>
      <c r="I305" s="440"/>
      <c r="J305" s="892"/>
      <c r="K305" s="259"/>
      <c r="L305" s="259" t="s">
        <v>46</v>
      </c>
      <c r="M305" s="893">
        <f>SUM(M302:M304)</f>
        <v>1</v>
      </c>
      <c r="N305" s="894"/>
      <c r="O305" s="894">
        <f>SUM(O302:O304)</f>
        <v>0</v>
      </c>
      <c r="P305" s="274" t="s">
        <v>228</v>
      </c>
      <c r="Q305" s="895">
        <v>1</v>
      </c>
      <c r="R305" s="114"/>
      <c r="S305" s="884"/>
      <c r="T305" s="270"/>
      <c r="U305" s="270"/>
      <c r="V305" s="270"/>
      <c r="W305" s="270"/>
      <c r="X305" s="270"/>
      <c r="Y305" s="270"/>
      <c r="Z305" s="270"/>
      <c r="AA305" s="270"/>
    </row>
    <row r="306" spans="3:27" x14ac:dyDescent="0.3">
      <c r="C306" s="450"/>
      <c r="D306" s="182"/>
      <c r="E306" s="182"/>
      <c r="F306" s="182"/>
      <c r="G306" s="450" t="str">
        <f t="shared" si="11"/>
        <v>--</v>
      </c>
      <c r="H306" s="182"/>
      <c r="I306" s="892"/>
      <c r="J306" s="892"/>
      <c r="K306" s="182"/>
      <c r="L306" s="182"/>
      <c r="M306" s="270"/>
      <c r="N306" s="892"/>
      <c r="O306" s="892"/>
      <c r="P306" s="274" t="s">
        <v>227</v>
      </c>
      <c r="Q306" s="895">
        <v>0</v>
      </c>
      <c r="R306" s="114"/>
      <c r="S306" s="884"/>
      <c r="T306" s="270"/>
      <c r="U306" s="270"/>
      <c r="V306" s="270"/>
      <c r="W306" s="270"/>
      <c r="X306" s="270"/>
      <c r="Y306" s="270"/>
      <c r="Z306" s="270"/>
      <c r="AA306" s="270"/>
    </row>
    <row r="307" spans="3:27" x14ac:dyDescent="0.3">
      <c r="C307" s="450"/>
      <c r="D307" s="182"/>
      <c r="E307" s="182"/>
      <c r="F307" s="182"/>
      <c r="G307" s="450" t="str">
        <f t="shared" si="11"/>
        <v>--</v>
      </c>
      <c r="H307" s="182"/>
      <c r="I307" s="892"/>
      <c r="J307" s="892"/>
      <c r="K307" s="182"/>
      <c r="L307" s="182"/>
      <c r="M307" s="270"/>
      <c r="N307" s="892"/>
      <c r="O307" s="892"/>
      <c r="P307" s="275" t="s">
        <v>226</v>
      </c>
      <c r="Q307" s="895">
        <v>0</v>
      </c>
      <c r="R307" s="114"/>
      <c r="S307" s="884"/>
      <c r="T307" s="270"/>
      <c r="U307" s="270"/>
      <c r="V307" s="270"/>
      <c r="W307" s="270"/>
      <c r="X307" s="270"/>
      <c r="Y307" s="270"/>
      <c r="Z307" s="270"/>
      <c r="AA307" s="270"/>
    </row>
    <row r="308" spans="3:27" x14ac:dyDescent="0.3">
      <c r="C308" s="450"/>
      <c r="D308" s="182"/>
      <c r="E308" s="182"/>
      <c r="F308" s="182"/>
      <c r="G308" s="450" t="str">
        <f t="shared" si="11"/>
        <v>--</v>
      </c>
      <c r="H308" s="182"/>
      <c r="I308" s="892"/>
      <c r="J308" s="892"/>
      <c r="K308" s="182"/>
      <c r="L308" s="182"/>
      <c r="M308" s="270"/>
      <c r="N308" s="892"/>
      <c r="O308" s="892"/>
      <c r="P308" s="269" t="s">
        <v>225</v>
      </c>
      <c r="Q308" s="895">
        <v>0</v>
      </c>
      <c r="R308" s="114"/>
      <c r="S308" s="884"/>
      <c r="T308" s="270"/>
      <c r="U308" s="270"/>
      <c r="V308" s="270"/>
      <c r="W308" s="270"/>
      <c r="X308" s="270"/>
      <c r="Y308" s="270"/>
      <c r="Z308" s="270"/>
      <c r="AA308" s="270"/>
    </row>
    <row r="309" spans="3:27" x14ac:dyDescent="0.3">
      <c r="C309" s="450"/>
      <c r="D309" s="182"/>
      <c r="E309" s="182"/>
      <c r="F309" s="182"/>
      <c r="G309" s="450" t="str">
        <f t="shared" si="11"/>
        <v>--</v>
      </c>
      <c r="H309" s="182"/>
      <c r="I309" s="892"/>
      <c r="J309" s="892"/>
      <c r="K309" s="182"/>
      <c r="L309" s="182"/>
      <c r="M309" s="270"/>
      <c r="N309" s="892"/>
      <c r="O309" s="892"/>
      <c r="P309" s="263" t="s">
        <v>46</v>
      </c>
      <c r="Q309" s="897">
        <f>SUM(Q302:Q308)</f>
        <v>1</v>
      </c>
      <c r="R309" s="899"/>
      <c r="S309" s="900"/>
      <c r="T309" s="270"/>
      <c r="U309" s="270"/>
      <c r="V309" s="270"/>
      <c r="W309" s="270"/>
      <c r="X309" s="270"/>
      <c r="Y309" s="270"/>
      <c r="Z309" s="270"/>
      <c r="AA309" s="270"/>
    </row>
    <row r="310" spans="3:27" x14ac:dyDescent="0.3">
      <c r="C310" s="450"/>
      <c r="D310" s="182"/>
      <c r="E310" s="182"/>
      <c r="F310" s="182"/>
      <c r="G310" s="450" t="str">
        <f t="shared" si="11"/>
        <v>--</v>
      </c>
      <c r="H310" s="182"/>
      <c r="I310" s="892"/>
      <c r="J310" s="892"/>
      <c r="K310" s="182"/>
      <c r="L310" s="182"/>
      <c r="M310" s="270"/>
      <c r="N310" s="892"/>
      <c r="O310" s="892"/>
      <c r="P310" s="270"/>
      <c r="Q310" s="270"/>
      <c r="R310" s="270"/>
      <c r="S310" s="270"/>
      <c r="T310" s="270"/>
      <c r="U310" s="270"/>
      <c r="V310" s="270"/>
      <c r="W310" s="270"/>
      <c r="X310" s="270"/>
      <c r="Y310" s="270"/>
      <c r="Z310" s="270"/>
      <c r="AA310" s="270"/>
    </row>
    <row r="311" spans="3:27" x14ac:dyDescent="0.3">
      <c r="C311" s="450"/>
      <c r="D311" s="182"/>
      <c r="E311" s="182"/>
      <c r="F311" s="182"/>
      <c r="G311" s="450" t="str">
        <f t="shared" si="11"/>
        <v>--</v>
      </c>
      <c r="H311" s="182"/>
      <c r="I311" s="892"/>
      <c r="J311" s="892"/>
      <c r="K311" s="182"/>
      <c r="L311" s="182"/>
      <c r="M311" s="270"/>
      <c r="N311" s="892"/>
      <c r="O311" s="892"/>
      <c r="P311" s="276" t="s">
        <v>42</v>
      </c>
      <c r="Q311" s="902"/>
      <c r="R311" s="902"/>
      <c r="S311" s="874"/>
      <c r="T311" s="270"/>
      <c r="U311" s="270"/>
      <c r="V311" s="270"/>
      <c r="W311" s="270"/>
      <c r="X311" s="270"/>
      <c r="Y311" s="270"/>
      <c r="Z311" s="270"/>
      <c r="AA311" s="270"/>
    </row>
    <row r="312" spans="3:27" ht="15" thickBot="1" x14ac:dyDescent="0.35">
      <c r="C312" s="450"/>
      <c r="D312" s="182"/>
      <c r="E312" s="182"/>
      <c r="F312" s="182"/>
      <c r="G312" s="450" t="str">
        <f t="shared" si="11"/>
        <v>--</v>
      </c>
      <c r="H312" s="182"/>
      <c r="I312" s="892"/>
      <c r="J312" s="892"/>
      <c r="K312" s="182"/>
      <c r="L312" s="182"/>
      <c r="M312" s="870" t="s">
        <v>155</v>
      </c>
      <c r="N312" s="870" t="s">
        <v>188</v>
      </c>
      <c r="O312" s="870"/>
      <c r="P312" s="277" t="s">
        <v>818</v>
      </c>
      <c r="Q312" s="871" t="s">
        <v>155</v>
      </c>
      <c r="R312" s="114"/>
      <c r="S312" s="884"/>
      <c r="T312" s="270"/>
      <c r="U312" s="270"/>
      <c r="V312" s="270"/>
      <c r="W312" s="270"/>
      <c r="X312" s="270"/>
      <c r="Y312" s="270"/>
      <c r="Z312" s="270"/>
      <c r="AA312" s="270"/>
    </row>
    <row r="313" spans="3:27" ht="15" thickBot="1" x14ac:dyDescent="0.35">
      <c r="C313" s="566" t="s">
        <v>86</v>
      </c>
      <c r="D313" s="875" t="str">
        <f>VLOOKUP(C313,'Airport Mapping'!$C$5:$D$39,2,FALSE)</f>
        <v xml:space="preserve"> </v>
      </c>
      <c r="E313" s="567" t="s">
        <v>39</v>
      </c>
      <c r="F313" s="567" t="s">
        <v>42</v>
      </c>
      <c r="G313" s="450" t="str">
        <f t="shared" si="11"/>
        <v>Terminal C-Landscaping-Outdoor irrigation</v>
      </c>
      <c r="H313" s="567" t="s">
        <v>32</v>
      </c>
      <c r="I313" s="877" t="s">
        <v>64</v>
      </c>
      <c r="J313" s="878">
        <f>SUMIFS('Level of Efficiency Assumptions'!J:J,'Level of Efficiency Assumptions'!D:D,E313,'Level of Efficiency Assumptions'!F:F,F313,'Level of Efficiency Assumptions'!I:I,I313)</f>
        <v>28.6</v>
      </c>
      <c r="K313" s="383" t="s">
        <v>816</v>
      </c>
      <c r="L313" s="253" t="s">
        <v>64</v>
      </c>
      <c r="M313" s="879">
        <f>SUM(Q313:Q314)</f>
        <v>0</v>
      </c>
      <c r="N313" s="880">
        <f>IFERROR(M313/M316,"-")</f>
        <v>0</v>
      </c>
      <c r="O313" s="881">
        <f>SUMIFS('Data Entry'!R:R,'Data Entry'!K:K,G313)</f>
        <v>0</v>
      </c>
      <c r="P313" s="272" t="s">
        <v>237</v>
      </c>
      <c r="Q313" s="895">
        <v>0</v>
      </c>
      <c r="R313" s="114"/>
      <c r="S313" s="884"/>
      <c r="T313" s="270"/>
      <c r="U313" s="270"/>
      <c r="V313" s="270"/>
      <c r="W313" s="270"/>
      <c r="X313" s="270"/>
      <c r="Y313" s="270"/>
      <c r="Z313" s="270"/>
      <c r="AA313" s="270"/>
    </row>
    <row r="314" spans="3:27" ht="15" thickBot="1" x14ac:dyDescent="0.35">
      <c r="C314" s="494" t="s">
        <v>86</v>
      </c>
      <c r="D314" s="577"/>
      <c r="E314" s="577" t="s">
        <v>39</v>
      </c>
      <c r="F314" s="577" t="s">
        <v>42</v>
      </c>
      <c r="G314" s="450" t="str">
        <f t="shared" si="11"/>
        <v>Terminal C-Landscaping-Outdoor irrigation</v>
      </c>
      <c r="H314" s="577"/>
      <c r="I314" s="887" t="s">
        <v>65</v>
      </c>
      <c r="J314" s="878">
        <f>SUMIFS('Level of Efficiency Assumptions'!J:J,'Level of Efficiency Assumptions'!D:D,E314,'Level of Efficiency Assumptions'!F:F,F314,'Level of Efficiency Assumptions'!I:I,I314)</f>
        <v>13.980821518350929</v>
      </c>
      <c r="K314" s="383" t="s">
        <v>816</v>
      </c>
      <c r="L314" s="255" t="s">
        <v>65</v>
      </c>
      <c r="M314" s="879">
        <f>Q315+Q316</f>
        <v>1</v>
      </c>
      <c r="N314" s="880">
        <f>IFERROR(M314/M316,"-")</f>
        <v>1</v>
      </c>
      <c r="O314" s="881">
        <f>SUMIFS('Data Entry'!S:S,'Data Entry'!K:K,G314)</f>
        <v>0</v>
      </c>
      <c r="P314" s="272" t="s">
        <v>232</v>
      </c>
      <c r="Q314" s="895">
        <v>0</v>
      </c>
      <c r="R314" s="114"/>
      <c r="S314" s="884"/>
      <c r="T314" s="270"/>
      <c r="U314" s="270"/>
      <c r="V314" s="270"/>
      <c r="W314" s="270"/>
      <c r="X314" s="270"/>
      <c r="Y314" s="270"/>
      <c r="Z314" s="270"/>
      <c r="AA314" s="270"/>
    </row>
    <row r="315" spans="3:27" ht="15" thickBot="1" x14ac:dyDescent="0.35">
      <c r="C315" s="501" t="s">
        <v>86</v>
      </c>
      <c r="D315" s="116"/>
      <c r="E315" s="116" t="s">
        <v>39</v>
      </c>
      <c r="F315" s="116" t="s">
        <v>42</v>
      </c>
      <c r="G315" s="450" t="str">
        <f t="shared" si="11"/>
        <v>Terminal C-Landscaping-Outdoor irrigation</v>
      </c>
      <c r="H315" s="116"/>
      <c r="I315" s="889" t="s">
        <v>66</v>
      </c>
      <c r="J315" s="890">
        <f>SUMIFS('Level of Efficiency Assumptions'!J:J,'Level of Efficiency Assumptions'!D:D,E315,'Level of Efficiency Assumptions'!F:F,F315,'Level of Efficiency Assumptions'!I:I,I315)</f>
        <v>0.59137254901960778</v>
      </c>
      <c r="K315" s="383" t="s">
        <v>816</v>
      </c>
      <c r="L315" s="257" t="s">
        <v>66</v>
      </c>
      <c r="M315" s="879">
        <f>Q317+Q318</f>
        <v>0</v>
      </c>
      <c r="N315" s="880">
        <f>IFERROR(M315/M316,"-")</f>
        <v>0</v>
      </c>
      <c r="O315" s="881">
        <f>SUMIFS('Data Entry'!T:T,'Data Entry'!K:K,G315)</f>
        <v>0</v>
      </c>
      <c r="P315" s="274" t="s">
        <v>231</v>
      </c>
      <c r="Q315" s="895">
        <v>1</v>
      </c>
      <c r="R315" s="114"/>
      <c r="S315" s="884"/>
      <c r="T315" s="270"/>
      <c r="U315" s="270"/>
      <c r="V315" s="270"/>
      <c r="W315" s="270"/>
      <c r="X315" s="270"/>
      <c r="Y315" s="270"/>
      <c r="Z315" s="270"/>
      <c r="AA315" s="270"/>
    </row>
    <row r="316" spans="3:27" x14ac:dyDescent="0.3">
      <c r="C316" s="450"/>
      <c r="D316" s="182"/>
      <c r="E316" s="182"/>
      <c r="F316" s="182"/>
      <c r="G316" s="450" t="str">
        <f t="shared" si="11"/>
        <v>--</v>
      </c>
      <c r="H316" s="182"/>
      <c r="I316" s="440"/>
      <c r="J316" s="892"/>
      <c r="K316" s="259"/>
      <c r="L316" s="259" t="s">
        <v>46</v>
      </c>
      <c r="M316" s="893">
        <f>SUM(M313:M315)</f>
        <v>1</v>
      </c>
      <c r="N316" s="894"/>
      <c r="O316" s="894">
        <f>SUM(O313:O315)</f>
        <v>0</v>
      </c>
      <c r="P316" s="274" t="s">
        <v>230</v>
      </c>
      <c r="Q316" s="895">
        <v>0</v>
      </c>
      <c r="R316" s="114"/>
      <c r="S316" s="884"/>
      <c r="T316" s="270"/>
      <c r="U316" s="270"/>
      <c r="V316" s="270"/>
      <c r="W316" s="270"/>
      <c r="X316" s="270"/>
      <c r="Y316" s="270"/>
      <c r="Z316" s="270"/>
      <c r="AA316" s="270"/>
    </row>
    <row r="317" spans="3:27" x14ac:dyDescent="0.3">
      <c r="C317" s="450"/>
      <c r="D317" s="182"/>
      <c r="E317" s="182"/>
      <c r="F317" s="182"/>
      <c r="G317" s="450" t="str">
        <f t="shared" si="11"/>
        <v>--</v>
      </c>
      <c r="H317" s="182"/>
      <c r="I317" s="892"/>
      <c r="J317" s="892"/>
      <c r="K317" s="182"/>
      <c r="L317" s="182"/>
      <c r="M317" s="270"/>
      <c r="N317" s="892"/>
      <c r="O317" s="892"/>
      <c r="P317" s="275" t="s">
        <v>229</v>
      </c>
      <c r="Q317" s="895">
        <v>0</v>
      </c>
      <c r="R317" s="114"/>
      <c r="S317" s="884"/>
      <c r="T317" s="270"/>
      <c r="U317" s="270"/>
      <c r="V317" s="270"/>
      <c r="W317" s="270"/>
      <c r="X317" s="270"/>
      <c r="Y317" s="270"/>
      <c r="Z317" s="270"/>
      <c r="AA317" s="270"/>
    </row>
    <row r="318" spans="3:27" x14ac:dyDescent="0.3">
      <c r="C318" s="450"/>
      <c r="D318" s="182"/>
      <c r="E318" s="182"/>
      <c r="F318" s="182"/>
      <c r="G318" s="450" t="str">
        <f t="shared" si="11"/>
        <v>--</v>
      </c>
      <c r="H318" s="182"/>
      <c r="I318" s="892"/>
      <c r="J318" s="892"/>
      <c r="K318" s="182"/>
      <c r="L318" s="182"/>
      <c r="M318" s="270"/>
      <c r="N318" s="892"/>
      <c r="O318" s="892"/>
      <c r="P318" s="269" t="s">
        <v>225</v>
      </c>
      <c r="Q318" s="895">
        <v>0</v>
      </c>
      <c r="R318" s="114"/>
      <c r="S318" s="884"/>
      <c r="T318" s="270"/>
      <c r="U318" s="270"/>
      <c r="V318" s="270"/>
      <c r="W318" s="270"/>
      <c r="X318" s="270"/>
      <c r="Y318" s="270"/>
      <c r="Z318" s="270"/>
      <c r="AA318" s="270"/>
    </row>
    <row r="319" spans="3:27" x14ac:dyDescent="0.3">
      <c r="C319" s="450"/>
      <c r="D319" s="182"/>
      <c r="E319" s="182"/>
      <c r="F319" s="182"/>
      <c r="G319" s="450" t="str">
        <f t="shared" si="11"/>
        <v>--</v>
      </c>
      <c r="H319" s="182"/>
      <c r="I319" s="892"/>
      <c r="J319" s="892"/>
      <c r="K319" s="182"/>
      <c r="L319" s="182"/>
      <c r="M319" s="270"/>
      <c r="N319" s="892"/>
      <c r="O319" s="892"/>
      <c r="P319" s="263" t="s">
        <v>46</v>
      </c>
      <c r="Q319" s="897">
        <f>SUM(Q313:Q318)</f>
        <v>1</v>
      </c>
      <c r="R319" s="915"/>
      <c r="S319" s="900"/>
      <c r="T319" s="270"/>
      <c r="U319" s="270"/>
      <c r="V319" s="270"/>
      <c r="W319" s="270"/>
      <c r="X319" s="270"/>
      <c r="Y319" s="270"/>
      <c r="Z319" s="270"/>
      <c r="AA319" s="270"/>
    </row>
    <row r="320" spans="3:27" x14ac:dyDescent="0.3">
      <c r="C320" s="450"/>
      <c r="D320" s="182"/>
      <c r="E320" s="182"/>
      <c r="F320" s="182"/>
      <c r="G320" s="450" t="str">
        <f t="shared" si="11"/>
        <v>--</v>
      </c>
      <c r="H320" s="182"/>
      <c r="I320" s="892"/>
      <c r="J320" s="892"/>
      <c r="K320" s="182"/>
      <c r="L320" s="182"/>
      <c r="M320" s="270"/>
      <c r="N320" s="892"/>
      <c r="O320" s="892"/>
      <c r="P320" s="259"/>
      <c r="Q320" s="114"/>
      <c r="R320" s="270"/>
      <c r="S320" s="270"/>
      <c r="T320" s="270"/>
      <c r="U320" s="270"/>
      <c r="V320" s="270"/>
      <c r="W320" s="270"/>
      <c r="X320" s="270"/>
      <c r="Y320" s="270"/>
      <c r="Z320" s="270"/>
      <c r="AA320" s="270"/>
    </row>
    <row r="321" spans="3:27" ht="15" thickBot="1" x14ac:dyDescent="0.35">
      <c r="C321" s="450"/>
      <c r="D321" s="182"/>
      <c r="E321" s="182"/>
      <c r="F321" s="182"/>
      <c r="G321" s="450" t="str">
        <f t="shared" si="11"/>
        <v>--</v>
      </c>
      <c r="H321" s="182"/>
      <c r="I321" s="892"/>
      <c r="J321" s="892"/>
      <c r="K321" s="182"/>
      <c r="L321" s="182"/>
      <c r="M321" s="870" t="s">
        <v>155</v>
      </c>
      <c r="N321" s="870" t="s">
        <v>188</v>
      </c>
      <c r="O321" s="870"/>
      <c r="P321" s="276" t="s">
        <v>111</v>
      </c>
      <c r="Q321" s="871" t="s">
        <v>155</v>
      </c>
      <c r="R321" s="902"/>
      <c r="S321" s="874"/>
      <c r="T321" s="270"/>
      <c r="U321" s="270"/>
      <c r="V321" s="270"/>
      <c r="W321" s="270"/>
      <c r="X321" s="270"/>
      <c r="Y321" s="270"/>
      <c r="Z321" s="270"/>
      <c r="AA321" s="270"/>
    </row>
    <row r="322" spans="3:27" ht="15" thickBot="1" x14ac:dyDescent="0.35">
      <c r="C322" s="566" t="s">
        <v>86</v>
      </c>
      <c r="D322" s="875" t="str">
        <f>VLOOKUP(C322,'Airport Mapping'!$C$5:$D$39,2,FALSE)</f>
        <v xml:space="preserve"> </v>
      </c>
      <c r="E322" s="567" t="s">
        <v>43</v>
      </c>
      <c r="F322" s="567" t="s">
        <v>111</v>
      </c>
      <c r="G322" s="450" t="str">
        <f t="shared" si="11"/>
        <v>Terminal C-Maintenance-Boiler</v>
      </c>
      <c r="H322" s="567" t="s">
        <v>424</v>
      </c>
      <c r="I322" s="877" t="s">
        <v>64</v>
      </c>
      <c r="J322" s="878">
        <f>SUMIFS('Level of Efficiency Assumptions'!J:J,'Level of Efficiency Assumptions'!D:D,E322,'Level of Efficiency Assumptions'!F:F,F322,'Level of Efficiency Assumptions'!I:I,I322)</f>
        <v>100</v>
      </c>
      <c r="K322" s="383" t="s">
        <v>585</v>
      </c>
      <c r="L322" s="253" t="s">
        <v>64</v>
      </c>
      <c r="M322" s="879">
        <f>SUM(Q322:Q323)</f>
        <v>0</v>
      </c>
      <c r="N322" s="880">
        <f>IFERROR(M322/M325,"-")</f>
        <v>0</v>
      </c>
      <c r="O322" s="881">
        <f>SUMIFS('Data Entry'!R:R,'Data Entry'!K:K,G322)</f>
        <v>0</v>
      </c>
      <c r="P322" s="272"/>
      <c r="Q322" s="895">
        <v>0</v>
      </c>
      <c r="R322" s="114"/>
      <c r="S322" s="884"/>
      <c r="T322" s="270"/>
      <c r="U322" s="270"/>
      <c r="V322" s="270"/>
      <c r="W322" s="270"/>
      <c r="X322" s="270"/>
      <c r="Y322" s="270"/>
      <c r="Z322" s="270"/>
      <c r="AA322" s="270"/>
    </row>
    <row r="323" spans="3:27" ht="15" thickBot="1" x14ac:dyDescent="0.35">
      <c r="C323" s="494" t="s">
        <v>86</v>
      </c>
      <c r="D323" s="577"/>
      <c r="E323" s="577" t="s">
        <v>43</v>
      </c>
      <c r="F323" s="577" t="s">
        <v>111</v>
      </c>
      <c r="G323" s="450" t="str">
        <f t="shared" si="11"/>
        <v>Terminal C-Maintenance-Boiler</v>
      </c>
      <c r="H323" s="577"/>
      <c r="I323" s="887" t="s">
        <v>65</v>
      </c>
      <c r="J323" s="878">
        <f>SUMIFS('Level of Efficiency Assumptions'!J:J,'Level of Efficiency Assumptions'!D:D,E323,'Level of Efficiency Assumptions'!F:F,F323,'Level of Efficiency Assumptions'!I:I,I323)</f>
        <v>75</v>
      </c>
      <c r="K323" s="383" t="s">
        <v>585</v>
      </c>
      <c r="L323" s="255" t="s">
        <v>65</v>
      </c>
      <c r="M323" s="879">
        <f>Q324+Q325</f>
        <v>1</v>
      </c>
      <c r="N323" s="880">
        <f>IFERROR(M323/M325,"-")</f>
        <v>1</v>
      </c>
      <c r="O323" s="881">
        <f>SUMIFS('Data Entry'!S:S,'Data Entry'!K:K,G323)</f>
        <v>0</v>
      </c>
      <c r="P323" s="272"/>
      <c r="Q323" s="895">
        <v>0</v>
      </c>
      <c r="R323" s="114"/>
      <c r="S323" s="884"/>
      <c r="T323" s="270"/>
      <c r="U323" s="270"/>
      <c r="V323" s="270"/>
      <c r="W323" s="270"/>
      <c r="X323" s="270"/>
      <c r="Y323" s="270"/>
      <c r="Z323" s="270"/>
      <c r="AA323" s="270"/>
    </row>
    <row r="324" spans="3:27" ht="15" thickBot="1" x14ac:dyDescent="0.35">
      <c r="C324" s="501" t="s">
        <v>86</v>
      </c>
      <c r="D324" s="116"/>
      <c r="E324" s="116" t="s">
        <v>43</v>
      </c>
      <c r="F324" s="116" t="s">
        <v>111</v>
      </c>
      <c r="G324" s="450" t="str">
        <f t="shared" si="11"/>
        <v>Terminal C-Maintenance-Boiler</v>
      </c>
      <c r="H324" s="116"/>
      <c r="I324" s="889" t="s">
        <v>66</v>
      </c>
      <c r="J324" s="890">
        <f>SUMIFS('Level of Efficiency Assumptions'!J:J,'Level of Efficiency Assumptions'!D:D,E324,'Level of Efficiency Assumptions'!F:F,F324,'Level of Efficiency Assumptions'!I:I,I324)</f>
        <v>50</v>
      </c>
      <c r="K324" s="383" t="s">
        <v>585</v>
      </c>
      <c r="L324" s="257" t="s">
        <v>66</v>
      </c>
      <c r="M324" s="879">
        <f>Q326+Q327</f>
        <v>0</v>
      </c>
      <c r="N324" s="880">
        <f>IFERROR(M324/M325,"-")</f>
        <v>0</v>
      </c>
      <c r="O324" s="881">
        <f>SUMIFS('Data Entry'!T:T,'Data Entry'!K:K,G324)</f>
        <v>0</v>
      </c>
      <c r="P324" s="274"/>
      <c r="Q324" s="895">
        <v>1</v>
      </c>
      <c r="R324" s="114"/>
      <c r="S324" s="884"/>
      <c r="T324" s="270"/>
      <c r="U324" s="270"/>
      <c r="V324" s="270"/>
      <c r="W324" s="270"/>
      <c r="X324" s="270"/>
      <c r="Y324" s="270"/>
      <c r="Z324" s="270"/>
      <c r="AA324" s="270"/>
    </row>
    <row r="325" spans="3:27" x14ac:dyDescent="0.3">
      <c r="C325" s="450"/>
      <c r="D325" s="182"/>
      <c r="E325" s="182"/>
      <c r="F325" s="182"/>
      <c r="G325" s="450" t="str">
        <f t="shared" si="11"/>
        <v>--</v>
      </c>
      <c r="H325" s="182"/>
      <c r="I325" s="440"/>
      <c r="J325" s="892"/>
      <c r="K325" s="259"/>
      <c r="L325" s="259" t="s">
        <v>46</v>
      </c>
      <c r="M325" s="893">
        <f>SUM(M322:M324)</f>
        <v>1</v>
      </c>
      <c r="N325" s="894"/>
      <c r="O325" s="894">
        <f>SUM(O322:O324)</f>
        <v>0</v>
      </c>
      <c r="P325" s="274"/>
      <c r="Q325" s="895">
        <v>0</v>
      </c>
      <c r="R325" s="114"/>
      <c r="S325" s="884"/>
      <c r="T325" s="270"/>
      <c r="U325" s="270"/>
      <c r="V325" s="270"/>
      <c r="W325" s="270"/>
      <c r="X325" s="270"/>
      <c r="Y325" s="270"/>
      <c r="Z325" s="270"/>
      <c r="AA325" s="270"/>
    </row>
    <row r="326" spans="3:27" x14ac:dyDescent="0.3">
      <c r="C326" s="450"/>
      <c r="D326" s="182"/>
      <c r="E326" s="182"/>
      <c r="F326" s="182"/>
      <c r="G326" s="450" t="str">
        <f t="shared" si="11"/>
        <v>--</v>
      </c>
      <c r="H326" s="182"/>
      <c r="I326" s="892"/>
      <c r="J326" s="892"/>
      <c r="K326" s="182"/>
      <c r="L326" s="182"/>
      <c r="M326" s="270"/>
      <c r="N326" s="892"/>
      <c r="O326" s="892"/>
      <c r="P326" s="275"/>
      <c r="Q326" s="895">
        <v>0</v>
      </c>
      <c r="R326" s="114"/>
      <c r="S326" s="884"/>
      <c r="T326" s="270"/>
      <c r="U326" s="270"/>
      <c r="V326" s="270"/>
      <c r="W326" s="270"/>
      <c r="X326" s="270"/>
      <c r="Y326" s="270"/>
      <c r="Z326" s="270"/>
      <c r="AA326" s="270"/>
    </row>
    <row r="327" spans="3:27" x14ac:dyDescent="0.3">
      <c r="C327" s="450"/>
      <c r="D327" s="182"/>
      <c r="E327" s="182"/>
      <c r="F327" s="182"/>
      <c r="G327" s="450" t="str">
        <f t="shared" si="11"/>
        <v>--</v>
      </c>
      <c r="H327" s="182"/>
      <c r="I327" s="892"/>
      <c r="J327" s="892"/>
      <c r="K327" s="182"/>
      <c r="L327" s="182"/>
      <c r="M327" s="270"/>
      <c r="N327" s="892"/>
      <c r="O327" s="892"/>
      <c r="P327" s="269"/>
      <c r="Q327" s="895">
        <v>0</v>
      </c>
      <c r="R327" s="114"/>
      <c r="S327" s="884"/>
      <c r="T327" s="270"/>
      <c r="U327" s="270"/>
      <c r="V327" s="270"/>
      <c r="W327" s="270"/>
      <c r="X327" s="270"/>
      <c r="Y327" s="270"/>
      <c r="Z327" s="270"/>
      <c r="AA327" s="270"/>
    </row>
    <row r="328" spans="3:27" x14ac:dyDescent="0.3">
      <c r="C328" s="450"/>
      <c r="D328" s="182"/>
      <c r="E328" s="182"/>
      <c r="F328" s="182"/>
      <c r="G328" s="450" t="str">
        <f t="shared" si="11"/>
        <v>--</v>
      </c>
      <c r="H328" s="182"/>
      <c r="I328" s="892"/>
      <c r="J328" s="892"/>
      <c r="K328" s="182"/>
      <c r="L328" s="182"/>
      <c r="M328" s="270"/>
      <c r="N328" s="892"/>
      <c r="O328" s="892"/>
      <c r="P328" s="263" t="s">
        <v>46</v>
      </c>
      <c r="Q328" s="897">
        <f>SUM(Q322:Q327)</f>
        <v>1</v>
      </c>
      <c r="R328" s="899"/>
      <c r="S328" s="900"/>
      <c r="T328" s="270"/>
      <c r="U328" s="270"/>
      <c r="V328" s="270"/>
      <c r="W328" s="270"/>
      <c r="X328" s="270"/>
      <c r="Y328" s="270"/>
      <c r="Z328" s="270"/>
      <c r="AA328" s="270"/>
    </row>
    <row r="329" spans="3:27" x14ac:dyDescent="0.3">
      <c r="C329" s="450"/>
      <c r="D329" s="182"/>
      <c r="E329" s="182"/>
      <c r="F329" s="182"/>
      <c r="G329" s="450" t="str">
        <f t="shared" si="11"/>
        <v>--</v>
      </c>
      <c r="H329" s="182"/>
      <c r="I329" s="892"/>
      <c r="J329" s="892"/>
      <c r="K329" s="182"/>
      <c r="L329" s="182"/>
      <c r="M329" s="270"/>
      <c r="N329" s="892"/>
      <c r="O329" s="892"/>
      <c r="P329" s="259"/>
      <c r="Q329" s="114"/>
      <c r="R329" s="270"/>
      <c r="S329" s="270"/>
      <c r="T329" s="270"/>
      <c r="U329" s="270"/>
      <c r="V329" s="270"/>
      <c r="W329" s="270"/>
      <c r="X329" s="270"/>
      <c r="Y329" s="270"/>
      <c r="Z329" s="270"/>
      <c r="AA329" s="270"/>
    </row>
    <row r="330" spans="3:27" ht="15" thickBot="1" x14ac:dyDescent="0.35">
      <c r="C330" s="450"/>
      <c r="D330" s="182"/>
      <c r="E330" s="182"/>
      <c r="F330" s="182"/>
      <c r="G330" s="450" t="str">
        <f t="shared" si="11"/>
        <v>--</v>
      </c>
      <c r="H330" s="182"/>
      <c r="I330" s="892"/>
      <c r="J330" s="892"/>
      <c r="K330" s="182"/>
      <c r="L330" s="182"/>
      <c r="M330" s="870" t="s">
        <v>155</v>
      </c>
      <c r="N330" s="870" t="s">
        <v>188</v>
      </c>
      <c r="O330" s="870"/>
      <c r="P330" s="276" t="s">
        <v>426</v>
      </c>
      <c r="Q330" s="871" t="s">
        <v>155</v>
      </c>
      <c r="R330" s="902"/>
      <c r="S330" s="874"/>
      <c r="T330" s="270"/>
      <c r="U330" s="270"/>
      <c r="V330" s="270"/>
      <c r="W330" s="270"/>
      <c r="X330" s="270"/>
      <c r="Y330" s="270"/>
      <c r="Z330" s="270"/>
      <c r="AA330" s="270"/>
    </row>
    <row r="331" spans="3:27" ht="15" thickBot="1" x14ac:dyDescent="0.35">
      <c r="C331" s="566" t="s">
        <v>86</v>
      </c>
      <c r="D331" s="875" t="str">
        <f>VLOOKUP(C331,'Airport Mapping'!$C$5:$D$39,2,FALSE)</f>
        <v xml:space="preserve"> </v>
      </c>
      <c r="E331" s="567" t="s">
        <v>43</v>
      </c>
      <c r="F331" s="567" t="s">
        <v>426</v>
      </c>
      <c r="G331" s="450" t="str">
        <f t="shared" si="11"/>
        <v>Terminal C-Maintenance-Pavement cleaning</v>
      </c>
      <c r="H331" s="567" t="s">
        <v>3</v>
      </c>
      <c r="I331" s="877" t="s">
        <v>64</v>
      </c>
      <c r="J331" s="878">
        <f>SUMIFS('Level of Efficiency Assumptions'!J:J,'Level of Efficiency Assumptions'!D:D,E331,'Level of Efficiency Assumptions'!F:F,F331,'Level of Efficiency Assumptions'!I:I,I331)</f>
        <v>10</v>
      </c>
      <c r="K331" s="383" t="s">
        <v>588</v>
      </c>
      <c r="L331" s="253" t="s">
        <v>64</v>
      </c>
      <c r="M331" s="879">
        <f>SUM(Q331:Q332)</f>
        <v>0</v>
      </c>
      <c r="N331" s="880">
        <f>IFERROR(M331/M334,"-")</f>
        <v>0</v>
      </c>
      <c r="O331" s="881">
        <f>SUMIFS('Data Entry'!R:R,'Data Entry'!K:K,G331)</f>
        <v>0</v>
      </c>
      <c r="P331" s="272"/>
      <c r="Q331" s="895">
        <v>0</v>
      </c>
      <c r="R331" s="114"/>
      <c r="S331" s="884"/>
      <c r="T331" s="270"/>
      <c r="U331" s="270"/>
      <c r="V331" s="270"/>
      <c r="W331" s="270"/>
      <c r="X331" s="270"/>
      <c r="Y331" s="270"/>
      <c r="Z331" s="270"/>
      <c r="AA331" s="270"/>
    </row>
    <row r="332" spans="3:27" ht="15" thickBot="1" x14ac:dyDescent="0.35">
      <c r="C332" s="494" t="s">
        <v>86</v>
      </c>
      <c r="D332" s="577"/>
      <c r="E332" s="577" t="s">
        <v>43</v>
      </c>
      <c r="F332" s="577" t="s">
        <v>426</v>
      </c>
      <c r="G332" s="450" t="str">
        <f t="shared" si="11"/>
        <v>Terminal C-Maintenance-Pavement cleaning</v>
      </c>
      <c r="H332" s="577"/>
      <c r="I332" s="887" t="s">
        <v>65</v>
      </c>
      <c r="J332" s="878">
        <f>SUMIFS('Level of Efficiency Assumptions'!J:J,'Level of Efficiency Assumptions'!D:D,E332,'Level of Efficiency Assumptions'!F:F,F332,'Level of Efficiency Assumptions'!I:I,I332)</f>
        <v>7.5</v>
      </c>
      <c r="K332" s="383" t="s">
        <v>588</v>
      </c>
      <c r="L332" s="255" t="s">
        <v>65</v>
      </c>
      <c r="M332" s="879">
        <f>Q333+Q334</f>
        <v>1</v>
      </c>
      <c r="N332" s="880">
        <f>IFERROR(M332/M334,"-")</f>
        <v>1</v>
      </c>
      <c r="O332" s="881">
        <f>SUMIFS('Data Entry'!S:S,'Data Entry'!K:K,G332)</f>
        <v>0</v>
      </c>
      <c r="P332" s="272"/>
      <c r="Q332" s="895">
        <v>0</v>
      </c>
      <c r="R332" s="114"/>
      <c r="S332" s="884"/>
      <c r="T332" s="270"/>
      <c r="U332" s="270"/>
      <c r="V332" s="270"/>
      <c r="W332" s="270"/>
      <c r="X332" s="270"/>
      <c r="Y332" s="270"/>
      <c r="Z332" s="270"/>
      <c r="AA332" s="270"/>
    </row>
    <row r="333" spans="3:27" ht="15" thickBot="1" x14ac:dyDescent="0.35">
      <c r="C333" s="501" t="s">
        <v>86</v>
      </c>
      <c r="D333" s="116"/>
      <c r="E333" s="116" t="s">
        <v>43</v>
      </c>
      <c r="F333" s="116" t="s">
        <v>426</v>
      </c>
      <c r="G333" s="450" t="str">
        <f t="shared" si="11"/>
        <v>Terminal C-Maintenance-Pavement cleaning</v>
      </c>
      <c r="H333" s="116"/>
      <c r="I333" s="889" t="s">
        <v>66</v>
      </c>
      <c r="J333" s="890">
        <f>SUMIFS('Level of Efficiency Assumptions'!J:J,'Level of Efficiency Assumptions'!D:D,E333,'Level of Efficiency Assumptions'!F:F,F333,'Level of Efficiency Assumptions'!I:I,I333)</f>
        <v>5</v>
      </c>
      <c r="K333" s="383" t="s">
        <v>588</v>
      </c>
      <c r="L333" s="257" t="s">
        <v>66</v>
      </c>
      <c r="M333" s="879">
        <f>Q335+Q336</f>
        <v>0</v>
      </c>
      <c r="N333" s="880">
        <f>IFERROR(M333/M334,"-")</f>
        <v>0</v>
      </c>
      <c r="O333" s="881">
        <f>SUMIFS('Data Entry'!T:T,'Data Entry'!K:K,G333)</f>
        <v>0</v>
      </c>
      <c r="P333" s="274"/>
      <c r="Q333" s="895">
        <v>1</v>
      </c>
      <c r="R333" s="114"/>
      <c r="S333" s="884"/>
      <c r="T333" s="270"/>
      <c r="U333" s="270"/>
      <c r="V333" s="270"/>
      <c r="W333" s="270"/>
      <c r="X333" s="270"/>
      <c r="Y333" s="270"/>
      <c r="Z333" s="270"/>
      <c r="AA333" s="270"/>
    </row>
    <row r="334" spans="3:27" x14ac:dyDescent="0.3">
      <c r="C334" s="450"/>
      <c r="D334" s="182"/>
      <c r="E334" s="182"/>
      <c r="F334" s="182"/>
      <c r="G334" s="450" t="str">
        <f t="shared" si="11"/>
        <v>--</v>
      </c>
      <c r="H334" s="182"/>
      <c r="I334" s="440"/>
      <c r="J334" s="892"/>
      <c r="K334" s="259"/>
      <c r="L334" s="259" t="s">
        <v>46</v>
      </c>
      <c r="M334" s="893">
        <f>SUM(M331:M333)</f>
        <v>1</v>
      </c>
      <c r="N334" s="894"/>
      <c r="O334" s="894">
        <f>SUM(O331:O333)</f>
        <v>0</v>
      </c>
      <c r="P334" s="274"/>
      <c r="Q334" s="895">
        <v>0</v>
      </c>
      <c r="R334" s="114"/>
      <c r="S334" s="884"/>
      <c r="T334" s="270"/>
      <c r="U334" s="270"/>
      <c r="V334" s="270"/>
      <c r="W334" s="270"/>
      <c r="X334" s="270"/>
      <c r="Y334" s="270"/>
      <c r="Z334" s="270"/>
      <c r="AA334" s="270"/>
    </row>
    <row r="335" spans="3:27" x14ac:dyDescent="0.3">
      <c r="C335" s="450"/>
      <c r="D335" s="182"/>
      <c r="E335" s="182"/>
      <c r="F335" s="182"/>
      <c r="G335" s="450" t="str">
        <f t="shared" si="11"/>
        <v>--</v>
      </c>
      <c r="H335" s="182"/>
      <c r="I335" s="892"/>
      <c r="J335" s="892"/>
      <c r="K335" s="182"/>
      <c r="L335" s="182"/>
      <c r="M335" s="270"/>
      <c r="N335" s="892"/>
      <c r="O335" s="892"/>
      <c r="P335" s="275"/>
      <c r="Q335" s="895">
        <v>0</v>
      </c>
      <c r="R335" s="114"/>
      <c r="S335" s="884"/>
      <c r="T335" s="270"/>
      <c r="U335" s="270"/>
      <c r="V335" s="270"/>
      <c r="W335" s="270"/>
      <c r="X335" s="270"/>
      <c r="Y335" s="270"/>
      <c r="Z335" s="270"/>
      <c r="AA335" s="270"/>
    </row>
    <row r="336" spans="3:27" x14ac:dyDescent="0.3">
      <c r="C336" s="450"/>
      <c r="D336" s="182"/>
      <c r="E336" s="182"/>
      <c r="F336" s="182"/>
      <c r="G336" s="450" t="str">
        <f t="shared" si="11"/>
        <v>--</v>
      </c>
      <c r="H336" s="182"/>
      <c r="I336" s="892"/>
      <c r="J336" s="892"/>
      <c r="K336" s="182"/>
      <c r="L336" s="182"/>
      <c r="M336" s="270"/>
      <c r="N336" s="892"/>
      <c r="O336" s="892"/>
      <c r="P336" s="269"/>
      <c r="Q336" s="895">
        <v>0</v>
      </c>
      <c r="R336" s="114"/>
      <c r="S336" s="884"/>
      <c r="T336" s="270"/>
      <c r="U336" s="270"/>
      <c r="V336" s="270"/>
      <c r="W336" s="270"/>
      <c r="X336" s="270"/>
      <c r="Y336" s="270"/>
      <c r="Z336" s="270"/>
      <c r="AA336" s="270"/>
    </row>
    <row r="337" spans="3:27" x14ac:dyDescent="0.3">
      <c r="C337" s="450"/>
      <c r="D337" s="182"/>
      <c r="E337" s="182"/>
      <c r="F337" s="182"/>
      <c r="G337" s="450" t="str">
        <f t="shared" si="11"/>
        <v>--</v>
      </c>
      <c r="H337" s="182"/>
      <c r="I337" s="892"/>
      <c r="J337" s="892"/>
      <c r="K337" s="182"/>
      <c r="L337" s="182"/>
      <c r="M337" s="270"/>
      <c r="N337" s="892"/>
      <c r="O337" s="892"/>
      <c r="P337" s="263" t="s">
        <v>46</v>
      </c>
      <c r="Q337" s="897">
        <f>SUM(Q331:Q336)</f>
        <v>1</v>
      </c>
      <c r="R337" s="899"/>
      <c r="S337" s="900"/>
      <c r="T337" s="270"/>
      <c r="U337" s="270"/>
      <c r="V337" s="270"/>
      <c r="W337" s="270"/>
      <c r="X337" s="270"/>
      <c r="Y337" s="270"/>
      <c r="Z337" s="270"/>
      <c r="AA337" s="270"/>
    </row>
    <row r="338" spans="3:27" x14ac:dyDescent="0.3">
      <c r="C338" s="450"/>
      <c r="D338" s="182"/>
      <c r="E338" s="182"/>
      <c r="F338" s="182"/>
      <c r="G338" s="450" t="str">
        <f t="shared" si="11"/>
        <v>--</v>
      </c>
      <c r="H338" s="182"/>
      <c r="I338" s="892"/>
      <c r="J338" s="892"/>
      <c r="K338" s="182"/>
      <c r="L338" s="182"/>
      <c r="M338" s="270"/>
      <c r="N338" s="892"/>
      <c r="O338" s="892"/>
      <c r="P338" s="259"/>
      <c r="Q338" s="114"/>
      <c r="R338" s="270"/>
      <c r="S338" s="270"/>
      <c r="T338" s="270"/>
      <c r="U338" s="270"/>
      <c r="V338" s="270"/>
      <c r="W338" s="270"/>
      <c r="X338" s="270"/>
      <c r="Y338" s="270"/>
      <c r="Z338" s="270"/>
      <c r="AA338" s="270"/>
    </row>
    <row r="339" spans="3:27" ht="15" thickBot="1" x14ac:dyDescent="0.35">
      <c r="C339" s="450"/>
      <c r="D339" s="182"/>
      <c r="E339" s="182"/>
      <c r="F339" s="182"/>
      <c r="G339" s="450" t="str">
        <f t="shared" si="11"/>
        <v>--</v>
      </c>
      <c r="H339" s="182"/>
      <c r="I339" s="892"/>
      <c r="J339" s="892"/>
      <c r="K339" s="182"/>
      <c r="L339" s="182"/>
      <c r="M339" s="870" t="s">
        <v>155</v>
      </c>
      <c r="N339" s="870" t="s">
        <v>188</v>
      </c>
      <c r="O339" s="870"/>
      <c r="P339" s="276" t="s">
        <v>52</v>
      </c>
      <c r="Q339" s="871" t="s">
        <v>155</v>
      </c>
      <c r="R339" s="902"/>
      <c r="S339" s="874"/>
      <c r="T339" s="270"/>
      <c r="U339" s="270"/>
      <c r="V339" s="270"/>
      <c r="W339" s="270"/>
      <c r="X339" s="270"/>
      <c r="Y339" s="270"/>
      <c r="Z339" s="270"/>
      <c r="AA339" s="270"/>
    </row>
    <row r="340" spans="3:27" ht="15" thickBot="1" x14ac:dyDescent="0.35">
      <c r="C340" s="566" t="s">
        <v>86</v>
      </c>
      <c r="D340" s="875" t="str">
        <f>VLOOKUP(C340,'Airport Mapping'!$C$5:$D$39,2,FALSE)</f>
        <v xml:space="preserve"> </v>
      </c>
      <c r="E340" s="567" t="s">
        <v>8</v>
      </c>
      <c r="F340" s="567" t="s">
        <v>52</v>
      </c>
      <c r="G340" s="450" t="str">
        <f t="shared" si="11"/>
        <v>Terminal C-Other-Other 1</v>
      </c>
      <c r="H340" s="567" t="s">
        <v>362</v>
      </c>
      <c r="I340" s="877" t="s">
        <v>64</v>
      </c>
      <c r="J340" s="878">
        <f>SUMIFS('Level of Efficiency Assumptions'!J:J,'Level of Efficiency Assumptions'!D:D,E340,'Level of Efficiency Assumptions'!F:F,F340,'Level of Efficiency Assumptions'!I:I,I340)</f>
        <v>10</v>
      </c>
      <c r="K340" s="383" t="s">
        <v>588</v>
      </c>
      <c r="L340" s="253" t="s">
        <v>64</v>
      </c>
      <c r="M340" s="879">
        <f>SUM(Q340:Q340)</f>
        <v>0</v>
      </c>
      <c r="N340" s="880">
        <f>IFERROR(M340/M343,"-")</f>
        <v>0</v>
      </c>
      <c r="O340" s="881">
        <f>SUMIFS('Data Entry'!R:R,'Data Entry'!K:K,G340)</f>
        <v>0</v>
      </c>
      <c r="P340" s="272" t="s">
        <v>129</v>
      </c>
      <c r="Q340" s="895">
        <v>0</v>
      </c>
      <c r="R340" s="114"/>
      <c r="S340" s="884"/>
      <c r="T340" s="270"/>
      <c r="U340" s="270"/>
      <c r="V340" s="270"/>
      <c r="W340" s="270"/>
      <c r="X340" s="270"/>
      <c r="Y340" s="270"/>
      <c r="Z340" s="270"/>
      <c r="AA340" s="270"/>
    </row>
    <row r="341" spans="3:27" ht="15" thickBot="1" x14ac:dyDescent="0.35">
      <c r="C341" s="494" t="s">
        <v>86</v>
      </c>
      <c r="D341" s="577"/>
      <c r="E341" s="577" t="s">
        <v>8</v>
      </c>
      <c r="F341" s="577" t="s">
        <v>52</v>
      </c>
      <c r="G341" s="450" t="str">
        <f t="shared" si="11"/>
        <v>Terminal C-Other-Other 1</v>
      </c>
      <c r="H341" s="577"/>
      <c r="I341" s="887" t="s">
        <v>65</v>
      </c>
      <c r="J341" s="878">
        <f>SUMIFS('Level of Efficiency Assumptions'!J:J,'Level of Efficiency Assumptions'!D:D,E341,'Level of Efficiency Assumptions'!F:F,F341,'Level of Efficiency Assumptions'!I:I,I341)</f>
        <v>7.5</v>
      </c>
      <c r="K341" s="383" t="s">
        <v>588</v>
      </c>
      <c r="L341" s="255" t="s">
        <v>65</v>
      </c>
      <c r="M341" s="879">
        <f t="shared" ref="M341:M342" si="12">SUM(Q341:Q341)</f>
        <v>1</v>
      </c>
      <c r="N341" s="880">
        <f>IFERROR(M341/M343,"-")</f>
        <v>1</v>
      </c>
      <c r="O341" s="881">
        <f>SUMIFS('Data Entry'!S:S,'Data Entry'!K:K,G341)</f>
        <v>0</v>
      </c>
      <c r="P341" s="274" t="s">
        <v>233</v>
      </c>
      <c r="Q341" s="895">
        <v>1</v>
      </c>
      <c r="R341" s="114"/>
      <c r="S341" s="884"/>
      <c r="T341" s="270"/>
      <c r="U341" s="270"/>
      <c r="V341" s="270"/>
      <c r="W341" s="270"/>
      <c r="X341" s="270"/>
      <c r="Y341" s="270"/>
      <c r="Z341" s="270"/>
      <c r="AA341" s="270"/>
    </row>
    <row r="342" spans="3:27" ht="15" thickBot="1" x14ac:dyDescent="0.35">
      <c r="C342" s="501" t="s">
        <v>86</v>
      </c>
      <c r="D342" s="116"/>
      <c r="E342" s="116" t="s">
        <v>8</v>
      </c>
      <c r="F342" s="116" t="s">
        <v>52</v>
      </c>
      <c r="G342" s="450" t="str">
        <f t="shared" ref="G342:G402" si="13">C342&amp;"-"&amp;E342&amp;"-"&amp;F342</f>
        <v>Terminal C-Other-Other 1</v>
      </c>
      <c r="H342" s="116"/>
      <c r="I342" s="889" t="s">
        <v>66</v>
      </c>
      <c r="J342" s="890">
        <f>SUMIFS('Level of Efficiency Assumptions'!J:J,'Level of Efficiency Assumptions'!D:D,E342,'Level of Efficiency Assumptions'!F:F,F342,'Level of Efficiency Assumptions'!I:I,I342)</f>
        <v>5</v>
      </c>
      <c r="K342" s="383" t="s">
        <v>588</v>
      </c>
      <c r="L342" s="257" t="s">
        <v>66</v>
      </c>
      <c r="M342" s="879">
        <f t="shared" si="12"/>
        <v>0</v>
      </c>
      <c r="N342" s="880">
        <f>IFERROR(M342/M343,"-")</f>
        <v>0</v>
      </c>
      <c r="O342" s="881">
        <f>SUMIFS('Data Entry'!T:T,'Data Entry'!K:K,G342)</f>
        <v>0</v>
      </c>
      <c r="P342" s="269" t="s">
        <v>234</v>
      </c>
      <c r="Q342" s="895">
        <v>0</v>
      </c>
      <c r="R342" s="114"/>
      <c r="S342" s="884"/>
      <c r="T342" s="270"/>
      <c r="U342" s="270"/>
      <c r="V342" s="270"/>
      <c r="W342" s="270"/>
      <c r="X342" s="270"/>
      <c r="Y342" s="270"/>
      <c r="Z342" s="270"/>
      <c r="AA342" s="270"/>
    </row>
    <row r="343" spans="3:27" x14ac:dyDescent="0.3">
      <c r="C343" s="450"/>
      <c r="D343" s="182"/>
      <c r="E343" s="182"/>
      <c r="F343" s="182"/>
      <c r="G343" s="450" t="str">
        <f t="shared" si="13"/>
        <v>--</v>
      </c>
      <c r="H343" s="182"/>
      <c r="I343" s="440"/>
      <c r="J343" s="892"/>
      <c r="K343" s="259"/>
      <c r="L343" s="259" t="s">
        <v>46</v>
      </c>
      <c r="M343" s="893">
        <f>SUM(M340:M342)</f>
        <v>1</v>
      </c>
      <c r="N343" s="894"/>
      <c r="O343" s="894">
        <f>SUM(O340:O342)</f>
        <v>0</v>
      </c>
      <c r="P343" s="263" t="s">
        <v>46</v>
      </c>
      <c r="Q343" s="897">
        <f>SUM(Q340:Q342)</f>
        <v>1</v>
      </c>
      <c r="R343" s="899"/>
      <c r="S343" s="900"/>
      <c r="T343" s="270"/>
      <c r="U343" s="270"/>
      <c r="V343" s="270"/>
      <c r="W343" s="270"/>
      <c r="X343" s="270"/>
      <c r="Y343" s="270"/>
      <c r="Z343" s="270"/>
      <c r="AA343" s="270"/>
    </row>
    <row r="344" spans="3:27" x14ac:dyDescent="0.3">
      <c r="C344" s="450"/>
      <c r="D344" s="182"/>
      <c r="E344" s="182"/>
      <c r="F344" s="182"/>
      <c r="G344" s="450" t="str">
        <f t="shared" si="13"/>
        <v>--</v>
      </c>
      <c r="H344" s="182"/>
      <c r="I344" s="892"/>
      <c r="J344" s="892"/>
      <c r="K344" s="182"/>
      <c r="L344" s="182"/>
      <c r="M344" s="270"/>
      <c r="N344" s="892"/>
      <c r="O344" s="892"/>
      <c r="P344" s="270"/>
      <c r="Q344" s="270"/>
      <c r="R344" s="270"/>
      <c r="S344" s="270"/>
      <c r="T344" s="270"/>
      <c r="U344" s="270"/>
      <c r="V344" s="270"/>
      <c r="W344" s="270"/>
      <c r="X344" s="270"/>
      <c r="Y344" s="270"/>
      <c r="Z344" s="270"/>
      <c r="AA344" s="270"/>
    </row>
    <row r="345" spans="3:27" ht="15" thickBot="1" x14ac:dyDescent="0.35">
      <c r="C345" s="450"/>
      <c r="D345" s="182"/>
      <c r="E345" s="182"/>
      <c r="F345" s="182"/>
      <c r="G345" s="450" t="str">
        <f t="shared" si="13"/>
        <v>--</v>
      </c>
      <c r="H345" s="182"/>
      <c r="I345" s="892"/>
      <c r="J345" s="892"/>
      <c r="K345" s="182"/>
      <c r="L345" s="182"/>
      <c r="M345" s="870" t="s">
        <v>155</v>
      </c>
      <c r="N345" s="870" t="s">
        <v>188</v>
      </c>
      <c r="O345" s="870"/>
      <c r="P345" s="276" t="s">
        <v>53</v>
      </c>
      <c r="Q345" s="871" t="s">
        <v>155</v>
      </c>
      <c r="R345" s="902"/>
      <c r="S345" s="874"/>
      <c r="T345" s="270"/>
      <c r="U345" s="270"/>
      <c r="V345" s="270"/>
      <c r="W345" s="270"/>
      <c r="X345" s="270"/>
      <c r="Y345" s="270"/>
      <c r="Z345" s="270"/>
      <c r="AA345" s="270"/>
    </row>
    <row r="346" spans="3:27" ht="15" thickBot="1" x14ac:dyDescent="0.35">
      <c r="C346" s="566" t="s">
        <v>86</v>
      </c>
      <c r="D346" s="875" t="str">
        <f>VLOOKUP(C346,'Airport Mapping'!$C$5:$D$39,2,FALSE)</f>
        <v xml:space="preserve"> </v>
      </c>
      <c r="E346" s="567" t="s">
        <v>8</v>
      </c>
      <c r="F346" s="567" t="s">
        <v>53</v>
      </c>
      <c r="G346" s="450" t="str">
        <f t="shared" si="13"/>
        <v>Terminal C-Other-Other 2</v>
      </c>
      <c r="H346" s="567" t="s">
        <v>363</v>
      </c>
      <c r="I346" s="877" t="s">
        <v>64</v>
      </c>
      <c r="J346" s="878">
        <f>SUMIFS('Level of Efficiency Assumptions'!J:J,'Level of Efficiency Assumptions'!D:D,E346,'Level of Efficiency Assumptions'!F:F,F346,'Level of Efficiency Assumptions'!I:I,I346)</f>
        <v>10</v>
      </c>
      <c r="K346" s="383" t="s">
        <v>588</v>
      </c>
      <c r="L346" s="253" t="s">
        <v>64</v>
      </c>
      <c r="M346" s="879">
        <f>SUM(Q346:Q346)</f>
        <v>0</v>
      </c>
      <c r="N346" s="880">
        <f>IFERROR(M346/M349,"-")</f>
        <v>0</v>
      </c>
      <c r="O346" s="881">
        <f>SUMIFS('Data Entry'!R:R,'Data Entry'!K:K,G346)</f>
        <v>0</v>
      </c>
      <c r="P346" s="272" t="s">
        <v>129</v>
      </c>
      <c r="Q346" s="895">
        <v>0</v>
      </c>
      <c r="R346" s="114"/>
      <c r="S346" s="884"/>
      <c r="T346" s="270"/>
      <c r="U346" s="270"/>
      <c r="V346" s="270"/>
      <c r="W346" s="270"/>
      <c r="X346" s="270"/>
      <c r="Y346" s="270"/>
      <c r="Z346" s="270"/>
      <c r="AA346" s="270"/>
    </row>
    <row r="347" spans="3:27" ht="15" thickBot="1" x14ac:dyDescent="0.35">
      <c r="C347" s="494" t="s">
        <v>86</v>
      </c>
      <c r="D347" s="577"/>
      <c r="E347" s="577" t="s">
        <v>8</v>
      </c>
      <c r="F347" s="577" t="s">
        <v>53</v>
      </c>
      <c r="G347" s="450" t="str">
        <f t="shared" si="13"/>
        <v>Terminal C-Other-Other 2</v>
      </c>
      <c r="H347" s="577"/>
      <c r="I347" s="887" t="s">
        <v>65</v>
      </c>
      <c r="J347" s="878">
        <f>SUMIFS('Level of Efficiency Assumptions'!J:J,'Level of Efficiency Assumptions'!D:D,E347,'Level of Efficiency Assumptions'!F:F,F347,'Level of Efficiency Assumptions'!I:I,I347)</f>
        <v>7.5</v>
      </c>
      <c r="K347" s="383" t="s">
        <v>588</v>
      </c>
      <c r="L347" s="255" t="s">
        <v>65</v>
      </c>
      <c r="M347" s="879">
        <f t="shared" ref="M347:M348" si="14">SUM(Q347:Q347)</f>
        <v>1</v>
      </c>
      <c r="N347" s="880">
        <f>IFERROR(M347/M349,"-")</f>
        <v>1</v>
      </c>
      <c r="O347" s="881">
        <f>SUMIFS('Data Entry'!S:S,'Data Entry'!K:K,G347)</f>
        <v>0</v>
      </c>
      <c r="P347" s="274" t="s">
        <v>233</v>
      </c>
      <c r="Q347" s="895">
        <v>1</v>
      </c>
      <c r="R347" s="114"/>
      <c r="S347" s="884"/>
      <c r="T347" s="270"/>
      <c r="U347" s="270"/>
      <c r="V347" s="270"/>
      <c r="W347" s="270"/>
      <c r="X347" s="270"/>
      <c r="Y347" s="270"/>
      <c r="Z347" s="270"/>
      <c r="AA347" s="270"/>
    </row>
    <row r="348" spans="3:27" ht="15" thickBot="1" x14ac:dyDescent="0.35">
      <c r="C348" s="501" t="s">
        <v>86</v>
      </c>
      <c r="D348" s="116"/>
      <c r="E348" s="116" t="s">
        <v>8</v>
      </c>
      <c r="F348" s="116" t="s">
        <v>53</v>
      </c>
      <c r="G348" s="450" t="str">
        <f t="shared" si="13"/>
        <v>Terminal C-Other-Other 2</v>
      </c>
      <c r="H348" s="116"/>
      <c r="I348" s="889" t="s">
        <v>66</v>
      </c>
      <c r="J348" s="890">
        <f>SUMIFS('Level of Efficiency Assumptions'!J:J,'Level of Efficiency Assumptions'!D:D,E348,'Level of Efficiency Assumptions'!F:F,F348,'Level of Efficiency Assumptions'!I:I,I348)</f>
        <v>5</v>
      </c>
      <c r="K348" s="383" t="s">
        <v>588</v>
      </c>
      <c r="L348" s="257" t="s">
        <v>66</v>
      </c>
      <c r="M348" s="879">
        <f t="shared" si="14"/>
        <v>0</v>
      </c>
      <c r="N348" s="880">
        <f>IFERROR(M348/M349,"-")</f>
        <v>0</v>
      </c>
      <c r="O348" s="881">
        <f>SUMIFS('Data Entry'!T:T,'Data Entry'!K:K,G348)</f>
        <v>0</v>
      </c>
      <c r="P348" s="269" t="s">
        <v>234</v>
      </c>
      <c r="Q348" s="895">
        <v>0</v>
      </c>
      <c r="R348" s="114"/>
      <c r="S348" s="884"/>
      <c r="T348" s="270"/>
      <c r="U348" s="270"/>
      <c r="V348" s="270"/>
      <c r="W348" s="270"/>
      <c r="X348" s="270"/>
      <c r="Y348" s="270"/>
      <c r="Z348" s="270"/>
      <c r="AA348" s="270"/>
    </row>
    <row r="349" spans="3:27" x14ac:dyDescent="0.3">
      <c r="C349" s="450"/>
      <c r="D349" s="182"/>
      <c r="E349" s="182"/>
      <c r="F349" s="182"/>
      <c r="G349" s="450" t="str">
        <f t="shared" si="13"/>
        <v>--</v>
      </c>
      <c r="H349" s="182"/>
      <c r="I349" s="440"/>
      <c r="J349" s="892"/>
      <c r="K349" s="259"/>
      <c r="L349" s="259" t="s">
        <v>46</v>
      </c>
      <c r="M349" s="893">
        <f>SUM(M346:M348)</f>
        <v>1</v>
      </c>
      <c r="N349" s="894"/>
      <c r="O349" s="894">
        <f>SUM(O346:O348)</f>
        <v>0</v>
      </c>
      <c r="P349" s="263" t="s">
        <v>46</v>
      </c>
      <c r="Q349" s="897">
        <f>SUM(Q346:Q348)</f>
        <v>1</v>
      </c>
      <c r="R349" s="899"/>
      <c r="S349" s="900"/>
      <c r="T349" s="270"/>
      <c r="U349" s="270"/>
      <c r="V349" s="270"/>
      <c r="W349" s="270"/>
      <c r="X349" s="270"/>
      <c r="Y349" s="270"/>
      <c r="Z349" s="270"/>
      <c r="AA349" s="270"/>
    </row>
    <row r="350" spans="3:27" x14ac:dyDescent="0.3">
      <c r="C350" s="450"/>
      <c r="D350" s="182"/>
      <c r="E350" s="182"/>
      <c r="F350" s="182"/>
      <c r="G350" s="450" t="str">
        <f t="shared" si="13"/>
        <v>--</v>
      </c>
      <c r="H350" s="182"/>
      <c r="I350" s="892"/>
      <c r="J350" s="892"/>
      <c r="K350" s="182"/>
      <c r="L350" s="182"/>
      <c r="M350" s="270"/>
      <c r="N350" s="892"/>
      <c r="O350" s="892"/>
      <c r="P350" s="270"/>
      <c r="Q350" s="270"/>
      <c r="R350" s="270"/>
      <c r="S350" s="270"/>
      <c r="T350" s="270"/>
      <c r="U350" s="270"/>
      <c r="V350" s="270"/>
      <c r="W350" s="270"/>
      <c r="X350" s="270"/>
      <c r="Y350" s="270"/>
      <c r="Z350" s="270"/>
      <c r="AA350" s="270"/>
    </row>
    <row r="351" spans="3:27" ht="15" thickBot="1" x14ac:dyDescent="0.35">
      <c r="C351" s="450"/>
      <c r="D351" s="182"/>
      <c r="E351" s="182"/>
      <c r="F351" s="182"/>
      <c r="G351" s="450" t="str">
        <f t="shared" si="13"/>
        <v>--</v>
      </c>
      <c r="H351" s="182"/>
      <c r="I351" s="892"/>
      <c r="J351" s="892"/>
      <c r="K351" s="182"/>
      <c r="L351" s="182"/>
      <c r="M351" s="870" t="s">
        <v>155</v>
      </c>
      <c r="N351" s="870" t="s">
        <v>188</v>
      </c>
      <c r="O351" s="870"/>
      <c r="P351" s="276" t="s">
        <v>54</v>
      </c>
      <c r="Q351" s="871" t="s">
        <v>155</v>
      </c>
      <c r="R351" s="902"/>
      <c r="S351" s="874"/>
      <c r="T351" s="270"/>
      <c r="U351" s="270"/>
      <c r="V351" s="270"/>
      <c r="W351" s="270"/>
      <c r="X351" s="270"/>
      <c r="Y351" s="270"/>
      <c r="Z351" s="270"/>
      <c r="AA351" s="270"/>
    </row>
    <row r="352" spans="3:27" ht="15" thickBot="1" x14ac:dyDescent="0.35">
      <c r="C352" s="566" t="s">
        <v>86</v>
      </c>
      <c r="D352" s="875" t="str">
        <f>VLOOKUP(C352,'Airport Mapping'!$C$5:$D$39,2,FALSE)</f>
        <v xml:space="preserve"> </v>
      </c>
      <c r="E352" s="567" t="s">
        <v>8</v>
      </c>
      <c r="F352" s="567" t="s">
        <v>54</v>
      </c>
      <c r="G352" s="450" t="str">
        <f t="shared" si="13"/>
        <v>Terminal C-Other-Other 3</v>
      </c>
      <c r="H352" s="567" t="s">
        <v>364</v>
      </c>
      <c r="I352" s="877" t="s">
        <v>64</v>
      </c>
      <c r="J352" s="878">
        <f>SUMIFS('Level of Efficiency Assumptions'!J:J,'Level of Efficiency Assumptions'!D:D,E352,'Level of Efficiency Assumptions'!F:F,F352,'Level of Efficiency Assumptions'!I:I,I352)</f>
        <v>10</v>
      </c>
      <c r="K352" s="383" t="s">
        <v>588</v>
      </c>
      <c r="L352" s="253" t="s">
        <v>64</v>
      </c>
      <c r="M352" s="879">
        <f>SUM(Q352:Q352)</f>
        <v>0</v>
      </c>
      <c r="N352" s="880">
        <f>IFERROR(M352/M355,"-")</f>
        <v>0</v>
      </c>
      <c r="O352" s="881">
        <f>SUMIFS('Data Entry'!R:R,'Data Entry'!K:K,G352)</f>
        <v>0</v>
      </c>
      <c r="P352" s="272" t="s">
        <v>129</v>
      </c>
      <c r="Q352" s="895">
        <v>0</v>
      </c>
      <c r="R352" s="114"/>
      <c r="S352" s="884"/>
      <c r="T352" s="270"/>
      <c r="U352" s="270"/>
      <c r="V352" s="270"/>
      <c r="W352" s="270"/>
      <c r="X352" s="270"/>
      <c r="Y352" s="270"/>
      <c r="Z352" s="270"/>
      <c r="AA352" s="270"/>
    </row>
    <row r="353" spans="3:27" ht="15" thickBot="1" x14ac:dyDescent="0.35">
      <c r="C353" s="494" t="s">
        <v>86</v>
      </c>
      <c r="D353" s="577"/>
      <c r="E353" s="577" t="s">
        <v>8</v>
      </c>
      <c r="F353" s="577" t="s">
        <v>54</v>
      </c>
      <c r="G353" s="450" t="str">
        <f t="shared" si="13"/>
        <v>Terminal C-Other-Other 3</v>
      </c>
      <c r="H353" s="577"/>
      <c r="I353" s="887" t="s">
        <v>65</v>
      </c>
      <c r="J353" s="878">
        <f>SUMIFS('Level of Efficiency Assumptions'!J:J,'Level of Efficiency Assumptions'!D:D,E353,'Level of Efficiency Assumptions'!F:F,F353,'Level of Efficiency Assumptions'!I:I,I353)</f>
        <v>7.5</v>
      </c>
      <c r="K353" s="383" t="s">
        <v>588</v>
      </c>
      <c r="L353" s="255" t="s">
        <v>65</v>
      </c>
      <c r="M353" s="879">
        <f t="shared" ref="M353:M354" si="15">SUM(Q353:Q353)</f>
        <v>1</v>
      </c>
      <c r="N353" s="880">
        <f>IFERROR(M353/M355,"-")</f>
        <v>1</v>
      </c>
      <c r="O353" s="881">
        <f>SUMIFS('Data Entry'!S:S,'Data Entry'!K:K,G353)</f>
        <v>0</v>
      </c>
      <c r="P353" s="274" t="s">
        <v>233</v>
      </c>
      <c r="Q353" s="895">
        <v>1</v>
      </c>
      <c r="R353" s="114"/>
      <c r="S353" s="884"/>
      <c r="T353" s="270"/>
      <c r="U353" s="270"/>
      <c r="V353" s="270"/>
      <c r="W353" s="270"/>
      <c r="X353" s="270"/>
      <c r="Y353" s="270"/>
      <c r="Z353" s="270"/>
      <c r="AA353" s="270"/>
    </row>
    <row r="354" spans="3:27" ht="15" thickBot="1" x14ac:dyDescent="0.35">
      <c r="C354" s="501" t="s">
        <v>86</v>
      </c>
      <c r="D354" s="116"/>
      <c r="E354" s="116" t="s">
        <v>8</v>
      </c>
      <c r="F354" s="116" t="s">
        <v>54</v>
      </c>
      <c r="G354" s="450" t="str">
        <f t="shared" si="13"/>
        <v>Terminal C-Other-Other 3</v>
      </c>
      <c r="H354" s="116"/>
      <c r="I354" s="889" t="s">
        <v>66</v>
      </c>
      <c r="J354" s="890">
        <f>SUMIFS('Level of Efficiency Assumptions'!J:J,'Level of Efficiency Assumptions'!D:D,E354,'Level of Efficiency Assumptions'!F:F,F354,'Level of Efficiency Assumptions'!I:I,I354)</f>
        <v>5</v>
      </c>
      <c r="K354" s="383" t="s">
        <v>588</v>
      </c>
      <c r="L354" s="257" t="s">
        <v>66</v>
      </c>
      <c r="M354" s="879">
        <f t="shared" si="15"/>
        <v>0</v>
      </c>
      <c r="N354" s="880">
        <f>IFERROR(M354/M355,"-")</f>
        <v>0</v>
      </c>
      <c r="O354" s="881">
        <f>SUMIFS('Data Entry'!T:T,'Data Entry'!K:K,G354)</f>
        <v>0</v>
      </c>
      <c r="P354" s="269" t="s">
        <v>234</v>
      </c>
      <c r="Q354" s="895">
        <v>0</v>
      </c>
      <c r="R354" s="114"/>
      <c r="S354" s="884"/>
      <c r="T354" s="270"/>
      <c r="U354" s="270"/>
      <c r="V354" s="270"/>
      <c r="W354" s="270"/>
      <c r="X354" s="270"/>
      <c r="Y354" s="270"/>
      <c r="Z354" s="270"/>
      <c r="AA354" s="270"/>
    </row>
    <row r="355" spans="3:27" x14ac:dyDescent="0.3">
      <c r="C355" s="450"/>
      <c r="D355" s="182"/>
      <c r="E355" s="182"/>
      <c r="F355" s="182"/>
      <c r="G355" s="450" t="str">
        <f t="shared" si="13"/>
        <v>--</v>
      </c>
      <c r="H355" s="182"/>
      <c r="I355" s="440"/>
      <c r="J355" s="892"/>
      <c r="K355" s="259"/>
      <c r="L355" s="259" t="s">
        <v>46</v>
      </c>
      <c r="M355" s="893">
        <f>SUM(M352:M354)</f>
        <v>1</v>
      </c>
      <c r="N355" s="894"/>
      <c r="O355" s="894">
        <f>SUM(O352:O354)</f>
        <v>0</v>
      </c>
      <c r="P355" s="263" t="s">
        <v>46</v>
      </c>
      <c r="Q355" s="897">
        <f>SUM(Q352:Q354)</f>
        <v>1</v>
      </c>
      <c r="R355" s="899"/>
      <c r="S355" s="900"/>
      <c r="T355" s="270"/>
      <c r="U355" s="270"/>
      <c r="V355" s="270"/>
      <c r="W355" s="270"/>
      <c r="X355" s="270"/>
      <c r="Y355" s="270"/>
      <c r="Z355" s="270"/>
      <c r="AA355" s="270"/>
    </row>
    <row r="356" spans="3:27" ht="15" thickBot="1" x14ac:dyDescent="0.35">
      <c r="C356" s="500"/>
      <c r="D356" s="184"/>
      <c r="E356" s="184"/>
      <c r="F356" s="184"/>
      <c r="G356" s="450" t="str">
        <f t="shared" ref="G356" si="16">C356&amp;"-"&amp;E356&amp;"-"&amp;F356</f>
        <v>--</v>
      </c>
      <c r="H356" s="184"/>
      <c r="I356" s="281"/>
      <c r="J356" s="281"/>
      <c r="K356" s="184"/>
      <c r="L356" s="184"/>
      <c r="M356" s="278"/>
      <c r="N356" s="281"/>
      <c r="O356" s="281"/>
      <c r="P356" s="278"/>
      <c r="Q356" s="278"/>
      <c r="R356" s="278"/>
      <c r="S356" s="278"/>
      <c r="T356" s="278"/>
      <c r="U356" s="270"/>
      <c r="V356" s="270"/>
      <c r="W356" s="270"/>
      <c r="X356" s="270"/>
      <c r="Y356" s="270"/>
      <c r="Z356" s="270"/>
      <c r="AA356" s="270"/>
    </row>
    <row r="357" spans="3:27" x14ac:dyDescent="0.3">
      <c r="C357" s="450"/>
      <c r="D357" s="182"/>
      <c r="E357" s="182"/>
      <c r="F357" s="182"/>
      <c r="G357" s="450" t="str">
        <f t="shared" si="13"/>
        <v>--</v>
      </c>
      <c r="H357" s="182"/>
      <c r="I357" s="892"/>
      <c r="J357" s="892"/>
      <c r="K357" s="182"/>
      <c r="L357" s="182"/>
      <c r="M357" s="270"/>
      <c r="N357" s="892"/>
      <c r="O357" s="892"/>
      <c r="P357" s="270"/>
      <c r="Q357" s="270"/>
      <c r="R357" s="270"/>
      <c r="S357" s="270"/>
      <c r="T357" s="270"/>
      <c r="U357" s="270"/>
      <c r="V357" s="270"/>
      <c r="W357" s="270"/>
      <c r="X357" s="270"/>
      <c r="Y357" s="270"/>
      <c r="Z357" s="270"/>
      <c r="AA357" s="270"/>
    </row>
    <row r="358" spans="3:27" ht="15" thickBot="1" x14ac:dyDescent="0.35">
      <c r="C358" s="225"/>
      <c r="D358" s="182"/>
      <c r="E358" s="182"/>
      <c r="F358" s="182"/>
      <c r="G358" s="450" t="str">
        <f t="shared" si="13"/>
        <v>--</v>
      </c>
      <c r="H358" s="182"/>
      <c r="I358" s="892"/>
      <c r="J358" s="892"/>
      <c r="K358" s="182"/>
      <c r="L358" s="182"/>
      <c r="M358" s="870" t="s">
        <v>155</v>
      </c>
      <c r="N358" s="870" t="s">
        <v>188</v>
      </c>
      <c r="O358" s="870"/>
      <c r="P358" s="252" t="s">
        <v>158</v>
      </c>
      <c r="Q358" s="871" t="s">
        <v>155</v>
      </c>
      <c r="R358" s="872" t="s">
        <v>168</v>
      </c>
      <c r="S358" s="872" t="s">
        <v>169</v>
      </c>
      <c r="T358" s="873"/>
      <c r="U358" s="874"/>
      <c r="V358" s="270"/>
      <c r="W358" s="270"/>
      <c r="X358" s="270"/>
      <c r="Y358" s="114"/>
      <c r="Z358" s="270"/>
      <c r="AA358" s="270"/>
    </row>
    <row r="359" spans="3:27" ht="15" thickBot="1" x14ac:dyDescent="0.35">
      <c r="C359" s="566" t="s">
        <v>87</v>
      </c>
      <c r="D359" s="875" t="str">
        <f>VLOOKUP(C359,'Airport Mapping'!$C$5:$D$39,2,FALSE)</f>
        <v xml:space="preserve"> </v>
      </c>
      <c r="E359" s="567" t="s">
        <v>37</v>
      </c>
      <c r="F359" s="567" t="s">
        <v>2</v>
      </c>
      <c r="G359" s="450" t="str">
        <f t="shared" si="13"/>
        <v>Terminal D-Restrooms-Toilets</v>
      </c>
      <c r="H359" s="567" t="s">
        <v>3</v>
      </c>
      <c r="I359" s="877" t="s">
        <v>64</v>
      </c>
      <c r="J359" s="878">
        <f>SUMIFS('Level of Efficiency Assumptions'!J:J,'Level of Efficiency Assumptions'!D:D,E359,'Level of Efficiency Assumptions'!F:F,F359,'Level of Efficiency Assumptions'!I:I,I359)</f>
        <v>3.5</v>
      </c>
      <c r="K359" s="383" t="s">
        <v>68</v>
      </c>
      <c r="L359" s="253" t="s">
        <v>64</v>
      </c>
      <c r="M359" s="879">
        <f>Q359+Q365</f>
        <v>0</v>
      </c>
      <c r="N359" s="880">
        <f>IFERROR(M359/M362,"-")</f>
        <v>0</v>
      </c>
      <c r="O359" s="881">
        <f>SUMIFS('Data Entry'!R:R,'Data Entry'!K:K,G359)</f>
        <v>0</v>
      </c>
      <c r="P359" s="254" t="s">
        <v>159</v>
      </c>
      <c r="Q359" s="882">
        <v>0</v>
      </c>
      <c r="R359" s="883"/>
      <c r="S359" s="883"/>
      <c r="T359" s="114" t="s">
        <v>182</v>
      </c>
      <c r="U359" s="884"/>
      <c r="V359" s="270"/>
      <c r="W359" s="270"/>
      <c r="X359" s="270"/>
      <c r="Y359" s="114"/>
      <c r="Z359" s="270"/>
      <c r="AA359" s="270"/>
    </row>
    <row r="360" spans="3:27" ht="15" thickBot="1" x14ac:dyDescent="0.35">
      <c r="C360" s="494" t="s">
        <v>87</v>
      </c>
      <c r="D360" s="577"/>
      <c r="E360" s="577" t="s">
        <v>37</v>
      </c>
      <c r="F360" s="577" t="s">
        <v>2</v>
      </c>
      <c r="G360" s="450" t="str">
        <f t="shared" si="13"/>
        <v>Terminal D-Restrooms-Toilets</v>
      </c>
      <c r="H360" s="577"/>
      <c r="I360" s="887" t="s">
        <v>65</v>
      </c>
      <c r="J360" s="878">
        <f>SUMIFS('Level of Efficiency Assumptions'!J:J,'Level of Efficiency Assumptions'!D:D,E360,'Level of Efficiency Assumptions'!F:F,F360,'Level of Efficiency Assumptions'!I:I,I360)</f>
        <v>1.6</v>
      </c>
      <c r="K360" s="383" t="s">
        <v>68</v>
      </c>
      <c r="L360" s="255" t="s">
        <v>65</v>
      </c>
      <c r="M360" s="879">
        <f>Q360+Q363+Q366</f>
        <v>1</v>
      </c>
      <c r="N360" s="880">
        <f>IFERROR(M360/M362,"-")</f>
        <v>1</v>
      </c>
      <c r="O360" s="881">
        <f>SUMIFS('Data Entry'!S:S,'Data Entry'!K:K,G360)</f>
        <v>0</v>
      </c>
      <c r="P360" s="256" t="s">
        <v>161</v>
      </c>
      <c r="Q360" s="882">
        <v>1</v>
      </c>
      <c r="R360" s="883"/>
      <c r="S360" s="883"/>
      <c r="T360" s="114" t="s">
        <v>184</v>
      </c>
      <c r="U360" s="884"/>
      <c r="V360" s="270"/>
      <c r="W360" s="270"/>
      <c r="X360" s="270"/>
      <c r="Y360" s="114"/>
      <c r="Z360" s="270"/>
      <c r="AA360" s="270"/>
    </row>
    <row r="361" spans="3:27" ht="15" thickBot="1" x14ac:dyDescent="0.35">
      <c r="C361" s="501" t="s">
        <v>87</v>
      </c>
      <c r="D361" s="116"/>
      <c r="E361" s="116" t="s">
        <v>37</v>
      </c>
      <c r="F361" s="116" t="s">
        <v>2</v>
      </c>
      <c r="G361" s="450" t="str">
        <f t="shared" si="13"/>
        <v>Terminal D-Restrooms-Toilets</v>
      </c>
      <c r="H361" s="116"/>
      <c r="I361" s="889" t="s">
        <v>66</v>
      </c>
      <c r="J361" s="890">
        <f>SUMIFS('Level of Efficiency Assumptions'!J:J,'Level of Efficiency Assumptions'!D:D,E361,'Level of Efficiency Assumptions'!F:F,F361,'Level of Efficiency Assumptions'!I:I,I361)</f>
        <v>1.28</v>
      </c>
      <c r="K361" s="383" t="s">
        <v>68</v>
      </c>
      <c r="L361" s="257" t="s">
        <v>66</v>
      </c>
      <c r="M361" s="879">
        <f>Q361+Q362+Q364+Q367+Q368</f>
        <v>0</v>
      </c>
      <c r="N361" s="880">
        <f>IFERROR(M361/M362,"-")</f>
        <v>0</v>
      </c>
      <c r="O361" s="881">
        <f>SUMIFS('Data Entry'!T:T,'Data Entry'!K:K,G361)</f>
        <v>0</v>
      </c>
      <c r="P361" s="258" t="s">
        <v>163</v>
      </c>
      <c r="Q361" s="882">
        <v>0</v>
      </c>
      <c r="R361" s="883"/>
      <c r="S361" s="883"/>
      <c r="T361" s="891"/>
      <c r="U361" s="884"/>
      <c r="V361" s="270"/>
      <c r="W361" s="270"/>
      <c r="X361" s="270"/>
      <c r="Y361" s="114"/>
      <c r="Z361" s="270"/>
      <c r="AA361" s="270"/>
    </row>
    <row r="362" spans="3:27" x14ac:dyDescent="0.3">
      <c r="C362" s="450"/>
      <c r="D362" s="182"/>
      <c r="E362" s="182"/>
      <c r="F362" s="182"/>
      <c r="G362" s="450" t="str">
        <f t="shared" si="13"/>
        <v>--</v>
      </c>
      <c r="H362" s="182"/>
      <c r="I362" s="440"/>
      <c r="J362" s="892"/>
      <c r="K362" s="259"/>
      <c r="L362" s="259" t="s">
        <v>46</v>
      </c>
      <c r="M362" s="893">
        <f>SUM(M359:M361)</f>
        <v>1</v>
      </c>
      <c r="N362" s="894"/>
      <c r="O362" s="894">
        <f>SUM(O359:O361)</f>
        <v>0</v>
      </c>
      <c r="P362" s="258" t="s">
        <v>165</v>
      </c>
      <c r="Q362" s="882">
        <v>0</v>
      </c>
      <c r="R362" s="883"/>
      <c r="S362" s="883"/>
      <c r="T362" s="891"/>
      <c r="U362" s="884"/>
      <c r="V362" s="270"/>
      <c r="W362" s="270"/>
      <c r="X362" s="270"/>
      <c r="Y362" s="114"/>
      <c r="Z362" s="270"/>
      <c r="AA362" s="270"/>
    </row>
    <row r="363" spans="3:27" ht="15" thickBot="1" x14ac:dyDescent="0.35">
      <c r="C363" s="450"/>
      <c r="D363" s="182"/>
      <c r="E363" s="182"/>
      <c r="F363" s="182"/>
      <c r="G363" s="450" t="str">
        <f t="shared" si="13"/>
        <v>--</v>
      </c>
      <c r="H363" s="182"/>
      <c r="I363" s="440"/>
      <c r="J363" s="892"/>
      <c r="K363" s="181"/>
      <c r="L363" s="181"/>
      <c r="M363" s="181"/>
      <c r="N363" s="892"/>
      <c r="O363" s="892"/>
      <c r="P363" s="256" t="s">
        <v>166</v>
      </c>
      <c r="Q363" s="895">
        <v>0</v>
      </c>
      <c r="R363" s="883"/>
      <c r="S363" s="883"/>
      <c r="T363" s="891"/>
      <c r="U363" s="896"/>
      <c r="V363" s="891"/>
      <c r="W363" s="270"/>
      <c r="X363" s="270"/>
      <c r="Y363" s="114"/>
      <c r="Z363" s="270"/>
      <c r="AA363" s="270"/>
    </row>
    <row r="364" spans="3:27" x14ac:dyDescent="0.3">
      <c r="C364" s="450"/>
      <c r="D364" s="182"/>
      <c r="E364" s="182"/>
      <c r="F364" s="182"/>
      <c r="G364" s="450" t="str">
        <f t="shared" si="13"/>
        <v>--</v>
      </c>
      <c r="H364" s="182"/>
      <c r="I364" s="440"/>
      <c r="J364" s="892"/>
      <c r="K364" s="181"/>
      <c r="L364" s="1384" t="s">
        <v>377</v>
      </c>
      <c r="M364" s="1385"/>
      <c r="N364" s="1385"/>
      <c r="O364" s="1386"/>
      <c r="P364" s="258" t="s">
        <v>167</v>
      </c>
      <c r="Q364" s="895">
        <v>0</v>
      </c>
      <c r="R364" s="883"/>
      <c r="S364" s="883"/>
      <c r="T364" s="891"/>
      <c r="U364" s="896"/>
      <c r="V364" s="891"/>
      <c r="W364" s="270"/>
      <c r="X364" s="270"/>
      <c r="Y364" s="270"/>
      <c r="Z364" s="270"/>
      <c r="AA364" s="270"/>
    </row>
    <row r="365" spans="3:27" x14ac:dyDescent="0.3">
      <c r="C365" s="450"/>
      <c r="D365" s="182"/>
      <c r="E365" s="182"/>
      <c r="F365" s="182"/>
      <c r="G365" s="450" t="str">
        <f t="shared" si="13"/>
        <v>--</v>
      </c>
      <c r="H365" s="182"/>
      <c r="I365" s="440"/>
      <c r="J365" s="892"/>
      <c r="K365" s="181"/>
      <c r="L365" s="1387"/>
      <c r="M365" s="1388"/>
      <c r="N365" s="1388"/>
      <c r="O365" s="1389"/>
      <c r="P365" s="254" t="s">
        <v>160</v>
      </c>
      <c r="Q365" s="895">
        <v>0</v>
      </c>
      <c r="R365" s="891"/>
      <c r="S365" s="891"/>
      <c r="T365" s="891"/>
      <c r="U365" s="896"/>
      <c r="V365" s="891"/>
      <c r="W365" s="270"/>
      <c r="X365" s="270"/>
      <c r="Y365" s="270"/>
      <c r="Z365" s="270"/>
      <c r="AA365" s="270"/>
    </row>
    <row r="366" spans="3:27" x14ac:dyDescent="0.3">
      <c r="C366" s="450"/>
      <c r="D366" s="182"/>
      <c r="E366" s="182"/>
      <c r="F366" s="182"/>
      <c r="G366" s="450" t="str">
        <f t="shared" si="13"/>
        <v>--</v>
      </c>
      <c r="H366" s="182"/>
      <c r="I366" s="440"/>
      <c r="J366" s="892"/>
      <c r="K366" s="181"/>
      <c r="L366" s="1387"/>
      <c r="M366" s="1388"/>
      <c r="N366" s="1388"/>
      <c r="O366" s="1389"/>
      <c r="P366" s="256" t="s">
        <v>162</v>
      </c>
      <c r="Q366" s="895">
        <v>0</v>
      </c>
      <c r="R366" s="891"/>
      <c r="S366" s="891"/>
      <c r="T366" s="891"/>
      <c r="U366" s="896"/>
      <c r="V366" s="891"/>
      <c r="W366" s="270"/>
      <c r="X366" s="270"/>
      <c r="Y366" s="270"/>
      <c r="Z366" s="270"/>
      <c r="AA366" s="270"/>
    </row>
    <row r="367" spans="3:27" ht="15" thickBot="1" x14ac:dyDescent="0.35">
      <c r="C367" s="450"/>
      <c r="D367" s="182"/>
      <c r="E367" s="182"/>
      <c r="F367" s="182"/>
      <c r="G367" s="450" t="str">
        <f t="shared" si="13"/>
        <v>--</v>
      </c>
      <c r="H367" s="182"/>
      <c r="I367" s="440"/>
      <c r="J367" s="892"/>
      <c r="K367" s="181"/>
      <c r="L367" s="1390"/>
      <c r="M367" s="1391"/>
      <c r="N367" s="1391"/>
      <c r="O367" s="1392"/>
      <c r="P367" s="258" t="s">
        <v>164</v>
      </c>
      <c r="Q367" s="895">
        <v>0</v>
      </c>
      <c r="R367" s="114"/>
      <c r="S367" s="891"/>
      <c r="T367" s="114"/>
      <c r="U367" s="884"/>
      <c r="V367" s="114"/>
      <c r="W367" s="270"/>
      <c r="X367" s="270"/>
      <c r="Y367" s="270"/>
      <c r="Z367" s="270"/>
      <c r="AA367" s="270"/>
    </row>
    <row r="368" spans="3:27" x14ac:dyDescent="0.3">
      <c r="C368" s="450"/>
      <c r="D368" s="182"/>
      <c r="E368" s="182"/>
      <c r="F368" s="182"/>
      <c r="G368" s="450" t="str">
        <f t="shared" si="13"/>
        <v>--</v>
      </c>
      <c r="H368" s="182"/>
      <c r="I368" s="440"/>
      <c r="J368" s="892"/>
      <c r="K368" s="181"/>
      <c r="L368" s="181"/>
      <c r="M368" s="181"/>
      <c r="N368" s="892"/>
      <c r="O368" s="892"/>
      <c r="P368" s="258" t="s">
        <v>187</v>
      </c>
      <c r="Q368" s="895">
        <v>0</v>
      </c>
      <c r="R368" s="114"/>
      <c r="S368" s="891"/>
      <c r="T368" s="114"/>
      <c r="U368" s="884"/>
      <c r="V368" s="114"/>
      <c r="W368" s="270"/>
      <c r="X368" s="270"/>
      <c r="Y368" s="270"/>
      <c r="Z368" s="270"/>
      <c r="AA368" s="270"/>
    </row>
    <row r="369" spans="3:27" x14ac:dyDescent="0.3">
      <c r="C369" s="450"/>
      <c r="D369" s="182"/>
      <c r="E369" s="182"/>
      <c r="F369" s="182"/>
      <c r="G369" s="450" t="str">
        <f t="shared" si="13"/>
        <v>--</v>
      </c>
      <c r="H369" s="182"/>
      <c r="I369" s="440"/>
      <c r="J369" s="892"/>
      <c r="K369" s="181"/>
      <c r="L369" s="181"/>
      <c r="M369" s="181"/>
      <c r="N369" s="892"/>
      <c r="O369" s="892"/>
      <c r="P369" s="263" t="s">
        <v>46</v>
      </c>
      <c r="Q369" s="897">
        <f>SUM(Q359:Q368)</f>
        <v>1</v>
      </c>
      <c r="R369" s="898"/>
      <c r="S369" s="898"/>
      <c r="T369" s="899"/>
      <c r="U369" s="900"/>
      <c r="V369" s="114"/>
      <c r="W369" s="270"/>
      <c r="X369" s="270"/>
      <c r="Y369" s="270"/>
      <c r="Z369" s="270"/>
      <c r="AA369" s="270"/>
    </row>
    <row r="370" spans="3:27" x14ac:dyDescent="0.3">
      <c r="C370" s="450"/>
      <c r="D370" s="182"/>
      <c r="E370" s="182"/>
      <c r="F370" s="182"/>
      <c r="G370" s="450" t="str">
        <f t="shared" si="13"/>
        <v>--</v>
      </c>
      <c r="H370" s="182"/>
      <c r="I370" s="440"/>
      <c r="J370" s="892"/>
      <c r="K370" s="181"/>
      <c r="L370" s="181"/>
      <c r="M370" s="181"/>
      <c r="N370" s="892"/>
      <c r="O370" s="892"/>
      <c r="P370" s="114"/>
      <c r="Q370" s="114"/>
      <c r="R370" s="891"/>
      <c r="S370" s="891"/>
      <c r="T370" s="114"/>
      <c r="U370" s="114"/>
      <c r="V370" s="114"/>
      <c r="W370" s="270"/>
      <c r="X370" s="270"/>
      <c r="Y370" s="270"/>
      <c r="Z370" s="270"/>
      <c r="AA370" s="270"/>
    </row>
    <row r="371" spans="3:27" ht="15" thickBot="1" x14ac:dyDescent="0.35">
      <c r="C371" s="450"/>
      <c r="D371" s="182"/>
      <c r="E371" s="182"/>
      <c r="F371" s="182"/>
      <c r="G371" s="450" t="str">
        <f t="shared" si="13"/>
        <v>--</v>
      </c>
      <c r="H371" s="182"/>
      <c r="I371" s="892"/>
      <c r="J371" s="892"/>
      <c r="K371" s="182"/>
      <c r="L371" s="182"/>
      <c r="M371" s="901" t="s">
        <v>155</v>
      </c>
      <c r="N371" s="870" t="s">
        <v>188</v>
      </c>
      <c r="O371" s="870"/>
      <c r="P371" s="252" t="s">
        <v>175</v>
      </c>
      <c r="Q371" s="871" t="s">
        <v>155</v>
      </c>
      <c r="R371" s="872" t="s">
        <v>168</v>
      </c>
      <c r="S371" s="872" t="s">
        <v>169</v>
      </c>
      <c r="T371" s="902"/>
      <c r="U371" s="903"/>
      <c r="V371" s="270"/>
      <c r="W371" s="270"/>
      <c r="X371" s="270"/>
      <c r="Y371" s="270"/>
      <c r="Z371" s="270"/>
      <c r="AA371" s="270"/>
    </row>
    <row r="372" spans="3:27" ht="15" thickBot="1" x14ac:dyDescent="0.35">
      <c r="C372" s="566" t="s">
        <v>87</v>
      </c>
      <c r="D372" s="875" t="str">
        <f>VLOOKUP(C372,'Airport Mapping'!$C$5:$D$39,2,FALSE)</f>
        <v xml:space="preserve"> </v>
      </c>
      <c r="E372" s="567" t="s">
        <v>37</v>
      </c>
      <c r="F372" s="567" t="s">
        <v>4</v>
      </c>
      <c r="G372" s="450" t="str">
        <f t="shared" si="13"/>
        <v>Terminal D-Restrooms-Urinals</v>
      </c>
      <c r="H372" s="567" t="s">
        <v>3</v>
      </c>
      <c r="I372" s="877" t="s">
        <v>64</v>
      </c>
      <c r="J372" s="878">
        <f>SUMIFS('Level of Efficiency Assumptions'!J:J,'Level of Efficiency Assumptions'!D:D,E372,'Level of Efficiency Assumptions'!F:F,F372,'Level of Efficiency Assumptions'!I:I,I372)</f>
        <v>2</v>
      </c>
      <c r="K372" s="383" t="s">
        <v>68</v>
      </c>
      <c r="L372" s="253" t="s">
        <v>64</v>
      </c>
      <c r="M372" s="879">
        <f>Q372+Q373</f>
        <v>0</v>
      </c>
      <c r="N372" s="880">
        <f>IFERROR(M372/M375,"-")</f>
        <v>0</v>
      </c>
      <c r="O372" s="881">
        <f>SUMIFS('Data Entry'!R:R,'Data Entry'!K:K,G372)</f>
        <v>0</v>
      </c>
      <c r="P372" s="254" t="s">
        <v>177</v>
      </c>
      <c r="Q372" s="882">
        <v>0</v>
      </c>
      <c r="R372" s="883"/>
      <c r="S372" s="883"/>
      <c r="T372" s="114"/>
      <c r="U372" s="904"/>
      <c r="V372" s="270"/>
      <c r="W372" s="270"/>
      <c r="X372" s="270"/>
      <c r="Y372" s="270"/>
      <c r="Z372" s="270"/>
      <c r="AA372" s="270"/>
    </row>
    <row r="373" spans="3:27" ht="15" thickBot="1" x14ac:dyDescent="0.35">
      <c r="C373" s="494" t="s">
        <v>87</v>
      </c>
      <c r="D373" s="577"/>
      <c r="E373" s="577" t="s">
        <v>37</v>
      </c>
      <c r="F373" s="577" t="s">
        <v>4</v>
      </c>
      <c r="G373" s="450" t="str">
        <f t="shared" si="13"/>
        <v>Terminal D-Restrooms-Urinals</v>
      </c>
      <c r="H373" s="577"/>
      <c r="I373" s="887" t="s">
        <v>65</v>
      </c>
      <c r="J373" s="878">
        <f>SUMIFS('Level of Efficiency Assumptions'!J:J,'Level of Efficiency Assumptions'!D:D,E373,'Level of Efficiency Assumptions'!F:F,F373,'Level of Efficiency Assumptions'!I:I,I373)</f>
        <v>1</v>
      </c>
      <c r="K373" s="383" t="s">
        <v>68</v>
      </c>
      <c r="L373" s="255" t="s">
        <v>65</v>
      </c>
      <c r="M373" s="879">
        <f>Q374+Q375</f>
        <v>1</v>
      </c>
      <c r="N373" s="880">
        <f>IFERROR(M373/M375,"-")</f>
        <v>1</v>
      </c>
      <c r="O373" s="881">
        <f>SUMIFS('Data Entry'!S:S,'Data Entry'!K:K,G373)</f>
        <v>0</v>
      </c>
      <c r="P373" s="254" t="s">
        <v>179</v>
      </c>
      <c r="Q373" s="882">
        <v>0</v>
      </c>
      <c r="R373" s="883"/>
      <c r="S373" s="883"/>
      <c r="T373" s="114"/>
      <c r="U373" s="904"/>
      <c r="V373" s="270"/>
      <c r="W373" s="270"/>
      <c r="X373" s="270"/>
      <c r="Y373" s="270"/>
      <c r="Z373" s="270"/>
      <c r="AA373" s="270"/>
    </row>
    <row r="374" spans="3:27" ht="15" thickBot="1" x14ac:dyDescent="0.35">
      <c r="C374" s="501" t="s">
        <v>87</v>
      </c>
      <c r="D374" s="116"/>
      <c r="E374" s="116" t="s">
        <v>37</v>
      </c>
      <c r="F374" s="116" t="s">
        <v>4</v>
      </c>
      <c r="G374" s="450" t="str">
        <f t="shared" si="13"/>
        <v>Terminal D-Restrooms-Urinals</v>
      </c>
      <c r="H374" s="116"/>
      <c r="I374" s="889" t="s">
        <v>66</v>
      </c>
      <c r="J374" s="890">
        <f>SUMIFS('Level of Efficiency Assumptions'!J:J,'Level of Efficiency Assumptions'!D:D,E374,'Level of Efficiency Assumptions'!F:F,F374,'Level of Efficiency Assumptions'!I:I,I374)</f>
        <v>0.125</v>
      </c>
      <c r="K374" s="383" t="s">
        <v>68</v>
      </c>
      <c r="L374" s="257" t="s">
        <v>66</v>
      </c>
      <c r="M374" s="879">
        <f>Q376+Q377</f>
        <v>0</v>
      </c>
      <c r="N374" s="880">
        <f>IFERROR(M374/M375,"-")</f>
        <v>0</v>
      </c>
      <c r="O374" s="881">
        <f>SUMIFS('Data Entry'!T:T,'Data Entry'!K:K,G374)</f>
        <v>0</v>
      </c>
      <c r="P374" s="256" t="s">
        <v>189</v>
      </c>
      <c r="Q374" s="882">
        <v>0</v>
      </c>
      <c r="R374" s="883"/>
      <c r="S374" s="883"/>
      <c r="T374" s="114"/>
      <c r="U374" s="904"/>
      <c r="V374" s="270"/>
      <c r="W374" s="270"/>
      <c r="X374" s="270"/>
      <c r="Y374" s="270"/>
      <c r="Z374" s="270"/>
      <c r="AA374" s="270"/>
    </row>
    <row r="375" spans="3:27" x14ac:dyDescent="0.3">
      <c r="C375" s="450"/>
      <c r="D375" s="182"/>
      <c r="E375" s="182"/>
      <c r="F375" s="182"/>
      <c r="G375" s="450" t="str">
        <f t="shared" si="13"/>
        <v>--</v>
      </c>
      <c r="H375" s="182"/>
      <c r="I375" s="440"/>
      <c r="J375" s="892"/>
      <c r="K375" s="259"/>
      <c r="L375" s="259" t="s">
        <v>46</v>
      </c>
      <c r="M375" s="893">
        <f>SUM(M372:M374)</f>
        <v>1</v>
      </c>
      <c r="N375" s="894"/>
      <c r="O375" s="894">
        <f>SUM(O372:O374)</f>
        <v>0</v>
      </c>
      <c r="P375" s="256" t="s">
        <v>181</v>
      </c>
      <c r="Q375" s="882">
        <v>1</v>
      </c>
      <c r="R375" s="883"/>
      <c r="S375" s="883"/>
      <c r="T375" s="114"/>
      <c r="U375" s="264"/>
      <c r="V375" s="270"/>
      <c r="W375" s="270"/>
      <c r="X375" s="270"/>
      <c r="Y375" s="270"/>
      <c r="Z375" s="270"/>
      <c r="AA375" s="270"/>
    </row>
    <row r="376" spans="3:27" x14ac:dyDescent="0.3">
      <c r="C376" s="450"/>
      <c r="D376" s="182"/>
      <c r="E376" s="182"/>
      <c r="F376" s="182"/>
      <c r="G376" s="450" t="str">
        <f t="shared" si="13"/>
        <v>--</v>
      </c>
      <c r="H376" s="182"/>
      <c r="I376" s="440"/>
      <c r="J376" s="182"/>
      <c r="K376" s="181"/>
      <c r="L376" s="181"/>
      <c r="M376" s="181"/>
      <c r="N376" s="892"/>
      <c r="O376" s="892"/>
      <c r="P376" s="258" t="s">
        <v>183</v>
      </c>
      <c r="Q376" s="882">
        <v>0</v>
      </c>
      <c r="R376" s="883"/>
      <c r="S376" s="883"/>
      <c r="T376" s="114"/>
      <c r="U376" s="884"/>
      <c r="V376" s="114"/>
      <c r="W376" s="270"/>
      <c r="X376" s="270"/>
      <c r="Y376" s="270"/>
      <c r="Z376" s="270"/>
      <c r="AA376" s="270"/>
    </row>
    <row r="377" spans="3:27" x14ac:dyDescent="0.3">
      <c r="C377" s="450"/>
      <c r="D377" s="182"/>
      <c r="E377" s="182"/>
      <c r="F377" s="182"/>
      <c r="G377" s="450" t="str">
        <f t="shared" si="13"/>
        <v>--</v>
      </c>
      <c r="H377" s="182"/>
      <c r="I377" s="440"/>
      <c r="J377" s="182"/>
      <c r="K377" s="181"/>
      <c r="L377" s="181"/>
      <c r="M377" s="181"/>
      <c r="N377" s="892"/>
      <c r="O377" s="892"/>
      <c r="P377" s="258" t="s">
        <v>190</v>
      </c>
      <c r="Q377" s="882">
        <v>0</v>
      </c>
      <c r="R377" s="114"/>
      <c r="S377" s="114"/>
      <c r="T377" s="114"/>
      <c r="U377" s="884"/>
      <c r="V377" s="114"/>
      <c r="W377" s="270"/>
      <c r="X377" s="270"/>
      <c r="Y377" s="270"/>
      <c r="Z377" s="270"/>
      <c r="AA377" s="270"/>
    </row>
    <row r="378" spans="3:27" x14ac:dyDescent="0.3">
      <c r="C378" s="450"/>
      <c r="D378" s="182"/>
      <c r="E378" s="182"/>
      <c r="F378" s="182"/>
      <c r="G378" s="450" t="str">
        <f t="shared" si="13"/>
        <v>--</v>
      </c>
      <c r="H378" s="182"/>
      <c r="I378" s="440"/>
      <c r="J378" s="182"/>
      <c r="K378" s="181"/>
      <c r="L378" s="181"/>
      <c r="M378" s="181"/>
      <c r="N378" s="892"/>
      <c r="O378" s="892"/>
      <c r="P378" s="263" t="s">
        <v>46</v>
      </c>
      <c r="Q378" s="897">
        <f>SUM(Q372:Q377)</f>
        <v>1</v>
      </c>
      <c r="R378" s="899"/>
      <c r="S378" s="899"/>
      <c r="T378" s="899"/>
      <c r="U378" s="900"/>
      <c r="V378" s="114"/>
      <c r="W378" s="270"/>
      <c r="X378" s="270"/>
      <c r="Y378" s="270"/>
      <c r="Z378" s="270"/>
      <c r="AA378" s="270"/>
    </row>
    <row r="379" spans="3:27" x14ac:dyDescent="0.3">
      <c r="C379" s="450"/>
      <c r="D379" s="182"/>
      <c r="E379" s="182"/>
      <c r="F379" s="182"/>
      <c r="G379" s="450" t="str">
        <f t="shared" si="13"/>
        <v>--</v>
      </c>
      <c r="H379" s="182"/>
      <c r="I379" s="440"/>
      <c r="J379" s="182"/>
      <c r="K379" s="181"/>
      <c r="L379" s="181"/>
      <c r="M379" s="181"/>
      <c r="N379" s="892"/>
      <c r="O379" s="892"/>
      <c r="P379" s="262"/>
      <c r="Q379" s="114"/>
      <c r="R379" s="114"/>
      <c r="S379" s="114"/>
      <c r="T379" s="114"/>
      <c r="U379" s="114"/>
      <c r="V379" s="114"/>
      <c r="W379" s="270"/>
      <c r="X379" s="270"/>
      <c r="Y379" s="270"/>
      <c r="Z379" s="270"/>
      <c r="AA379" s="270"/>
    </row>
    <row r="380" spans="3:27" ht="15" thickBot="1" x14ac:dyDescent="0.35">
      <c r="C380" s="450"/>
      <c r="D380" s="182"/>
      <c r="E380" s="182"/>
      <c r="F380" s="182"/>
      <c r="G380" s="450" t="str">
        <f t="shared" si="13"/>
        <v>--</v>
      </c>
      <c r="H380" s="182"/>
      <c r="I380" s="892"/>
      <c r="J380" s="892"/>
      <c r="K380" s="182"/>
      <c r="L380" s="182"/>
      <c r="M380" s="901" t="s">
        <v>155</v>
      </c>
      <c r="N380" s="870" t="s">
        <v>188</v>
      </c>
      <c r="O380" s="870"/>
      <c r="P380" s="265" t="s">
        <v>33</v>
      </c>
      <c r="Q380" s="871" t="s">
        <v>155</v>
      </c>
      <c r="R380" s="872" t="s">
        <v>168</v>
      </c>
      <c r="S380" s="872" t="s">
        <v>169</v>
      </c>
      <c r="T380" s="872" t="s">
        <v>170</v>
      </c>
      <c r="U380" s="872" t="s">
        <v>171</v>
      </c>
      <c r="V380" s="902"/>
      <c r="W380" s="902"/>
      <c r="X380" s="874"/>
      <c r="Y380" s="270"/>
      <c r="Z380" s="270"/>
      <c r="AA380" s="270"/>
    </row>
    <row r="381" spans="3:27" ht="15" thickBot="1" x14ac:dyDescent="0.35">
      <c r="C381" s="566" t="s">
        <v>87</v>
      </c>
      <c r="D381" s="875" t="str">
        <f>VLOOKUP(C381,'Airport Mapping'!$C$5:$D$39,2,FALSE)</f>
        <v xml:space="preserve"> </v>
      </c>
      <c r="E381" s="567" t="s">
        <v>37</v>
      </c>
      <c r="F381" s="567" t="s">
        <v>33</v>
      </c>
      <c r="G381" s="450" t="str">
        <f t="shared" si="13"/>
        <v>Terminal D-Restrooms-Faucets</v>
      </c>
      <c r="H381" s="567" t="s">
        <v>3</v>
      </c>
      <c r="I381" s="877" t="s">
        <v>64</v>
      </c>
      <c r="J381" s="878">
        <f>SUMIFS('Level of Efficiency Assumptions'!J:J,'Level of Efficiency Assumptions'!D:D,E381,'Level of Efficiency Assumptions'!F:F,F381,'Level of Efficiency Assumptions'!I:I,I381)</f>
        <v>2</v>
      </c>
      <c r="K381" s="383" t="s">
        <v>78</v>
      </c>
      <c r="L381" s="253" t="s">
        <v>64</v>
      </c>
      <c r="M381" s="879">
        <f>Q381+Q382</f>
        <v>0</v>
      </c>
      <c r="N381" s="880">
        <f>IFERROR(M381/M384,"-")</f>
        <v>0</v>
      </c>
      <c r="O381" s="881">
        <f>SUMIFS('Data Entry'!R:R,'Data Entry'!K:K,G381)</f>
        <v>0</v>
      </c>
      <c r="P381" s="266" t="s">
        <v>180</v>
      </c>
      <c r="Q381" s="895">
        <v>0</v>
      </c>
      <c r="R381" s="883"/>
      <c r="S381" s="883"/>
      <c r="T381" s="883"/>
      <c r="U381" s="883"/>
      <c r="V381" s="114" t="s">
        <v>182</v>
      </c>
      <c r="W381" s="114"/>
      <c r="X381" s="884"/>
      <c r="Y381" s="270"/>
      <c r="Z381" s="270"/>
      <c r="AA381" s="270"/>
    </row>
    <row r="382" spans="3:27" ht="15" thickBot="1" x14ac:dyDescent="0.35">
      <c r="C382" s="494" t="s">
        <v>87</v>
      </c>
      <c r="D382" s="577"/>
      <c r="E382" s="577" t="s">
        <v>37</v>
      </c>
      <c r="F382" s="577" t="s">
        <v>33</v>
      </c>
      <c r="G382" s="450" t="str">
        <f t="shared" si="13"/>
        <v>Terminal D-Restrooms-Faucets</v>
      </c>
      <c r="H382" s="577"/>
      <c r="I382" s="887" t="s">
        <v>65</v>
      </c>
      <c r="J382" s="878">
        <f>SUMIFS('Level of Efficiency Assumptions'!J:J,'Level of Efficiency Assumptions'!D:D,E382,'Level of Efficiency Assumptions'!F:F,F382,'Level of Efficiency Assumptions'!I:I,I382)</f>
        <v>1</v>
      </c>
      <c r="K382" s="383" t="s">
        <v>78</v>
      </c>
      <c r="L382" s="255" t="s">
        <v>65</v>
      </c>
      <c r="M382" s="879">
        <f>Q383+Q384</f>
        <v>1</v>
      </c>
      <c r="N382" s="880">
        <f>IFERROR(M382/M384,"-")</f>
        <v>1</v>
      </c>
      <c r="O382" s="881">
        <f>SUMIFS('Data Entry'!S:S,'Data Entry'!K:K,G382)</f>
        <v>0</v>
      </c>
      <c r="P382" s="266" t="s">
        <v>178</v>
      </c>
      <c r="Q382" s="895">
        <v>0</v>
      </c>
      <c r="R382" s="883"/>
      <c r="S382" s="883"/>
      <c r="T382" s="883"/>
      <c r="U382" s="883"/>
      <c r="V382" s="114" t="s">
        <v>184</v>
      </c>
      <c r="W382" s="114"/>
      <c r="X382" s="884"/>
      <c r="Y382" s="270"/>
      <c r="Z382" s="270"/>
      <c r="AA382" s="270"/>
    </row>
    <row r="383" spans="3:27" ht="15" thickBot="1" x14ac:dyDescent="0.35">
      <c r="C383" s="501" t="s">
        <v>87</v>
      </c>
      <c r="D383" s="116"/>
      <c r="E383" s="116" t="s">
        <v>37</v>
      </c>
      <c r="F383" s="116" t="s">
        <v>33</v>
      </c>
      <c r="G383" s="450" t="str">
        <f t="shared" si="13"/>
        <v>Terminal D-Restrooms-Faucets</v>
      </c>
      <c r="H383" s="116"/>
      <c r="I383" s="889" t="s">
        <v>66</v>
      </c>
      <c r="J383" s="890">
        <f>SUMIFS('Level of Efficiency Assumptions'!J:J,'Level of Efficiency Assumptions'!D:D,E383,'Level of Efficiency Assumptions'!F:F,F383,'Level of Efficiency Assumptions'!I:I,I383)</f>
        <v>0.5</v>
      </c>
      <c r="K383" s="383" t="s">
        <v>78</v>
      </c>
      <c r="L383" s="257" t="s">
        <v>66</v>
      </c>
      <c r="M383" s="879">
        <f>Q385</f>
        <v>0</v>
      </c>
      <c r="N383" s="880">
        <f>IFERROR(M383/M384,"-")</f>
        <v>0</v>
      </c>
      <c r="O383" s="881">
        <f>SUMIFS('Data Entry'!T:T,'Data Entry'!K:K,G383)</f>
        <v>0</v>
      </c>
      <c r="P383" s="267" t="s">
        <v>176</v>
      </c>
      <c r="Q383" s="895">
        <v>1</v>
      </c>
      <c r="R383" s="883"/>
      <c r="S383" s="883"/>
      <c r="T383" s="883"/>
      <c r="U383" s="883"/>
      <c r="V383" s="114" t="s">
        <v>185</v>
      </c>
      <c r="W383" s="114"/>
      <c r="X383" s="884"/>
      <c r="Y383" s="270"/>
      <c r="Z383" s="270"/>
      <c r="AA383" s="270"/>
    </row>
    <row r="384" spans="3:27" x14ac:dyDescent="0.3">
      <c r="C384" s="450"/>
      <c r="D384" s="182"/>
      <c r="E384" s="182"/>
      <c r="F384" s="182"/>
      <c r="G384" s="450" t="str">
        <f t="shared" si="13"/>
        <v>--</v>
      </c>
      <c r="H384" s="182"/>
      <c r="I384" s="440"/>
      <c r="J384" s="892"/>
      <c r="K384" s="259"/>
      <c r="L384" s="259" t="s">
        <v>46</v>
      </c>
      <c r="M384" s="893">
        <f>SUM(M381:M383)</f>
        <v>1</v>
      </c>
      <c r="N384" s="894"/>
      <c r="O384" s="894">
        <f>SUM(O381:O383)</f>
        <v>0</v>
      </c>
      <c r="P384" s="256" t="s">
        <v>173</v>
      </c>
      <c r="Q384" s="895">
        <v>0</v>
      </c>
      <c r="R384" s="883"/>
      <c r="S384" s="883"/>
      <c r="T384" s="883"/>
      <c r="U384" s="883"/>
      <c r="V384" s="114" t="s">
        <v>186</v>
      </c>
      <c r="W384" s="114"/>
      <c r="X384" s="884"/>
      <c r="Y384" s="270"/>
      <c r="Z384" s="270"/>
      <c r="AA384" s="270"/>
    </row>
    <row r="385" spans="3:27" x14ac:dyDescent="0.3">
      <c r="C385" s="450"/>
      <c r="D385" s="182"/>
      <c r="E385" s="182"/>
      <c r="F385" s="182"/>
      <c r="G385" s="450" t="str">
        <f t="shared" si="13"/>
        <v>--</v>
      </c>
      <c r="H385" s="182"/>
      <c r="I385" s="440"/>
      <c r="J385" s="182"/>
      <c r="K385" s="181"/>
      <c r="L385" s="114"/>
      <c r="M385" s="114"/>
      <c r="N385" s="905"/>
      <c r="O385" s="905"/>
      <c r="P385" s="258" t="s">
        <v>172</v>
      </c>
      <c r="Q385" s="895">
        <v>0</v>
      </c>
      <c r="R385" s="883"/>
      <c r="S385" s="883"/>
      <c r="T385" s="883"/>
      <c r="U385" s="883"/>
      <c r="V385" s="114"/>
      <c r="W385" s="114"/>
      <c r="X385" s="884"/>
      <c r="Y385" s="270"/>
      <c r="Z385" s="270"/>
      <c r="AA385" s="270"/>
    </row>
    <row r="386" spans="3:27" x14ac:dyDescent="0.3">
      <c r="C386" s="450"/>
      <c r="D386" s="182"/>
      <c r="E386" s="182"/>
      <c r="F386" s="182"/>
      <c r="G386" s="450" t="str">
        <f t="shared" si="13"/>
        <v>--</v>
      </c>
      <c r="H386" s="182"/>
      <c r="I386" s="440"/>
      <c r="J386" s="182"/>
      <c r="K386" s="181"/>
      <c r="L386" s="181"/>
      <c r="M386" s="181"/>
      <c r="N386" s="892"/>
      <c r="O386" s="892"/>
      <c r="P386" s="263" t="s">
        <v>46</v>
      </c>
      <c r="Q386" s="897">
        <f>SUM(Q380:Q385)</f>
        <v>1</v>
      </c>
      <c r="R386" s="899"/>
      <c r="S386" s="899"/>
      <c r="T386" s="899"/>
      <c r="U386" s="899"/>
      <c r="V386" s="899"/>
      <c r="W386" s="899"/>
      <c r="X386" s="900"/>
      <c r="Y386" s="270"/>
      <c r="Z386" s="270"/>
      <c r="AA386" s="270"/>
    </row>
    <row r="387" spans="3:27" x14ac:dyDescent="0.3">
      <c r="C387" s="450"/>
      <c r="D387" s="182"/>
      <c r="E387" s="182"/>
      <c r="F387" s="182"/>
      <c r="G387" s="450" t="str">
        <f t="shared" si="13"/>
        <v>--</v>
      </c>
      <c r="H387" s="182"/>
      <c r="I387" s="440"/>
      <c r="J387" s="182"/>
      <c r="K387" s="181"/>
      <c r="L387" s="181"/>
      <c r="M387" s="181"/>
      <c r="N387" s="892"/>
      <c r="O387" s="892"/>
      <c r="P387" s="262"/>
      <c r="Q387" s="114"/>
      <c r="R387" s="114"/>
      <c r="S387" s="114"/>
      <c r="T387" s="114"/>
      <c r="U387" s="114"/>
      <c r="V387" s="114"/>
      <c r="W387" s="270"/>
      <c r="X387" s="270"/>
      <c r="Y387" s="270"/>
      <c r="Z387" s="270"/>
      <c r="AA387" s="270"/>
    </row>
    <row r="388" spans="3:27" ht="15" thickBot="1" x14ac:dyDescent="0.35">
      <c r="C388" s="450"/>
      <c r="D388" s="182"/>
      <c r="E388" s="182"/>
      <c r="F388" s="182"/>
      <c r="G388" s="450" t="str">
        <f t="shared" si="13"/>
        <v>--</v>
      </c>
      <c r="H388" s="182"/>
      <c r="I388" s="892"/>
      <c r="J388" s="892"/>
      <c r="K388" s="182"/>
      <c r="L388" s="182"/>
      <c r="M388" s="901" t="s">
        <v>155</v>
      </c>
      <c r="N388" s="870" t="s">
        <v>188</v>
      </c>
      <c r="O388" s="870"/>
      <c r="P388" s="265" t="s">
        <v>33</v>
      </c>
      <c r="Q388" s="871" t="s">
        <v>155</v>
      </c>
      <c r="R388" s="872" t="s">
        <v>168</v>
      </c>
      <c r="S388" s="872" t="s">
        <v>169</v>
      </c>
      <c r="T388" s="872" t="s">
        <v>170</v>
      </c>
      <c r="U388" s="872" t="s">
        <v>171</v>
      </c>
      <c r="V388" s="902"/>
      <c r="W388" s="902"/>
      <c r="X388" s="874"/>
      <c r="Y388" s="270"/>
      <c r="Z388" s="270"/>
      <c r="AA388" s="270"/>
    </row>
    <row r="389" spans="3:27" ht="15" thickBot="1" x14ac:dyDescent="0.35">
      <c r="C389" s="566" t="s">
        <v>87</v>
      </c>
      <c r="D389" s="875" t="str">
        <f>VLOOKUP(C389,'Airport Mapping'!$C$5:$D$39,2,FALSE)</f>
        <v xml:space="preserve"> </v>
      </c>
      <c r="E389" s="567" t="s">
        <v>38</v>
      </c>
      <c r="F389" s="567" t="s">
        <v>114</v>
      </c>
      <c r="G389" s="450" t="str">
        <f t="shared" si="13"/>
        <v>Terminal D-Food Service-Kitchen faucets</v>
      </c>
      <c r="H389" s="567" t="s">
        <v>19</v>
      </c>
      <c r="I389" s="877" t="s">
        <v>64</v>
      </c>
      <c r="J389" s="878">
        <f>SUMIFS('Level of Efficiency Assumptions'!J:J,'Level of Efficiency Assumptions'!D:D,E389,'Level of Efficiency Assumptions'!F:F,F389,'Level of Efficiency Assumptions'!I:I,I389)</f>
        <v>2</v>
      </c>
      <c r="K389" s="383" t="s">
        <v>78</v>
      </c>
      <c r="L389" s="253" t="s">
        <v>64</v>
      </c>
      <c r="M389" s="879">
        <f>Q389+Q390</f>
        <v>0</v>
      </c>
      <c r="N389" s="880">
        <f>IFERROR(M389/M392,"-")</f>
        <v>0</v>
      </c>
      <c r="O389" s="881">
        <f>SUMIFS('Data Entry'!R:R,'Data Entry'!K:K,G389)</f>
        <v>0</v>
      </c>
      <c r="P389" s="266" t="s">
        <v>180</v>
      </c>
      <c r="Q389" s="895">
        <v>0</v>
      </c>
      <c r="R389" s="883"/>
      <c r="S389" s="883"/>
      <c r="T389" s="883"/>
      <c r="U389" s="883"/>
      <c r="V389" s="114" t="s">
        <v>182</v>
      </c>
      <c r="W389" s="114"/>
      <c r="X389" s="884"/>
      <c r="Y389" s="270"/>
      <c r="Z389" s="270"/>
      <c r="AA389" s="270"/>
    </row>
    <row r="390" spans="3:27" ht="15" thickBot="1" x14ac:dyDescent="0.35">
      <c r="C390" s="494" t="s">
        <v>87</v>
      </c>
      <c r="D390" s="577"/>
      <c r="E390" s="577" t="s">
        <v>38</v>
      </c>
      <c r="F390" s="577" t="s">
        <v>114</v>
      </c>
      <c r="G390" s="450" t="str">
        <f t="shared" si="13"/>
        <v>Terminal D-Food Service-Kitchen faucets</v>
      </c>
      <c r="H390" s="577"/>
      <c r="I390" s="887" t="s">
        <v>65</v>
      </c>
      <c r="J390" s="878">
        <f>SUMIFS('Level of Efficiency Assumptions'!J:J,'Level of Efficiency Assumptions'!D:D,E390,'Level of Efficiency Assumptions'!F:F,F390,'Level of Efficiency Assumptions'!I:I,I390)</f>
        <v>1</v>
      </c>
      <c r="K390" s="383" t="s">
        <v>78</v>
      </c>
      <c r="L390" s="255" t="s">
        <v>65</v>
      </c>
      <c r="M390" s="879">
        <f>Q391+Q392</f>
        <v>1</v>
      </c>
      <c r="N390" s="880">
        <f>IFERROR(M390/M392,"-")</f>
        <v>1</v>
      </c>
      <c r="O390" s="881">
        <f>SUMIFS('Data Entry'!S:S,'Data Entry'!K:K,G390)</f>
        <v>0</v>
      </c>
      <c r="P390" s="266" t="s">
        <v>178</v>
      </c>
      <c r="Q390" s="895">
        <v>0</v>
      </c>
      <c r="R390" s="883"/>
      <c r="S390" s="883"/>
      <c r="T390" s="883"/>
      <c r="U390" s="883"/>
      <c r="V390" s="114" t="s">
        <v>184</v>
      </c>
      <c r="W390" s="114"/>
      <c r="X390" s="884"/>
      <c r="Y390" s="270"/>
      <c r="Z390" s="270"/>
      <c r="AA390" s="270"/>
    </row>
    <row r="391" spans="3:27" ht="15" thickBot="1" x14ac:dyDescent="0.35">
      <c r="C391" s="501" t="s">
        <v>87</v>
      </c>
      <c r="D391" s="116"/>
      <c r="E391" s="116" t="s">
        <v>38</v>
      </c>
      <c r="F391" s="116" t="s">
        <v>114</v>
      </c>
      <c r="G391" s="450" t="str">
        <f t="shared" si="13"/>
        <v>Terminal D-Food Service-Kitchen faucets</v>
      </c>
      <c r="H391" s="116"/>
      <c r="I391" s="889" t="s">
        <v>66</v>
      </c>
      <c r="J391" s="890">
        <f>SUMIFS('Level of Efficiency Assumptions'!J:J,'Level of Efficiency Assumptions'!D:D,E391,'Level of Efficiency Assumptions'!F:F,F391,'Level of Efficiency Assumptions'!I:I,I391)</f>
        <v>0.5</v>
      </c>
      <c r="K391" s="383" t="s">
        <v>78</v>
      </c>
      <c r="L391" s="257" t="s">
        <v>66</v>
      </c>
      <c r="M391" s="879">
        <f>Q393</f>
        <v>0</v>
      </c>
      <c r="N391" s="880">
        <f>IFERROR(M391/M392,"-")</f>
        <v>0</v>
      </c>
      <c r="O391" s="881">
        <f>SUMIFS('Data Entry'!T:T,'Data Entry'!K:K,G391)</f>
        <v>0</v>
      </c>
      <c r="P391" s="267" t="s">
        <v>176</v>
      </c>
      <c r="Q391" s="895">
        <v>1</v>
      </c>
      <c r="R391" s="883"/>
      <c r="S391" s="883"/>
      <c r="T391" s="883"/>
      <c r="U391" s="883"/>
      <c r="V391" s="114" t="s">
        <v>185</v>
      </c>
      <c r="W391" s="114"/>
      <c r="X391" s="884"/>
      <c r="Y391" s="270"/>
      <c r="Z391" s="270"/>
      <c r="AA391" s="270"/>
    </row>
    <row r="392" spans="3:27" x14ac:dyDescent="0.3">
      <c r="C392" s="450"/>
      <c r="D392" s="182"/>
      <c r="E392" s="182"/>
      <c r="F392" s="182"/>
      <c r="G392" s="450" t="str">
        <f t="shared" si="13"/>
        <v>--</v>
      </c>
      <c r="H392" s="182"/>
      <c r="I392" s="440"/>
      <c r="J392" s="892"/>
      <c r="K392" s="259"/>
      <c r="L392" s="259" t="s">
        <v>46</v>
      </c>
      <c r="M392" s="893">
        <f>SUM(M389:M391)</f>
        <v>1</v>
      </c>
      <c r="N392" s="894"/>
      <c r="O392" s="894">
        <f>SUM(O389:O391)</f>
        <v>0</v>
      </c>
      <c r="P392" s="256" t="s">
        <v>173</v>
      </c>
      <c r="Q392" s="895">
        <v>0</v>
      </c>
      <c r="R392" s="883"/>
      <c r="S392" s="883"/>
      <c r="T392" s="883"/>
      <c r="U392" s="883"/>
      <c r="V392" s="114" t="s">
        <v>186</v>
      </c>
      <c r="W392" s="114"/>
      <c r="X392" s="884"/>
      <c r="Y392" s="270"/>
      <c r="Z392" s="270"/>
      <c r="AA392" s="270"/>
    </row>
    <row r="393" spans="3:27" x14ac:dyDescent="0.3">
      <c r="C393" s="450"/>
      <c r="D393" s="182"/>
      <c r="E393" s="182"/>
      <c r="F393" s="182"/>
      <c r="G393" s="450" t="str">
        <f t="shared" si="13"/>
        <v>--</v>
      </c>
      <c r="H393" s="182"/>
      <c r="I393" s="892"/>
      <c r="J393" s="892"/>
      <c r="K393" s="182"/>
      <c r="L393" s="182"/>
      <c r="M393" s="270"/>
      <c r="N393" s="892"/>
      <c r="O393" s="892"/>
      <c r="P393" s="258" t="s">
        <v>172</v>
      </c>
      <c r="Q393" s="895">
        <v>0</v>
      </c>
      <c r="R393" s="883"/>
      <c r="S393" s="883"/>
      <c r="T393" s="883"/>
      <c r="U393" s="883"/>
      <c r="V393" s="114"/>
      <c r="W393" s="114"/>
      <c r="X393" s="884"/>
      <c r="Y393" s="270"/>
      <c r="Z393" s="270"/>
      <c r="AA393" s="270"/>
    </row>
    <row r="394" spans="3:27" x14ac:dyDescent="0.3">
      <c r="C394" s="450"/>
      <c r="D394" s="182"/>
      <c r="E394" s="182"/>
      <c r="F394" s="182"/>
      <c r="G394" s="450" t="str">
        <f t="shared" si="13"/>
        <v>--</v>
      </c>
      <c r="H394" s="182"/>
      <c r="I394" s="892"/>
      <c r="J394" s="892"/>
      <c r="K394" s="182"/>
      <c r="L394" s="182"/>
      <c r="M394" s="270"/>
      <c r="N394" s="892"/>
      <c r="O394" s="892"/>
      <c r="P394" s="263" t="s">
        <v>46</v>
      </c>
      <c r="Q394" s="897">
        <f>SUM(Q388:Q393)</f>
        <v>1</v>
      </c>
      <c r="R394" s="899"/>
      <c r="S394" s="899"/>
      <c r="T394" s="899"/>
      <c r="U394" s="899"/>
      <c r="V394" s="899"/>
      <c r="W394" s="899"/>
      <c r="X394" s="900"/>
      <c r="Y394" s="270"/>
      <c r="Z394" s="270"/>
      <c r="AA394" s="270"/>
    </row>
    <row r="395" spans="3:27" x14ac:dyDescent="0.3">
      <c r="C395" s="450"/>
      <c r="D395" s="182"/>
      <c r="E395" s="182"/>
      <c r="F395" s="182"/>
      <c r="G395" s="450" t="str">
        <f t="shared" si="13"/>
        <v>--</v>
      </c>
      <c r="H395" s="182"/>
      <c r="I395" s="892"/>
      <c r="J395" s="892"/>
      <c r="K395" s="182"/>
      <c r="L395" s="182"/>
      <c r="M395" s="270"/>
      <c r="N395" s="892"/>
      <c r="O395" s="892"/>
      <c r="P395" s="259"/>
      <c r="Q395" s="114"/>
      <c r="R395" s="114"/>
      <c r="S395" s="114"/>
      <c r="T395" s="114"/>
      <c r="U395" s="114"/>
      <c r="V395" s="114"/>
      <c r="W395" s="270"/>
      <c r="X395" s="270"/>
      <c r="Y395" s="270"/>
      <c r="Z395" s="270"/>
      <c r="AA395" s="270"/>
    </row>
    <row r="396" spans="3:27" ht="15" thickBot="1" x14ac:dyDescent="0.35">
      <c r="C396" s="450"/>
      <c r="D396" s="182"/>
      <c r="E396" s="182"/>
      <c r="F396" s="182"/>
      <c r="G396" s="450" t="str">
        <f t="shared" si="13"/>
        <v>--</v>
      </c>
      <c r="H396" s="182"/>
      <c r="I396" s="892"/>
      <c r="J396" s="892"/>
      <c r="K396" s="182"/>
      <c r="L396" s="182"/>
      <c r="M396" s="901" t="s">
        <v>155</v>
      </c>
      <c r="N396" s="870" t="s">
        <v>188</v>
      </c>
      <c r="O396" s="870"/>
      <c r="P396" s="268" t="s">
        <v>157</v>
      </c>
      <c r="Q396" s="871" t="s">
        <v>155</v>
      </c>
      <c r="R396" s="874"/>
      <c r="S396" s="114"/>
      <c r="T396" s="270"/>
      <c r="U396" s="270"/>
      <c r="V396" s="270"/>
      <c r="W396" s="114"/>
      <c r="X396" s="270"/>
      <c r="Y396" s="270"/>
      <c r="Z396" s="270"/>
      <c r="AA396" s="270"/>
    </row>
    <row r="397" spans="3:27" ht="15" thickBot="1" x14ac:dyDescent="0.35">
      <c r="C397" s="566" t="s">
        <v>87</v>
      </c>
      <c r="D397" s="875" t="str">
        <f>VLOOKUP(C397,'Airport Mapping'!$C$5:$D$39,2,FALSE)</f>
        <v xml:space="preserve"> </v>
      </c>
      <c r="E397" s="567" t="s">
        <v>38</v>
      </c>
      <c r="F397" s="567" t="s">
        <v>127</v>
      </c>
      <c r="G397" s="450" t="str">
        <f t="shared" si="13"/>
        <v>Terminal D-Food Service-Pre-rinse spray valves</v>
      </c>
      <c r="H397" s="567" t="s">
        <v>19</v>
      </c>
      <c r="I397" s="877" t="s">
        <v>64</v>
      </c>
      <c r="J397" s="878">
        <f>SUMIFS('Level of Efficiency Assumptions'!J:J,'Level of Efficiency Assumptions'!D:D,E397,'Level of Efficiency Assumptions'!F:F,F397,'Level of Efficiency Assumptions'!I:I,I397)</f>
        <v>3</v>
      </c>
      <c r="K397" s="383" t="s">
        <v>78</v>
      </c>
      <c r="L397" s="253" t="s">
        <v>64</v>
      </c>
      <c r="M397" s="879">
        <f>Q397+Q398</f>
        <v>0</v>
      </c>
      <c r="N397" s="880">
        <f>IFERROR(M397/M400,"-")</f>
        <v>0</v>
      </c>
      <c r="O397" s="881">
        <f>SUMIFS('Data Entry'!R:R,'Data Entry'!K:K,G397)</f>
        <v>0</v>
      </c>
      <c r="P397" s="266" t="s">
        <v>191</v>
      </c>
      <c r="Q397" s="895">
        <v>0</v>
      </c>
      <c r="R397" s="884"/>
      <c r="S397" s="114"/>
      <c r="T397" s="270"/>
      <c r="U397" s="270"/>
      <c r="V397" s="270"/>
      <c r="W397" s="114"/>
      <c r="X397" s="270"/>
      <c r="Y397" s="270"/>
      <c r="Z397" s="270"/>
      <c r="AA397" s="270"/>
    </row>
    <row r="398" spans="3:27" ht="15" thickBot="1" x14ac:dyDescent="0.35">
      <c r="C398" s="494" t="s">
        <v>87</v>
      </c>
      <c r="D398" s="577"/>
      <c r="E398" s="577" t="s">
        <v>38</v>
      </c>
      <c r="F398" s="577" t="s">
        <v>127</v>
      </c>
      <c r="G398" s="450" t="str">
        <f t="shared" si="13"/>
        <v>Terminal D-Food Service-Pre-rinse spray valves</v>
      </c>
      <c r="H398" s="577"/>
      <c r="I398" s="887" t="s">
        <v>65</v>
      </c>
      <c r="J398" s="878">
        <f>SUMIFS('Level of Efficiency Assumptions'!J:J,'Level of Efficiency Assumptions'!D:D,E398,'Level of Efficiency Assumptions'!F:F,F398,'Level of Efficiency Assumptions'!I:I,I398)</f>
        <v>2</v>
      </c>
      <c r="K398" s="383" t="s">
        <v>78</v>
      </c>
      <c r="L398" s="255" t="s">
        <v>65</v>
      </c>
      <c r="M398" s="879">
        <f>Q399+Q400</f>
        <v>1</v>
      </c>
      <c r="N398" s="880">
        <f>IFERROR(M398/M400,"-")</f>
        <v>1</v>
      </c>
      <c r="O398" s="881">
        <f>SUMIFS('Data Entry'!S:S,'Data Entry'!K:K,G398)</f>
        <v>0</v>
      </c>
      <c r="P398" s="266" t="s">
        <v>192</v>
      </c>
      <c r="Q398" s="895">
        <v>0</v>
      </c>
      <c r="R398" s="884"/>
      <c r="S398" s="114"/>
      <c r="T398" s="270"/>
      <c r="U398" s="270"/>
      <c r="V398" s="270"/>
      <c r="W398" s="114"/>
      <c r="X398" s="270"/>
      <c r="Y398" s="270"/>
      <c r="Z398" s="270"/>
      <c r="AA398" s="270"/>
    </row>
    <row r="399" spans="3:27" ht="15" thickBot="1" x14ac:dyDescent="0.35">
      <c r="C399" s="501" t="s">
        <v>87</v>
      </c>
      <c r="D399" s="116"/>
      <c r="E399" s="116" t="s">
        <v>38</v>
      </c>
      <c r="F399" s="116" t="s">
        <v>127</v>
      </c>
      <c r="G399" s="450" t="str">
        <f t="shared" si="13"/>
        <v>Terminal D-Food Service-Pre-rinse spray valves</v>
      </c>
      <c r="H399" s="116"/>
      <c r="I399" s="889" t="s">
        <v>66</v>
      </c>
      <c r="J399" s="890">
        <f>SUMIFS('Level of Efficiency Assumptions'!J:J,'Level of Efficiency Assumptions'!D:D,E399,'Level of Efficiency Assumptions'!F:F,F399,'Level of Efficiency Assumptions'!I:I,I399)</f>
        <v>1.28</v>
      </c>
      <c r="K399" s="383" t="s">
        <v>78</v>
      </c>
      <c r="L399" s="257" t="s">
        <v>66</v>
      </c>
      <c r="M399" s="879">
        <f>Q401</f>
        <v>0</v>
      </c>
      <c r="N399" s="880">
        <f>IFERROR(M399/M400,"-")</f>
        <v>0</v>
      </c>
      <c r="O399" s="881">
        <f>SUMIFS('Data Entry'!T:T,'Data Entry'!K:K,G399)</f>
        <v>0</v>
      </c>
      <c r="P399" s="267" t="s">
        <v>193</v>
      </c>
      <c r="Q399" s="895">
        <v>0</v>
      </c>
      <c r="R399" s="884"/>
      <c r="S399" s="114"/>
      <c r="T399" s="270"/>
      <c r="U399" s="270"/>
      <c r="V399" s="270"/>
      <c r="W399" s="114"/>
      <c r="X399" s="270"/>
      <c r="Y399" s="270"/>
      <c r="Z399" s="270"/>
      <c r="AA399" s="270"/>
    </row>
    <row r="400" spans="3:27" x14ac:dyDescent="0.3">
      <c r="C400" s="450"/>
      <c r="D400" s="182"/>
      <c r="E400" s="182"/>
      <c r="F400" s="182"/>
      <c r="G400" s="450" t="str">
        <f t="shared" si="13"/>
        <v>--</v>
      </c>
      <c r="H400" s="182"/>
      <c r="I400" s="440"/>
      <c r="J400" s="892"/>
      <c r="K400" s="259"/>
      <c r="L400" s="259" t="s">
        <v>46</v>
      </c>
      <c r="M400" s="893">
        <f>SUM(M397:M399)</f>
        <v>1</v>
      </c>
      <c r="N400" s="894"/>
      <c r="O400" s="894">
        <f>SUM(O397:O399)</f>
        <v>0</v>
      </c>
      <c r="P400" s="267" t="s">
        <v>194</v>
      </c>
      <c r="Q400" s="895">
        <v>1</v>
      </c>
      <c r="R400" s="884"/>
      <c r="S400" s="114"/>
      <c r="T400" s="270"/>
      <c r="U400" s="270"/>
      <c r="V400" s="270"/>
      <c r="W400" s="114"/>
      <c r="X400" s="270"/>
      <c r="Y400" s="270"/>
      <c r="Z400" s="270"/>
      <c r="AA400" s="270"/>
    </row>
    <row r="401" spans="3:27" x14ac:dyDescent="0.3">
      <c r="C401" s="224"/>
      <c r="D401" s="211"/>
      <c r="E401" s="182"/>
      <c r="F401" s="182"/>
      <c r="G401" s="450" t="str">
        <f t="shared" si="13"/>
        <v>--</v>
      </c>
      <c r="H401" s="182"/>
      <c r="I401" s="892"/>
      <c r="J401" s="892"/>
      <c r="K401" s="182"/>
      <c r="L401" s="182"/>
      <c r="M401" s="270"/>
      <c r="N401" s="892"/>
      <c r="O401" s="892"/>
      <c r="P401" s="269" t="s">
        <v>195</v>
      </c>
      <c r="Q401" s="895">
        <v>0</v>
      </c>
      <c r="R401" s="884"/>
      <c r="S401" s="114"/>
      <c r="T401" s="114"/>
      <c r="U401" s="114"/>
      <c r="V401" s="114"/>
      <c r="W401" s="114"/>
      <c r="X401" s="270"/>
      <c r="Y401" s="270"/>
      <c r="Z401" s="270"/>
      <c r="AA401" s="270"/>
    </row>
    <row r="402" spans="3:27" x14ac:dyDescent="0.3">
      <c r="C402" s="224"/>
      <c r="D402" s="211"/>
      <c r="E402" s="182"/>
      <c r="F402" s="182"/>
      <c r="G402" s="450" t="str">
        <f t="shared" si="13"/>
        <v>--</v>
      </c>
      <c r="H402" s="182"/>
      <c r="I402" s="892"/>
      <c r="J402" s="892"/>
      <c r="K402" s="182"/>
      <c r="L402" s="182"/>
      <c r="M402" s="270"/>
      <c r="N402" s="892"/>
      <c r="O402" s="892"/>
      <c r="P402" s="263" t="s">
        <v>46</v>
      </c>
      <c r="Q402" s="897">
        <f>SUM(Q397:Q401)</f>
        <v>1</v>
      </c>
      <c r="R402" s="900"/>
      <c r="S402" s="114"/>
      <c r="T402" s="114"/>
      <c r="U402" s="114"/>
      <c r="V402" s="114"/>
      <c r="W402" s="114"/>
      <c r="X402" s="270"/>
      <c r="Y402" s="270"/>
      <c r="Z402" s="270"/>
      <c r="AA402" s="270"/>
    </row>
    <row r="403" spans="3:27" x14ac:dyDescent="0.3">
      <c r="C403" s="224"/>
      <c r="D403" s="211"/>
      <c r="E403" s="182"/>
      <c r="F403" s="182"/>
      <c r="G403" s="450" t="str">
        <f t="shared" ref="G403:G451" si="17">C403&amp;"-"&amp;E403&amp;"-"&amp;F403</f>
        <v>--</v>
      </c>
      <c r="H403" s="182"/>
      <c r="I403" s="892"/>
      <c r="J403" s="892"/>
      <c r="K403" s="182"/>
      <c r="L403" s="182"/>
      <c r="M403" s="270"/>
      <c r="N403" s="892"/>
      <c r="O403" s="892"/>
      <c r="P403" s="270"/>
      <c r="Q403" s="270"/>
      <c r="R403" s="270"/>
      <c r="S403" s="270"/>
      <c r="T403" s="270"/>
      <c r="U403" s="270"/>
      <c r="V403" s="270"/>
      <c r="W403" s="270"/>
      <c r="X403" s="270"/>
      <c r="Y403" s="270"/>
      <c r="Z403" s="270"/>
      <c r="AA403" s="270"/>
    </row>
    <row r="404" spans="3:27" x14ac:dyDescent="0.3">
      <c r="C404" s="224"/>
      <c r="D404" s="211"/>
      <c r="E404" s="182"/>
      <c r="F404" s="182"/>
      <c r="G404" s="450" t="str">
        <f t="shared" si="17"/>
        <v>--</v>
      </c>
      <c r="H404" s="182"/>
      <c r="I404" s="892"/>
      <c r="J404" s="892"/>
      <c r="K404" s="182"/>
      <c r="L404" s="182"/>
      <c r="M404" s="270"/>
      <c r="N404" s="892"/>
      <c r="O404" s="892"/>
      <c r="P404" s="268" t="s">
        <v>196</v>
      </c>
      <c r="Q404" s="906"/>
      <c r="R404" s="902"/>
      <c r="S404" s="902"/>
      <c r="T404" s="902"/>
      <c r="U404" s="902"/>
      <c r="V404" s="902"/>
      <c r="W404" s="902"/>
      <c r="X404" s="902"/>
      <c r="Y404" s="902"/>
      <c r="Z404" s="902"/>
      <c r="AA404" s="874"/>
    </row>
    <row r="405" spans="3:27" ht="15" thickBot="1" x14ac:dyDescent="0.35">
      <c r="C405" s="224"/>
      <c r="D405" s="182"/>
      <c r="E405" s="182"/>
      <c r="F405" s="182"/>
      <c r="G405" s="450" t="str">
        <f t="shared" si="17"/>
        <v>--</v>
      </c>
      <c r="H405" s="182"/>
      <c r="I405" s="892"/>
      <c r="J405" s="892"/>
      <c r="K405" s="182"/>
      <c r="L405" s="182"/>
      <c r="M405" s="901" t="s">
        <v>155</v>
      </c>
      <c r="N405" s="870" t="s">
        <v>188</v>
      </c>
      <c r="O405" s="870"/>
      <c r="P405" s="271" t="s">
        <v>203</v>
      </c>
      <c r="Q405" s="871" t="s">
        <v>155</v>
      </c>
      <c r="R405" s="114"/>
      <c r="S405" s="114"/>
      <c r="T405" s="907" t="s">
        <v>156</v>
      </c>
      <c r="U405" s="114"/>
      <c r="V405" s="114"/>
      <c r="W405" s="114"/>
      <c r="X405" s="114"/>
      <c r="Y405" s="114"/>
      <c r="Z405" s="114"/>
      <c r="AA405" s="884"/>
    </row>
    <row r="406" spans="3:27" ht="15" thickBot="1" x14ac:dyDescent="0.35">
      <c r="C406" s="566" t="s">
        <v>87</v>
      </c>
      <c r="D406" s="875" t="str">
        <f>VLOOKUP(C406,'Airport Mapping'!$C$5:$D$39,2,FALSE)</f>
        <v xml:space="preserve"> </v>
      </c>
      <c r="E406" s="567" t="s">
        <v>38</v>
      </c>
      <c r="F406" s="567" t="s">
        <v>41</v>
      </c>
      <c r="G406" s="450" t="str">
        <f t="shared" si="17"/>
        <v>Terminal D-Food Service-Dishwashers</v>
      </c>
      <c r="H406" s="567" t="s">
        <v>19</v>
      </c>
      <c r="I406" s="877" t="s">
        <v>64</v>
      </c>
      <c r="J406" s="878">
        <f>SUMIFS('Level of Efficiency Assumptions'!J:J,'Level of Efficiency Assumptions'!D:D,E406,'Level of Efficiency Assumptions'!F:F,F406,'Level of Efficiency Assumptions'!I:I,I406)</f>
        <v>4.5</v>
      </c>
      <c r="K406" s="383" t="s">
        <v>203</v>
      </c>
      <c r="L406" s="253" t="s">
        <v>64</v>
      </c>
      <c r="M406" s="879">
        <f>SUM(Q406:Q408)</f>
        <v>0</v>
      </c>
      <c r="N406" s="880">
        <f>IFERROR(M406/M409,"-")</f>
        <v>0</v>
      </c>
      <c r="O406" s="881">
        <f>SUMIFS('Data Entry'!R:R,'Data Entry'!K:K,G406)</f>
        <v>0</v>
      </c>
      <c r="P406" s="266" t="s">
        <v>204</v>
      </c>
      <c r="Q406" s="895">
        <v>0</v>
      </c>
      <c r="R406" s="114"/>
      <c r="S406" s="905" t="s">
        <v>200</v>
      </c>
      <c r="T406" s="895">
        <v>1</v>
      </c>
      <c r="U406" s="114"/>
      <c r="V406" s="114" t="s">
        <v>218</v>
      </c>
      <c r="W406" s="114"/>
      <c r="X406" s="114"/>
      <c r="Y406" s="114"/>
      <c r="Z406" s="114"/>
      <c r="AA406" s="884"/>
    </row>
    <row r="407" spans="3:27" ht="15" thickBot="1" x14ac:dyDescent="0.35">
      <c r="C407" s="494" t="s">
        <v>87</v>
      </c>
      <c r="D407" s="577"/>
      <c r="E407" s="577" t="s">
        <v>38</v>
      </c>
      <c r="F407" s="577" t="s">
        <v>41</v>
      </c>
      <c r="G407" s="450" t="str">
        <f t="shared" si="17"/>
        <v>Terminal D-Food Service-Dishwashers</v>
      </c>
      <c r="H407" s="577"/>
      <c r="I407" s="887" t="s">
        <v>65</v>
      </c>
      <c r="J407" s="878">
        <f>SUMIFS('Level of Efficiency Assumptions'!J:J,'Level of Efficiency Assumptions'!D:D,E407,'Level of Efficiency Assumptions'!F:F,F407,'Level of Efficiency Assumptions'!I:I,I407)</f>
        <v>2.5</v>
      </c>
      <c r="K407" s="383" t="s">
        <v>203</v>
      </c>
      <c r="L407" s="255" t="s">
        <v>65</v>
      </c>
      <c r="M407" s="879">
        <f>Q409+Q410</f>
        <v>1</v>
      </c>
      <c r="N407" s="880">
        <f>IFERROR(M407/M409,"-")</f>
        <v>1</v>
      </c>
      <c r="O407" s="881">
        <f>SUMIFS('Data Entry'!S:S,'Data Entry'!K:K,G407)</f>
        <v>0</v>
      </c>
      <c r="P407" s="272" t="s">
        <v>205</v>
      </c>
      <c r="Q407" s="895">
        <v>0</v>
      </c>
      <c r="R407" s="114"/>
      <c r="S407" s="908" t="s">
        <v>201</v>
      </c>
      <c r="T407" s="895">
        <v>1</v>
      </c>
      <c r="U407" s="114"/>
      <c r="V407" s="114"/>
      <c r="W407" s="114"/>
      <c r="X407" s="114"/>
      <c r="Y407" s="114"/>
      <c r="Z407" s="114"/>
      <c r="AA407" s="884"/>
    </row>
    <row r="408" spans="3:27" ht="15" thickBot="1" x14ac:dyDescent="0.35">
      <c r="C408" s="501" t="s">
        <v>87</v>
      </c>
      <c r="D408" s="116"/>
      <c r="E408" s="116" t="s">
        <v>38</v>
      </c>
      <c r="F408" s="116" t="s">
        <v>41</v>
      </c>
      <c r="G408" s="450" t="str">
        <f t="shared" si="17"/>
        <v>Terminal D-Food Service-Dishwashers</v>
      </c>
      <c r="H408" s="116"/>
      <c r="I408" s="889" t="s">
        <v>66</v>
      </c>
      <c r="J408" s="890">
        <f>SUMIFS('Level of Efficiency Assumptions'!J:J,'Level of Efficiency Assumptions'!D:D,E408,'Level of Efficiency Assumptions'!F:F,F408,'Level of Efficiency Assumptions'!I:I,I408)</f>
        <v>1</v>
      </c>
      <c r="K408" s="383" t="s">
        <v>203</v>
      </c>
      <c r="L408" s="257" t="s">
        <v>66</v>
      </c>
      <c r="M408" s="879">
        <f>Q411+Q412</f>
        <v>0</v>
      </c>
      <c r="N408" s="880">
        <f>IFERROR(M408/M409,"-")</f>
        <v>0</v>
      </c>
      <c r="O408" s="881">
        <f>SUMIFS('Data Entry'!T:T,'Data Entry'!K:K,G408)</f>
        <v>0</v>
      </c>
      <c r="P408" s="272" t="s">
        <v>206</v>
      </c>
      <c r="Q408" s="895">
        <v>0</v>
      </c>
      <c r="R408" s="114"/>
      <c r="S408" s="908" t="s">
        <v>202</v>
      </c>
      <c r="T408" s="895">
        <v>1</v>
      </c>
      <c r="U408" s="114"/>
      <c r="V408" s="114"/>
      <c r="W408" s="114"/>
      <c r="X408" s="114"/>
      <c r="Y408" s="114"/>
      <c r="Z408" s="114"/>
      <c r="AA408" s="884"/>
    </row>
    <row r="409" spans="3:27" x14ac:dyDescent="0.3">
      <c r="C409" s="450"/>
      <c r="D409" s="182"/>
      <c r="E409" s="182"/>
      <c r="F409" s="182"/>
      <c r="G409" s="450" t="str">
        <f t="shared" si="17"/>
        <v>--</v>
      </c>
      <c r="H409" s="182"/>
      <c r="I409" s="440"/>
      <c r="J409" s="892"/>
      <c r="K409" s="259"/>
      <c r="L409" s="259" t="s">
        <v>46</v>
      </c>
      <c r="M409" s="893">
        <f>SUM(M406:M408)</f>
        <v>1</v>
      </c>
      <c r="N409" s="894"/>
      <c r="O409" s="894">
        <f>SUM(O406:O408)</f>
        <v>0</v>
      </c>
      <c r="P409" s="267" t="s">
        <v>207</v>
      </c>
      <c r="Q409" s="895">
        <v>1</v>
      </c>
      <c r="R409" s="114"/>
      <c r="S409" s="908" t="s">
        <v>199</v>
      </c>
      <c r="T409" s="895">
        <v>1</v>
      </c>
      <c r="U409" s="114"/>
      <c r="V409" s="114"/>
      <c r="W409" s="114"/>
      <c r="X409" s="114"/>
      <c r="Y409" s="114"/>
      <c r="Z409" s="114"/>
      <c r="AA409" s="884"/>
    </row>
    <row r="410" spans="3:27" x14ac:dyDescent="0.3">
      <c r="C410" s="450"/>
      <c r="D410" s="182"/>
      <c r="E410" s="182"/>
      <c r="F410" s="182"/>
      <c r="G410" s="450" t="str">
        <f t="shared" si="17"/>
        <v>--</v>
      </c>
      <c r="H410" s="182"/>
      <c r="I410" s="892"/>
      <c r="J410" s="892"/>
      <c r="K410" s="182"/>
      <c r="L410" s="182"/>
      <c r="M410" s="270"/>
      <c r="N410" s="892"/>
      <c r="O410" s="892"/>
      <c r="P410" s="267" t="s">
        <v>208</v>
      </c>
      <c r="Q410" s="895">
        <v>0</v>
      </c>
      <c r="R410" s="114"/>
      <c r="S410" s="909" t="s">
        <v>198</v>
      </c>
      <c r="T410" s="895">
        <v>1</v>
      </c>
      <c r="U410" s="114"/>
      <c r="V410" s="114"/>
      <c r="W410" s="114"/>
      <c r="X410" s="114"/>
      <c r="Y410" s="114"/>
      <c r="Z410" s="114"/>
      <c r="AA410" s="884"/>
    </row>
    <row r="411" spans="3:27" x14ac:dyDescent="0.3">
      <c r="C411" s="450"/>
      <c r="D411" s="182"/>
      <c r="E411" s="182"/>
      <c r="F411" s="182"/>
      <c r="G411" s="450" t="str">
        <f t="shared" si="17"/>
        <v>--</v>
      </c>
      <c r="H411" s="182"/>
      <c r="I411" s="892"/>
      <c r="J411" s="892"/>
      <c r="K411" s="182"/>
      <c r="L411" s="182"/>
      <c r="M411" s="270"/>
      <c r="N411" s="892"/>
      <c r="O411" s="892"/>
      <c r="P411" s="269" t="s">
        <v>209</v>
      </c>
      <c r="Q411" s="895">
        <v>0</v>
      </c>
      <c r="R411" s="114"/>
      <c r="S411" s="905" t="s">
        <v>197</v>
      </c>
      <c r="T411" s="895">
        <v>1</v>
      </c>
      <c r="U411" s="114"/>
      <c r="V411" s="114"/>
      <c r="W411" s="114"/>
      <c r="X411" s="114"/>
      <c r="Y411" s="114"/>
      <c r="Z411" s="114"/>
      <c r="AA411" s="884"/>
    </row>
    <row r="412" spans="3:27" x14ac:dyDescent="0.3">
      <c r="C412" s="450"/>
      <c r="D412" s="182"/>
      <c r="E412" s="182"/>
      <c r="F412" s="182"/>
      <c r="G412" s="450" t="str">
        <f t="shared" si="17"/>
        <v>--</v>
      </c>
      <c r="H412" s="182"/>
      <c r="I412" s="892"/>
      <c r="J412" s="892"/>
      <c r="K412" s="182"/>
      <c r="L412" s="182"/>
      <c r="M412" s="270"/>
      <c r="N412" s="892"/>
      <c r="O412" s="892"/>
      <c r="P412" s="269" t="s">
        <v>210</v>
      </c>
      <c r="Q412" s="895">
        <v>0</v>
      </c>
      <c r="R412" s="114"/>
      <c r="S412" s="114" t="s">
        <v>216</v>
      </c>
      <c r="T412" s="910">
        <f>(T406*55)+(T407*45)+(T408*35)+(T409*25)+(T410*15)+(T411*5)</f>
        <v>180</v>
      </c>
      <c r="U412" s="1393" t="s">
        <v>217</v>
      </c>
      <c r="V412" s="1393"/>
      <c r="W412" s="1393"/>
      <c r="X412" s="114"/>
      <c r="Y412" s="114"/>
      <c r="Z412" s="114"/>
      <c r="AA412" s="884"/>
    </row>
    <row r="413" spans="3:27" x14ac:dyDescent="0.3">
      <c r="C413" s="450"/>
      <c r="D413" s="182"/>
      <c r="E413" s="182"/>
      <c r="F413" s="182"/>
      <c r="G413" s="450" t="str">
        <f t="shared" si="17"/>
        <v>--</v>
      </c>
      <c r="H413" s="182"/>
      <c r="I413" s="892"/>
      <c r="J413" s="892"/>
      <c r="K413" s="182"/>
      <c r="L413" s="182"/>
      <c r="M413" s="270"/>
      <c r="N413" s="892"/>
      <c r="O413" s="892"/>
      <c r="P413" s="263" t="s">
        <v>46</v>
      </c>
      <c r="Q413" s="897">
        <f>SUM(Q406:Q412)</f>
        <v>1</v>
      </c>
      <c r="R413" s="899"/>
      <c r="S413" s="899"/>
      <c r="T413" s="899"/>
      <c r="U413" s="1394"/>
      <c r="V413" s="1394"/>
      <c r="W413" s="1394"/>
      <c r="X413" s="899"/>
      <c r="Y413" s="899"/>
      <c r="Z413" s="899"/>
      <c r="AA413" s="900"/>
    </row>
    <row r="414" spans="3:27" x14ac:dyDescent="0.3">
      <c r="C414" s="450"/>
      <c r="D414" s="182"/>
      <c r="E414" s="182"/>
      <c r="F414" s="182"/>
      <c r="G414" s="450" t="str">
        <f t="shared" si="17"/>
        <v>--</v>
      </c>
      <c r="H414" s="182"/>
      <c r="I414" s="892"/>
      <c r="J414" s="892"/>
      <c r="K414" s="182"/>
      <c r="L414" s="182"/>
      <c r="M414" s="270"/>
      <c r="N414" s="892"/>
      <c r="O414" s="892"/>
      <c r="P414" s="114"/>
      <c r="Q414" s="114"/>
      <c r="R414" s="114"/>
      <c r="S414" s="114"/>
      <c r="T414" s="114"/>
      <c r="U414" s="114"/>
      <c r="V414" s="114"/>
      <c r="W414" s="114"/>
      <c r="X414" s="270"/>
      <c r="Y414" s="270"/>
      <c r="Z414" s="270"/>
      <c r="AA414" s="270"/>
    </row>
    <row r="415" spans="3:27" x14ac:dyDescent="0.3">
      <c r="C415" s="450"/>
      <c r="D415" s="182"/>
      <c r="E415" s="182"/>
      <c r="F415" s="182"/>
      <c r="G415" s="450" t="str">
        <f t="shared" si="17"/>
        <v>--</v>
      </c>
      <c r="H415" s="182"/>
      <c r="I415" s="892"/>
      <c r="J415" s="892"/>
      <c r="K415" s="182"/>
      <c r="L415" s="182"/>
      <c r="M415" s="270"/>
      <c r="N415" s="892"/>
      <c r="O415" s="892"/>
      <c r="P415" s="268" t="s">
        <v>174</v>
      </c>
      <c r="Q415" s="911"/>
      <c r="R415" s="872"/>
      <c r="S415" s="874"/>
      <c r="T415" s="270"/>
      <c r="U415" s="270"/>
      <c r="V415" s="270"/>
      <c r="W415" s="270"/>
      <c r="X415" s="270"/>
      <c r="Y415" s="270"/>
      <c r="Z415" s="270"/>
      <c r="AA415" s="270"/>
    </row>
    <row r="416" spans="3:27" ht="15" thickBot="1" x14ac:dyDescent="0.35">
      <c r="C416" s="450"/>
      <c r="D416" s="182"/>
      <c r="E416" s="182"/>
      <c r="F416" s="182"/>
      <c r="G416" s="450" t="str">
        <f t="shared" si="17"/>
        <v>--</v>
      </c>
      <c r="H416" s="182"/>
      <c r="I416" s="892"/>
      <c r="J416" s="892"/>
      <c r="K416" s="182"/>
      <c r="L416" s="182"/>
      <c r="M416" s="901" t="s">
        <v>155</v>
      </c>
      <c r="N416" s="870" t="s">
        <v>188</v>
      </c>
      <c r="O416" s="870"/>
      <c r="P416" s="273" t="s">
        <v>220</v>
      </c>
      <c r="Q416" s="871" t="s">
        <v>155</v>
      </c>
      <c r="R416" s="114"/>
      <c r="S416" s="884"/>
      <c r="T416" s="270"/>
      <c r="U416" s="270"/>
      <c r="V416" s="270"/>
      <c r="W416" s="270"/>
      <c r="X416" s="270"/>
      <c r="Y416" s="270"/>
      <c r="Z416" s="270"/>
      <c r="AA416" s="270"/>
    </row>
    <row r="417" spans="3:27" ht="15" thickBot="1" x14ac:dyDescent="0.35">
      <c r="C417" s="566" t="s">
        <v>87</v>
      </c>
      <c r="D417" s="875" t="str">
        <f>VLOOKUP(C417,'Airport Mapping'!$C$5:$D$39,2,FALSE)</f>
        <v xml:space="preserve"> </v>
      </c>
      <c r="E417" s="567" t="s">
        <v>38</v>
      </c>
      <c r="F417" s="567" t="s">
        <v>20</v>
      </c>
      <c r="G417" s="450" t="str">
        <f t="shared" si="17"/>
        <v>Terminal D-Food Service-Ice machines</v>
      </c>
      <c r="H417" s="567" t="s">
        <v>19</v>
      </c>
      <c r="I417" s="877" t="s">
        <v>64</v>
      </c>
      <c r="J417" s="878">
        <f>SUMIFS('Level of Efficiency Assumptions'!J:J,'Level of Efficiency Assumptions'!D:D,E417,'Level of Efficiency Assumptions'!F:F,F417,'Level of Efficiency Assumptions'!I:I,I417)</f>
        <v>1.5</v>
      </c>
      <c r="K417" s="383" t="s">
        <v>220</v>
      </c>
      <c r="L417" s="253" t="s">
        <v>64</v>
      </c>
      <c r="M417" s="879">
        <f>SUM(Q417:Q419)</f>
        <v>0</v>
      </c>
      <c r="N417" s="880">
        <f>IFERROR(M417/M420,"-")</f>
        <v>0</v>
      </c>
      <c r="O417" s="881">
        <f>SUMIFS('Data Entry'!R:R,'Data Entry'!K:K,G417)</f>
        <v>0</v>
      </c>
      <c r="P417" s="266" t="s">
        <v>204</v>
      </c>
      <c r="Q417" s="895">
        <v>0</v>
      </c>
      <c r="R417" s="114"/>
      <c r="S417" s="884"/>
      <c r="T417" s="270"/>
      <c r="U417" s="270"/>
      <c r="V417" s="270"/>
      <c r="W417" s="912"/>
      <c r="X417" s="270"/>
      <c r="Y417" s="270"/>
      <c r="Z417" s="270"/>
      <c r="AA417" s="270"/>
    </row>
    <row r="418" spans="3:27" ht="15" thickBot="1" x14ac:dyDescent="0.35">
      <c r="C418" s="494" t="s">
        <v>87</v>
      </c>
      <c r="D418" s="577"/>
      <c r="E418" s="577" t="s">
        <v>38</v>
      </c>
      <c r="F418" s="577" t="s">
        <v>20</v>
      </c>
      <c r="G418" s="450" t="str">
        <f t="shared" si="17"/>
        <v>Terminal D-Food Service-Ice machines</v>
      </c>
      <c r="H418" s="577"/>
      <c r="I418" s="887" t="s">
        <v>65</v>
      </c>
      <c r="J418" s="878">
        <f>SUMIFS('Level of Efficiency Assumptions'!J:J,'Level of Efficiency Assumptions'!D:D,E418,'Level of Efficiency Assumptions'!F:F,F418,'Level of Efficiency Assumptions'!I:I,I418)</f>
        <v>0.25</v>
      </c>
      <c r="K418" s="383" t="s">
        <v>220</v>
      </c>
      <c r="L418" s="255" t="s">
        <v>65</v>
      </c>
      <c r="M418" s="879">
        <f>Q420+Q421</f>
        <v>1</v>
      </c>
      <c r="N418" s="880">
        <f>IFERROR(M418/M420,"-")</f>
        <v>1</v>
      </c>
      <c r="O418" s="881">
        <f>SUMIFS('Data Entry'!S:S,'Data Entry'!K:K,G418)</f>
        <v>0</v>
      </c>
      <c r="P418" s="272" t="s">
        <v>205</v>
      </c>
      <c r="Q418" s="895">
        <v>0</v>
      </c>
      <c r="R418" s="114"/>
      <c r="S418" s="884"/>
      <c r="T418" s="270"/>
      <c r="U418" s="270"/>
      <c r="V418" s="270"/>
      <c r="W418" s="912"/>
      <c r="X418" s="270"/>
      <c r="Y418" s="270"/>
      <c r="Z418" s="270"/>
      <c r="AA418" s="270"/>
    </row>
    <row r="419" spans="3:27" ht="15" thickBot="1" x14ac:dyDescent="0.35">
      <c r="C419" s="501" t="s">
        <v>87</v>
      </c>
      <c r="D419" s="116"/>
      <c r="E419" s="116" t="s">
        <v>38</v>
      </c>
      <c r="F419" s="116" t="s">
        <v>20</v>
      </c>
      <c r="G419" s="450" t="str">
        <f t="shared" si="17"/>
        <v>Terminal D-Food Service-Ice machines</v>
      </c>
      <c r="H419" s="116"/>
      <c r="I419" s="889" t="s">
        <v>66</v>
      </c>
      <c r="J419" s="890">
        <f>SUMIFS('Level of Efficiency Assumptions'!J:J,'Level of Efficiency Assumptions'!D:D,E419,'Level of Efficiency Assumptions'!F:F,F419,'Level of Efficiency Assumptions'!I:I,I419)</f>
        <v>0.12</v>
      </c>
      <c r="K419" s="383" t="s">
        <v>220</v>
      </c>
      <c r="L419" s="257" t="s">
        <v>66</v>
      </c>
      <c r="M419" s="879">
        <f>Q422+Q423</f>
        <v>0</v>
      </c>
      <c r="N419" s="880">
        <f>IFERROR(M419/M420,"-")</f>
        <v>0</v>
      </c>
      <c r="O419" s="881">
        <f>SUMIFS('Data Entry'!T:T,'Data Entry'!K:K,G419)</f>
        <v>0</v>
      </c>
      <c r="P419" s="272" t="s">
        <v>206</v>
      </c>
      <c r="Q419" s="895">
        <v>0</v>
      </c>
      <c r="R419" s="114"/>
      <c r="S419" s="884"/>
      <c r="T419" s="270"/>
      <c r="U419" s="270"/>
      <c r="V419" s="270"/>
      <c r="W419" s="280"/>
      <c r="X419" s="270"/>
      <c r="Y419" s="270"/>
      <c r="Z419" s="270"/>
      <c r="AA419" s="270"/>
    </row>
    <row r="420" spans="3:27" x14ac:dyDescent="0.3">
      <c r="C420" s="450"/>
      <c r="D420" s="182"/>
      <c r="E420" s="182"/>
      <c r="F420" s="182"/>
      <c r="G420" s="450" t="str">
        <f t="shared" si="17"/>
        <v>--</v>
      </c>
      <c r="H420" s="182"/>
      <c r="I420" s="440"/>
      <c r="J420" s="892"/>
      <c r="K420" s="259"/>
      <c r="L420" s="259" t="s">
        <v>46</v>
      </c>
      <c r="M420" s="893">
        <f>SUM(M417:M419)</f>
        <v>1</v>
      </c>
      <c r="N420" s="894"/>
      <c r="O420" s="894">
        <f>SUM(O417:O419)</f>
        <v>0</v>
      </c>
      <c r="P420" s="274" t="s">
        <v>228</v>
      </c>
      <c r="Q420" s="895">
        <v>1</v>
      </c>
      <c r="R420" s="114"/>
      <c r="S420" s="884"/>
      <c r="T420" s="270"/>
      <c r="U420" s="270"/>
      <c r="V420" s="270"/>
      <c r="W420" s="270"/>
      <c r="X420" s="270"/>
      <c r="Y420" s="270"/>
      <c r="Z420" s="270"/>
      <c r="AA420" s="270"/>
    </row>
    <row r="421" spans="3:27" x14ac:dyDescent="0.3">
      <c r="C421" s="450"/>
      <c r="D421" s="182"/>
      <c r="E421" s="182"/>
      <c r="F421" s="182"/>
      <c r="G421" s="450" t="str">
        <f t="shared" si="17"/>
        <v>--</v>
      </c>
      <c r="H421" s="182"/>
      <c r="I421" s="892"/>
      <c r="J421" s="892"/>
      <c r="K421" s="182"/>
      <c r="L421" s="182"/>
      <c r="M421" s="270"/>
      <c r="N421" s="892"/>
      <c r="O421" s="892"/>
      <c r="P421" s="274" t="s">
        <v>227</v>
      </c>
      <c r="Q421" s="895">
        <v>0</v>
      </c>
      <c r="R421" s="114"/>
      <c r="S421" s="884"/>
      <c r="T421" s="270"/>
      <c r="U421" s="270"/>
      <c r="V421" s="270"/>
      <c r="W421" s="270"/>
      <c r="X421" s="270"/>
      <c r="Y421" s="270"/>
      <c r="Z421" s="270"/>
      <c r="AA421" s="270"/>
    </row>
    <row r="422" spans="3:27" x14ac:dyDescent="0.3">
      <c r="C422" s="450"/>
      <c r="D422" s="182"/>
      <c r="E422" s="182"/>
      <c r="F422" s="182"/>
      <c r="G422" s="450" t="str">
        <f t="shared" si="17"/>
        <v>--</v>
      </c>
      <c r="H422" s="182"/>
      <c r="I422" s="892"/>
      <c r="J422" s="892"/>
      <c r="K422" s="182"/>
      <c r="L422" s="182"/>
      <c r="M422" s="270"/>
      <c r="N422" s="892"/>
      <c r="O422" s="892"/>
      <c r="P422" s="275" t="s">
        <v>226</v>
      </c>
      <c r="Q422" s="895">
        <v>0</v>
      </c>
      <c r="R422" s="114"/>
      <c r="S422" s="884"/>
      <c r="T422" s="270"/>
      <c r="U422" s="270"/>
      <c r="V422" s="270"/>
      <c r="W422" s="270"/>
      <c r="X422" s="270"/>
      <c r="Y422" s="270"/>
      <c r="Z422" s="270"/>
      <c r="AA422" s="270"/>
    </row>
    <row r="423" spans="3:27" x14ac:dyDescent="0.3">
      <c r="C423" s="450"/>
      <c r="D423" s="182"/>
      <c r="E423" s="182"/>
      <c r="F423" s="182"/>
      <c r="G423" s="450" t="str">
        <f t="shared" si="17"/>
        <v>--</v>
      </c>
      <c r="H423" s="182"/>
      <c r="I423" s="892"/>
      <c r="J423" s="892"/>
      <c r="K423" s="182"/>
      <c r="L423" s="182"/>
      <c r="M423" s="270"/>
      <c r="N423" s="892"/>
      <c r="O423" s="892"/>
      <c r="P423" s="269" t="s">
        <v>225</v>
      </c>
      <c r="Q423" s="895">
        <v>0</v>
      </c>
      <c r="R423" s="114"/>
      <c r="S423" s="884"/>
      <c r="T423" s="270"/>
      <c r="U423" s="270"/>
      <c r="V423" s="270"/>
      <c r="W423" s="270"/>
      <c r="X423" s="270"/>
      <c r="Y423" s="270"/>
      <c r="Z423" s="270"/>
      <c r="AA423" s="270"/>
    </row>
    <row r="424" spans="3:27" x14ac:dyDescent="0.3">
      <c r="C424" s="450"/>
      <c r="D424" s="182"/>
      <c r="E424" s="182"/>
      <c r="F424" s="182"/>
      <c r="G424" s="450" t="str">
        <f t="shared" si="17"/>
        <v>--</v>
      </c>
      <c r="H424" s="182"/>
      <c r="I424" s="892"/>
      <c r="J424" s="892"/>
      <c r="K424" s="182"/>
      <c r="L424" s="182"/>
      <c r="M424" s="270"/>
      <c r="N424" s="892"/>
      <c r="O424" s="892"/>
      <c r="P424" s="263" t="s">
        <v>46</v>
      </c>
      <c r="Q424" s="897">
        <f>SUM(Q417:Q423)</f>
        <v>1</v>
      </c>
      <c r="R424" s="899"/>
      <c r="S424" s="900"/>
      <c r="T424" s="270"/>
      <c r="U424" s="270"/>
      <c r="V424" s="270"/>
      <c r="W424" s="270"/>
      <c r="X424" s="270"/>
      <c r="Y424" s="270"/>
      <c r="Z424" s="270"/>
      <c r="AA424" s="270"/>
    </row>
    <row r="425" spans="3:27" x14ac:dyDescent="0.3">
      <c r="C425" s="450"/>
      <c r="D425" s="182"/>
      <c r="E425" s="182"/>
      <c r="F425" s="182"/>
      <c r="G425" s="450" t="str">
        <f t="shared" si="17"/>
        <v>--</v>
      </c>
      <c r="H425" s="182"/>
      <c r="I425" s="892"/>
      <c r="J425" s="892"/>
      <c r="K425" s="182"/>
      <c r="L425" s="182"/>
      <c r="M425" s="270"/>
      <c r="N425" s="892"/>
      <c r="O425" s="892"/>
      <c r="P425" s="270"/>
      <c r="Q425" s="270"/>
      <c r="R425" s="270"/>
      <c r="S425" s="270"/>
      <c r="T425" s="270"/>
      <c r="U425" s="270"/>
      <c r="V425" s="270"/>
      <c r="W425" s="270"/>
      <c r="X425" s="270"/>
      <c r="Y425" s="270"/>
      <c r="Z425" s="270"/>
      <c r="AA425" s="270"/>
    </row>
    <row r="426" spans="3:27" x14ac:dyDescent="0.3">
      <c r="C426" s="450"/>
      <c r="D426" s="182"/>
      <c r="E426" s="182"/>
      <c r="F426" s="182"/>
      <c r="G426" s="450" t="str">
        <f t="shared" si="17"/>
        <v>--</v>
      </c>
      <c r="H426" s="182"/>
      <c r="I426" s="892"/>
      <c r="J426" s="892"/>
      <c r="K426" s="182"/>
      <c r="L426" s="182"/>
      <c r="M426" s="270"/>
      <c r="N426" s="892"/>
      <c r="O426" s="892"/>
      <c r="P426" s="276" t="s">
        <v>42</v>
      </c>
      <c r="Q426" s="902"/>
      <c r="R426" s="902"/>
      <c r="S426" s="874"/>
      <c r="T426" s="270"/>
      <c r="U426" s="270"/>
      <c r="V426" s="270"/>
      <c r="W426" s="270"/>
      <c r="X426" s="270"/>
      <c r="Y426" s="270"/>
      <c r="Z426" s="270"/>
      <c r="AA426" s="270"/>
    </row>
    <row r="427" spans="3:27" ht="15" thickBot="1" x14ac:dyDescent="0.35">
      <c r="C427" s="450"/>
      <c r="D427" s="182"/>
      <c r="E427" s="182"/>
      <c r="F427" s="182"/>
      <c r="G427" s="450" t="str">
        <f t="shared" si="17"/>
        <v>--</v>
      </c>
      <c r="H427" s="182"/>
      <c r="I427" s="892"/>
      <c r="J427" s="892"/>
      <c r="K427" s="182"/>
      <c r="L427" s="182"/>
      <c r="M427" s="901" t="s">
        <v>155</v>
      </c>
      <c r="N427" s="870" t="s">
        <v>188</v>
      </c>
      <c r="O427" s="870"/>
      <c r="P427" s="277" t="s">
        <v>818</v>
      </c>
      <c r="Q427" s="871" t="s">
        <v>155</v>
      </c>
      <c r="R427" s="114"/>
      <c r="S427" s="884"/>
      <c r="T427" s="270"/>
      <c r="U427" s="270"/>
      <c r="V427" s="270"/>
      <c r="W427" s="270"/>
      <c r="X427" s="270"/>
      <c r="Y427" s="270"/>
      <c r="Z427" s="270"/>
      <c r="AA427" s="270"/>
    </row>
    <row r="428" spans="3:27" ht="15" thickBot="1" x14ac:dyDescent="0.35">
      <c r="C428" s="566" t="s">
        <v>87</v>
      </c>
      <c r="D428" s="875" t="str">
        <f>VLOOKUP(C428,'Airport Mapping'!$C$5:$D$39,2,FALSE)</f>
        <v xml:space="preserve"> </v>
      </c>
      <c r="E428" s="567" t="s">
        <v>39</v>
      </c>
      <c r="F428" s="567" t="s">
        <v>42</v>
      </c>
      <c r="G428" s="450" t="str">
        <f t="shared" si="17"/>
        <v>Terminal D-Landscaping-Outdoor irrigation</v>
      </c>
      <c r="H428" s="567" t="s">
        <v>32</v>
      </c>
      <c r="I428" s="877" t="s">
        <v>64</v>
      </c>
      <c r="J428" s="878">
        <f>SUMIFS('Level of Efficiency Assumptions'!J:J,'Level of Efficiency Assumptions'!D:D,E428,'Level of Efficiency Assumptions'!F:F,F428,'Level of Efficiency Assumptions'!I:I,I428)</f>
        <v>28.6</v>
      </c>
      <c r="K428" s="383" t="s">
        <v>816</v>
      </c>
      <c r="L428" s="253" t="s">
        <v>64</v>
      </c>
      <c r="M428" s="879">
        <f>SUM(Q428:Q429)</f>
        <v>0</v>
      </c>
      <c r="N428" s="880">
        <f>IFERROR(M428/M431,"-")</f>
        <v>0</v>
      </c>
      <c r="O428" s="881">
        <f>SUMIFS('Data Entry'!R:R,'Data Entry'!K:K,G428)</f>
        <v>0</v>
      </c>
      <c r="P428" s="272" t="s">
        <v>237</v>
      </c>
      <c r="Q428" s="895">
        <v>0</v>
      </c>
      <c r="R428" s="114"/>
      <c r="S428" s="884"/>
      <c r="T428" s="270"/>
      <c r="U428" s="270"/>
      <c r="V428" s="270"/>
      <c r="W428" s="270"/>
      <c r="X428" s="270"/>
      <c r="Y428" s="270"/>
      <c r="Z428" s="270"/>
      <c r="AA428" s="270"/>
    </row>
    <row r="429" spans="3:27" ht="15" thickBot="1" x14ac:dyDescent="0.35">
      <c r="C429" s="494" t="s">
        <v>87</v>
      </c>
      <c r="D429" s="577"/>
      <c r="E429" s="577" t="s">
        <v>39</v>
      </c>
      <c r="F429" s="577" t="s">
        <v>42</v>
      </c>
      <c r="G429" s="450" t="str">
        <f t="shared" si="17"/>
        <v>Terminal D-Landscaping-Outdoor irrigation</v>
      </c>
      <c r="H429" s="577"/>
      <c r="I429" s="887" t="s">
        <v>65</v>
      </c>
      <c r="J429" s="878">
        <f>SUMIFS('Level of Efficiency Assumptions'!J:J,'Level of Efficiency Assumptions'!D:D,E429,'Level of Efficiency Assumptions'!F:F,F429,'Level of Efficiency Assumptions'!I:I,I429)</f>
        <v>13.980821518350929</v>
      </c>
      <c r="K429" s="383" t="s">
        <v>816</v>
      </c>
      <c r="L429" s="255" t="s">
        <v>65</v>
      </c>
      <c r="M429" s="879">
        <f>Q430+Q431</f>
        <v>1</v>
      </c>
      <c r="N429" s="880">
        <f>IFERROR(M429/M431,"-")</f>
        <v>1</v>
      </c>
      <c r="O429" s="881">
        <f>SUMIFS('Data Entry'!S:S,'Data Entry'!K:K,G429)</f>
        <v>0</v>
      </c>
      <c r="P429" s="272" t="s">
        <v>232</v>
      </c>
      <c r="Q429" s="895">
        <v>0</v>
      </c>
      <c r="R429" s="114"/>
      <c r="S429" s="884"/>
      <c r="T429" s="270"/>
      <c r="U429" s="270"/>
      <c r="V429" s="270"/>
      <c r="W429" s="270"/>
      <c r="X429" s="270"/>
      <c r="Y429" s="270"/>
      <c r="Z429" s="270"/>
      <c r="AA429" s="270"/>
    </row>
    <row r="430" spans="3:27" ht="15" thickBot="1" x14ac:dyDescent="0.35">
      <c r="C430" s="501" t="s">
        <v>87</v>
      </c>
      <c r="D430" s="116"/>
      <c r="E430" s="116" t="s">
        <v>39</v>
      </c>
      <c r="F430" s="116" t="s">
        <v>42</v>
      </c>
      <c r="G430" s="450" t="str">
        <f t="shared" si="17"/>
        <v>Terminal D-Landscaping-Outdoor irrigation</v>
      </c>
      <c r="H430" s="116"/>
      <c r="I430" s="889" t="s">
        <v>66</v>
      </c>
      <c r="J430" s="890">
        <f>SUMIFS('Level of Efficiency Assumptions'!J:J,'Level of Efficiency Assumptions'!D:D,E430,'Level of Efficiency Assumptions'!F:F,F430,'Level of Efficiency Assumptions'!I:I,I430)</f>
        <v>0.59137254901960778</v>
      </c>
      <c r="K430" s="383" t="s">
        <v>816</v>
      </c>
      <c r="L430" s="257" t="s">
        <v>66</v>
      </c>
      <c r="M430" s="879">
        <f>Q432+Q433</f>
        <v>0</v>
      </c>
      <c r="N430" s="880">
        <f>IFERROR(M430/M431,"-")</f>
        <v>0</v>
      </c>
      <c r="O430" s="881">
        <f>SUMIFS('Data Entry'!T:T,'Data Entry'!K:K,G430)</f>
        <v>0</v>
      </c>
      <c r="P430" s="274" t="s">
        <v>231</v>
      </c>
      <c r="Q430" s="895">
        <v>1</v>
      </c>
      <c r="R430" s="114"/>
      <c r="S430" s="884"/>
      <c r="T430" s="270"/>
      <c r="U430" s="270"/>
      <c r="V430" s="270"/>
      <c r="W430" s="270"/>
      <c r="X430" s="270"/>
      <c r="Y430" s="270"/>
      <c r="Z430" s="270"/>
      <c r="AA430" s="270"/>
    </row>
    <row r="431" spans="3:27" x14ac:dyDescent="0.3">
      <c r="C431" s="450"/>
      <c r="D431" s="182"/>
      <c r="E431" s="182"/>
      <c r="F431" s="182"/>
      <c r="G431" s="450" t="str">
        <f t="shared" si="17"/>
        <v>--</v>
      </c>
      <c r="H431" s="182"/>
      <c r="I431" s="440"/>
      <c r="J431" s="892"/>
      <c r="K431" s="259"/>
      <c r="L431" s="259" t="s">
        <v>46</v>
      </c>
      <c r="M431" s="893">
        <f>SUM(M428:M430)</f>
        <v>1</v>
      </c>
      <c r="N431" s="894"/>
      <c r="O431" s="894">
        <f>SUM(O428:O430)</f>
        <v>0</v>
      </c>
      <c r="P431" s="274" t="s">
        <v>230</v>
      </c>
      <c r="Q431" s="895">
        <v>0</v>
      </c>
      <c r="R431" s="114"/>
      <c r="S431" s="884"/>
      <c r="T431" s="270"/>
      <c r="U431" s="270"/>
      <c r="V431" s="270"/>
      <c r="W431" s="270"/>
      <c r="X431" s="270"/>
      <c r="Y431" s="270"/>
      <c r="Z431" s="270"/>
      <c r="AA431" s="270"/>
    </row>
    <row r="432" spans="3:27" x14ac:dyDescent="0.3">
      <c r="C432" s="450"/>
      <c r="D432" s="182"/>
      <c r="E432" s="182"/>
      <c r="F432" s="182"/>
      <c r="G432" s="450" t="str">
        <f t="shared" si="17"/>
        <v>--</v>
      </c>
      <c r="H432" s="182"/>
      <c r="I432" s="892"/>
      <c r="J432" s="892"/>
      <c r="K432" s="182"/>
      <c r="L432" s="182"/>
      <c r="M432" s="270"/>
      <c r="N432" s="892"/>
      <c r="O432" s="892"/>
      <c r="P432" s="275" t="s">
        <v>229</v>
      </c>
      <c r="Q432" s="895">
        <v>0</v>
      </c>
      <c r="R432" s="114"/>
      <c r="S432" s="884"/>
      <c r="T432" s="270"/>
      <c r="U432" s="270"/>
      <c r="V432" s="270"/>
      <c r="W432" s="270"/>
      <c r="X432" s="270"/>
      <c r="Y432" s="270"/>
      <c r="Z432" s="270"/>
      <c r="AA432" s="270"/>
    </row>
    <row r="433" spans="3:27" x14ac:dyDescent="0.3">
      <c r="C433" s="450"/>
      <c r="D433" s="182"/>
      <c r="E433" s="182"/>
      <c r="F433" s="182"/>
      <c r="G433" s="450" t="str">
        <f t="shared" si="17"/>
        <v>--</v>
      </c>
      <c r="H433" s="182"/>
      <c r="I433" s="892"/>
      <c r="J433" s="892"/>
      <c r="K433" s="182"/>
      <c r="L433" s="182"/>
      <c r="M433" s="270"/>
      <c r="N433" s="892"/>
      <c r="O433" s="892"/>
      <c r="P433" s="269" t="s">
        <v>225</v>
      </c>
      <c r="Q433" s="895">
        <v>0</v>
      </c>
      <c r="R433" s="114"/>
      <c r="S433" s="884"/>
      <c r="T433" s="270"/>
      <c r="U433" s="270"/>
      <c r="V433" s="270"/>
      <c r="W433" s="270"/>
      <c r="X433" s="270"/>
      <c r="Y433" s="270"/>
      <c r="Z433" s="270"/>
      <c r="AA433" s="270"/>
    </row>
    <row r="434" spans="3:27" x14ac:dyDescent="0.3">
      <c r="C434" s="450"/>
      <c r="D434" s="182"/>
      <c r="E434" s="182"/>
      <c r="F434" s="182"/>
      <c r="G434" s="450" t="str">
        <f t="shared" si="17"/>
        <v>--</v>
      </c>
      <c r="H434" s="182"/>
      <c r="I434" s="892"/>
      <c r="J434" s="892"/>
      <c r="K434" s="182"/>
      <c r="L434" s="182"/>
      <c r="M434" s="270"/>
      <c r="N434" s="892"/>
      <c r="O434" s="892"/>
      <c r="P434" s="263" t="s">
        <v>46</v>
      </c>
      <c r="Q434" s="897">
        <f>SUM(Q428:Q433)</f>
        <v>1</v>
      </c>
      <c r="R434" s="899"/>
      <c r="S434" s="900"/>
      <c r="T434" s="270"/>
      <c r="U434" s="270"/>
      <c r="V434" s="270"/>
      <c r="W434" s="270"/>
      <c r="X434" s="270"/>
      <c r="Y434" s="270"/>
      <c r="Z434" s="270"/>
      <c r="AA434" s="270"/>
    </row>
    <row r="435" spans="3:27" x14ac:dyDescent="0.3">
      <c r="C435" s="450"/>
      <c r="D435" s="182"/>
      <c r="E435" s="182"/>
      <c r="F435" s="182"/>
      <c r="G435" s="450" t="str">
        <f t="shared" si="17"/>
        <v>--</v>
      </c>
      <c r="H435" s="182"/>
      <c r="I435" s="892"/>
      <c r="J435" s="892"/>
      <c r="K435" s="182"/>
      <c r="L435" s="182"/>
      <c r="M435" s="270"/>
      <c r="N435" s="892"/>
      <c r="O435" s="892"/>
      <c r="P435" s="259"/>
      <c r="Q435" s="114"/>
      <c r="R435" s="270"/>
      <c r="S435" s="270"/>
      <c r="T435" s="270"/>
      <c r="U435" s="270"/>
      <c r="V435" s="270"/>
      <c r="W435" s="270"/>
      <c r="X435" s="270"/>
      <c r="Y435" s="270"/>
      <c r="Z435" s="270"/>
      <c r="AA435" s="270"/>
    </row>
    <row r="436" spans="3:27" ht="15" thickBot="1" x14ac:dyDescent="0.35">
      <c r="C436" s="450"/>
      <c r="D436" s="182"/>
      <c r="E436" s="182"/>
      <c r="F436" s="182"/>
      <c r="G436" s="450" t="str">
        <f t="shared" si="17"/>
        <v>--</v>
      </c>
      <c r="H436" s="182"/>
      <c r="I436" s="892"/>
      <c r="J436" s="892"/>
      <c r="K436" s="182"/>
      <c r="L436" s="182"/>
      <c r="M436" s="901" t="s">
        <v>155</v>
      </c>
      <c r="N436" s="870" t="s">
        <v>188</v>
      </c>
      <c r="O436" s="870"/>
      <c r="P436" s="276" t="s">
        <v>111</v>
      </c>
      <c r="Q436" s="871" t="s">
        <v>155</v>
      </c>
      <c r="R436" s="902"/>
      <c r="S436" s="874"/>
      <c r="T436" s="270"/>
      <c r="U436" s="270"/>
      <c r="V436" s="270"/>
      <c r="W436" s="270"/>
      <c r="X436" s="270"/>
      <c r="Y436" s="270"/>
      <c r="Z436" s="270"/>
      <c r="AA436" s="270"/>
    </row>
    <row r="437" spans="3:27" ht="15" thickBot="1" x14ac:dyDescent="0.35">
      <c r="C437" s="566" t="s">
        <v>87</v>
      </c>
      <c r="D437" s="875" t="str">
        <f>VLOOKUP(C437,'Airport Mapping'!$C$5:$D$39,2,FALSE)</f>
        <v xml:space="preserve"> </v>
      </c>
      <c r="E437" s="567" t="s">
        <v>43</v>
      </c>
      <c r="F437" s="567" t="s">
        <v>111</v>
      </c>
      <c r="G437" s="450" t="str">
        <f t="shared" si="17"/>
        <v>Terminal D-Maintenance-Boiler</v>
      </c>
      <c r="H437" s="567" t="s">
        <v>424</v>
      </c>
      <c r="I437" s="877" t="s">
        <v>64</v>
      </c>
      <c r="J437" s="878">
        <f>SUMIFS('Level of Efficiency Assumptions'!J:J,'Level of Efficiency Assumptions'!D:D,E437,'Level of Efficiency Assumptions'!F:F,F437,'Level of Efficiency Assumptions'!I:I,I437)</f>
        <v>100</v>
      </c>
      <c r="K437" s="383" t="s">
        <v>585</v>
      </c>
      <c r="L437" s="253" t="s">
        <v>64</v>
      </c>
      <c r="M437" s="879">
        <f>SUM(Q437:Q438)</f>
        <v>0</v>
      </c>
      <c r="N437" s="880">
        <f>IFERROR(M437/M440,"-")</f>
        <v>0</v>
      </c>
      <c r="O437" s="881">
        <f>SUMIFS('Data Entry'!R:R,'Data Entry'!K:K,G437)</f>
        <v>0</v>
      </c>
      <c r="P437" s="272"/>
      <c r="Q437" s="895">
        <v>0</v>
      </c>
      <c r="R437" s="114"/>
      <c r="S437" s="884"/>
      <c r="T437" s="270"/>
      <c r="U437" s="270"/>
      <c r="V437" s="270"/>
      <c r="W437" s="270"/>
      <c r="X437" s="270"/>
      <c r="Y437" s="270"/>
      <c r="Z437" s="270"/>
      <c r="AA437" s="270"/>
    </row>
    <row r="438" spans="3:27" ht="15" thickBot="1" x14ac:dyDescent="0.35">
      <c r="C438" s="494" t="s">
        <v>87</v>
      </c>
      <c r="D438" s="577"/>
      <c r="E438" s="577" t="s">
        <v>43</v>
      </c>
      <c r="F438" s="577" t="s">
        <v>111</v>
      </c>
      <c r="G438" s="450" t="str">
        <f t="shared" si="17"/>
        <v>Terminal D-Maintenance-Boiler</v>
      </c>
      <c r="H438" s="577"/>
      <c r="I438" s="887" t="s">
        <v>65</v>
      </c>
      <c r="J438" s="878">
        <f>SUMIFS('Level of Efficiency Assumptions'!J:J,'Level of Efficiency Assumptions'!D:D,E438,'Level of Efficiency Assumptions'!F:F,F438,'Level of Efficiency Assumptions'!I:I,I438)</f>
        <v>75</v>
      </c>
      <c r="K438" s="383" t="s">
        <v>585</v>
      </c>
      <c r="L438" s="255" t="s">
        <v>65</v>
      </c>
      <c r="M438" s="879">
        <f>Q439+Q440</f>
        <v>1</v>
      </c>
      <c r="N438" s="880">
        <f>IFERROR(M438/M440,"-")</f>
        <v>1</v>
      </c>
      <c r="O438" s="881">
        <f>SUMIFS('Data Entry'!S:S,'Data Entry'!K:K,G438)</f>
        <v>0</v>
      </c>
      <c r="P438" s="272"/>
      <c r="Q438" s="895">
        <v>0</v>
      </c>
      <c r="R438" s="114"/>
      <c r="S438" s="884"/>
      <c r="T438" s="270"/>
      <c r="U438" s="270"/>
      <c r="V438" s="270"/>
      <c r="W438" s="270"/>
      <c r="X438" s="270"/>
      <c r="Y438" s="270"/>
      <c r="Z438" s="270"/>
      <c r="AA438" s="270"/>
    </row>
    <row r="439" spans="3:27" ht="15" thickBot="1" x14ac:dyDescent="0.35">
      <c r="C439" s="501" t="s">
        <v>87</v>
      </c>
      <c r="D439" s="116"/>
      <c r="E439" s="116" t="s">
        <v>43</v>
      </c>
      <c r="F439" s="116" t="s">
        <v>111</v>
      </c>
      <c r="G439" s="450" t="str">
        <f t="shared" si="17"/>
        <v>Terminal D-Maintenance-Boiler</v>
      </c>
      <c r="H439" s="116"/>
      <c r="I439" s="889" t="s">
        <v>66</v>
      </c>
      <c r="J439" s="890">
        <f>SUMIFS('Level of Efficiency Assumptions'!J:J,'Level of Efficiency Assumptions'!D:D,E439,'Level of Efficiency Assumptions'!F:F,F439,'Level of Efficiency Assumptions'!I:I,I439)</f>
        <v>50</v>
      </c>
      <c r="K439" s="383" t="s">
        <v>585</v>
      </c>
      <c r="L439" s="257" t="s">
        <v>66</v>
      </c>
      <c r="M439" s="879">
        <f>Q441+Q442</f>
        <v>0</v>
      </c>
      <c r="N439" s="880">
        <f>IFERROR(M439/M440,"-")</f>
        <v>0</v>
      </c>
      <c r="O439" s="881">
        <f>SUMIFS('Data Entry'!T:T,'Data Entry'!K:K,G439)</f>
        <v>0</v>
      </c>
      <c r="P439" s="274"/>
      <c r="Q439" s="895">
        <v>1</v>
      </c>
      <c r="R439" s="114"/>
      <c r="S439" s="884"/>
      <c r="T439" s="270"/>
      <c r="U439" s="270"/>
      <c r="V439" s="270"/>
      <c r="W439" s="270"/>
      <c r="X439" s="270"/>
      <c r="Y439" s="270"/>
      <c r="Z439" s="270"/>
      <c r="AA439" s="270"/>
    </row>
    <row r="440" spans="3:27" x14ac:dyDescent="0.3">
      <c r="C440" s="450"/>
      <c r="D440" s="182"/>
      <c r="E440" s="182"/>
      <c r="F440" s="182"/>
      <c r="G440" s="450" t="str">
        <f t="shared" si="17"/>
        <v>--</v>
      </c>
      <c r="H440" s="182"/>
      <c r="I440" s="440"/>
      <c r="J440" s="892"/>
      <c r="K440" s="259"/>
      <c r="L440" s="259" t="s">
        <v>46</v>
      </c>
      <c r="M440" s="893">
        <f>SUM(M437:M439)</f>
        <v>1</v>
      </c>
      <c r="N440" s="894"/>
      <c r="O440" s="894">
        <f>SUM(O437:O439)</f>
        <v>0</v>
      </c>
      <c r="P440" s="274"/>
      <c r="Q440" s="895">
        <v>0</v>
      </c>
      <c r="R440" s="114"/>
      <c r="S440" s="884"/>
      <c r="T440" s="270"/>
      <c r="U440" s="270"/>
      <c r="V440" s="270"/>
      <c r="W440" s="270"/>
      <c r="X440" s="270"/>
      <c r="Y440" s="270"/>
      <c r="Z440" s="270"/>
      <c r="AA440" s="270"/>
    </row>
    <row r="441" spans="3:27" x14ac:dyDescent="0.3">
      <c r="C441" s="450"/>
      <c r="D441" s="182"/>
      <c r="E441" s="182"/>
      <c r="F441" s="182"/>
      <c r="G441" s="450" t="str">
        <f t="shared" si="17"/>
        <v>--</v>
      </c>
      <c r="H441" s="182"/>
      <c r="I441" s="892"/>
      <c r="J441" s="892"/>
      <c r="K441" s="182"/>
      <c r="L441" s="182"/>
      <c r="M441" s="270"/>
      <c r="N441" s="892"/>
      <c r="O441" s="892"/>
      <c r="P441" s="275"/>
      <c r="Q441" s="895">
        <v>0</v>
      </c>
      <c r="R441" s="114"/>
      <c r="S441" s="884"/>
      <c r="T441" s="270"/>
      <c r="U441" s="270"/>
      <c r="V441" s="270"/>
      <c r="W441" s="270"/>
      <c r="X441" s="270"/>
      <c r="Y441" s="270"/>
      <c r="Z441" s="270"/>
      <c r="AA441" s="270"/>
    </row>
    <row r="442" spans="3:27" x14ac:dyDescent="0.3">
      <c r="C442" s="450"/>
      <c r="D442" s="182"/>
      <c r="E442" s="182"/>
      <c r="F442" s="182"/>
      <c r="G442" s="450" t="str">
        <f t="shared" si="17"/>
        <v>--</v>
      </c>
      <c r="H442" s="182"/>
      <c r="I442" s="892"/>
      <c r="J442" s="892"/>
      <c r="K442" s="182"/>
      <c r="L442" s="182"/>
      <c r="M442" s="270"/>
      <c r="N442" s="892"/>
      <c r="O442" s="892"/>
      <c r="P442" s="269"/>
      <c r="Q442" s="895">
        <v>0</v>
      </c>
      <c r="R442" s="114"/>
      <c r="S442" s="884"/>
      <c r="T442" s="270"/>
      <c r="U442" s="270"/>
      <c r="V442" s="270"/>
      <c r="W442" s="270"/>
      <c r="X442" s="270"/>
      <c r="Y442" s="270"/>
      <c r="Z442" s="270"/>
      <c r="AA442" s="270"/>
    </row>
    <row r="443" spans="3:27" x14ac:dyDescent="0.3">
      <c r="C443" s="450"/>
      <c r="D443" s="182"/>
      <c r="E443" s="182"/>
      <c r="F443" s="182"/>
      <c r="G443" s="450" t="str">
        <f t="shared" si="17"/>
        <v>--</v>
      </c>
      <c r="H443" s="182"/>
      <c r="I443" s="892"/>
      <c r="J443" s="892"/>
      <c r="K443" s="182"/>
      <c r="L443" s="182"/>
      <c r="M443" s="270"/>
      <c r="N443" s="892"/>
      <c r="O443" s="892"/>
      <c r="P443" s="263" t="s">
        <v>46</v>
      </c>
      <c r="Q443" s="897">
        <f>SUM(Q437:Q442)</f>
        <v>1</v>
      </c>
      <c r="R443" s="899"/>
      <c r="S443" s="900"/>
      <c r="T443" s="270"/>
      <c r="U443" s="270"/>
      <c r="V443" s="270"/>
      <c r="W443" s="270"/>
      <c r="X443" s="270"/>
      <c r="Y443" s="270"/>
      <c r="Z443" s="270"/>
      <c r="AA443" s="270"/>
    </row>
    <row r="444" spans="3:27" x14ac:dyDescent="0.3">
      <c r="C444" s="450"/>
      <c r="D444" s="182"/>
      <c r="E444" s="182"/>
      <c r="F444" s="182"/>
      <c r="G444" s="450" t="str">
        <f t="shared" si="17"/>
        <v>--</v>
      </c>
      <c r="H444" s="182"/>
      <c r="I444" s="892"/>
      <c r="J444" s="892"/>
      <c r="K444" s="182"/>
      <c r="L444" s="182"/>
      <c r="M444" s="270"/>
      <c r="N444" s="892"/>
      <c r="O444" s="892"/>
      <c r="P444" s="270"/>
      <c r="Q444" s="270"/>
      <c r="R444" s="270"/>
      <c r="S444" s="270"/>
      <c r="T444" s="270"/>
      <c r="U444" s="270"/>
      <c r="V444" s="270"/>
      <c r="W444" s="270"/>
      <c r="X444" s="270"/>
      <c r="Y444" s="270"/>
      <c r="Z444" s="270"/>
      <c r="AA444" s="270"/>
    </row>
    <row r="445" spans="3:27" ht="15" thickBot="1" x14ac:dyDescent="0.35">
      <c r="C445" s="450"/>
      <c r="D445" s="182"/>
      <c r="E445" s="182"/>
      <c r="F445" s="182"/>
      <c r="G445" s="450" t="str">
        <f t="shared" si="17"/>
        <v>--</v>
      </c>
      <c r="H445" s="182"/>
      <c r="I445" s="892"/>
      <c r="J445" s="892"/>
      <c r="K445" s="182"/>
      <c r="L445" s="182"/>
      <c r="M445" s="901" t="s">
        <v>155</v>
      </c>
      <c r="N445" s="870" t="s">
        <v>188</v>
      </c>
      <c r="O445" s="870"/>
      <c r="P445" s="276" t="s">
        <v>426</v>
      </c>
      <c r="Q445" s="871" t="s">
        <v>155</v>
      </c>
      <c r="R445" s="902"/>
      <c r="S445" s="874"/>
      <c r="T445" s="270"/>
      <c r="U445" s="270"/>
      <c r="V445" s="270"/>
      <c r="W445" s="270"/>
      <c r="X445" s="270"/>
      <c r="Y445" s="270"/>
      <c r="Z445" s="270"/>
      <c r="AA445" s="270"/>
    </row>
    <row r="446" spans="3:27" ht="15" thickBot="1" x14ac:dyDescent="0.35">
      <c r="C446" s="566" t="s">
        <v>87</v>
      </c>
      <c r="D446" s="875" t="str">
        <f>VLOOKUP(C446,'Airport Mapping'!$C$5:$D$39,2,FALSE)</f>
        <v xml:space="preserve"> </v>
      </c>
      <c r="E446" s="567" t="s">
        <v>43</v>
      </c>
      <c r="F446" s="567" t="s">
        <v>426</v>
      </c>
      <c r="G446" s="450" t="str">
        <f t="shared" si="17"/>
        <v>Terminal D-Maintenance-Pavement cleaning</v>
      </c>
      <c r="H446" s="567" t="s">
        <v>3</v>
      </c>
      <c r="I446" s="877" t="s">
        <v>64</v>
      </c>
      <c r="J446" s="878">
        <f>SUMIFS('Level of Efficiency Assumptions'!J:J,'Level of Efficiency Assumptions'!D:D,E446,'Level of Efficiency Assumptions'!F:F,F446,'Level of Efficiency Assumptions'!I:I,I446)</f>
        <v>10</v>
      </c>
      <c r="K446" s="383" t="s">
        <v>588</v>
      </c>
      <c r="L446" s="253" t="s">
        <v>64</v>
      </c>
      <c r="M446" s="879">
        <f>SUM(Q446:Q447)</f>
        <v>0</v>
      </c>
      <c r="N446" s="880">
        <f>IFERROR(M446/M449,"-")</f>
        <v>0</v>
      </c>
      <c r="O446" s="881">
        <f>SUMIFS('Data Entry'!R:R,'Data Entry'!K:K,G446)</f>
        <v>0</v>
      </c>
      <c r="P446" s="272"/>
      <c r="Q446" s="895">
        <v>0</v>
      </c>
      <c r="R446" s="114"/>
      <c r="S446" s="884"/>
      <c r="T446" s="270"/>
      <c r="U446" s="270"/>
      <c r="V446" s="270"/>
      <c r="W446" s="270"/>
      <c r="X446" s="270"/>
      <c r="Y446" s="270"/>
      <c r="Z446" s="270"/>
      <c r="AA446" s="270"/>
    </row>
    <row r="447" spans="3:27" ht="15" thickBot="1" x14ac:dyDescent="0.35">
      <c r="C447" s="494" t="s">
        <v>87</v>
      </c>
      <c r="D447" s="577"/>
      <c r="E447" s="577" t="s">
        <v>43</v>
      </c>
      <c r="F447" s="577" t="s">
        <v>426</v>
      </c>
      <c r="G447" s="450" t="str">
        <f t="shared" si="17"/>
        <v>Terminal D-Maintenance-Pavement cleaning</v>
      </c>
      <c r="H447" s="577"/>
      <c r="I447" s="887" t="s">
        <v>65</v>
      </c>
      <c r="J447" s="878">
        <f>SUMIFS('Level of Efficiency Assumptions'!J:J,'Level of Efficiency Assumptions'!D:D,E447,'Level of Efficiency Assumptions'!F:F,F447,'Level of Efficiency Assumptions'!I:I,I447)</f>
        <v>7.5</v>
      </c>
      <c r="K447" s="383" t="s">
        <v>588</v>
      </c>
      <c r="L447" s="255" t="s">
        <v>65</v>
      </c>
      <c r="M447" s="879">
        <f>Q448+Q449</f>
        <v>1</v>
      </c>
      <c r="N447" s="880">
        <f>IFERROR(M447/M449,"-")</f>
        <v>1</v>
      </c>
      <c r="O447" s="881">
        <f>SUMIFS('Data Entry'!S:S,'Data Entry'!K:K,G447)</f>
        <v>0</v>
      </c>
      <c r="P447" s="272"/>
      <c r="Q447" s="895">
        <v>0</v>
      </c>
      <c r="R447" s="114"/>
      <c r="S447" s="884"/>
      <c r="T447" s="270"/>
      <c r="U447" s="270"/>
      <c r="V447" s="270"/>
      <c r="W447" s="270"/>
      <c r="X447" s="270"/>
      <c r="Y447" s="270"/>
      <c r="Z447" s="270"/>
      <c r="AA447" s="270"/>
    </row>
    <row r="448" spans="3:27" ht="15" thickBot="1" x14ac:dyDescent="0.35">
      <c r="C448" s="501" t="s">
        <v>87</v>
      </c>
      <c r="D448" s="116"/>
      <c r="E448" s="116" t="s">
        <v>43</v>
      </c>
      <c r="F448" s="116" t="s">
        <v>426</v>
      </c>
      <c r="G448" s="450" t="str">
        <f t="shared" si="17"/>
        <v>Terminal D-Maintenance-Pavement cleaning</v>
      </c>
      <c r="H448" s="116"/>
      <c r="I448" s="889" t="s">
        <v>66</v>
      </c>
      <c r="J448" s="890">
        <f>SUMIFS('Level of Efficiency Assumptions'!J:J,'Level of Efficiency Assumptions'!D:D,E448,'Level of Efficiency Assumptions'!F:F,F448,'Level of Efficiency Assumptions'!I:I,I448)</f>
        <v>5</v>
      </c>
      <c r="K448" s="383" t="s">
        <v>588</v>
      </c>
      <c r="L448" s="257" t="s">
        <v>66</v>
      </c>
      <c r="M448" s="879">
        <f>Q450+Q451</f>
        <v>0</v>
      </c>
      <c r="N448" s="880">
        <f>IFERROR(M448/M449,"-")</f>
        <v>0</v>
      </c>
      <c r="O448" s="881">
        <f>SUMIFS('Data Entry'!T:T,'Data Entry'!K:K,G448)</f>
        <v>0</v>
      </c>
      <c r="P448" s="274"/>
      <c r="Q448" s="895">
        <v>1</v>
      </c>
      <c r="R448" s="114"/>
      <c r="S448" s="884"/>
      <c r="T448" s="270"/>
      <c r="U448" s="270"/>
      <c r="V448" s="270"/>
      <c r="W448" s="270"/>
      <c r="X448" s="270"/>
      <c r="Y448" s="270"/>
      <c r="Z448" s="270"/>
      <c r="AA448" s="270"/>
    </row>
    <row r="449" spans="3:27" x14ac:dyDescent="0.3">
      <c r="C449" s="450"/>
      <c r="D449" s="182"/>
      <c r="E449" s="182"/>
      <c r="F449" s="182"/>
      <c r="G449" s="450" t="str">
        <f t="shared" si="17"/>
        <v>--</v>
      </c>
      <c r="H449" s="182"/>
      <c r="I449" s="440"/>
      <c r="J449" s="892"/>
      <c r="K449" s="259"/>
      <c r="L449" s="259" t="s">
        <v>46</v>
      </c>
      <c r="M449" s="893">
        <f>SUM(M446:M448)</f>
        <v>1</v>
      </c>
      <c r="N449" s="894"/>
      <c r="O449" s="894">
        <f>SUM(O446:O448)</f>
        <v>0</v>
      </c>
      <c r="P449" s="274"/>
      <c r="Q449" s="895">
        <v>0</v>
      </c>
      <c r="R449" s="114"/>
      <c r="S449" s="884"/>
      <c r="T449" s="270"/>
      <c r="U449" s="270"/>
      <c r="V449" s="270"/>
      <c r="W449" s="270"/>
      <c r="X449" s="270"/>
      <c r="Y449" s="270"/>
      <c r="Z449" s="270"/>
      <c r="AA449" s="270"/>
    </row>
    <row r="450" spans="3:27" x14ac:dyDescent="0.3">
      <c r="C450" s="450"/>
      <c r="D450" s="182"/>
      <c r="E450" s="182"/>
      <c r="F450" s="182"/>
      <c r="G450" s="450" t="str">
        <f t="shared" si="17"/>
        <v>--</v>
      </c>
      <c r="H450" s="182"/>
      <c r="I450" s="892"/>
      <c r="J450" s="892"/>
      <c r="K450" s="182"/>
      <c r="L450" s="182"/>
      <c r="M450" s="270"/>
      <c r="N450" s="892"/>
      <c r="O450" s="892"/>
      <c r="P450" s="275"/>
      <c r="Q450" s="895">
        <v>0</v>
      </c>
      <c r="R450" s="114"/>
      <c r="S450" s="884"/>
      <c r="T450" s="270"/>
      <c r="U450" s="270"/>
      <c r="V450" s="270"/>
      <c r="W450" s="270"/>
      <c r="X450" s="270"/>
      <c r="Y450" s="270"/>
      <c r="Z450" s="270"/>
      <c r="AA450" s="270"/>
    </row>
    <row r="451" spans="3:27" x14ac:dyDescent="0.3">
      <c r="C451" s="450"/>
      <c r="D451" s="182"/>
      <c r="E451" s="182"/>
      <c r="F451" s="182"/>
      <c r="G451" s="450" t="str">
        <f t="shared" si="17"/>
        <v>--</v>
      </c>
      <c r="H451" s="182"/>
      <c r="I451" s="892"/>
      <c r="J451" s="892"/>
      <c r="K451" s="182"/>
      <c r="L451" s="182"/>
      <c r="M451" s="270"/>
      <c r="N451" s="892"/>
      <c r="O451" s="892"/>
      <c r="P451" s="269"/>
      <c r="Q451" s="895">
        <v>0</v>
      </c>
      <c r="R451" s="114"/>
      <c r="S451" s="884"/>
      <c r="T451" s="270"/>
      <c r="U451" s="270"/>
      <c r="V451" s="270"/>
      <c r="W451" s="270"/>
      <c r="X451" s="270"/>
      <c r="Y451" s="270"/>
      <c r="Z451" s="270"/>
      <c r="AA451" s="270"/>
    </row>
    <row r="452" spans="3:27" x14ac:dyDescent="0.3">
      <c r="C452" s="450"/>
      <c r="D452" s="182"/>
      <c r="E452" s="182"/>
      <c r="F452" s="182"/>
      <c r="G452" s="450" t="str">
        <f t="shared" ref="G452:G510" si="18">C452&amp;"-"&amp;E452&amp;"-"&amp;F452</f>
        <v>--</v>
      </c>
      <c r="H452" s="182"/>
      <c r="I452" s="892"/>
      <c r="J452" s="892"/>
      <c r="K452" s="182"/>
      <c r="L452" s="182"/>
      <c r="M452" s="270"/>
      <c r="N452" s="892"/>
      <c r="O452" s="892"/>
      <c r="P452" s="263" t="s">
        <v>46</v>
      </c>
      <c r="Q452" s="897">
        <f>SUM(Q446:Q451)</f>
        <v>1</v>
      </c>
      <c r="R452" s="899"/>
      <c r="S452" s="900"/>
      <c r="T452" s="270"/>
      <c r="U452" s="270"/>
      <c r="V452" s="270"/>
      <c r="W452" s="270"/>
      <c r="X452" s="270"/>
      <c r="Y452" s="270"/>
      <c r="Z452" s="270"/>
      <c r="AA452" s="270"/>
    </row>
    <row r="453" spans="3:27" x14ac:dyDescent="0.3">
      <c r="C453" s="450"/>
      <c r="D453" s="182"/>
      <c r="E453" s="182"/>
      <c r="F453" s="182"/>
      <c r="G453" s="450" t="str">
        <f t="shared" si="18"/>
        <v>--</v>
      </c>
      <c r="H453" s="182"/>
      <c r="I453" s="892"/>
      <c r="J453" s="892"/>
      <c r="K453" s="182"/>
      <c r="L453" s="182"/>
      <c r="M453" s="270"/>
      <c r="N453" s="892"/>
      <c r="O453" s="892"/>
      <c r="P453" s="270"/>
      <c r="Q453" s="270"/>
      <c r="R453" s="270"/>
      <c r="S453" s="270"/>
      <c r="T453" s="270"/>
      <c r="U453" s="270"/>
      <c r="V453" s="270"/>
      <c r="W453" s="270"/>
      <c r="X453" s="270"/>
      <c r="Y453" s="270"/>
      <c r="Z453" s="270"/>
      <c r="AA453" s="270"/>
    </row>
    <row r="454" spans="3:27" ht="15" thickBot="1" x14ac:dyDescent="0.35">
      <c r="C454" s="450"/>
      <c r="D454" s="182"/>
      <c r="E454" s="182"/>
      <c r="F454" s="182"/>
      <c r="G454" s="450" t="str">
        <f t="shared" si="18"/>
        <v>--</v>
      </c>
      <c r="H454" s="182"/>
      <c r="I454" s="892"/>
      <c r="J454" s="892"/>
      <c r="K454" s="182"/>
      <c r="L454" s="182"/>
      <c r="M454" s="901" t="s">
        <v>155</v>
      </c>
      <c r="N454" s="870" t="s">
        <v>188</v>
      </c>
      <c r="O454" s="870"/>
      <c r="P454" s="276" t="s">
        <v>52</v>
      </c>
      <c r="Q454" s="871" t="s">
        <v>155</v>
      </c>
      <c r="R454" s="902"/>
      <c r="S454" s="874"/>
      <c r="T454" s="270"/>
      <c r="U454" s="270"/>
      <c r="V454" s="270"/>
      <c r="W454" s="270"/>
      <c r="X454" s="270"/>
      <c r="Y454" s="270"/>
      <c r="Z454" s="270"/>
      <c r="AA454" s="270"/>
    </row>
    <row r="455" spans="3:27" ht="15" thickBot="1" x14ac:dyDescent="0.35">
      <c r="C455" s="566" t="s">
        <v>87</v>
      </c>
      <c r="D455" s="875" t="str">
        <f>VLOOKUP(C455,'Airport Mapping'!$C$5:$D$39,2,FALSE)</f>
        <v xml:space="preserve"> </v>
      </c>
      <c r="E455" s="567" t="s">
        <v>8</v>
      </c>
      <c r="F455" s="567" t="s">
        <v>52</v>
      </c>
      <c r="G455" s="450" t="str">
        <f t="shared" si="18"/>
        <v>Terminal D-Other-Other 1</v>
      </c>
      <c r="H455" s="567" t="s">
        <v>362</v>
      </c>
      <c r="I455" s="877" t="s">
        <v>64</v>
      </c>
      <c r="J455" s="878">
        <f>SUMIFS('Level of Efficiency Assumptions'!J:J,'Level of Efficiency Assumptions'!D:D,E455,'Level of Efficiency Assumptions'!F:F,F455,'Level of Efficiency Assumptions'!I:I,I455)</f>
        <v>10</v>
      </c>
      <c r="K455" s="383" t="s">
        <v>588</v>
      </c>
      <c r="L455" s="253" t="s">
        <v>64</v>
      </c>
      <c r="M455" s="879">
        <f>SUM(Q455:Q455)</f>
        <v>0</v>
      </c>
      <c r="N455" s="880">
        <f>IFERROR(M455/M458,"-")</f>
        <v>0</v>
      </c>
      <c r="O455" s="881">
        <f>SUMIFS('Data Entry'!R:R,'Data Entry'!K:K,G455)</f>
        <v>0</v>
      </c>
      <c r="P455" s="272" t="s">
        <v>129</v>
      </c>
      <c r="Q455" s="895">
        <v>0</v>
      </c>
      <c r="R455" s="114"/>
      <c r="S455" s="884"/>
      <c r="T455" s="270"/>
      <c r="U455" s="270"/>
      <c r="V455" s="270"/>
      <c r="W455" s="270"/>
      <c r="X455" s="270"/>
      <c r="Y455" s="270"/>
      <c r="Z455" s="270"/>
      <c r="AA455" s="270"/>
    </row>
    <row r="456" spans="3:27" ht="15" thickBot="1" x14ac:dyDescent="0.35">
      <c r="C456" s="494" t="s">
        <v>87</v>
      </c>
      <c r="D456" s="577"/>
      <c r="E456" s="577" t="s">
        <v>8</v>
      </c>
      <c r="F456" s="577" t="s">
        <v>52</v>
      </c>
      <c r="G456" s="450" t="str">
        <f t="shared" si="18"/>
        <v>Terminal D-Other-Other 1</v>
      </c>
      <c r="H456" s="577"/>
      <c r="I456" s="887" t="s">
        <v>65</v>
      </c>
      <c r="J456" s="878">
        <f>SUMIFS('Level of Efficiency Assumptions'!J:J,'Level of Efficiency Assumptions'!D:D,E456,'Level of Efficiency Assumptions'!F:F,F456,'Level of Efficiency Assumptions'!I:I,I456)</f>
        <v>7.5</v>
      </c>
      <c r="K456" s="383" t="s">
        <v>588</v>
      </c>
      <c r="L456" s="255" t="s">
        <v>65</v>
      </c>
      <c r="M456" s="879">
        <f t="shared" ref="M456:M457" si="19">SUM(Q456:Q456)</f>
        <v>1</v>
      </c>
      <c r="N456" s="880">
        <f>IFERROR(M456/M458,"-")</f>
        <v>1</v>
      </c>
      <c r="O456" s="881">
        <f>SUMIFS('Data Entry'!S:S,'Data Entry'!K:K,G456)</f>
        <v>0</v>
      </c>
      <c r="P456" s="274" t="s">
        <v>233</v>
      </c>
      <c r="Q456" s="895">
        <v>1</v>
      </c>
      <c r="R456" s="114"/>
      <c r="S456" s="884"/>
      <c r="T456" s="270"/>
      <c r="U456" s="270"/>
      <c r="V456" s="270"/>
      <c r="W456" s="270"/>
      <c r="X456" s="270"/>
      <c r="Y456" s="270"/>
      <c r="Z456" s="270"/>
      <c r="AA456" s="270"/>
    </row>
    <row r="457" spans="3:27" ht="15" thickBot="1" x14ac:dyDescent="0.35">
      <c r="C457" s="501" t="s">
        <v>87</v>
      </c>
      <c r="D457" s="116"/>
      <c r="E457" s="116" t="s">
        <v>8</v>
      </c>
      <c r="F457" s="116" t="s">
        <v>52</v>
      </c>
      <c r="G457" s="450" t="str">
        <f t="shared" si="18"/>
        <v>Terminal D-Other-Other 1</v>
      </c>
      <c r="H457" s="116"/>
      <c r="I457" s="889" t="s">
        <v>66</v>
      </c>
      <c r="J457" s="890">
        <f>SUMIFS('Level of Efficiency Assumptions'!J:J,'Level of Efficiency Assumptions'!D:D,E457,'Level of Efficiency Assumptions'!F:F,F457,'Level of Efficiency Assumptions'!I:I,I457)</f>
        <v>5</v>
      </c>
      <c r="K457" s="383" t="s">
        <v>588</v>
      </c>
      <c r="L457" s="257" t="s">
        <v>66</v>
      </c>
      <c r="M457" s="879">
        <f t="shared" si="19"/>
        <v>0</v>
      </c>
      <c r="N457" s="880">
        <f>IFERROR(M457/M458,"-")</f>
        <v>0</v>
      </c>
      <c r="O457" s="881">
        <f>SUMIFS('Data Entry'!T:T,'Data Entry'!K:K,G457)</f>
        <v>0</v>
      </c>
      <c r="P457" s="269" t="s">
        <v>234</v>
      </c>
      <c r="Q457" s="895">
        <v>0</v>
      </c>
      <c r="R457" s="114"/>
      <c r="S457" s="884"/>
      <c r="T457" s="270"/>
      <c r="U457" s="270"/>
      <c r="V457" s="270"/>
      <c r="W457" s="270"/>
      <c r="X457" s="270"/>
      <c r="Y457" s="270"/>
      <c r="Z457" s="270"/>
      <c r="AA457" s="270"/>
    </row>
    <row r="458" spans="3:27" x14ac:dyDescent="0.3">
      <c r="C458" s="450"/>
      <c r="D458" s="182"/>
      <c r="E458" s="182"/>
      <c r="F458" s="182"/>
      <c r="G458" s="450" t="str">
        <f t="shared" si="18"/>
        <v>--</v>
      </c>
      <c r="H458" s="182"/>
      <c r="I458" s="440"/>
      <c r="J458" s="892"/>
      <c r="K458" s="259"/>
      <c r="L458" s="259" t="s">
        <v>46</v>
      </c>
      <c r="M458" s="893">
        <f>SUM(M455:M457)</f>
        <v>1</v>
      </c>
      <c r="N458" s="894"/>
      <c r="O458" s="894">
        <f>SUM(O455:O457)</f>
        <v>0</v>
      </c>
      <c r="P458" s="263" t="s">
        <v>46</v>
      </c>
      <c r="Q458" s="897">
        <f>SUM(Q455:Q457)</f>
        <v>1</v>
      </c>
      <c r="R458" s="899"/>
      <c r="S458" s="900"/>
      <c r="T458" s="270"/>
      <c r="U458" s="270"/>
      <c r="V458" s="270"/>
      <c r="W458" s="270"/>
      <c r="X458" s="270"/>
      <c r="Y458" s="270"/>
      <c r="Z458" s="270"/>
      <c r="AA458" s="270"/>
    </row>
    <row r="459" spans="3:27" x14ac:dyDescent="0.3">
      <c r="C459" s="450"/>
      <c r="D459" s="182"/>
      <c r="E459" s="182"/>
      <c r="F459" s="182"/>
      <c r="G459" s="450" t="str">
        <f t="shared" si="18"/>
        <v>--</v>
      </c>
      <c r="H459" s="182"/>
      <c r="I459" s="892"/>
      <c r="J459" s="892"/>
      <c r="K459" s="182"/>
      <c r="L459" s="182"/>
      <c r="M459" s="270"/>
      <c r="N459" s="892"/>
      <c r="O459" s="892"/>
      <c r="P459" s="270"/>
      <c r="Q459" s="270"/>
      <c r="R459" s="270"/>
      <c r="S459" s="270"/>
      <c r="T459" s="270"/>
      <c r="U459" s="270"/>
      <c r="V459" s="270"/>
      <c r="W459" s="270"/>
      <c r="X459" s="270"/>
      <c r="Y459" s="270"/>
      <c r="Z459" s="270"/>
      <c r="AA459" s="270"/>
    </row>
    <row r="460" spans="3:27" ht="15" thickBot="1" x14ac:dyDescent="0.35">
      <c r="C460" s="450"/>
      <c r="D460" s="182"/>
      <c r="E460" s="182"/>
      <c r="F460" s="182"/>
      <c r="G460" s="450" t="str">
        <f t="shared" si="18"/>
        <v>--</v>
      </c>
      <c r="H460" s="182"/>
      <c r="I460" s="892"/>
      <c r="J460" s="892"/>
      <c r="K460" s="182"/>
      <c r="L460" s="182"/>
      <c r="M460" s="901" t="s">
        <v>155</v>
      </c>
      <c r="N460" s="870" t="s">
        <v>188</v>
      </c>
      <c r="O460" s="870"/>
      <c r="P460" s="276" t="s">
        <v>53</v>
      </c>
      <c r="Q460" s="871" t="s">
        <v>155</v>
      </c>
      <c r="R460" s="902"/>
      <c r="S460" s="874"/>
      <c r="T460" s="270"/>
      <c r="U460" s="270"/>
      <c r="V460" s="270"/>
      <c r="W460" s="270"/>
      <c r="X460" s="270"/>
      <c r="Y460" s="270"/>
      <c r="Z460" s="270"/>
      <c r="AA460" s="270"/>
    </row>
    <row r="461" spans="3:27" ht="15" thickBot="1" x14ac:dyDescent="0.35">
      <c r="C461" s="566" t="s">
        <v>87</v>
      </c>
      <c r="D461" s="875" t="str">
        <f>VLOOKUP(C461,'Airport Mapping'!$C$5:$D$39,2,FALSE)</f>
        <v xml:space="preserve"> </v>
      </c>
      <c r="E461" s="567" t="s">
        <v>8</v>
      </c>
      <c r="F461" s="567" t="s">
        <v>53</v>
      </c>
      <c r="G461" s="450" t="str">
        <f t="shared" si="18"/>
        <v>Terminal D-Other-Other 2</v>
      </c>
      <c r="H461" s="567" t="s">
        <v>363</v>
      </c>
      <c r="I461" s="877" t="s">
        <v>64</v>
      </c>
      <c r="J461" s="878">
        <f>SUMIFS('Level of Efficiency Assumptions'!J:J,'Level of Efficiency Assumptions'!D:D,E461,'Level of Efficiency Assumptions'!F:F,F461,'Level of Efficiency Assumptions'!I:I,I461)</f>
        <v>10</v>
      </c>
      <c r="K461" s="383" t="s">
        <v>588</v>
      </c>
      <c r="L461" s="253" t="s">
        <v>64</v>
      </c>
      <c r="M461" s="879">
        <f>SUM(Q461:Q461)</f>
        <v>0</v>
      </c>
      <c r="N461" s="880">
        <f>IFERROR(M461/M464,"-")</f>
        <v>0</v>
      </c>
      <c r="O461" s="881">
        <f>SUMIFS('Data Entry'!R:R,'Data Entry'!K:K,G461)</f>
        <v>0</v>
      </c>
      <c r="P461" s="272" t="s">
        <v>129</v>
      </c>
      <c r="Q461" s="895">
        <v>0</v>
      </c>
      <c r="R461" s="114"/>
      <c r="S461" s="884"/>
      <c r="T461" s="270"/>
      <c r="U461" s="270"/>
      <c r="V461" s="270"/>
      <c r="W461" s="270"/>
      <c r="X461" s="270"/>
      <c r="Y461" s="270"/>
      <c r="Z461" s="270"/>
      <c r="AA461" s="270"/>
    </row>
    <row r="462" spans="3:27" ht="15" thickBot="1" x14ac:dyDescent="0.35">
      <c r="C462" s="494" t="s">
        <v>87</v>
      </c>
      <c r="D462" s="577"/>
      <c r="E462" s="577" t="s">
        <v>8</v>
      </c>
      <c r="F462" s="577" t="s">
        <v>53</v>
      </c>
      <c r="G462" s="450" t="str">
        <f t="shared" si="18"/>
        <v>Terminal D-Other-Other 2</v>
      </c>
      <c r="H462" s="577"/>
      <c r="I462" s="887" t="s">
        <v>65</v>
      </c>
      <c r="J462" s="878">
        <f>SUMIFS('Level of Efficiency Assumptions'!J:J,'Level of Efficiency Assumptions'!D:D,E462,'Level of Efficiency Assumptions'!F:F,F462,'Level of Efficiency Assumptions'!I:I,I462)</f>
        <v>7.5</v>
      </c>
      <c r="K462" s="383" t="s">
        <v>588</v>
      </c>
      <c r="L462" s="255" t="s">
        <v>65</v>
      </c>
      <c r="M462" s="879">
        <f t="shared" ref="M462:M463" si="20">SUM(Q462:Q462)</f>
        <v>1</v>
      </c>
      <c r="N462" s="880">
        <f>IFERROR(M462/M464,"-")</f>
        <v>1</v>
      </c>
      <c r="O462" s="881">
        <f>SUMIFS('Data Entry'!S:S,'Data Entry'!K:K,G462)</f>
        <v>0</v>
      </c>
      <c r="P462" s="274" t="s">
        <v>233</v>
      </c>
      <c r="Q462" s="895">
        <v>1</v>
      </c>
      <c r="R462" s="114"/>
      <c r="S462" s="884"/>
      <c r="T462" s="270"/>
      <c r="U462" s="270"/>
      <c r="V462" s="270"/>
      <c r="W462" s="270"/>
      <c r="X462" s="270"/>
      <c r="Y462" s="270"/>
      <c r="Z462" s="270"/>
      <c r="AA462" s="270"/>
    </row>
    <row r="463" spans="3:27" ht="15" thickBot="1" x14ac:dyDescent="0.35">
      <c r="C463" s="501" t="s">
        <v>87</v>
      </c>
      <c r="D463" s="116"/>
      <c r="E463" s="116" t="s">
        <v>8</v>
      </c>
      <c r="F463" s="116" t="s">
        <v>53</v>
      </c>
      <c r="G463" s="450" t="str">
        <f t="shared" si="18"/>
        <v>Terminal D-Other-Other 2</v>
      </c>
      <c r="H463" s="116"/>
      <c r="I463" s="889" t="s">
        <v>66</v>
      </c>
      <c r="J463" s="890">
        <f>SUMIFS('Level of Efficiency Assumptions'!J:J,'Level of Efficiency Assumptions'!D:D,E463,'Level of Efficiency Assumptions'!F:F,F463,'Level of Efficiency Assumptions'!I:I,I463)</f>
        <v>5</v>
      </c>
      <c r="K463" s="383" t="s">
        <v>588</v>
      </c>
      <c r="L463" s="257" t="s">
        <v>66</v>
      </c>
      <c r="M463" s="879">
        <f t="shared" si="20"/>
        <v>0</v>
      </c>
      <c r="N463" s="880">
        <f>IFERROR(M463/M464,"-")</f>
        <v>0</v>
      </c>
      <c r="O463" s="881">
        <f>SUMIFS('Data Entry'!T:T,'Data Entry'!K:K,G463)</f>
        <v>0</v>
      </c>
      <c r="P463" s="269" t="s">
        <v>234</v>
      </c>
      <c r="Q463" s="895">
        <v>0</v>
      </c>
      <c r="R463" s="114"/>
      <c r="S463" s="884"/>
      <c r="T463" s="270"/>
      <c r="U463" s="270"/>
      <c r="V463" s="270"/>
      <c r="W463" s="270"/>
      <c r="X463" s="270"/>
      <c r="Y463" s="270"/>
      <c r="Z463" s="270"/>
      <c r="AA463" s="270"/>
    </row>
    <row r="464" spans="3:27" x14ac:dyDescent="0.3">
      <c r="C464" s="450"/>
      <c r="D464" s="182"/>
      <c r="E464" s="182"/>
      <c r="F464" s="182"/>
      <c r="G464" s="450" t="str">
        <f t="shared" si="18"/>
        <v>--</v>
      </c>
      <c r="H464" s="182"/>
      <c r="I464" s="440"/>
      <c r="J464" s="892"/>
      <c r="K464" s="259"/>
      <c r="L464" s="259" t="s">
        <v>46</v>
      </c>
      <c r="M464" s="893">
        <f>SUM(M461:M463)</f>
        <v>1</v>
      </c>
      <c r="N464" s="894"/>
      <c r="O464" s="894">
        <f>SUM(O461:O463)</f>
        <v>0</v>
      </c>
      <c r="P464" s="263" t="s">
        <v>46</v>
      </c>
      <c r="Q464" s="897">
        <f>SUM(Q461:Q463)</f>
        <v>1</v>
      </c>
      <c r="R464" s="899"/>
      <c r="S464" s="900"/>
      <c r="T464" s="270"/>
      <c r="U464" s="270"/>
      <c r="V464" s="270"/>
      <c r="W464" s="270"/>
      <c r="X464" s="270"/>
      <c r="Y464" s="270"/>
      <c r="Z464" s="270"/>
      <c r="AA464" s="270"/>
    </row>
    <row r="465" spans="3:27" x14ac:dyDescent="0.3">
      <c r="C465" s="450"/>
      <c r="D465" s="182"/>
      <c r="E465" s="182"/>
      <c r="F465" s="182"/>
      <c r="G465" s="450" t="str">
        <f t="shared" si="18"/>
        <v>--</v>
      </c>
      <c r="H465" s="182"/>
      <c r="I465" s="892"/>
      <c r="J465" s="892"/>
      <c r="K465" s="182"/>
      <c r="L465" s="182"/>
      <c r="M465" s="270"/>
      <c r="N465" s="892"/>
      <c r="O465" s="892"/>
      <c r="P465" s="270"/>
      <c r="Q465" s="270"/>
      <c r="R465" s="270"/>
      <c r="S465" s="270"/>
      <c r="T465" s="270"/>
      <c r="U465" s="270"/>
      <c r="V465" s="270"/>
      <c r="W465" s="270"/>
      <c r="X465" s="270"/>
      <c r="Y465" s="270"/>
      <c r="Z465" s="270"/>
      <c r="AA465" s="270"/>
    </row>
    <row r="466" spans="3:27" ht="15" thickBot="1" x14ac:dyDescent="0.35">
      <c r="C466" s="450"/>
      <c r="D466" s="182"/>
      <c r="E466" s="182"/>
      <c r="F466" s="182"/>
      <c r="G466" s="450" t="str">
        <f t="shared" si="18"/>
        <v>--</v>
      </c>
      <c r="H466" s="182"/>
      <c r="I466" s="892"/>
      <c r="J466" s="892"/>
      <c r="K466" s="182"/>
      <c r="L466" s="182"/>
      <c r="M466" s="901" t="s">
        <v>155</v>
      </c>
      <c r="N466" s="870" t="s">
        <v>188</v>
      </c>
      <c r="O466" s="870"/>
      <c r="P466" s="276" t="s">
        <v>54</v>
      </c>
      <c r="Q466" s="871" t="s">
        <v>155</v>
      </c>
      <c r="R466" s="902"/>
      <c r="S466" s="874"/>
      <c r="T466" s="270"/>
      <c r="U466" s="270"/>
      <c r="V466" s="270"/>
      <c r="W466" s="270"/>
      <c r="X466" s="270"/>
      <c r="Y466" s="270"/>
      <c r="Z466" s="270"/>
      <c r="AA466" s="270"/>
    </row>
    <row r="467" spans="3:27" ht="15" thickBot="1" x14ac:dyDescent="0.35">
      <c r="C467" s="566" t="s">
        <v>87</v>
      </c>
      <c r="D467" s="875" t="str">
        <f>VLOOKUP(C467,'Airport Mapping'!$C$5:$D$39,2,FALSE)</f>
        <v xml:space="preserve"> </v>
      </c>
      <c r="E467" s="567" t="s">
        <v>8</v>
      </c>
      <c r="F467" s="567" t="s">
        <v>54</v>
      </c>
      <c r="G467" s="450" t="str">
        <f t="shared" si="18"/>
        <v>Terminal D-Other-Other 3</v>
      </c>
      <c r="H467" s="567" t="s">
        <v>364</v>
      </c>
      <c r="I467" s="877" t="s">
        <v>64</v>
      </c>
      <c r="J467" s="878">
        <f>SUMIFS('Level of Efficiency Assumptions'!J:J,'Level of Efficiency Assumptions'!D:D,E467,'Level of Efficiency Assumptions'!F:F,F467,'Level of Efficiency Assumptions'!I:I,I467)</f>
        <v>10</v>
      </c>
      <c r="K467" s="383" t="s">
        <v>588</v>
      </c>
      <c r="L467" s="253" t="s">
        <v>64</v>
      </c>
      <c r="M467" s="879">
        <f>SUM(Q467:Q467)</f>
        <v>0</v>
      </c>
      <c r="N467" s="880">
        <f>IFERROR(M467/M470,"-")</f>
        <v>0</v>
      </c>
      <c r="O467" s="881">
        <f>SUMIFS('Data Entry'!R:R,'Data Entry'!K:K,G467)</f>
        <v>0</v>
      </c>
      <c r="P467" s="272" t="s">
        <v>129</v>
      </c>
      <c r="Q467" s="895">
        <v>0</v>
      </c>
      <c r="R467" s="114"/>
      <c r="S467" s="884"/>
      <c r="T467" s="270"/>
      <c r="U467" s="270"/>
      <c r="V467" s="270"/>
      <c r="W467" s="270"/>
      <c r="X467" s="270"/>
      <c r="Y467" s="270"/>
      <c r="Z467" s="270"/>
      <c r="AA467" s="270"/>
    </row>
    <row r="468" spans="3:27" ht="15" thickBot="1" x14ac:dyDescent="0.35">
      <c r="C468" s="494" t="s">
        <v>87</v>
      </c>
      <c r="D468" s="577"/>
      <c r="E468" s="577" t="s">
        <v>8</v>
      </c>
      <c r="F468" s="577" t="s">
        <v>54</v>
      </c>
      <c r="G468" s="450" t="str">
        <f t="shared" si="18"/>
        <v>Terminal D-Other-Other 3</v>
      </c>
      <c r="H468" s="577"/>
      <c r="I468" s="887" t="s">
        <v>65</v>
      </c>
      <c r="J468" s="878">
        <f>SUMIFS('Level of Efficiency Assumptions'!J:J,'Level of Efficiency Assumptions'!D:D,E468,'Level of Efficiency Assumptions'!F:F,F468,'Level of Efficiency Assumptions'!I:I,I468)</f>
        <v>7.5</v>
      </c>
      <c r="K468" s="383" t="s">
        <v>588</v>
      </c>
      <c r="L468" s="255" t="s">
        <v>65</v>
      </c>
      <c r="M468" s="879">
        <f t="shared" ref="M468:M469" si="21">SUM(Q468:Q468)</f>
        <v>1</v>
      </c>
      <c r="N468" s="880">
        <f>IFERROR(M468/M470,"-")</f>
        <v>1</v>
      </c>
      <c r="O468" s="881">
        <f>SUMIFS('Data Entry'!S:S,'Data Entry'!K:K,G468)</f>
        <v>0</v>
      </c>
      <c r="P468" s="274" t="s">
        <v>233</v>
      </c>
      <c r="Q468" s="895">
        <v>1</v>
      </c>
      <c r="R468" s="114"/>
      <c r="S468" s="884"/>
      <c r="T468" s="270"/>
      <c r="U468" s="270"/>
      <c r="V468" s="270"/>
      <c r="W468" s="270"/>
      <c r="X468" s="270"/>
      <c r="Y468" s="270"/>
      <c r="Z468" s="270"/>
      <c r="AA468" s="270"/>
    </row>
    <row r="469" spans="3:27" ht="15" thickBot="1" x14ac:dyDescent="0.35">
      <c r="C469" s="501" t="s">
        <v>87</v>
      </c>
      <c r="D469" s="116"/>
      <c r="E469" s="116" t="s">
        <v>8</v>
      </c>
      <c r="F469" s="116" t="s">
        <v>54</v>
      </c>
      <c r="G469" s="450" t="str">
        <f t="shared" si="18"/>
        <v>Terminal D-Other-Other 3</v>
      </c>
      <c r="H469" s="116"/>
      <c r="I469" s="889" t="s">
        <v>66</v>
      </c>
      <c r="J469" s="890">
        <f>SUMIFS('Level of Efficiency Assumptions'!J:J,'Level of Efficiency Assumptions'!D:D,E469,'Level of Efficiency Assumptions'!F:F,F469,'Level of Efficiency Assumptions'!I:I,I469)</f>
        <v>5</v>
      </c>
      <c r="K469" s="383" t="s">
        <v>588</v>
      </c>
      <c r="L469" s="257" t="s">
        <v>66</v>
      </c>
      <c r="M469" s="879">
        <f t="shared" si="21"/>
        <v>0</v>
      </c>
      <c r="N469" s="880">
        <f>IFERROR(M469/M470,"-")</f>
        <v>0</v>
      </c>
      <c r="O469" s="881">
        <f>SUMIFS('Data Entry'!T:T,'Data Entry'!K:K,G469)</f>
        <v>0</v>
      </c>
      <c r="P469" s="269" t="s">
        <v>234</v>
      </c>
      <c r="Q469" s="895">
        <v>0</v>
      </c>
      <c r="R469" s="114"/>
      <c r="S469" s="884"/>
      <c r="T469" s="270"/>
      <c r="U469" s="270"/>
      <c r="V469" s="270"/>
      <c r="W469" s="270"/>
      <c r="X469" s="270"/>
      <c r="Y469" s="270"/>
      <c r="Z469" s="270"/>
      <c r="AA469" s="270"/>
    </row>
    <row r="470" spans="3:27" x14ac:dyDescent="0.3">
      <c r="C470" s="450"/>
      <c r="D470" s="182"/>
      <c r="E470" s="182"/>
      <c r="F470" s="182"/>
      <c r="G470" s="450" t="str">
        <f t="shared" si="18"/>
        <v>--</v>
      </c>
      <c r="H470" s="182"/>
      <c r="I470" s="440"/>
      <c r="J470" s="892"/>
      <c r="K470" s="259"/>
      <c r="L470" s="259" t="s">
        <v>46</v>
      </c>
      <c r="M470" s="893">
        <f>SUM(M467:M469)</f>
        <v>1</v>
      </c>
      <c r="N470" s="894"/>
      <c r="O470" s="894">
        <f>SUM(O467:O469)</f>
        <v>0</v>
      </c>
      <c r="P470" s="263" t="s">
        <v>46</v>
      </c>
      <c r="Q470" s="897">
        <f>SUM(Q467:Q469)</f>
        <v>1</v>
      </c>
      <c r="R470" s="899"/>
      <c r="S470" s="900"/>
      <c r="T470" s="270"/>
      <c r="U470" s="270"/>
      <c r="V470" s="270"/>
      <c r="W470" s="270"/>
      <c r="X470" s="270"/>
      <c r="Y470" s="270"/>
      <c r="Z470" s="270"/>
      <c r="AA470" s="270"/>
    </row>
    <row r="471" spans="3:27" ht="15" thickBot="1" x14ac:dyDescent="0.35">
      <c r="C471" s="451"/>
      <c r="D471" s="184"/>
      <c r="E471" s="184"/>
      <c r="F471" s="184"/>
      <c r="G471" s="450" t="str">
        <f t="shared" si="18"/>
        <v>--</v>
      </c>
      <c r="H471" s="184"/>
      <c r="I471" s="281"/>
      <c r="J471" s="281"/>
      <c r="K471" s="184"/>
      <c r="L471" s="184"/>
      <c r="M471" s="278"/>
      <c r="N471" s="281"/>
      <c r="O471" s="281"/>
      <c r="P471" s="278"/>
      <c r="Q471" s="278"/>
      <c r="R471" s="278"/>
      <c r="S471" s="278"/>
      <c r="T471" s="278"/>
      <c r="U471" s="270"/>
      <c r="V471" s="270"/>
      <c r="W471" s="270"/>
      <c r="X471" s="270"/>
      <c r="Y471" s="270"/>
      <c r="Z471" s="270"/>
      <c r="AA471" s="270"/>
    </row>
    <row r="472" spans="3:27" x14ac:dyDescent="0.3">
      <c r="C472" s="450"/>
      <c r="D472" s="182"/>
      <c r="E472" s="182"/>
      <c r="F472" s="182"/>
      <c r="G472" s="450" t="str">
        <f t="shared" si="18"/>
        <v>--</v>
      </c>
      <c r="H472" s="182"/>
      <c r="I472" s="892"/>
      <c r="J472" s="892"/>
      <c r="K472" s="182"/>
      <c r="L472" s="182"/>
      <c r="M472" s="270"/>
      <c r="N472" s="892"/>
      <c r="O472" s="892"/>
      <c r="P472" s="270"/>
      <c r="Q472" s="270"/>
      <c r="R472" s="270"/>
      <c r="S472" s="270"/>
      <c r="T472" s="270"/>
      <c r="U472" s="270"/>
      <c r="V472" s="270"/>
      <c r="W472" s="270"/>
      <c r="X472" s="270"/>
      <c r="Y472" s="270"/>
      <c r="Z472" s="270"/>
      <c r="AA472" s="270"/>
    </row>
    <row r="473" spans="3:27" ht="15" thickBot="1" x14ac:dyDescent="0.35">
      <c r="C473" s="225"/>
      <c r="D473" s="182"/>
      <c r="E473" s="182"/>
      <c r="F473" s="182"/>
      <c r="G473" s="450" t="str">
        <f t="shared" si="18"/>
        <v>--</v>
      </c>
      <c r="H473" s="182"/>
      <c r="I473" s="892"/>
      <c r="J473" s="892"/>
      <c r="K473" s="182"/>
      <c r="L473" s="182"/>
      <c r="M473" s="901" t="s">
        <v>155</v>
      </c>
      <c r="N473" s="870" t="s">
        <v>188</v>
      </c>
      <c r="O473" s="870"/>
      <c r="P473" s="252" t="s">
        <v>158</v>
      </c>
      <c r="Q473" s="871" t="s">
        <v>155</v>
      </c>
      <c r="R473" s="872" t="s">
        <v>168</v>
      </c>
      <c r="S473" s="872" t="s">
        <v>169</v>
      </c>
      <c r="T473" s="873"/>
      <c r="U473" s="874"/>
      <c r="V473" s="270"/>
      <c r="W473" s="270"/>
      <c r="X473" s="270"/>
      <c r="Y473" s="114"/>
      <c r="Z473" s="270"/>
      <c r="AA473" s="270"/>
    </row>
    <row r="474" spans="3:27" ht="15" thickBot="1" x14ac:dyDescent="0.35">
      <c r="C474" s="566" t="s">
        <v>88</v>
      </c>
      <c r="D474" s="875" t="str">
        <f>VLOOKUP(C474,'Airport Mapping'!$C$5:$D$39,2,FALSE)</f>
        <v xml:space="preserve"> </v>
      </c>
      <c r="E474" s="567" t="s">
        <v>37</v>
      </c>
      <c r="F474" s="567" t="s">
        <v>2</v>
      </c>
      <c r="G474" s="450" t="str">
        <f t="shared" si="18"/>
        <v>Terminal E-Restrooms-Toilets</v>
      </c>
      <c r="H474" s="567" t="s">
        <v>3</v>
      </c>
      <c r="I474" s="877" t="s">
        <v>64</v>
      </c>
      <c r="J474" s="878">
        <f>SUMIFS('Level of Efficiency Assumptions'!J:J,'Level of Efficiency Assumptions'!D:D,E474,'Level of Efficiency Assumptions'!F:F,F474,'Level of Efficiency Assumptions'!I:I,I474)</f>
        <v>3.5</v>
      </c>
      <c r="K474" s="383" t="s">
        <v>68</v>
      </c>
      <c r="L474" s="253" t="s">
        <v>64</v>
      </c>
      <c r="M474" s="879">
        <f>Q474+Q480</f>
        <v>0</v>
      </c>
      <c r="N474" s="880">
        <f>IFERROR(M474/M477,"-")</f>
        <v>0</v>
      </c>
      <c r="O474" s="881">
        <f>SUMIFS('Data Entry'!R:R,'Data Entry'!K:K,G474)</f>
        <v>0</v>
      </c>
      <c r="P474" s="254" t="s">
        <v>159</v>
      </c>
      <c r="Q474" s="882">
        <v>0</v>
      </c>
      <c r="R474" s="883"/>
      <c r="S474" s="883"/>
      <c r="T474" s="114" t="s">
        <v>182</v>
      </c>
      <c r="U474" s="884"/>
      <c r="V474" s="270"/>
      <c r="W474" s="270"/>
      <c r="X474" s="270"/>
      <c r="Y474" s="114"/>
      <c r="Z474" s="270"/>
      <c r="AA474" s="270"/>
    </row>
    <row r="475" spans="3:27" ht="15" thickBot="1" x14ac:dyDescent="0.35">
      <c r="C475" s="494" t="s">
        <v>88</v>
      </c>
      <c r="D475" s="577"/>
      <c r="E475" s="577" t="s">
        <v>37</v>
      </c>
      <c r="F475" s="577" t="s">
        <v>2</v>
      </c>
      <c r="G475" s="450" t="str">
        <f t="shared" si="18"/>
        <v>Terminal E-Restrooms-Toilets</v>
      </c>
      <c r="H475" s="577"/>
      <c r="I475" s="887" t="s">
        <v>65</v>
      </c>
      <c r="J475" s="878">
        <f>SUMIFS('Level of Efficiency Assumptions'!J:J,'Level of Efficiency Assumptions'!D:D,E475,'Level of Efficiency Assumptions'!F:F,F475,'Level of Efficiency Assumptions'!I:I,I475)</f>
        <v>1.6</v>
      </c>
      <c r="K475" s="383" t="s">
        <v>68</v>
      </c>
      <c r="L475" s="255" t="s">
        <v>65</v>
      </c>
      <c r="M475" s="879">
        <f>Q475+Q478+Q481</f>
        <v>1</v>
      </c>
      <c r="N475" s="880">
        <f>IFERROR(M475/M477,"-")</f>
        <v>1</v>
      </c>
      <c r="O475" s="881">
        <f>SUMIFS('Data Entry'!S:S,'Data Entry'!K:K,G475)</f>
        <v>0</v>
      </c>
      <c r="P475" s="256" t="s">
        <v>161</v>
      </c>
      <c r="Q475" s="882">
        <v>1</v>
      </c>
      <c r="R475" s="883"/>
      <c r="S475" s="883"/>
      <c r="T475" s="114" t="s">
        <v>184</v>
      </c>
      <c r="U475" s="884"/>
      <c r="V475" s="270"/>
      <c r="W475" s="270"/>
      <c r="X475" s="270"/>
      <c r="Y475" s="114"/>
      <c r="Z475" s="270"/>
      <c r="AA475" s="270"/>
    </row>
    <row r="476" spans="3:27" ht="15" thickBot="1" x14ac:dyDescent="0.35">
      <c r="C476" s="501" t="s">
        <v>88</v>
      </c>
      <c r="D476" s="116"/>
      <c r="E476" s="116" t="s">
        <v>37</v>
      </c>
      <c r="F476" s="116" t="s">
        <v>2</v>
      </c>
      <c r="G476" s="450" t="str">
        <f t="shared" si="18"/>
        <v>Terminal E-Restrooms-Toilets</v>
      </c>
      <c r="H476" s="116"/>
      <c r="I476" s="889" t="s">
        <v>66</v>
      </c>
      <c r="J476" s="890">
        <f>SUMIFS('Level of Efficiency Assumptions'!J:J,'Level of Efficiency Assumptions'!D:D,E476,'Level of Efficiency Assumptions'!F:F,F476,'Level of Efficiency Assumptions'!I:I,I476)</f>
        <v>1.28</v>
      </c>
      <c r="K476" s="383" t="s">
        <v>68</v>
      </c>
      <c r="L476" s="257" t="s">
        <v>66</v>
      </c>
      <c r="M476" s="879">
        <f>Q476+Q477+Q479+Q482+Q483</f>
        <v>0</v>
      </c>
      <c r="N476" s="880">
        <f>IFERROR(M476/M477,"-")</f>
        <v>0</v>
      </c>
      <c r="O476" s="881">
        <f>SUMIFS('Data Entry'!T:T,'Data Entry'!K:K,G476)</f>
        <v>0</v>
      </c>
      <c r="P476" s="258" t="s">
        <v>163</v>
      </c>
      <c r="Q476" s="882">
        <v>0</v>
      </c>
      <c r="R476" s="883"/>
      <c r="S476" s="883"/>
      <c r="T476" s="891"/>
      <c r="U476" s="884"/>
      <c r="V476" s="270"/>
      <c r="W476" s="270"/>
      <c r="X476" s="270"/>
      <c r="Y476" s="114"/>
      <c r="Z476" s="270"/>
      <c r="AA476" s="270"/>
    </row>
    <row r="477" spans="3:27" x14ac:dyDescent="0.3">
      <c r="C477" s="450"/>
      <c r="D477" s="182"/>
      <c r="E477" s="182"/>
      <c r="F477" s="182"/>
      <c r="G477" s="450" t="str">
        <f t="shared" si="18"/>
        <v>--</v>
      </c>
      <c r="H477" s="182"/>
      <c r="I477" s="440"/>
      <c r="J477" s="892"/>
      <c r="K477" s="259"/>
      <c r="L477" s="259" t="s">
        <v>46</v>
      </c>
      <c r="M477" s="893">
        <f>SUM(M474:M476)</f>
        <v>1</v>
      </c>
      <c r="N477" s="894"/>
      <c r="O477" s="894">
        <f>SUM(O474:O476)</f>
        <v>0</v>
      </c>
      <c r="P477" s="258" t="s">
        <v>165</v>
      </c>
      <c r="Q477" s="882">
        <v>0</v>
      </c>
      <c r="R477" s="883"/>
      <c r="S477" s="883"/>
      <c r="T477" s="891"/>
      <c r="U477" s="884"/>
      <c r="V477" s="270"/>
      <c r="W477" s="270"/>
      <c r="X477" s="270"/>
      <c r="Y477" s="114"/>
      <c r="Z477" s="270"/>
      <c r="AA477" s="270"/>
    </row>
    <row r="478" spans="3:27" ht="15" thickBot="1" x14ac:dyDescent="0.35">
      <c r="C478" s="450"/>
      <c r="D478" s="182"/>
      <c r="E478" s="182"/>
      <c r="F478" s="182"/>
      <c r="G478" s="450" t="str">
        <f t="shared" si="18"/>
        <v>--</v>
      </c>
      <c r="H478" s="182"/>
      <c r="I478" s="440"/>
      <c r="J478" s="892"/>
      <c r="K478" s="181"/>
      <c r="L478" s="181"/>
      <c r="M478" s="181"/>
      <c r="N478" s="892"/>
      <c r="O478" s="892"/>
      <c r="P478" s="256" t="s">
        <v>166</v>
      </c>
      <c r="Q478" s="895">
        <v>0</v>
      </c>
      <c r="R478" s="883"/>
      <c r="S478" s="883"/>
      <c r="T478" s="891"/>
      <c r="U478" s="896"/>
      <c r="V478" s="891"/>
      <c r="W478" s="270"/>
      <c r="X478" s="270"/>
      <c r="Y478" s="114"/>
      <c r="Z478" s="270"/>
      <c r="AA478" s="270"/>
    </row>
    <row r="479" spans="3:27" x14ac:dyDescent="0.3">
      <c r="C479" s="450"/>
      <c r="D479" s="182"/>
      <c r="E479" s="182"/>
      <c r="F479" s="182"/>
      <c r="G479" s="450" t="str">
        <f t="shared" si="18"/>
        <v>--</v>
      </c>
      <c r="H479" s="182"/>
      <c r="I479" s="440"/>
      <c r="J479" s="892"/>
      <c r="K479" s="181"/>
      <c r="L479" s="1384" t="s">
        <v>377</v>
      </c>
      <c r="M479" s="1385"/>
      <c r="N479" s="1385"/>
      <c r="O479" s="1386"/>
      <c r="P479" s="258" t="s">
        <v>167</v>
      </c>
      <c r="Q479" s="895">
        <v>0</v>
      </c>
      <c r="R479" s="883"/>
      <c r="S479" s="883"/>
      <c r="T479" s="891"/>
      <c r="U479" s="896"/>
      <c r="V479" s="891"/>
      <c r="W479" s="270"/>
      <c r="X479" s="270"/>
      <c r="Y479" s="270"/>
      <c r="Z479" s="270"/>
      <c r="AA479" s="270"/>
    </row>
    <row r="480" spans="3:27" x14ac:dyDescent="0.3">
      <c r="C480" s="450"/>
      <c r="D480" s="182"/>
      <c r="E480" s="182"/>
      <c r="F480" s="182"/>
      <c r="G480" s="450" t="str">
        <f t="shared" si="18"/>
        <v>--</v>
      </c>
      <c r="H480" s="182"/>
      <c r="I480" s="440"/>
      <c r="J480" s="892"/>
      <c r="K480" s="181"/>
      <c r="L480" s="1387"/>
      <c r="M480" s="1388"/>
      <c r="N480" s="1388"/>
      <c r="O480" s="1389"/>
      <c r="P480" s="254" t="s">
        <v>160</v>
      </c>
      <c r="Q480" s="895">
        <v>0</v>
      </c>
      <c r="R480" s="891"/>
      <c r="S480" s="891"/>
      <c r="T480" s="891"/>
      <c r="U480" s="896"/>
      <c r="V480" s="891"/>
      <c r="W480" s="270"/>
      <c r="X480" s="270"/>
      <c r="Y480" s="270"/>
      <c r="Z480" s="270"/>
      <c r="AA480" s="270"/>
    </row>
    <row r="481" spans="3:27" x14ac:dyDescent="0.3">
      <c r="C481" s="450"/>
      <c r="D481" s="182"/>
      <c r="E481" s="182"/>
      <c r="F481" s="182"/>
      <c r="G481" s="450" t="str">
        <f t="shared" si="18"/>
        <v>--</v>
      </c>
      <c r="H481" s="182"/>
      <c r="I481" s="440"/>
      <c r="J481" s="892"/>
      <c r="K481" s="181"/>
      <c r="L481" s="1387"/>
      <c r="M481" s="1388"/>
      <c r="N481" s="1388"/>
      <c r="O481" s="1389"/>
      <c r="P481" s="256" t="s">
        <v>162</v>
      </c>
      <c r="Q481" s="895">
        <v>0</v>
      </c>
      <c r="R481" s="891"/>
      <c r="S481" s="891"/>
      <c r="T481" s="891"/>
      <c r="U481" s="896"/>
      <c r="V481" s="891"/>
      <c r="W481" s="270"/>
      <c r="X481" s="270"/>
      <c r="Y481" s="270"/>
      <c r="Z481" s="270"/>
      <c r="AA481" s="270"/>
    </row>
    <row r="482" spans="3:27" ht="15" thickBot="1" x14ac:dyDescent="0.35">
      <c r="C482" s="450"/>
      <c r="D482" s="182"/>
      <c r="E482" s="182"/>
      <c r="F482" s="182"/>
      <c r="G482" s="450" t="str">
        <f t="shared" si="18"/>
        <v>--</v>
      </c>
      <c r="H482" s="182"/>
      <c r="I482" s="440"/>
      <c r="J482" s="892"/>
      <c r="K482" s="181"/>
      <c r="L482" s="1390"/>
      <c r="M482" s="1391"/>
      <c r="N482" s="1391"/>
      <c r="O482" s="1392"/>
      <c r="P482" s="258" t="s">
        <v>164</v>
      </c>
      <c r="Q482" s="895">
        <v>0</v>
      </c>
      <c r="R482" s="114"/>
      <c r="S482" s="891"/>
      <c r="T482" s="114"/>
      <c r="U482" s="884"/>
      <c r="V482" s="114"/>
      <c r="W482" s="270"/>
      <c r="X482" s="270"/>
      <c r="Y482" s="270"/>
      <c r="Z482" s="270"/>
      <c r="AA482" s="270"/>
    </row>
    <row r="483" spans="3:27" x14ac:dyDescent="0.3">
      <c r="C483" s="450"/>
      <c r="D483" s="182"/>
      <c r="E483" s="182"/>
      <c r="F483" s="182"/>
      <c r="G483" s="450" t="str">
        <f t="shared" si="18"/>
        <v>--</v>
      </c>
      <c r="H483" s="182"/>
      <c r="I483" s="440"/>
      <c r="J483" s="892"/>
      <c r="K483" s="181"/>
      <c r="L483" s="181"/>
      <c r="M483" s="181"/>
      <c r="N483" s="892"/>
      <c r="O483" s="892"/>
      <c r="P483" s="258" t="s">
        <v>187</v>
      </c>
      <c r="Q483" s="895">
        <v>0</v>
      </c>
      <c r="R483" s="114"/>
      <c r="S483" s="891"/>
      <c r="T483" s="114"/>
      <c r="U483" s="884"/>
      <c r="V483" s="114"/>
      <c r="W483" s="270"/>
      <c r="X483" s="270"/>
      <c r="Y483" s="270"/>
      <c r="Z483" s="270"/>
      <c r="AA483" s="270"/>
    </row>
    <row r="484" spans="3:27" x14ac:dyDescent="0.3">
      <c r="C484" s="450"/>
      <c r="D484" s="182"/>
      <c r="E484" s="182"/>
      <c r="F484" s="182"/>
      <c r="G484" s="450" t="str">
        <f t="shared" si="18"/>
        <v>--</v>
      </c>
      <c r="H484" s="182"/>
      <c r="I484" s="440"/>
      <c r="J484" s="892"/>
      <c r="K484" s="181"/>
      <c r="L484" s="181"/>
      <c r="M484" s="181"/>
      <c r="N484" s="892"/>
      <c r="O484" s="892"/>
      <c r="P484" s="263" t="s">
        <v>46</v>
      </c>
      <c r="Q484" s="897">
        <f>SUM(Q474:Q483)</f>
        <v>1</v>
      </c>
      <c r="R484" s="898"/>
      <c r="S484" s="898"/>
      <c r="T484" s="899"/>
      <c r="U484" s="900"/>
      <c r="V484" s="114"/>
      <c r="W484" s="270"/>
      <c r="X484" s="270"/>
      <c r="Y484" s="270"/>
      <c r="Z484" s="270"/>
      <c r="AA484" s="270"/>
    </row>
    <row r="485" spans="3:27" x14ac:dyDescent="0.3">
      <c r="C485" s="450"/>
      <c r="D485" s="182"/>
      <c r="E485" s="182"/>
      <c r="F485" s="182"/>
      <c r="G485" s="450" t="str">
        <f t="shared" si="18"/>
        <v>--</v>
      </c>
      <c r="H485" s="182"/>
      <c r="I485" s="440"/>
      <c r="J485" s="892"/>
      <c r="K485" s="181"/>
      <c r="L485" s="181"/>
      <c r="M485" s="181"/>
      <c r="N485" s="892"/>
      <c r="O485" s="892"/>
      <c r="P485" s="114"/>
      <c r="Q485" s="114"/>
      <c r="R485" s="891"/>
      <c r="S485" s="891"/>
      <c r="T485" s="114"/>
      <c r="U485" s="114"/>
      <c r="V485" s="114"/>
      <c r="W485" s="270"/>
      <c r="X485" s="270"/>
      <c r="Y485" s="270"/>
      <c r="Z485" s="270"/>
      <c r="AA485" s="270"/>
    </row>
    <row r="486" spans="3:27" ht="15" thickBot="1" x14ac:dyDescent="0.35">
      <c r="C486" s="450"/>
      <c r="D486" s="182"/>
      <c r="E486" s="182"/>
      <c r="F486" s="182"/>
      <c r="G486" s="450" t="str">
        <f t="shared" si="18"/>
        <v>--</v>
      </c>
      <c r="H486" s="182"/>
      <c r="I486" s="892"/>
      <c r="J486" s="892"/>
      <c r="K486" s="182"/>
      <c r="L486" s="182"/>
      <c r="M486" s="901" t="s">
        <v>155</v>
      </c>
      <c r="N486" s="870" t="s">
        <v>188</v>
      </c>
      <c r="O486" s="870"/>
      <c r="P486" s="252" t="s">
        <v>175</v>
      </c>
      <c r="Q486" s="871" t="s">
        <v>155</v>
      </c>
      <c r="R486" s="872" t="s">
        <v>168</v>
      </c>
      <c r="S486" s="872" t="s">
        <v>169</v>
      </c>
      <c r="T486" s="902"/>
      <c r="U486" s="903"/>
      <c r="V486" s="270"/>
      <c r="W486" s="270"/>
      <c r="X486" s="270"/>
      <c r="Y486" s="270"/>
      <c r="Z486" s="270"/>
      <c r="AA486" s="270"/>
    </row>
    <row r="487" spans="3:27" ht="15" thickBot="1" x14ac:dyDescent="0.35">
      <c r="C487" s="566" t="s">
        <v>88</v>
      </c>
      <c r="D487" s="875" t="str">
        <f>VLOOKUP(C487,'Airport Mapping'!$C$5:$D$39,2,FALSE)</f>
        <v xml:space="preserve"> </v>
      </c>
      <c r="E487" s="567" t="s">
        <v>37</v>
      </c>
      <c r="F487" s="567" t="s">
        <v>4</v>
      </c>
      <c r="G487" s="450" t="str">
        <f t="shared" si="18"/>
        <v>Terminal E-Restrooms-Urinals</v>
      </c>
      <c r="H487" s="567" t="s">
        <v>3</v>
      </c>
      <c r="I487" s="877" t="s">
        <v>64</v>
      </c>
      <c r="J487" s="878">
        <f>SUMIFS('Level of Efficiency Assumptions'!J:J,'Level of Efficiency Assumptions'!D:D,E487,'Level of Efficiency Assumptions'!F:F,F487,'Level of Efficiency Assumptions'!I:I,I487)</f>
        <v>2</v>
      </c>
      <c r="K487" s="383" t="s">
        <v>68</v>
      </c>
      <c r="L487" s="253" t="s">
        <v>64</v>
      </c>
      <c r="M487" s="879">
        <f>Q487+Q488</f>
        <v>0</v>
      </c>
      <c r="N487" s="880">
        <f>IFERROR(M487/M490,"-")</f>
        <v>0</v>
      </c>
      <c r="O487" s="881">
        <f>SUMIFS('Data Entry'!R:R,'Data Entry'!K:K,G487)</f>
        <v>0</v>
      </c>
      <c r="P487" s="254" t="s">
        <v>177</v>
      </c>
      <c r="Q487" s="882">
        <v>0</v>
      </c>
      <c r="R487" s="883"/>
      <c r="S487" s="883"/>
      <c r="T487" s="114"/>
      <c r="U487" s="904"/>
      <c r="V487" s="270"/>
      <c r="W487" s="270"/>
      <c r="X487" s="270"/>
      <c r="Y487" s="270"/>
      <c r="Z487" s="270"/>
      <c r="AA487" s="270"/>
    </row>
    <row r="488" spans="3:27" ht="15" thickBot="1" x14ac:dyDescent="0.35">
      <c r="C488" s="494" t="s">
        <v>88</v>
      </c>
      <c r="D488" s="577"/>
      <c r="E488" s="577" t="s">
        <v>37</v>
      </c>
      <c r="F488" s="577" t="s">
        <v>4</v>
      </c>
      <c r="G488" s="450" t="str">
        <f t="shared" si="18"/>
        <v>Terminal E-Restrooms-Urinals</v>
      </c>
      <c r="H488" s="577"/>
      <c r="I488" s="887" t="s">
        <v>65</v>
      </c>
      <c r="J488" s="878">
        <f>SUMIFS('Level of Efficiency Assumptions'!J:J,'Level of Efficiency Assumptions'!D:D,E488,'Level of Efficiency Assumptions'!F:F,F488,'Level of Efficiency Assumptions'!I:I,I488)</f>
        <v>1</v>
      </c>
      <c r="K488" s="383" t="s">
        <v>68</v>
      </c>
      <c r="L488" s="255" t="s">
        <v>65</v>
      </c>
      <c r="M488" s="879">
        <f>Q489+Q490</f>
        <v>1</v>
      </c>
      <c r="N488" s="880">
        <f>IFERROR(M488/M490,"-")</f>
        <v>1</v>
      </c>
      <c r="O488" s="881">
        <f>SUMIFS('Data Entry'!S:S,'Data Entry'!K:K,G488)</f>
        <v>0</v>
      </c>
      <c r="P488" s="254" t="s">
        <v>179</v>
      </c>
      <c r="Q488" s="882">
        <v>0</v>
      </c>
      <c r="R488" s="883"/>
      <c r="S488" s="883"/>
      <c r="T488" s="114"/>
      <c r="U488" s="904"/>
      <c r="V488" s="270"/>
      <c r="W488" s="270"/>
      <c r="X488" s="270"/>
      <c r="Y488" s="270"/>
      <c r="Z488" s="270"/>
      <c r="AA488" s="270"/>
    </row>
    <row r="489" spans="3:27" ht="15" thickBot="1" x14ac:dyDescent="0.35">
      <c r="C489" s="501" t="s">
        <v>88</v>
      </c>
      <c r="D489" s="116"/>
      <c r="E489" s="116" t="s">
        <v>37</v>
      </c>
      <c r="F489" s="116" t="s">
        <v>4</v>
      </c>
      <c r="G489" s="450" t="str">
        <f t="shared" si="18"/>
        <v>Terminal E-Restrooms-Urinals</v>
      </c>
      <c r="H489" s="116"/>
      <c r="I489" s="889" t="s">
        <v>66</v>
      </c>
      <c r="J489" s="890">
        <f>SUMIFS('Level of Efficiency Assumptions'!J:J,'Level of Efficiency Assumptions'!D:D,E489,'Level of Efficiency Assumptions'!F:F,F489,'Level of Efficiency Assumptions'!I:I,I489)</f>
        <v>0.125</v>
      </c>
      <c r="K489" s="383" t="s">
        <v>68</v>
      </c>
      <c r="L489" s="257" t="s">
        <v>66</v>
      </c>
      <c r="M489" s="879">
        <f>Q491+Q492</f>
        <v>0</v>
      </c>
      <c r="N489" s="880">
        <f>IFERROR(M489/M490,"-")</f>
        <v>0</v>
      </c>
      <c r="O489" s="881">
        <f>SUMIFS('Data Entry'!T:T,'Data Entry'!K:K,G489)</f>
        <v>0</v>
      </c>
      <c r="P489" s="256" t="s">
        <v>189</v>
      </c>
      <c r="Q489" s="882">
        <v>0</v>
      </c>
      <c r="R489" s="883"/>
      <c r="S489" s="883"/>
      <c r="T489" s="114"/>
      <c r="U489" s="904"/>
      <c r="V489" s="270"/>
      <c r="W489" s="270"/>
      <c r="X489" s="270"/>
      <c r="Y489" s="270"/>
      <c r="Z489" s="270"/>
      <c r="AA489" s="270"/>
    </row>
    <row r="490" spans="3:27" x14ac:dyDescent="0.3">
      <c r="C490" s="450"/>
      <c r="D490" s="182"/>
      <c r="E490" s="182"/>
      <c r="F490" s="182"/>
      <c r="G490" s="450" t="str">
        <f t="shared" si="18"/>
        <v>--</v>
      </c>
      <c r="H490" s="182"/>
      <c r="I490" s="440"/>
      <c r="J490" s="892"/>
      <c r="K490" s="259"/>
      <c r="L490" s="259" t="s">
        <v>46</v>
      </c>
      <c r="M490" s="893">
        <f>SUM(M487:M489)</f>
        <v>1</v>
      </c>
      <c r="N490" s="894"/>
      <c r="O490" s="894">
        <f>SUM(O487:O489)</f>
        <v>0</v>
      </c>
      <c r="P490" s="256" t="s">
        <v>181</v>
      </c>
      <c r="Q490" s="882">
        <v>1</v>
      </c>
      <c r="R490" s="883"/>
      <c r="S490" s="883"/>
      <c r="T490" s="114"/>
      <c r="U490" s="264"/>
      <c r="V490" s="270"/>
      <c r="W490" s="270"/>
      <c r="X490" s="270"/>
      <c r="Y490" s="270"/>
      <c r="Z490" s="270"/>
      <c r="AA490" s="270"/>
    </row>
    <row r="491" spans="3:27" x14ac:dyDescent="0.3">
      <c r="C491" s="450"/>
      <c r="D491" s="182"/>
      <c r="E491" s="182"/>
      <c r="F491" s="182"/>
      <c r="G491" s="450" t="str">
        <f t="shared" si="18"/>
        <v>--</v>
      </c>
      <c r="H491" s="182"/>
      <c r="I491" s="440"/>
      <c r="J491" s="182"/>
      <c r="K491" s="181"/>
      <c r="L491" s="181"/>
      <c r="M491" s="181"/>
      <c r="N491" s="892"/>
      <c r="O491" s="892"/>
      <c r="P491" s="258" t="s">
        <v>183</v>
      </c>
      <c r="Q491" s="882">
        <v>0</v>
      </c>
      <c r="R491" s="883"/>
      <c r="S491" s="883"/>
      <c r="T491" s="114"/>
      <c r="U491" s="884"/>
      <c r="V491" s="114"/>
      <c r="W491" s="270"/>
      <c r="X491" s="270"/>
      <c r="Y491" s="270"/>
      <c r="Z491" s="270"/>
      <c r="AA491" s="270"/>
    </row>
    <row r="492" spans="3:27" x14ac:dyDescent="0.3">
      <c r="C492" s="450"/>
      <c r="D492" s="182"/>
      <c r="E492" s="182"/>
      <c r="F492" s="182"/>
      <c r="G492" s="450" t="str">
        <f t="shared" si="18"/>
        <v>--</v>
      </c>
      <c r="H492" s="182"/>
      <c r="I492" s="440"/>
      <c r="J492" s="182"/>
      <c r="K492" s="181"/>
      <c r="L492" s="181"/>
      <c r="M492" s="181"/>
      <c r="N492" s="892"/>
      <c r="O492" s="892"/>
      <c r="P492" s="258" t="s">
        <v>190</v>
      </c>
      <c r="Q492" s="882">
        <v>0</v>
      </c>
      <c r="R492" s="114"/>
      <c r="S492" s="114"/>
      <c r="T492" s="114"/>
      <c r="U492" s="884"/>
      <c r="V492" s="114"/>
      <c r="W492" s="270"/>
      <c r="X492" s="270"/>
      <c r="Y492" s="270"/>
      <c r="Z492" s="270"/>
      <c r="AA492" s="270"/>
    </row>
    <row r="493" spans="3:27" x14ac:dyDescent="0.3">
      <c r="C493" s="450"/>
      <c r="D493" s="182"/>
      <c r="E493" s="182"/>
      <c r="F493" s="182"/>
      <c r="G493" s="450" t="str">
        <f t="shared" si="18"/>
        <v>--</v>
      </c>
      <c r="H493" s="182"/>
      <c r="I493" s="440"/>
      <c r="J493" s="182"/>
      <c r="K493" s="181"/>
      <c r="L493" s="181"/>
      <c r="M493" s="181"/>
      <c r="N493" s="892"/>
      <c r="O493" s="892"/>
      <c r="P493" s="263" t="s">
        <v>46</v>
      </c>
      <c r="Q493" s="897">
        <f>SUM(Q487:Q492)</f>
        <v>1</v>
      </c>
      <c r="R493" s="899"/>
      <c r="S493" s="899"/>
      <c r="T493" s="899"/>
      <c r="U493" s="900"/>
      <c r="V493" s="114"/>
      <c r="W493" s="270"/>
      <c r="X493" s="270"/>
      <c r="Y493" s="270"/>
      <c r="Z493" s="270"/>
      <c r="AA493" s="270"/>
    </row>
    <row r="494" spans="3:27" x14ac:dyDescent="0.3">
      <c r="C494" s="450"/>
      <c r="D494" s="182"/>
      <c r="E494" s="182"/>
      <c r="F494" s="182"/>
      <c r="G494" s="450" t="str">
        <f t="shared" si="18"/>
        <v>--</v>
      </c>
      <c r="H494" s="182"/>
      <c r="I494" s="440"/>
      <c r="J494" s="182"/>
      <c r="K494" s="181"/>
      <c r="L494" s="181"/>
      <c r="M494" s="181"/>
      <c r="N494" s="892"/>
      <c r="O494" s="892"/>
      <c r="P494" s="262"/>
      <c r="Q494" s="114"/>
      <c r="R494" s="114"/>
      <c r="S494" s="114"/>
      <c r="T494" s="114"/>
      <c r="U494" s="114"/>
      <c r="V494" s="114"/>
      <c r="W494" s="270"/>
      <c r="X494" s="270"/>
      <c r="Y494" s="270"/>
      <c r="Z494" s="270"/>
      <c r="AA494" s="270"/>
    </row>
    <row r="495" spans="3:27" ht="15" thickBot="1" x14ac:dyDescent="0.35">
      <c r="C495" s="450"/>
      <c r="D495" s="182"/>
      <c r="E495" s="182"/>
      <c r="F495" s="182"/>
      <c r="G495" s="450" t="str">
        <f t="shared" si="18"/>
        <v>--</v>
      </c>
      <c r="H495" s="182"/>
      <c r="I495" s="892"/>
      <c r="J495" s="892"/>
      <c r="K495" s="182"/>
      <c r="L495" s="182"/>
      <c r="M495" s="901" t="s">
        <v>155</v>
      </c>
      <c r="N495" s="870" t="s">
        <v>188</v>
      </c>
      <c r="O495" s="870"/>
      <c r="P495" s="265" t="s">
        <v>33</v>
      </c>
      <c r="Q495" s="871" t="s">
        <v>155</v>
      </c>
      <c r="R495" s="872" t="s">
        <v>168</v>
      </c>
      <c r="S495" s="872" t="s">
        <v>169</v>
      </c>
      <c r="T495" s="872" t="s">
        <v>170</v>
      </c>
      <c r="U495" s="872" t="s">
        <v>171</v>
      </c>
      <c r="V495" s="902"/>
      <c r="W495" s="902"/>
      <c r="X495" s="874"/>
      <c r="Y495" s="270"/>
      <c r="Z495" s="270"/>
      <c r="AA495" s="270"/>
    </row>
    <row r="496" spans="3:27" ht="15" thickBot="1" x14ac:dyDescent="0.35">
      <c r="C496" s="566" t="s">
        <v>88</v>
      </c>
      <c r="D496" s="875" t="str">
        <f>VLOOKUP(C496,'Airport Mapping'!$C$5:$D$39,2,FALSE)</f>
        <v xml:space="preserve"> </v>
      </c>
      <c r="E496" s="567" t="s">
        <v>37</v>
      </c>
      <c r="F496" s="567" t="s">
        <v>33</v>
      </c>
      <c r="G496" s="450" t="str">
        <f t="shared" si="18"/>
        <v>Terminal E-Restrooms-Faucets</v>
      </c>
      <c r="H496" s="567" t="s">
        <v>3</v>
      </c>
      <c r="I496" s="877" t="s">
        <v>64</v>
      </c>
      <c r="J496" s="878">
        <f>SUMIFS('Level of Efficiency Assumptions'!J:J,'Level of Efficiency Assumptions'!D:D,E496,'Level of Efficiency Assumptions'!F:F,F496,'Level of Efficiency Assumptions'!I:I,I496)</f>
        <v>2</v>
      </c>
      <c r="K496" s="383" t="s">
        <v>78</v>
      </c>
      <c r="L496" s="253" t="s">
        <v>64</v>
      </c>
      <c r="M496" s="879">
        <f>Q496+Q497</f>
        <v>0</v>
      </c>
      <c r="N496" s="880">
        <f>IFERROR(M496/M499,"-")</f>
        <v>0</v>
      </c>
      <c r="O496" s="881">
        <f>SUMIFS('Data Entry'!R:R,'Data Entry'!K:K,G496)</f>
        <v>0</v>
      </c>
      <c r="P496" s="266" t="s">
        <v>180</v>
      </c>
      <c r="Q496" s="895">
        <v>0</v>
      </c>
      <c r="R496" s="883"/>
      <c r="S496" s="883"/>
      <c r="T496" s="883"/>
      <c r="U496" s="883"/>
      <c r="V496" s="114" t="s">
        <v>182</v>
      </c>
      <c r="W496" s="114"/>
      <c r="X496" s="884"/>
      <c r="Y496" s="270"/>
      <c r="Z496" s="270"/>
      <c r="AA496" s="270"/>
    </row>
    <row r="497" spans="3:27" ht="15" thickBot="1" x14ac:dyDescent="0.35">
      <c r="C497" s="494" t="s">
        <v>88</v>
      </c>
      <c r="D497" s="577"/>
      <c r="E497" s="577" t="s">
        <v>37</v>
      </c>
      <c r="F497" s="577" t="s">
        <v>33</v>
      </c>
      <c r="G497" s="450" t="str">
        <f t="shared" si="18"/>
        <v>Terminal E-Restrooms-Faucets</v>
      </c>
      <c r="H497" s="577"/>
      <c r="I497" s="887" t="s">
        <v>65</v>
      </c>
      <c r="J497" s="878">
        <f>SUMIFS('Level of Efficiency Assumptions'!J:J,'Level of Efficiency Assumptions'!D:D,E497,'Level of Efficiency Assumptions'!F:F,F497,'Level of Efficiency Assumptions'!I:I,I497)</f>
        <v>1</v>
      </c>
      <c r="K497" s="383" t="s">
        <v>78</v>
      </c>
      <c r="L497" s="255" t="s">
        <v>65</v>
      </c>
      <c r="M497" s="879">
        <f>Q498+Q499</f>
        <v>1</v>
      </c>
      <c r="N497" s="880">
        <f>IFERROR(M497/M499,"-")</f>
        <v>1</v>
      </c>
      <c r="O497" s="881">
        <f>SUMIFS('Data Entry'!S:S,'Data Entry'!K:K,G497)</f>
        <v>0</v>
      </c>
      <c r="P497" s="266" t="s">
        <v>178</v>
      </c>
      <c r="Q497" s="895">
        <v>0</v>
      </c>
      <c r="R497" s="883"/>
      <c r="S497" s="883"/>
      <c r="T497" s="883"/>
      <c r="U497" s="883"/>
      <c r="V497" s="114" t="s">
        <v>184</v>
      </c>
      <c r="W497" s="114"/>
      <c r="X497" s="884"/>
      <c r="Y497" s="270"/>
      <c r="Z497" s="270"/>
      <c r="AA497" s="270"/>
    </row>
    <row r="498" spans="3:27" ht="15" thickBot="1" x14ac:dyDescent="0.35">
      <c r="C498" s="501" t="s">
        <v>88</v>
      </c>
      <c r="D498" s="116"/>
      <c r="E498" s="116" t="s">
        <v>37</v>
      </c>
      <c r="F498" s="116" t="s">
        <v>33</v>
      </c>
      <c r="G498" s="450" t="str">
        <f t="shared" si="18"/>
        <v>Terminal E-Restrooms-Faucets</v>
      </c>
      <c r="H498" s="116"/>
      <c r="I498" s="889" t="s">
        <v>66</v>
      </c>
      <c r="J498" s="890">
        <f>SUMIFS('Level of Efficiency Assumptions'!J:J,'Level of Efficiency Assumptions'!D:D,E498,'Level of Efficiency Assumptions'!F:F,F498,'Level of Efficiency Assumptions'!I:I,I498)</f>
        <v>0.5</v>
      </c>
      <c r="K498" s="383" t="s">
        <v>78</v>
      </c>
      <c r="L498" s="257" t="s">
        <v>66</v>
      </c>
      <c r="M498" s="879">
        <f>Q500</f>
        <v>0</v>
      </c>
      <c r="N498" s="880">
        <f>IFERROR(M498/M499,"-")</f>
        <v>0</v>
      </c>
      <c r="O498" s="881">
        <f>SUMIFS('Data Entry'!T:T,'Data Entry'!K:K,G498)</f>
        <v>0</v>
      </c>
      <c r="P498" s="267" t="s">
        <v>176</v>
      </c>
      <c r="Q498" s="895">
        <v>1</v>
      </c>
      <c r="R498" s="883"/>
      <c r="S498" s="883"/>
      <c r="T498" s="883"/>
      <c r="U498" s="883"/>
      <c r="V498" s="114" t="s">
        <v>185</v>
      </c>
      <c r="W498" s="114"/>
      <c r="X498" s="884"/>
      <c r="Y498" s="270"/>
      <c r="Z498" s="270"/>
      <c r="AA498" s="270"/>
    </row>
    <row r="499" spans="3:27" x14ac:dyDescent="0.3">
      <c r="C499" s="450"/>
      <c r="D499" s="182"/>
      <c r="E499" s="182"/>
      <c r="F499" s="182"/>
      <c r="G499" s="450" t="str">
        <f t="shared" si="18"/>
        <v>--</v>
      </c>
      <c r="H499" s="182"/>
      <c r="I499" s="440"/>
      <c r="J499" s="892"/>
      <c r="K499" s="259"/>
      <c r="L499" s="259" t="s">
        <v>46</v>
      </c>
      <c r="M499" s="893">
        <f>SUM(M496:M498)</f>
        <v>1</v>
      </c>
      <c r="N499" s="894"/>
      <c r="O499" s="894">
        <f>SUM(O496:O498)</f>
        <v>0</v>
      </c>
      <c r="P499" s="256" t="s">
        <v>173</v>
      </c>
      <c r="Q499" s="895">
        <v>0</v>
      </c>
      <c r="R499" s="883"/>
      <c r="S499" s="883"/>
      <c r="T499" s="883"/>
      <c r="U499" s="883"/>
      <c r="V499" s="114" t="s">
        <v>186</v>
      </c>
      <c r="W499" s="114"/>
      <c r="X499" s="884"/>
      <c r="Y499" s="270"/>
      <c r="Z499" s="270"/>
      <c r="AA499" s="270"/>
    </row>
    <row r="500" spans="3:27" x14ac:dyDescent="0.3">
      <c r="C500" s="450"/>
      <c r="D500" s="182"/>
      <c r="E500" s="182"/>
      <c r="F500" s="182"/>
      <c r="G500" s="450" t="str">
        <f t="shared" si="18"/>
        <v>--</v>
      </c>
      <c r="H500" s="182"/>
      <c r="I500" s="440"/>
      <c r="J500" s="182"/>
      <c r="K500" s="181"/>
      <c r="L500" s="114"/>
      <c r="M500" s="114"/>
      <c r="N500" s="905"/>
      <c r="O500" s="905"/>
      <c r="P500" s="258" t="s">
        <v>172</v>
      </c>
      <c r="Q500" s="895">
        <v>0</v>
      </c>
      <c r="R500" s="883"/>
      <c r="S500" s="883"/>
      <c r="T500" s="883"/>
      <c r="U500" s="883"/>
      <c r="V500" s="114"/>
      <c r="W500" s="114"/>
      <c r="X500" s="884"/>
      <c r="Y500" s="270"/>
      <c r="Z500" s="270"/>
      <c r="AA500" s="270"/>
    </row>
    <row r="501" spans="3:27" x14ac:dyDescent="0.3">
      <c r="C501" s="450"/>
      <c r="D501" s="182"/>
      <c r="E501" s="182"/>
      <c r="F501" s="182"/>
      <c r="G501" s="450" t="str">
        <f t="shared" si="18"/>
        <v>--</v>
      </c>
      <c r="H501" s="182"/>
      <c r="I501" s="440"/>
      <c r="J501" s="182"/>
      <c r="K501" s="181"/>
      <c r="L501" s="181"/>
      <c r="M501" s="181"/>
      <c r="N501" s="892"/>
      <c r="O501" s="892"/>
      <c r="P501" s="263" t="s">
        <v>46</v>
      </c>
      <c r="Q501" s="897">
        <f>SUM(Q495:Q500)</f>
        <v>1</v>
      </c>
      <c r="R501" s="899"/>
      <c r="S501" s="899"/>
      <c r="T501" s="899"/>
      <c r="U501" s="899"/>
      <c r="V501" s="899"/>
      <c r="W501" s="899"/>
      <c r="X501" s="900"/>
      <c r="Y501" s="270"/>
      <c r="Z501" s="270"/>
      <c r="AA501" s="270"/>
    </row>
    <row r="502" spans="3:27" x14ac:dyDescent="0.3">
      <c r="C502" s="450"/>
      <c r="D502" s="182"/>
      <c r="E502" s="182"/>
      <c r="F502" s="182"/>
      <c r="G502" s="450" t="str">
        <f t="shared" si="18"/>
        <v>--</v>
      </c>
      <c r="H502" s="182"/>
      <c r="I502" s="440"/>
      <c r="J502" s="182"/>
      <c r="K502" s="181"/>
      <c r="L502" s="181"/>
      <c r="M502" s="181"/>
      <c r="N502" s="892"/>
      <c r="O502" s="892"/>
      <c r="P502" s="262"/>
      <c r="Q502" s="114"/>
      <c r="R502" s="114"/>
      <c r="S502" s="114"/>
      <c r="T502" s="114"/>
      <c r="U502" s="114"/>
      <c r="V502" s="114"/>
      <c r="W502" s="270"/>
      <c r="X502" s="270"/>
      <c r="Y502" s="270"/>
      <c r="Z502" s="270"/>
      <c r="AA502" s="270"/>
    </row>
    <row r="503" spans="3:27" ht="15" thickBot="1" x14ac:dyDescent="0.35">
      <c r="C503" s="450"/>
      <c r="D503" s="182"/>
      <c r="E503" s="182"/>
      <c r="F503" s="182"/>
      <c r="G503" s="450" t="str">
        <f t="shared" si="18"/>
        <v>--</v>
      </c>
      <c r="H503" s="182"/>
      <c r="I503" s="892"/>
      <c r="J503" s="892"/>
      <c r="K503" s="182"/>
      <c r="L503" s="182"/>
      <c r="M503" s="901" t="s">
        <v>155</v>
      </c>
      <c r="N503" s="870" t="s">
        <v>188</v>
      </c>
      <c r="O503" s="870"/>
      <c r="P503" s="265" t="s">
        <v>33</v>
      </c>
      <c r="Q503" s="871" t="s">
        <v>155</v>
      </c>
      <c r="R503" s="872" t="s">
        <v>168</v>
      </c>
      <c r="S503" s="872" t="s">
        <v>169</v>
      </c>
      <c r="T503" s="872" t="s">
        <v>170</v>
      </c>
      <c r="U503" s="872" t="s">
        <v>171</v>
      </c>
      <c r="V503" s="902"/>
      <c r="W503" s="902"/>
      <c r="X503" s="874"/>
      <c r="Y503" s="270"/>
      <c r="Z503" s="270"/>
      <c r="AA503" s="270"/>
    </row>
    <row r="504" spans="3:27" ht="15" thickBot="1" x14ac:dyDescent="0.35">
      <c r="C504" s="566" t="s">
        <v>88</v>
      </c>
      <c r="D504" s="875" t="str">
        <f>VLOOKUP(C504,'Airport Mapping'!$C$5:$D$39,2,FALSE)</f>
        <v xml:space="preserve"> </v>
      </c>
      <c r="E504" s="567" t="s">
        <v>38</v>
      </c>
      <c r="F504" s="567" t="s">
        <v>114</v>
      </c>
      <c r="G504" s="450" t="str">
        <f t="shared" si="18"/>
        <v>Terminal E-Food Service-Kitchen faucets</v>
      </c>
      <c r="H504" s="567" t="s">
        <v>19</v>
      </c>
      <c r="I504" s="877" t="s">
        <v>64</v>
      </c>
      <c r="J504" s="878">
        <f>SUMIFS('Level of Efficiency Assumptions'!J:J,'Level of Efficiency Assumptions'!D:D,E504,'Level of Efficiency Assumptions'!F:F,F504,'Level of Efficiency Assumptions'!I:I,I504)</f>
        <v>2</v>
      </c>
      <c r="K504" s="383" t="s">
        <v>78</v>
      </c>
      <c r="L504" s="253" t="s">
        <v>64</v>
      </c>
      <c r="M504" s="879">
        <f>Q504+Q505</f>
        <v>0</v>
      </c>
      <c r="N504" s="880">
        <f>IFERROR(M504/M507,"-")</f>
        <v>0</v>
      </c>
      <c r="O504" s="881">
        <f>SUMIFS('Data Entry'!R:R,'Data Entry'!K:K,G504)</f>
        <v>0</v>
      </c>
      <c r="P504" s="266" t="s">
        <v>180</v>
      </c>
      <c r="Q504" s="895">
        <v>0</v>
      </c>
      <c r="R504" s="883"/>
      <c r="S504" s="883"/>
      <c r="T504" s="883"/>
      <c r="U504" s="883"/>
      <c r="V504" s="114" t="s">
        <v>182</v>
      </c>
      <c r="W504" s="114"/>
      <c r="X504" s="884"/>
      <c r="Y504" s="270"/>
      <c r="Z504" s="270"/>
      <c r="AA504" s="270"/>
    </row>
    <row r="505" spans="3:27" ht="15" thickBot="1" x14ac:dyDescent="0.35">
      <c r="C505" s="494" t="s">
        <v>88</v>
      </c>
      <c r="D505" s="577"/>
      <c r="E505" s="577" t="s">
        <v>38</v>
      </c>
      <c r="F505" s="577" t="s">
        <v>114</v>
      </c>
      <c r="G505" s="450" t="str">
        <f t="shared" si="18"/>
        <v>Terminal E-Food Service-Kitchen faucets</v>
      </c>
      <c r="H505" s="577"/>
      <c r="I505" s="887" t="s">
        <v>65</v>
      </c>
      <c r="J505" s="878">
        <f>SUMIFS('Level of Efficiency Assumptions'!J:J,'Level of Efficiency Assumptions'!D:D,E505,'Level of Efficiency Assumptions'!F:F,F505,'Level of Efficiency Assumptions'!I:I,I505)</f>
        <v>1</v>
      </c>
      <c r="K505" s="383" t="s">
        <v>78</v>
      </c>
      <c r="L505" s="255" t="s">
        <v>65</v>
      </c>
      <c r="M505" s="879">
        <f>Q506+Q507</f>
        <v>1</v>
      </c>
      <c r="N505" s="880">
        <f>IFERROR(M505/M507,"-")</f>
        <v>1</v>
      </c>
      <c r="O505" s="881">
        <f>SUMIFS('Data Entry'!S:S,'Data Entry'!K:K,G505)</f>
        <v>0</v>
      </c>
      <c r="P505" s="266" t="s">
        <v>178</v>
      </c>
      <c r="Q505" s="895">
        <v>0</v>
      </c>
      <c r="R505" s="883"/>
      <c r="S505" s="883"/>
      <c r="T505" s="883"/>
      <c r="U505" s="883"/>
      <c r="V505" s="114" t="s">
        <v>184</v>
      </c>
      <c r="W505" s="114"/>
      <c r="X505" s="884"/>
      <c r="Y505" s="270"/>
      <c r="Z505" s="270"/>
      <c r="AA505" s="270"/>
    </row>
    <row r="506" spans="3:27" ht="15" thickBot="1" x14ac:dyDescent="0.35">
      <c r="C506" s="501" t="s">
        <v>88</v>
      </c>
      <c r="D506" s="116"/>
      <c r="E506" s="116" t="s">
        <v>38</v>
      </c>
      <c r="F506" s="116" t="s">
        <v>114</v>
      </c>
      <c r="G506" s="450" t="str">
        <f t="shared" si="18"/>
        <v>Terminal E-Food Service-Kitchen faucets</v>
      </c>
      <c r="H506" s="116"/>
      <c r="I506" s="889" t="s">
        <v>66</v>
      </c>
      <c r="J506" s="890">
        <f>SUMIFS('Level of Efficiency Assumptions'!J:J,'Level of Efficiency Assumptions'!D:D,E506,'Level of Efficiency Assumptions'!F:F,F506,'Level of Efficiency Assumptions'!I:I,I506)</f>
        <v>0.5</v>
      </c>
      <c r="K506" s="383" t="s">
        <v>78</v>
      </c>
      <c r="L506" s="257" t="s">
        <v>66</v>
      </c>
      <c r="M506" s="879">
        <f>Q508</f>
        <v>0</v>
      </c>
      <c r="N506" s="880">
        <f>IFERROR(M506/M507,"-")</f>
        <v>0</v>
      </c>
      <c r="O506" s="881">
        <f>SUMIFS('Data Entry'!T:T,'Data Entry'!K:K,G506)</f>
        <v>0</v>
      </c>
      <c r="P506" s="267" t="s">
        <v>176</v>
      </c>
      <c r="Q506" s="895">
        <v>1</v>
      </c>
      <c r="R506" s="883"/>
      <c r="S506" s="883"/>
      <c r="T506" s="883"/>
      <c r="U506" s="883"/>
      <c r="V506" s="114" t="s">
        <v>185</v>
      </c>
      <c r="W506" s="114"/>
      <c r="X506" s="884"/>
      <c r="Y506" s="270"/>
      <c r="Z506" s="270"/>
      <c r="AA506" s="270"/>
    </row>
    <row r="507" spans="3:27" x14ac:dyDescent="0.3">
      <c r="C507" s="450"/>
      <c r="D507" s="182"/>
      <c r="E507" s="182"/>
      <c r="F507" s="182"/>
      <c r="G507" s="450" t="str">
        <f t="shared" si="18"/>
        <v>--</v>
      </c>
      <c r="H507" s="182"/>
      <c r="I507" s="440"/>
      <c r="J507" s="892"/>
      <c r="K507" s="259"/>
      <c r="L507" s="259" t="s">
        <v>46</v>
      </c>
      <c r="M507" s="893">
        <f>SUM(M504:M506)</f>
        <v>1</v>
      </c>
      <c r="N507" s="894"/>
      <c r="O507" s="894">
        <f>SUM(O504:O506)</f>
        <v>0</v>
      </c>
      <c r="P507" s="256" t="s">
        <v>173</v>
      </c>
      <c r="Q507" s="895">
        <v>0</v>
      </c>
      <c r="R507" s="883"/>
      <c r="S507" s="883"/>
      <c r="T507" s="883"/>
      <c r="U507" s="883"/>
      <c r="V507" s="114" t="s">
        <v>186</v>
      </c>
      <c r="W507" s="114"/>
      <c r="X507" s="884"/>
      <c r="Y507" s="270"/>
      <c r="Z507" s="270"/>
      <c r="AA507" s="270"/>
    </row>
    <row r="508" spans="3:27" x14ac:dyDescent="0.3">
      <c r="C508" s="450"/>
      <c r="D508" s="182"/>
      <c r="E508" s="182"/>
      <c r="F508" s="182"/>
      <c r="G508" s="450" t="str">
        <f t="shared" si="18"/>
        <v>--</v>
      </c>
      <c r="H508" s="182"/>
      <c r="I508" s="892"/>
      <c r="J508" s="892"/>
      <c r="K508" s="182"/>
      <c r="L508" s="182"/>
      <c r="M508" s="270"/>
      <c r="N508" s="892"/>
      <c r="O508" s="892"/>
      <c r="P508" s="258" t="s">
        <v>172</v>
      </c>
      <c r="Q508" s="895">
        <v>0</v>
      </c>
      <c r="R508" s="883"/>
      <c r="S508" s="883"/>
      <c r="T508" s="883"/>
      <c r="U508" s="883"/>
      <c r="V508" s="114"/>
      <c r="W508" s="114"/>
      <c r="X508" s="884"/>
      <c r="Y508" s="270"/>
      <c r="Z508" s="270"/>
      <c r="AA508" s="270"/>
    </row>
    <row r="509" spans="3:27" x14ac:dyDescent="0.3">
      <c r="C509" s="450"/>
      <c r="D509" s="182"/>
      <c r="E509" s="182"/>
      <c r="F509" s="182"/>
      <c r="G509" s="450" t="str">
        <f t="shared" si="18"/>
        <v>--</v>
      </c>
      <c r="H509" s="182"/>
      <c r="I509" s="892"/>
      <c r="J509" s="892"/>
      <c r="K509" s="182"/>
      <c r="L509" s="182"/>
      <c r="M509" s="270"/>
      <c r="N509" s="892"/>
      <c r="O509" s="892"/>
      <c r="P509" s="263" t="s">
        <v>46</v>
      </c>
      <c r="Q509" s="897">
        <f>SUM(Q503:Q508)</f>
        <v>1</v>
      </c>
      <c r="R509" s="899"/>
      <c r="S509" s="899"/>
      <c r="T509" s="899"/>
      <c r="U509" s="899"/>
      <c r="V509" s="899"/>
      <c r="W509" s="899"/>
      <c r="X509" s="900"/>
      <c r="Y509" s="270"/>
      <c r="Z509" s="270"/>
      <c r="AA509" s="270"/>
    </row>
    <row r="510" spans="3:27" x14ac:dyDescent="0.3">
      <c r="C510" s="450"/>
      <c r="D510" s="182"/>
      <c r="E510" s="182"/>
      <c r="F510" s="182"/>
      <c r="G510" s="450" t="str">
        <f t="shared" si="18"/>
        <v>--</v>
      </c>
      <c r="H510" s="182"/>
      <c r="I510" s="892"/>
      <c r="J510" s="892"/>
      <c r="K510" s="182"/>
      <c r="L510" s="182"/>
      <c r="M510" s="270"/>
      <c r="N510" s="892"/>
      <c r="O510" s="892"/>
      <c r="P510" s="259"/>
      <c r="Q510" s="114"/>
      <c r="R510" s="114"/>
      <c r="S510" s="114"/>
      <c r="T510" s="114"/>
      <c r="U510" s="114"/>
      <c r="V510" s="114"/>
      <c r="W510" s="270"/>
      <c r="X510" s="270"/>
      <c r="Y510" s="270"/>
      <c r="Z510" s="270"/>
      <c r="AA510" s="270"/>
    </row>
    <row r="511" spans="3:27" ht="15" thickBot="1" x14ac:dyDescent="0.35">
      <c r="C511" s="450"/>
      <c r="D511" s="182"/>
      <c r="E511" s="182"/>
      <c r="F511" s="182"/>
      <c r="G511" s="450" t="str">
        <f t="shared" ref="G511:G559" si="22">C511&amp;"-"&amp;E511&amp;"-"&amp;F511</f>
        <v>--</v>
      </c>
      <c r="H511" s="182"/>
      <c r="I511" s="892"/>
      <c r="J511" s="892"/>
      <c r="K511" s="182"/>
      <c r="L511" s="182"/>
      <c r="M511" s="901" t="s">
        <v>155</v>
      </c>
      <c r="N511" s="870" t="s">
        <v>188</v>
      </c>
      <c r="O511" s="870"/>
      <c r="P511" s="268" t="s">
        <v>157</v>
      </c>
      <c r="Q511" s="871" t="s">
        <v>155</v>
      </c>
      <c r="R511" s="874"/>
      <c r="S511" s="114"/>
      <c r="T511" s="270"/>
      <c r="U511" s="270"/>
      <c r="V511" s="270"/>
      <c r="W511" s="114"/>
      <c r="X511" s="270"/>
      <c r="Y511" s="270"/>
      <c r="Z511" s="270"/>
      <c r="AA511" s="270"/>
    </row>
    <row r="512" spans="3:27" ht="15" thickBot="1" x14ac:dyDescent="0.35">
      <c r="C512" s="566" t="s">
        <v>88</v>
      </c>
      <c r="D512" s="875" t="str">
        <f>VLOOKUP(C512,'Airport Mapping'!$C$5:$D$39,2,FALSE)</f>
        <v xml:space="preserve"> </v>
      </c>
      <c r="E512" s="567" t="s">
        <v>38</v>
      </c>
      <c r="F512" s="567" t="s">
        <v>127</v>
      </c>
      <c r="G512" s="450" t="str">
        <f t="shared" si="22"/>
        <v>Terminal E-Food Service-Pre-rinse spray valves</v>
      </c>
      <c r="H512" s="567" t="s">
        <v>19</v>
      </c>
      <c r="I512" s="877" t="s">
        <v>64</v>
      </c>
      <c r="J512" s="878">
        <f>SUMIFS('Level of Efficiency Assumptions'!J:J,'Level of Efficiency Assumptions'!D:D,E512,'Level of Efficiency Assumptions'!F:F,F512,'Level of Efficiency Assumptions'!I:I,I512)</f>
        <v>3</v>
      </c>
      <c r="K512" s="383" t="s">
        <v>78</v>
      </c>
      <c r="L512" s="253" t="s">
        <v>64</v>
      </c>
      <c r="M512" s="879">
        <f>Q512+Q513</f>
        <v>0</v>
      </c>
      <c r="N512" s="880">
        <f>IFERROR(M512/M515,"-")</f>
        <v>0</v>
      </c>
      <c r="O512" s="881">
        <f>SUMIFS('Data Entry'!R:R,'Data Entry'!K:K,G512)</f>
        <v>0</v>
      </c>
      <c r="P512" s="266" t="s">
        <v>191</v>
      </c>
      <c r="Q512" s="895">
        <v>0</v>
      </c>
      <c r="R512" s="884"/>
      <c r="S512" s="114"/>
      <c r="T512" s="270"/>
      <c r="U512" s="270"/>
      <c r="V512" s="270"/>
      <c r="W512" s="114"/>
      <c r="X512" s="270"/>
      <c r="Y512" s="270"/>
      <c r="Z512" s="270"/>
      <c r="AA512" s="270"/>
    </row>
    <row r="513" spans="3:27" ht="15" thickBot="1" x14ac:dyDescent="0.35">
      <c r="C513" s="494" t="s">
        <v>88</v>
      </c>
      <c r="D513" s="577"/>
      <c r="E513" s="577" t="s">
        <v>38</v>
      </c>
      <c r="F513" s="577" t="s">
        <v>127</v>
      </c>
      <c r="G513" s="450" t="str">
        <f t="shared" si="22"/>
        <v>Terminal E-Food Service-Pre-rinse spray valves</v>
      </c>
      <c r="H513" s="577"/>
      <c r="I513" s="887" t="s">
        <v>65</v>
      </c>
      <c r="J513" s="878">
        <f>SUMIFS('Level of Efficiency Assumptions'!J:J,'Level of Efficiency Assumptions'!D:D,E513,'Level of Efficiency Assumptions'!F:F,F513,'Level of Efficiency Assumptions'!I:I,I513)</f>
        <v>2</v>
      </c>
      <c r="K513" s="383" t="s">
        <v>78</v>
      </c>
      <c r="L513" s="255" t="s">
        <v>65</v>
      </c>
      <c r="M513" s="879">
        <f>Q514+Q515</f>
        <v>1</v>
      </c>
      <c r="N513" s="880">
        <f>IFERROR(M513/M515,"-")</f>
        <v>1</v>
      </c>
      <c r="O513" s="881">
        <f>SUMIFS('Data Entry'!S:S,'Data Entry'!K:K,G513)</f>
        <v>0</v>
      </c>
      <c r="P513" s="266" t="s">
        <v>192</v>
      </c>
      <c r="Q513" s="895">
        <v>0</v>
      </c>
      <c r="R513" s="884"/>
      <c r="S513" s="114"/>
      <c r="T513" s="270"/>
      <c r="U513" s="270"/>
      <c r="V513" s="270"/>
      <c r="W513" s="114"/>
      <c r="X513" s="270"/>
      <c r="Y513" s="270"/>
      <c r="Z513" s="270"/>
      <c r="AA513" s="270"/>
    </row>
    <row r="514" spans="3:27" ht="15" thickBot="1" x14ac:dyDescent="0.35">
      <c r="C514" s="501" t="s">
        <v>88</v>
      </c>
      <c r="D514" s="116"/>
      <c r="E514" s="116" t="s">
        <v>38</v>
      </c>
      <c r="F514" s="116" t="s">
        <v>127</v>
      </c>
      <c r="G514" s="450" t="str">
        <f t="shared" si="22"/>
        <v>Terminal E-Food Service-Pre-rinse spray valves</v>
      </c>
      <c r="H514" s="116"/>
      <c r="I514" s="889" t="s">
        <v>66</v>
      </c>
      <c r="J514" s="890">
        <f>SUMIFS('Level of Efficiency Assumptions'!J:J,'Level of Efficiency Assumptions'!D:D,E514,'Level of Efficiency Assumptions'!F:F,F514,'Level of Efficiency Assumptions'!I:I,I514)</f>
        <v>1.28</v>
      </c>
      <c r="K514" s="383" t="s">
        <v>78</v>
      </c>
      <c r="L514" s="257" t="s">
        <v>66</v>
      </c>
      <c r="M514" s="879">
        <f>Q516</f>
        <v>0</v>
      </c>
      <c r="N514" s="880">
        <f>IFERROR(M514/M515,"-")</f>
        <v>0</v>
      </c>
      <c r="O514" s="881">
        <f>SUMIFS('Data Entry'!T:T,'Data Entry'!K:K,G514)</f>
        <v>0</v>
      </c>
      <c r="P514" s="267" t="s">
        <v>193</v>
      </c>
      <c r="Q514" s="895">
        <v>0</v>
      </c>
      <c r="R514" s="884"/>
      <c r="S514" s="114"/>
      <c r="T514" s="270"/>
      <c r="U514" s="270"/>
      <c r="V514" s="270"/>
      <c r="W514" s="114"/>
      <c r="X514" s="270"/>
      <c r="Y514" s="270"/>
      <c r="Z514" s="270"/>
      <c r="AA514" s="270"/>
    </row>
    <row r="515" spans="3:27" x14ac:dyDescent="0.3">
      <c r="C515" s="450"/>
      <c r="D515" s="182"/>
      <c r="E515" s="182"/>
      <c r="F515" s="182"/>
      <c r="G515" s="450" t="str">
        <f t="shared" si="22"/>
        <v>--</v>
      </c>
      <c r="H515" s="182"/>
      <c r="I515" s="440"/>
      <c r="J515" s="892"/>
      <c r="K515" s="259"/>
      <c r="L515" s="259" t="s">
        <v>46</v>
      </c>
      <c r="M515" s="893">
        <f>SUM(M512:M514)</f>
        <v>1</v>
      </c>
      <c r="N515" s="894"/>
      <c r="O515" s="894">
        <f>SUM(O512:O514)</f>
        <v>0</v>
      </c>
      <c r="P515" s="267" t="s">
        <v>194</v>
      </c>
      <c r="Q515" s="895">
        <v>1</v>
      </c>
      <c r="R515" s="884"/>
      <c r="S515" s="114"/>
      <c r="T515" s="270"/>
      <c r="U515" s="270"/>
      <c r="V515" s="270"/>
      <c r="W515" s="114"/>
      <c r="X515" s="270"/>
      <c r="Y515" s="270"/>
      <c r="Z515" s="270"/>
      <c r="AA515" s="270"/>
    </row>
    <row r="516" spans="3:27" x14ac:dyDescent="0.3">
      <c r="C516" s="224"/>
      <c r="D516" s="211"/>
      <c r="E516" s="182"/>
      <c r="F516" s="182"/>
      <c r="G516" s="450" t="str">
        <f t="shared" si="22"/>
        <v>--</v>
      </c>
      <c r="H516" s="182"/>
      <c r="I516" s="892"/>
      <c r="J516" s="892"/>
      <c r="K516" s="182"/>
      <c r="L516" s="182"/>
      <c r="M516" s="270"/>
      <c r="N516" s="892"/>
      <c r="O516" s="892"/>
      <c r="P516" s="269" t="s">
        <v>195</v>
      </c>
      <c r="Q516" s="895">
        <v>0</v>
      </c>
      <c r="R516" s="884"/>
      <c r="S516" s="114"/>
      <c r="T516" s="114"/>
      <c r="U516" s="114"/>
      <c r="V516" s="114"/>
      <c r="W516" s="114"/>
      <c r="X516" s="270"/>
      <c r="Y516" s="270"/>
      <c r="Z516" s="270"/>
      <c r="AA516" s="270"/>
    </row>
    <row r="517" spans="3:27" x14ac:dyDescent="0.3">
      <c r="C517" s="224"/>
      <c r="D517" s="211"/>
      <c r="E517" s="182"/>
      <c r="F517" s="182"/>
      <c r="G517" s="450" t="str">
        <f t="shared" si="22"/>
        <v>--</v>
      </c>
      <c r="H517" s="182"/>
      <c r="I517" s="892"/>
      <c r="J517" s="892"/>
      <c r="K517" s="182"/>
      <c r="L517" s="182"/>
      <c r="M517" s="270"/>
      <c r="N517" s="892"/>
      <c r="O517" s="892"/>
      <c r="P517" s="263" t="s">
        <v>46</v>
      </c>
      <c r="Q517" s="897">
        <f>SUM(Q512:Q516)</f>
        <v>1</v>
      </c>
      <c r="R517" s="900"/>
      <c r="S517" s="114"/>
      <c r="T517" s="114"/>
      <c r="U517" s="114"/>
      <c r="V517" s="114"/>
      <c r="W517" s="114"/>
      <c r="X517" s="270"/>
      <c r="Y517" s="270"/>
      <c r="Z517" s="270"/>
      <c r="AA517" s="270"/>
    </row>
    <row r="518" spans="3:27" x14ac:dyDescent="0.3">
      <c r="C518" s="224"/>
      <c r="D518" s="211"/>
      <c r="E518" s="182"/>
      <c r="F518" s="182"/>
      <c r="G518" s="450" t="str">
        <f t="shared" si="22"/>
        <v>--</v>
      </c>
      <c r="H518" s="182"/>
      <c r="I518" s="892"/>
      <c r="J518" s="892"/>
      <c r="K518" s="182"/>
      <c r="L518" s="182"/>
      <c r="M518" s="270"/>
      <c r="N518" s="892"/>
      <c r="O518" s="892"/>
      <c r="P518" s="270"/>
      <c r="Q518" s="270"/>
      <c r="R518" s="270"/>
      <c r="S518" s="270"/>
      <c r="T518" s="270"/>
      <c r="U518" s="270"/>
      <c r="V518" s="270"/>
      <c r="W518" s="270"/>
      <c r="X518" s="270"/>
      <c r="Y518" s="270"/>
      <c r="Z518" s="270"/>
      <c r="AA518" s="270"/>
    </row>
    <row r="519" spans="3:27" x14ac:dyDescent="0.3">
      <c r="C519" s="224"/>
      <c r="D519" s="211"/>
      <c r="E519" s="182"/>
      <c r="F519" s="182"/>
      <c r="G519" s="450" t="str">
        <f t="shared" si="22"/>
        <v>--</v>
      </c>
      <c r="H519" s="182"/>
      <c r="I519" s="892"/>
      <c r="J519" s="892"/>
      <c r="K519" s="182"/>
      <c r="L519" s="182"/>
      <c r="M519" s="270"/>
      <c r="N519" s="892"/>
      <c r="O519" s="892"/>
      <c r="P519" s="268" t="s">
        <v>196</v>
      </c>
      <c r="Q519" s="906"/>
      <c r="R519" s="902"/>
      <c r="S519" s="902"/>
      <c r="T519" s="902"/>
      <c r="U519" s="902"/>
      <c r="V519" s="902"/>
      <c r="W519" s="902"/>
      <c r="X519" s="902"/>
      <c r="Y519" s="902"/>
      <c r="Z519" s="902"/>
      <c r="AA519" s="874"/>
    </row>
    <row r="520" spans="3:27" ht="15" thickBot="1" x14ac:dyDescent="0.35">
      <c r="C520" s="224"/>
      <c r="D520" s="182"/>
      <c r="E520" s="182"/>
      <c r="F520" s="182"/>
      <c r="G520" s="450" t="str">
        <f t="shared" si="22"/>
        <v>--</v>
      </c>
      <c r="H520" s="182"/>
      <c r="I520" s="892"/>
      <c r="J520" s="892"/>
      <c r="K520" s="182"/>
      <c r="L520" s="182"/>
      <c r="M520" s="901" t="s">
        <v>155</v>
      </c>
      <c r="N520" s="870" t="s">
        <v>188</v>
      </c>
      <c r="O520" s="870"/>
      <c r="P520" s="271" t="s">
        <v>203</v>
      </c>
      <c r="Q520" s="871" t="s">
        <v>155</v>
      </c>
      <c r="R520" s="114"/>
      <c r="S520" s="114"/>
      <c r="T520" s="907" t="s">
        <v>156</v>
      </c>
      <c r="U520" s="114"/>
      <c r="V520" s="114"/>
      <c r="W520" s="114"/>
      <c r="X520" s="114"/>
      <c r="Y520" s="114"/>
      <c r="Z520" s="114"/>
      <c r="AA520" s="884"/>
    </row>
    <row r="521" spans="3:27" ht="15" thickBot="1" x14ac:dyDescent="0.35">
      <c r="C521" s="566" t="s">
        <v>88</v>
      </c>
      <c r="D521" s="875" t="str">
        <f>VLOOKUP(C521,'Airport Mapping'!$C$5:$D$39,2,FALSE)</f>
        <v xml:space="preserve"> </v>
      </c>
      <c r="E521" s="567" t="s">
        <v>38</v>
      </c>
      <c r="F521" s="567" t="s">
        <v>41</v>
      </c>
      <c r="G521" s="450" t="str">
        <f t="shared" si="22"/>
        <v>Terminal E-Food Service-Dishwashers</v>
      </c>
      <c r="H521" s="567" t="s">
        <v>19</v>
      </c>
      <c r="I521" s="877" t="s">
        <v>64</v>
      </c>
      <c r="J521" s="878">
        <f>SUMIFS('Level of Efficiency Assumptions'!J:J,'Level of Efficiency Assumptions'!D:D,E521,'Level of Efficiency Assumptions'!F:F,F521,'Level of Efficiency Assumptions'!I:I,I521)</f>
        <v>4.5</v>
      </c>
      <c r="K521" s="383" t="s">
        <v>203</v>
      </c>
      <c r="L521" s="253" t="s">
        <v>64</v>
      </c>
      <c r="M521" s="879">
        <f>SUM(Q521:Q523)</f>
        <v>0</v>
      </c>
      <c r="N521" s="880">
        <f>IFERROR(M521/M524,"-")</f>
        <v>0</v>
      </c>
      <c r="O521" s="881">
        <f>SUMIFS('Data Entry'!R:R,'Data Entry'!K:K,G521)</f>
        <v>0</v>
      </c>
      <c r="P521" s="266" t="s">
        <v>204</v>
      </c>
      <c r="Q521" s="895">
        <v>0</v>
      </c>
      <c r="R521" s="114"/>
      <c r="S521" s="905" t="s">
        <v>200</v>
      </c>
      <c r="T521" s="895">
        <v>1</v>
      </c>
      <c r="U521" s="114"/>
      <c r="V521" s="114" t="s">
        <v>218</v>
      </c>
      <c r="W521" s="114"/>
      <c r="X521" s="114"/>
      <c r="Y521" s="114"/>
      <c r="Z521" s="114"/>
      <c r="AA521" s="884"/>
    </row>
    <row r="522" spans="3:27" ht="15" thickBot="1" x14ac:dyDescent="0.35">
      <c r="C522" s="494" t="s">
        <v>88</v>
      </c>
      <c r="D522" s="577"/>
      <c r="E522" s="577" t="s">
        <v>38</v>
      </c>
      <c r="F522" s="577" t="s">
        <v>41</v>
      </c>
      <c r="G522" s="450" t="str">
        <f t="shared" si="22"/>
        <v>Terminal E-Food Service-Dishwashers</v>
      </c>
      <c r="H522" s="577"/>
      <c r="I522" s="887" t="s">
        <v>65</v>
      </c>
      <c r="J522" s="878">
        <f>SUMIFS('Level of Efficiency Assumptions'!J:J,'Level of Efficiency Assumptions'!D:D,E522,'Level of Efficiency Assumptions'!F:F,F522,'Level of Efficiency Assumptions'!I:I,I522)</f>
        <v>2.5</v>
      </c>
      <c r="K522" s="383" t="s">
        <v>203</v>
      </c>
      <c r="L522" s="255" t="s">
        <v>65</v>
      </c>
      <c r="M522" s="879">
        <f>Q524+Q525</f>
        <v>1</v>
      </c>
      <c r="N522" s="880">
        <f>IFERROR(M522/M524,"-")</f>
        <v>1</v>
      </c>
      <c r="O522" s="881">
        <f>SUMIFS('Data Entry'!S:S,'Data Entry'!K:K,G522)</f>
        <v>0</v>
      </c>
      <c r="P522" s="272" t="s">
        <v>205</v>
      </c>
      <c r="Q522" s="895">
        <v>0</v>
      </c>
      <c r="R522" s="114"/>
      <c r="S522" s="908" t="s">
        <v>201</v>
      </c>
      <c r="T522" s="895">
        <v>1</v>
      </c>
      <c r="U522" s="114"/>
      <c r="V522" s="114"/>
      <c r="W522" s="114"/>
      <c r="X522" s="114"/>
      <c r="Y522" s="114"/>
      <c r="Z522" s="114"/>
      <c r="AA522" s="884"/>
    </row>
    <row r="523" spans="3:27" ht="15" thickBot="1" x14ac:dyDescent="0.35">
      <c r="C523" s="501" t="s">
        <v>88</v>
      </c>
      <c r="D523" s="116"/>
      <c r="E523" s="116" t="s">
        <v>38</v>
      </c>
      <c r="F523" s="116" t="s">
        <v>41</v>
      </c>
      <c r="G523" s="450" t="str">
        <f t="shared" si="22"/>
        <v>Terminal E-Food Service-Dishwashers</v>
      </c>
      <c r="H523" s="116"/>
      <c r="I523" s="889" t="s">
        <v>66</v>
      </c>
      <c r="J523" s="890">
        <f>SUMIFS('Level of Efficiency Assumptions'!J:J,'Level of Efficiency Assumptions'!D:D,E523,'Level of Efficiency Assumptions'!F:F,F523,'Level of Efficiency Assumptions'!I:I,I523)</f>
        <v>1</v>
      </c>
      <c r="K523" s="383" t="s">
        <v>203</v>
      </c>
      <c r="L523" s="257" t="s">
        <v>66</v>
      </c>
      <c r="M523" s="879">
        <f>Q526+Q527</f>
        <v>0</v>
      </c>
      <c r="N523" s="880">
        <f>IFERROR(M523/M524,"-")</f>
        <v>0</v>
      </c>
      <c r="O523" s="881">
        <f>SUMIFS('Data Entry'!T:T,'Data Entry'!K:K,G523)</f>
        <v>0</v>
      </c>
      <c r="P523" s="272" t="s">
        <v>206</v>
      </c>
      <c r="Q523" s="895">
        <v>0</v>
      </c>
      <c r="R523" s="114"/>
      <c r="S523" s="908" t="s">
        <v>202</v>
      </c>
      <c r="T523" s="895">
        <v>1</v>
      </c>
      <c r="U523" s="114"/>
      <c r="V523" s="114"/>
      <c r="W523" s="114"/>
      <c r="X523" s="114"/>
      <c r="Y523" s="114"/>
      <c r="Z523" s="114"/>
      <c r="AA523" s="884"/>
    </row>
    <row r="524" spans="3:27" x14ac:dyDescent="0.3">
      <c r="C524" s="450"/>
      <c r="D524" s="182"/>
      <c r="E524" s="182"/>
      <c r="F524" s="182"/>
      <c r="G524" s="450" t="str">
        <f t="shared" si="22"/>
        <v>--</v>
      </c>
      <c r="H524" s="182"/>
      <c r="I524" s="440"/>
      <c r="J524" s="892"/>
      <c r="K524" s="259"/>
      <c r="L524" s="259" t="s">
        <v>46</v>
      </c>
      <c r="M524" s="893">
        <f>SUM(M521:M523)</f>
        <v>1</v>
      </c>
      <c r="N524" s="894"/>
      <c r="O524" s="894">
        <f>SUM(O521:O523)</f>
        <v>0</v>
      </c>
      <c r="P524" s="267" t="s">
        <v>207</v>
      </c>
      <c r="Q524" s="895">
        <v>1</v>
      </c>
      <c r="R524" s="114"/>
      <c r="S524" s="908" t="s">
        <v>199</v>
      </c>
      <c r="T524" s="895">
        <v>1</v>
      </c>
      <c r="U524" s="114"/>
      <c r="V524" s="114"/>
      <c r="W524" s="114"/>
      <c r="X524" s="114"/>
      <c r="Y524" s="114"/>
      <c r="Z524" s="114"/>
      <c r="AA524" s="884"/>
    </row>
    <row r="525" spans="3:27" x14ac:dyDescent="0.3">
      <c r="C525" s="450"/>
      <c r="D525" s="182"/>
      <c r="E525" s="182"/>
      <c r="F525" s="182"/>
      <c r="G525" s="450" t="str">
        <f t="shared" si="22"/>
        <v>--</v>
      </c>
      <c r="H525" s="182"/>
      <c r="I525" s="892"/>
      <c r="J525" s="892"/>
      <c r="K525" s="182"/>
      <c r="L525" s="182"/>
      <c r="M525" s="270"/>
      <c r="N525" s="892"/>
      <c r="O525" s="892"/>
      <c r="P525" s="267" t="s">
        <v>208</v>
      </c>
      <c r="Q525" s="895">
        <v>0</v>
      </c>
      <c r="R525" s="114"/>
      <c r="S525" s="909" t="s">
        <v>198</v>
      </c>
      <c r="T525" s="895">
        <v>1</v>
      </c>
      <c r="U525" s="114"/>
      <c r="V525" s="114"/>
      <c r="W525" s="114"/>
      <c r="X525" s="114"/>
      <c r="Y525" s="114"/>
      <c r="Z525" s="114"/>
      <c r="AA525" s="884"/>
    </row>
    <row r="526" spans="3:27" x14ac:dyDescent="0.3">
      <c r="C526" s="450"/>
      <c r="D526" s="182"/>
      <c r="E526" s="182"/>
      <c r="F526" s="182"/>
      <c r="G526" s="450" t="str">
        <f t="shared" si="22"/>
        <v>--</v>
      </c>
      <c r="H526" s="182"/>
      <c r="I526" s="892"/>
      <c r="J526" s="892"/>
      <c r="K526" s="182"/>
      <c r="L526" s="182"/>
      <c r="M526" s="270"/>
      <c r="N526" s="892"/>
      <c r="O526" s="892"/>
      <c r="P526" s="269" t="s">
        <v>209</v>
      </c>
      <c r="Q526" s="895">
        <v>0</v>
      </c>
      <c r="R526" s="114"/>
      <c r="S526" s="905" t="s">
        <v>197</v>
      </c>
      <c r="T526" s="895">
        <v>1</v>
      </c>
      <c r="U526" s="114"/>
      <c r="V526" s="114"/>
      <c r="W526" s="114"/>
      <c r="X526" s="114"/>
      <c r="Y526" s="114"/>
      <c r="Z526" s="114"/>
      <c r="AA526" s="884"/>
    </row>
    <row r="527" spans="3:27" x14ac:dyDescent="0.3">
      <c r="C527" s="450"/>
      <c r="D527" s="182"/>
      <c r="E527" s="182"/>
      <c r="F527" s="182"/>
      <c r="G527" s="450" t="str">
        <f t="shared" si="22"/>
        <v>--</v>
      </c>
      <c r="H527" s="182"/>
      <c r="I527" s="892"/>
      <c r="J527" s="892"/>
      <c r="K527" s="182"/>
      <c r="L527" s="182"/>
      <c r="M527" s="270"/>
      <c r="N527" s="892"/>
      <c r="O527" s="892"/>
      <c r="P527" s="269" t="s">
        <v>210</v>
      </c>
      <c r="Q527" s="895">
        <v>0</v>
      </c>
      <c r="R527" s="114"/>
      <c r="S527" s="114" t="s">
        <v>216</v>
      </c>
      <c r="T527" s="910">
        <f>(T521*55)+(T522*45)+(T523*35)+(T524*25)+(T525*15)+(T526*5)</f>
        <v>180</v>
      </c>
      <c r="U527" s="1393" t="s">
        <v>217</v>
      </c>
      <c r="V527" s="1393"/>
      <c r="W527" s="1393"/>
      <c r="X527" s="114"/>
      <c r="Y527" s="114"/>
      <c r="Z527" s="114"/>
      <c r="AA527" s="884"/>
    </row>
    <row r="528" spans="3:27" x14ac:dyDescent="0.3">
      <c r="C528" s="450"/>
      <c r="D528" s="182"/>
      <c r="E528" s="182"/>
      <c r="F528" s="182"/>
      <c r="G528" s="450" t="str">
        <f t="shared" si="22"/>
        <v>--</v>
      </c>
      <c r="H528" s="182"/>
      <c r="I528" s="892"/>
      <c r="J528" s="892"/>
      <c r="K528" s="182"/>
      <c r="L528" s="182"/>
      <c r="M528" s="270"/>
      <c r="N528" s="892"/>
      <c r="O528" s="892"/>
      <c r="P528" s="263" t="s">
        <v>46</v>
      </c>
      <c r="Q528" s="897">
        <f>SUM(Q521:Q527)</f>
        <v>1</v>
      </c>
      <c r="R528" s="899"/>
      <c r="S528" s="899"/>
      <c r="T528" s="899"/>
      <c r="U528" s="1394"/>
      <c r="V528" s="1394"/>
      <c r="W528" s="1394"/>
      <c r="X528" s="899"/>
      <c r="Y528" s="899"/>
      <c r="Z528" s="899"/>
      <c r="AA528" s="900"/>
    </row>
    <row r="529" spans="3:27" x14ac:dyDescent="0.3">
      <c r="C529" s="450"/>
      <c r="D529" s="182"/>
      <c r="E529" s="182"/>
      <c r="F529" s="182"/>
      <c r="G529" s="450" t="str">
        <f t="shared" si="22"/>
        <v>--</v>
      </c>
      <c r="H529" s="182"/>
      <c r="I529" s="892"/>
      <c r="J529" s="892"/>
      <c r="K529" s="182"/>
      <c r="L529" s="182"/>
      <c r="M529" s="270"/>
      <c r="N529" s="892"/>
      <c r="O529" s="892"/>
      <c r="P529" s="114"/>
      <c r="Q529" s="114"/>
      <c r="R529" s="114"/>
      <c r="S529" s="114"/>
      <c r="T529" s="114"/>
      <c r="U529" s="114"/>
      <c r="V529" s="114"/>
      <c r="W529" s="114"/>
      <c r="X529" s="270"/>
      <c r="Y529" s="270"/>
      <c r="Z529" s="270"/>
      <c r="AA529" s="270"/>
    </row>
    <row r="530" spans="3:27" x14ac:dyDescent="0.3">
      <c r="C530" s="450"/>
      <c r="D530" s="182"/>
      <c r="E530" s="182"/>
      <c r="F530" s="182"/>
      <c r="G530" s="450" t="str">
        <f t="shared" si="22"/>
        <v>--</v>
      </c>
      <c r="H530" s="182"/>
      <c r="I530" s="892"/>
      <c r="J530" s="892"/>
      <c r="K530" s="182"/>
      <c r="L530" s="182"/>
      <c r="M530" s="270"/>
      <c r="N530" s="892"/>
      <c r="O530" s="892"/>
      <c r="P530" s="268" t="s">
        <v>174</v>
      </c>
      <c r="Q530" s="911"/>
      <c r="R530" s="872"/>
      <c r="S530" s="874"/>
      <c r="T530" s="270"/>
      <c r="U530" s="270"/>
      <c r="V530" s="270"/>
      <c r="W530" s="270"/>
      <c r="X530" s="270"/>
      <c r="Y530" s="270"/>
      <c r="Z530" s="270"/>
      <c r="AA530" s="270"/>
    </row>
    <row r="531" spans="3:27" ht="15" thickBot="1" x14ac:dyDescent="0.35">
      <c r="C531" s="450"/>
      <c r="D531" s="182"/>
      <c r="E531" s="182"/>
      <c r="F531" s="182"/>
      <c r="G531" s="450" t="str">
        <f t="shared" si="22"/>
        <v>--</v>
      </c>
      <c r="H531" s="182"/>
      <c r="I531" s="892"/>
      <c r="J531" s="892"/>
      <c r="K531" s="182"/>
      <c r="L531" s="182"/>
      <c r="M531" s="901" t="s">
        <v>155</v>
      </c>
      <c r="N531" s="870" t="s">
        <v>188</v>
      </c>
      <c r="O531" s="870"/>
      <c r="P531" s="273" t="s">
        <v>220</v>
      </c>
      <c r="Q531" s="871" t="s">
        <v>155</v>
      </c>
      <c r="R531" s="114"/>
      <c r="S531" s="884"/>
      <c r="T531" s="270"/>
      <c r="U531" s="270"/>
      <c r="V531" s="270"/>
      <c r="W531" s="270"/>
      <c r="X531" s="270"/>
      <c r="Y531" s="270"/>
      <c r="Z531" s="270"/>
      <c r="AA531" s="270"/>
    </row>
    <row r="532" spans="3:27" ht="15" thickBot="1" x14ac:dyDescent="0.35">
      <c r="C532" s="566" t="s">
        <v>88</v>
      </c>
      <c r="D532" s="875" t="str">
        <f>VLOOKUP(C532,'Airport Mapping'!$C$5:$D$39,2,FALSE)</f>
        <v xml:space="preserve"> </v>
      </c>
      <c r="E532" s="567" t="s">
        <v>38</v>
      </c>
      <c r="F532" s="567" t="s">
        <v>20</v>
      </c>
      <c r="G532" s="450" t="str">
        <f t="shared" si="22"/>
        <v>Terminal E-Food Service-Ice machines</v>
      </c>
      <c r="H532" s="567" t="s">
        <v>19</v>
      </c>
      <c r="I532" s="877" t="s">
        <v>64</v>
      </c>
      <c r="J532" s="878">
        <f>SUMIFS('Level of Efficiency Assumptions'!J:J,'Level of Efficiency Assumptions'!D:D,E532,'Level of Efficiency Assumptions'!F:F,F532,'Level of Efficiency Assumptions'!I:I,I532)</f>
        <v>1.5</v>
      </c>
      <c r="K532" s="383" t="s">
        <v>220</v>
      </c>
      <c r="L532" s="253" t="s">
        <v>64</v>
      </c>
      <c r="M532" s="879">
        <f>SUM(Q532:Q534)</f>
        <v>0</v>
      </c>
      <c r="N532" s="880">
        <f>IFERROR(M532/M535,"-")</f>
        <v>0</v>
      </c>
      <c r="O532" s="881">
        <f>SUMIFS('Data Entry'!R:R,'Data Entry'!K:K,G532)</f>
        <v>0</v>
      </c>
      <c r="P532" s="266" t="s">
        <v>204</v>
      </c>
      <c r="Q532" s="895">
        <v>0</v>
      </c>
      <c r="R532" s="114"/>
      <c r="S532" s="884"/>
      <c r="T532" s="270"/>
      <c r="U532" s="270"/>
      <c r="V532" s="270"/>
      <c r="W532" s="912"/>
      <c r="X532" s="270"/>
      <c r="Y532" s="270"/>
      <c r="Z532" s="270"/>
      <c r="AA532" s="270"/>
    </row>
    <row r="533" spans="3:27" ht="15" thickBot="1" x14ac:dyDescent="0.35">
      <c r="C533" s="494" t="s">
        <v>88</v>
      </c>
      <c r="D533" s="577"/>
      <c r="E533" s="577" t="s">
        <v>38</v>
      </c>
      <c r="F533" s="577" t="s">
        <v>20</v>
      </c>
      <c r="G533" s="450" t="str">
        <f t="shared" si="22"/>
        <v>Terminal E-Food Service-Ice machines</v>
      </c>
      <c r="H533" s="577"/>
      <c r="I533" s="887" t="s">
        <v>65</v>
      </c>
      <c r="J533" s="878">
        <f>SUMIFS('Level of Efficiency Assumptions'!J:J,'Level of Efficiency Assumptions'!D:D,E533,'Level of Efficiency Assumptions'!F:F,F533,'Level of Efficiency Assumptions'!I:I,I533)</f>
        <v>0.25</v>
      </c>
      <c r="K533" s="383" t="s">
        <v>220</v>
      </c>
      <c r="L533" s="255" t="s">
        <v>65</v>
      </c>
      <c r="M533" s="879">
        <f>Q535+Q536</f>
        <v>1</v>
      </c>
      <c r="N533" s="880">
        <f>IFERROR(M533/M535,"-")</f>
        <v>1</v>
      </c>
      <c r="O533" s="881">
        <f>SUMIFS('Data Entry'!S:S,'Data Entry'!K:K,G533)</f>
        <v>0</v>
      </c>
      <c r="P533" s="272" t="s">
        <v>205</v>
      </c>
      <c r="Q533" s="895">
        <v>0</v>
      </c>
      <c r="R533" s="114"/>
      <c r="S533" s="884"/>
      <c r="T533" s="270"/>
      <c r="U533" s="270"/>
      <c r="V533" s="270"/>
      <c r="W533" s="912"/>
      <c r="X533" s="270"/>
      <c r="Y533" s="270"/>
      <c r="Z533" s="270"/>
      <c r="AA533" s="270"/>
    </row>
    <row r="534" spans="3:27" ht="15" thickBot="1" x14ac:dyDescent="0.35">
      <c r="C534" s="501" t="s">
        <v>88</v>
      </c>
      <c r="D534" s="116"/>
      <c r="E534" s="116" t="s">
        <v>38</v>
      </c>
      <c r="F534" s="116" t="s">
        <v>20</v>
      </c>
      <c r="G534" s="450" t="str">
        <f t="shared" si="22"/>
        <v>Terminal E-Food Service-Ice machines</v>
      </c>
      <c r="H534" s="116"/>
      <c r="I534" s="889" t="s">
        <v>66</v>
      </c>
      <c r="J534" s="890">
        <f>SUMIFS('Level of Efficiency Assumptions'!J:J,'Level of Efficiency Assumptions'!D:D,E534,'Level of Efficiency Assumptions'!F:F,F534,'Level of Efficiency Assumptions'!I:I,I534)</f>
        <v>0.12</v>
      </c>
      <c r="K534" s="383" t="s">
        <v>220</v>
      </c>
      <c r="L534" s="257" t="s">
        <v>66</v>
      </c>
      <c r="M534" s="879">
        <f>Q537+Q538</f>
        <v>0</v>
      </c>
      <c r="N534" s="880">
        <f>IFERROR(M534/M535,"-")</f>
        <v>0</v>
      </c>
      <c r="O534" s="881">
        <f>SUMIFS('Data Entry'!T:T,'Data Entry'!K:K,G534)</f>
        <v>0</v>
      </c>
      <c r="P534" s="272" t="s">
        <v>206</v>
      </c>
      <c r="Q534" s="895">
        <v>0</v>
      </c>
      <c r="R534" s="114"/>
      <c r="S534" s="884"/>
      <c r="T534" s="270"/>
      <c r="U534" s="270"/>
      <c r="V534" s="270"/>
      <c r="W534" s="280"/>
      <c r="X534" s="270"/>
      <c r="Y534" s="270"/>
      <c r="Z534" s="270"/>
      <c r="AA534" s="270"/>
    </row>
    <row r="535" spans="3:27" x14ac:dyDescent="0.3">
      <c r="C535" s="450"/>
      <c r="D535" s="182"/>
      <c r="E535" s="182"/>
      <c r="F535" s="182"/>
      <c r="G535" s="450" t="str">
        <f t="shared" si="22"/>
        <v>--</v>
      </c>
      <c r="H535" s="182"/>
      <c r="I535" s="440"/>
      <c r="J535" s="892"/>
      <c r="K535" s="259"/>
      <c r="L535" s="259" t="s">
        <v>46</v>
      </c>
      <c r="M535" s="893">
        <f>SUM(M532:M534)</f>
        <v>1</v>
      </c>
      <c r="N535" s="894"/>
      <c r="O535" s="894">
        <f>SUM(O532:O534)</f>
        <v>0</v>
      </c>
      <c r="P535" s="274" t="s">
        <v>228</v>
      </c>
      <c r="Q535" s="895">
        <v>1</v>
      </c>
      <c r="R535" s="114"/>
      <c r="S535" s="884"/>
      <c r="T535" s="270"/>
      <c r="U535" s="270"/>
      <c r="V535" s="270"/>
      <c r="W535" s="270"/>
      <c r="X535" s="270"/>
      <c r="Y535" s="270"/>
      <c r="Z535" s="270"/>
      <c r="AA535" s="270"/>
    </row>
    <row r="536" spans="3:27" x14ac:dyDescent="0.3">
      <c r="C536" s="450"/>
      <c r="D536" s="182"/>
      <c r="E536" s="182"/>
      <c r="F536" s="182"/>
      <c r="G536" s="450" t="str">
        <f t="shared" si="22"/>
        <v>--</v>
      </c>
      <c r="H536" s="182"/>
      <c r="I536" s="892"/>
      <c r="J536" s="892"/>
      <c r="K536" s="182"/>
      <c r="L536" s="182"/>
      <c r="M536" s="270"/>
      <c r="N536" s="892"/>
      <c r="O536" s="892"/>
      <c r="P536" s="274" t="s">
        <v>227</v>
      </c>
      <c r="Q536" s="895">
        <v>0</v>
      </c>
      <c r="R536" s="114"/>
      <c r="S536" s="884"/>
      <c r="T536" s="270"/>
      <c r="U536" s="270"/>
      <c r="V536" s="270"/>
      <c r="W536" s="270"/>
      <c r="X536" s="270"/>
      <c r="Y536" s="270"/>
      <c r="Z536" s="270"/>
      <c r="AA536" s="270"/>
    </row>
    <row r="537" spans="3:27" x14ac:dyDescent="0.3">
      <c r="C537" s="450"/>
      <c r="D537" s="182"/>
      <c r="E537" s="182"/>
      <c r="F537" s="182"/>
      <c r="G537" s="450" t="str">
        <f t="shared" si="22"/>
        <v>--</v>
      </c>
      <c r="H537" s="182"/>
      <c r="I537" s="892"/>
      <c r="J537" s="892"/>
      <c r="K537" s="182"/>
      <c r="L537" s="182"/>
      <c r="M537" s="270"/>
      <c r="N537" s="892"/>
      <c r="O537" s="892"/>
      <c r="P537" s="275" t="s">
        <v>226</v>
      </c>
      <c r="Q537" s="895">
        <v>0</v>
      </c>
      <c r="R537" s="114"/>
      <c r="S537" s="884"/>
      <c r="T537" s="270"/>
      <c r="U537" s="270"/>
      <c r="V537" s="270"/>
      <c r="W537" s="270"/>
      <c r="X537" s="270"/>
      <c r="Y537" s="270"/>
      <c r="Z537" s="270"/>
      <c r="AA537" s="270"/>
    </row>
    <row r="538" spans="3:27" x14ac:dyDescent="0.3">
      <c r="C538" s="450"/>
      <c r="D538" s="182"/>
      <c r="E538" s="182"/>
      <c r="F538" s="182"/>
      <c r="G538" s="450" t="str">
        <f t="shared" si="22"/>
        <v>--</v>
      </c>
      <c r="H538" s="182"/>
      <c r="I538" s="892"/>
      <c r="J538" s="892"/>
      <c r="K538" s="182"/>
      <c r="L538" s="182"/>
      <c r="M538" s="270"/>
      <c r="N538" s="892"/>
      <c r="O538" s="892"/>
      <c r="P538" s="269" t="s">
        <v>225</v>
      </c>
      <c r="Q538" s="895">
        <v>0</v>
      </c>
      <c r="R538" s="114"/>
      <c r="S538" s="884"/>
      <c r="T538" s="270"/>
      <c r="U538" s="270"/>
      <c r="V538" s="270"/>
      <c r="W538" s="270"/>
      <c r="X538" s="270"/>
      <c r="Y538" s="270"/>
      <c r="Z538" s="270"/>
      <c r="AA538" s="270"/>
    </row>
    <row r="539" spans="3:27" x14ac:dyDescent="0.3">
      <c r="C539" s="450"/>
      <c r="D539" s="182"/>
      <c r="E539" s="182"/>
      <c r="F539" s="182"/>
      <c r="G539" s="450" t="str">
        <f t="shared" si="22"/>
        <v>--</v>
      </c>
      <c r="H539" s="182"/>
      <c r="I539" s="892"/>
      <c r="J539" s="892"/>
      <c r="K539" s="182"/>
      <c r="L539" s="182"/>
      <c r="M539" s="270"/>
      <c r="N539" s="892"/>
      <c r="O539" s="892"/>
      <c r="P539" s="263" t="s">
        <v>46</v>
      </c>
      <c r="Q539" s="897">
        <f>SUM(Q532:Q538)</f>
        <v>1</v>
      </c>
      <c r="R539" s="899"/>
      <c r="S539" s="900"/>
      <c r="T539" s="270"/>
      <c r="U539" s="270"/>
      <c r="V539" s="270"/>
      <c r="W539" s="270"/>
      <c r="X539" s="270"/>
      <c r="Y539" s="270"/>
      <c r="Z539" s="270"/>
      <c r="AA539" s="270"/>
    </row>
    <row r="540" spans="3:27" x14ac:dyDescent="0.3">
      <c r="C540" s="450"/>
      <c r="D540" s="182"/>
      <c r="E540" s="182"/>
      <c r="F540" s="182"/>
      <c r="G540" s="450" t="str">
        <f t="shared" si="22"/>
        <v>--</v>
      </c>
      <c r="H540" s="182"/>
      <c r="I540" s="892"/>
      <c r="J540" s="892"/>
      <c r="K540" s="182"/>
      <c r="L540" s="182"/>
      <c r="M540" s="270"/>
      <c r="N540" s="892"/>
      <c r="O540" s="892"/>
      <c r="P540" s="270"/>
      <c r="Q540" s="270"/>
      <c r="R540" s="270"/>
      <c r="S540" s="270"/>
      <c r="T540" s="270"/>
      <c r="U540" s="270"/>
      <c r="V540" s="270"/>
      <c r="W540" s="270"/>
      <c r="X540" s="270"/>
      <c r="Y540" s="270"/>
      <c r="Z540" s="270"/>
      <c r="AA540" s="270"/>
    </row>
    <row r="541" spans="3:27" x14ac:dyDescent="0.3">
      <c r="C541" s="450"/>
      <c r="D541" s="182"/>
      <c r="E541" s="182"/>
      <c r="F541" s="182"/>
      <c r="G541" s="450" t="str">
        <f t="shared" si="22"/>
        <v>--</v>
      </c>
      <c r="H541" s="182"/>
      <c r="I541" s="892"/>
      <c r="J541" s="892"/>
      <c r="K541" s="182"/>
      <c r="L541" s="182"/>
      <c r="M541" s="270"/>
      <c r="N541" s="892"/>
      <c r="O541" s="892"/>
      <c r="P541" s="276" t="s">
        <v>42</v>
      </c>
      <c r="Q541" s="902"/>
      <c r="R541" s="902"/>
      <c r="S541" s="902"/>
      <c r="T541" s="902"/>
      <c r="U541" s="902"/>
      <c r="V541" s="874"/>
      <c r="W541" s="270"/>
      <c r="X541" s="270"/>
      <c r="Y541" s="270"/>
      <c r="Z541" s="270"/>
      <c r="AA541" s="270"/>
    </row>
    <row r="542" spans="3:27" ht="15" thickBot="1" x14ac:dyDescent="0.35">
      <c r="C542" s="450"/>
      <c r="D542" s="182"/>
      <c r="E542" s="182"/>
      <c r="F542" s="182"/>
      <c r="G542" s="450" t="str">
        <f t="shared" si="22"/>
        <v>--</v>
      </c>
      <c r="H542" s="182"/>
      <c r="I542" s="892"/>
      <c r="J542" s="892"/>
      <c r="K542" s="182"/>
      <c r="L542" s="182"/>
      <c r="M542" s="901" t="s">
        <v>155</v>
      </c>
      <c r="N542" s="870" t="s">
        <v>188</v>
      </c>
      <c r="O542" s="870"/>
      <c r="P542" s="277" t="s">
        <v>818</v>
      </c>
      <c r="Q542" s="871" t="s">
        <v>155</v>
      </c>
      <c r="R542" s="114"/>
      <c r="S542" s="114"/>
      <c r="T542" s="114"/>
      <c r="U542" s="114"/>
      <c r="V542" s="884"/>
      <c r="W542" s="270"/>
      <c r="X542" s="270"/>
      <c r="Y542" s="270"/>
      <c r="Z542" s="270"/>
      <c r="AA542" s="270"/>
    </row>
    <row r="543" spans="3:27" ht="15" thickBot="1" x14ac:dyDescent="0.35">
      <c r="C543" s="566" t="s">
        <v>88</v>
      </c>
      <c r="D543" s="875" t="str">
        <f>VLOOKUP(C543,'Airport Mapping'!$C$5:$D$39,2,FALSE)</f>
        <v xml:space="preserve"> </v>
      </c>
      <c r="E543" s="567" t="s">
        <v>39</v>
      </c>
      <c r="F543" s="567" t="s">
        <v>42</v>
      </c>
      <c r="G543" s="450" t="str">
        <f t="shared" si="22"/>
        <v>Terminal E-Landscaping-Outdoor irrigation</v>
      </c>
      <c r="H543" s="567" t="s">
        <v>32</v>
      </c>
      <c r="I543" s="877" t="s">
        <v>64</v>
      </c>
      <c r="J543" s="878">
        <f>SUMIFS('Level of Efficiency Assumptions'!J:J,'Level of Efficiency Assumptions'!D:D,E543,'Level of Efficiency Assumptions'!F:F,F543,'Level of Efficiency Assumptions'!I:I,I543)</f>
        <v>28.6</v>
      </c>
      <c r="K543" s="383" t="s">
        <v>816</v>
      </c>
      <c r="L543" s="253" t="s">
        <v>64</v>
      </c>
      <c r="M543" s="879">
        <f>SUM(Q543:Q544)</f>
        <v>0</v>
      </c>
      <c r="N543" s="880">
        <f>IFERROR(M543/M546,"-")</f>
        <v>0</v>
      </c>
      <c r="O543" s="881">
        <f>SUMIFS('Data Entry'!R:R,'Data Entry'!K:K,G543)</f>
        <v>0</v>
      </c>
      <c r="P543" s="272" t="s">
        <v>237</v>
      </c>
      <c r="Q543" s="895">
        <v>0</v>
      </c>
      <c r="R543" s="114"/>
      <c r="S543" s="114"/>
      <c r="T543" s="114"/>
      <c r="U543" s="114"/>
      <c r="V543" s="884"/>
      <c r="W543" s="270"/>
      <c r="X543" s="270"/>
      <c r="Y543" s="270"/>
      <c r="Z543" s="270"/>
      <c r="AA543" s="270"/>
    </row>
    <row r="544" spans="3:27" ht="15" thickBot="1" x14ac:dyDescent="0.35">
      <c r="C544" s="494" t="s">
        <v>88</v>
      </c>
      <c r="D544" s="577"/>
      <c r="E544" s="577" t="s">
        <v>39</v>
      </c>
      <c r="F544" s="577" t="s">
        <v>42</v>
      </c>
      <c r="G544" s="450" t="str">
        <f t="shared" si="22"/>
        <v>Terminal E-Landscaping-Outdoor irrigation</v>
      </c>
      <c r="H544" s="577"/>
      <c r="I544" s="887" t="s">
        <v>65</v>
      </c>
      <c r="J544" s="878">
        <f>SUMIFS('Level of Efficiency Assumptions'!J:J,'Level of Efficiency Assumptions'!D:D,E544,'Level of Efficiency Assumptions'!F:F,F544,'Level of Efficiency Assumptions'!I:I,I544)</f>
        <v>13.980821518350929</v>
      </c>
      <c r="K544" s="383" t="s">
        <v>816</v>
      </c>
      <c r="L544" s="255" t="s">
        <v>65</v>
      </c>
      <c r="M544" s="879">
        <f>Q545+Q546</f>
        <v>1</v>
      </c>
      <c r="N544" s="880">
        <f>IFERROR(M544/M546,"-")</f>
        <v>1</v>
      </c>
      <c r="O544" s="881">
        <f>SUMIFS('Data Entry'!S:S,'Data Entry'!K:K,G544)</f>
        <v>0</v>
      </c>
      <c r="P544" s="272" t="s">
        <v>232</v>
      </c>
      <c r="Q544" s="895">
        <v>0</v>
      </c>
      <c r="R544" s="114"/>
      <c r="S544" s="114"/>
      <c r="T544" s="114"/>
      <c r="U544" s="114"/>
      <c r="V544" s="884"/>
      <c r="W544" s="270"/>
      <c r="X544" s="270"/>
      <c r="Y544" s="270"/>
      <c r="Z544" s="270"/>
      <c r="AA544" s="270"/>
    </row>
    <row r="545" spans="3:27" ht="15" thickBot="1" x14ac:dyDescent="0.35">
      <c r="C545" s="501" t="s">
        <v>88</v>
      </c>
      <c r="D545" s="116"/>
      <c r="E545" s="116" t="s">
        <v>39</v>
      </c>
      <c r="F545" s="116" t="s">
        <v>42</v>
      </c>
      <c r="G545" s="450" t="str">
        <f t="shared" si="22"/>
        <v>Terminal E-Landscaping-Outdoor irrigation</v>
      </c>
      <c r="H545" s="116"/>
      <c r="I545" s="889" t="s">
        <v>66</v>
      </c>
      <c r="J545" s="890">
        <f>SUMIFS('Level of Efficiency Assumptions'!J:J,'Level of Efficiency Assumptions'!D:D,E545,'Level of Efficiency Assumptions'!F:F,F545,'Level of Efficiency Assumptions'!I:I,I545)</f>
        <v>0.59137254901960778</v>
      </c>
      <c r="K545" s="383" t="s">
        <v>816</v>
      </c>
      <c r="L545" s="257" t="s">
        <v>66</v>
      </c>
      <c r="M545" s="879">
        <f>Q547+Q548</f>
        <v>0</v>
      </c>
      <c r="N545" s="880">
        <f>IFERROR(M545/M546,"-")</f>
        <v>0</v>
      </c>
      <c r="O545" s="881">
        <f>SUMIFS('Data Entry'!T:T,'Data Entry'!K:K,G545)</f>
        <v>0</v>
      </c>
      <c r="P545" s="274" t="s">
        <v>231</v>
      </c>
      <c r="Q545" s="895">
        <v>1</v>
      </c>
      <c r="R545" s="114"/>
      <c r="S545" s="114"/>
      <c r="T545" s="114"/>
      <c r="U545" s="114"/>
      <c r="V545" s="884"/>
      <c r="W545" s="270"/>
      <c r="X545" s="270"/>
      <c r="Y545" s="270"/>
      <c r="Z545" s="270"/>
      <c r="AA545" s="270"/>
    </row>
    <row r="546" spans="3:27" x14ac:dyDescent="0.3">
      <c r="C546" s="450"/>
      <c r="D546" s="182"/>
      <c r="E546" s="182"/>
      <c r="F546" s="182"/>
      <c r="G546" s="450" t="str">
        <f t="shared" si="22"/>
        <v>--</v>
      </c>
      <c r="H546" s="182"/>
      <c r="I546" s="440"/>
      <c r="J546" s="892"/>
      <c r="K546" s="259"/>
      <c r="L546" s="259" t="s">
        <v>46</v>
      </c>
      <c r="M546" s="893">
        <f>SUM(M543:M545)</f>
        <v>1</v>
      </c>
      <c r="N546" s="894"/>
      <c r="O546" s="894">
        <f>SUM(O543:O545)</f>
        <v>0</v>
      </c>
      <c r="P546" s="274" t="s">
        <v>230</v>
      </c>
      <c r="Q546" s="895">
        <v>0</v>
      </c>
      <c r="R546" s="114"/>
      <c r="S546" s="114"/>
      <c r="T546" s="114"/>
      <c r="U546" s="114"/>
      <c r="V546" s="884"/>
      <c r="W546" s="270"/>
      <c r="X546" s="270"/>
      <c r="Y546" s="270"/>
      <c r="Z546" s="270"/>
      <c r="AA546" s="270"/>
    </row>
    <row r="547" spans="3:27" x14ac:dyDescent="0.3">
      <c r="C547" s="450"/>
      <c r="D547" s="182"/>
      <c r="E547" s="182"/>
      <c r="F547" s="182"/>
      <c r="G547" s="450" t="str">
        <f t="shared" si="22"/>
        <v>--</v>
      </c>
      <c r="H547" s="182"/>
      <c r="I547" s="892"/>
      <c r="J547" s="892"/>
      <c r="K547" s="182"/>
      <c r="L547" s="182"/>
      <c r="M547" s="270"/>
      <c r="N547" s="892"/>
      <c r="O547" s="892"/>
      <c r="P547" s="275" t="s">
        <v>229</v>
      </c>
      <c r="Q547" s="895">
        <v>0</v>
      </c>
      <c r="R547" s="114"/>
      <c r="S547" s="114"/>
      <c r="T547" s="114"/>
      <c r="U547" s="114"/>
      <c r="V547" s="884"/>
      <c r="W547" s="270"/>
      <c r="X547" s="270"/>
      <c r="Y547" s="270"/>
      <c r="Z547" s="270"/>
      <c r="AA547" s="270"/>
    </row>
    <row r="548" spans="3:27" x14ac:dyDescent="0.3">
      <c r="C548" s="450"/>
      <c r="D548" s="182"/>
      <c r="E548" s="182"/>
      <c r="F548" s="182"/>
      <c r="G548" s="450" t="str">
        <f t="shared" si="22"/>
        <v>--</v>
      </c>
      <c r="H548" s="182"/>
      <c r="I548" s="892"/>
      <c r="J548" s="892"/>
      <c r="K548" s="182"/>
      <c r="L548" s="182"/>
      <c r="M548" s="270"/>
      <c r="N548" s="892"/>
      <c r="O548" s="892"/>
      <c r="P548" s="269" t="s">
        <v>225</v>
      </c>
      <c r="Q548" s="895">
        <v>0</v>
      </c>
      <c r="R548" s="114"/>
      <c r="S548" s="114"/>
      <c r="T548" s="114"/>
      <c r="U548" s="114"/>
      <c r="V548" s="884"/>
      <c r="W548" s="270"/>
      <c r="X548" s="270"/>
      <c r="Y548" s="270"/>
      <c r="Z548" s="270"/>
      <c r="AA548" s="270"/>
    </row>
    <row r="549" spans="3:27" x14ac:dyDescent="0.3">
      <c r="C549" s="450"/>
      <c r="D549" s="182"/>
      <c r="E549" s="182"/>
      <c r="F549" s="182"/>
      <c r="G549" s="450" t="str">
        <f t="shared" si="22"/>
        <v>--</v>
      </c>
      <c r="H549" s="182"/>
      <c r="I549" s="892"/>
      <c r="J549" s="892"/>
      <c r="K549" s="182"/>
      <c r="L549" s="182"/>
      <c r="M549" s="270"/>
      <c r="N549" s="892"/>
      <c r="O549" s="892"/>
      <c r="P549" s="263" t="s">
        <v>46</v>
      </c>
      <c r="Q549" s="897">
        <f>SUM(Q543:Q548)</f>
        <v>1</v>
      </c>
      <c r="R549" s="899"/>
      <c r="S549" s="899"/>
      <c r="T549" s="899"/>
      <c r="U549" s="899"/>
      <c r="V549" s="900"/>
      <c r="W549" s="270"/>
      <c r="X549" s="270"/>
      <c r="Y549" s="270"/>
      <c r="Z549" s="270"/>
      <c r="AA549" s="270"/>
    </row>
    <row r="550" spans="3:27" x14ac:dyDescent="0.3">
      <c r="C550" s="450"/>
      <c r="D550" s="182"/>
      <c r="E550" s="182"/>
      <c r="F550" s="182"/>
      <c r="G550" s="450" t="str">
        <f t="shared" si="22"/>
        <v>--</v>
      </c>
      <c r="H550" s="182"/>
      <c r="I550" s="892"/>
      <c r="J550" s="892"/>
      <c r="K550" s="182"/>
      <c r="L550" s="182"/>
      <c r="M550" s="270"/>
      <c r="N550" s="892"/>
      <c r="O550" s="892"/>
      <c r="P550" s="259"/>
      <c r="Q550" s="114"/>
      <c r="R550" s="270"/>
      <c r="S550" s="270"/>
      <c r="T550" s="270"/>
      <c r="U550" s="270"/>
      <c r="V550" s="270"/>
      <c r="W550" s="270"/>
      <c r="X550" s="270"/>
      <c r="Y550" s="270"/>
      <c r="Z550" s="270"/>
      <c r="AA550" s="270"/>
    </row>
    <row r="551" spans="3:27" ht="15" thickBot="1" x14ac:dyDescent="0.35">
      <c r="C551" s="450"/>
      <c r="D551" s="182"/>
      <c r="E551" s="182"/>
      <c r="F551" s="182"/>
      <c r="G551" s="450" t="str">
        <f t="shared" si="22"/>
        <v>--</v>
      </c>
      <c r="H551" s="182"/>
      <c r="I551" s="892"/>
      <c r="J551" s="892"/>
      <c r="K551" s="182"/>
      <c r="L551" s="182"/>
      <c r="M551" s="901" t="s">
        <v>155</v>
      </c>
      <c r="N551" s="870" t="s">
        <v>188</v>
      </c>
      <c r="O551" s="870"/>
      <c r="P551" s="276" t="s">
        <v>111</v>
      </c>
      <c r="Q551" s="871" t="s">
        <v>155</v>
      </c>
      <c r="R551" s="902"/>
      <c r="S551" s="874"/>
      <c r="T551" s="270"/>
      <c r="U551" s="270"/>
      <c r="V551" s="270"/>
      <c r="W551" s="270"/>
      <c r="X551" s="270"/>
      <c r="Y551" s="270"/>
      <c r="Z551" s="270"/>
      <c r="AA551" s="270"/>
    </row>
    <row r="552" spans="3:27" ht="15" thickBot="1" x14ac:dyDescent="0.35">
      <c r="C552" s="566" t="s">
        <v>88</v>
      </c>
      <c r="D552" s="875" t="str">
        <f>VLOOKUP(C552,'Airport Mapping'!$C$5:$D$39,2,FALSE)</f>
        <v xml:space="preserve"> </v>
      </c>
      <c r="E552" s="567" t="s">
        <v>43</v>
      </c>
      <c r="F552" s="567" t="s">
        <v>111</v>
      </c>
      <c r="G552" s="450" t="str">
        <f t="shared" si="22"/>
        <v>Terminal E-Maintenance-Boiler</v>
      </c>
      <c r="H552" s="567" t="s">
        <v>424</v>
      </c>
      <c r="I552" s="877" t="s">
        <v>64</v>
      </c>
      <c r="J552" s="878">
        <f>SUMIFS('Level of Efficiency Assumptions'!J:J,'Level of Efficiency Assumptions'!D:D,E552,'Level of Efficiency Assumptions'!F:F,F552,'Level of Efficiency Assumptions'!I:I,I552)</f>
        <v>100</v>
      </c>
      <c r="K552" s="383" t="s">
        <v>585</v>
      </c>
      <c r="L552" s="253" t="s">
        <v>64</v>
      </c>
      <c r="M552" s="879">
        <f>SUM(Q552:Q553)</f>
        <v>0</v>
      </c>
      <c r="N552" s="880">
        <f>IFERROR(M552/M555,"-")</f>
        <v>0</v>
      </c>
      <c r="O552" s="881">
        <f>SUMIFS('Data Entry'!R:R,'Data Entry'!K:K,G552)</f>
        <v>0</v>
      </c>
      <c r="P552" s="272"/>
      <c r="Q552" s="895">
        <v>0</v>
      </c>
      <c r="R552" s="114"/>
      <c r="S552" s="884"/>
      <c r="T552" s="270"/>
      <c r="U552" s="270"/>
      <c r="V552" s="270"/>
      <c r="W552" s="270"/>
      <c r="X552" s="270"/>
      <c r="Y552" s="270"/>
      <c r="Z552" s="270"/>
      <c r="AA552" s="270"/>
    </row>
    <row r="553" spans="3:27" ht="15" thickBot="1" x14ac:dyDescent="0.35">
      <c r="C553" s="494" t="s">
        <v>88</v>
      </c>
      <c r="D553" s="577"/>
      <c r="E553" s="577" t="s">
        <v>43</v>
      </c>
      <c r="F553" s="577" t="s">
        <v>111</v>
      </c>
      <c r="G553" s="450" t="str">
        <f t="shared" si="22"/>
        <v>Terminal E-Maintenance-Boiler</v>
      </c>
      <c r="H553" s="577"/>
      <c r="I553" s="887" t="s">
        <v>65</v>
      </c>
      <c r="J553" s="878">
        <f>SUMIFS('Level of Efficiency Assumptions'!J:J,'Level of Efficiency Assumptions'!D:D,E553,'Level of Efficiency Assumptions'!F:F,F553,'Level of Efficiency Assumptions'!I:I,I553)</f>
        <v>75</v>
      </c>
      <c r="K553" s="383" t="s">
        <v>585</v>
      </c>
      <c r="L553" s="255" t="s">
        <v>65</v>
      </c>
      <c r="M553" s="879">
        <f>Q554+Q555</f>
        <v>1</v>
      </c>
      <c r="N553" s="880">
        <f>IFERROR(M553/M555,"-")</f>
        <v>1</v>
      </c>
      <c r="O553" s="881">
        <f>SUMIFS('Data Entry'!S:S,'Data Entry'!K:K,G553)</f>
        <v>0</v>
      </c>
      <c r="P553" s="272"/>
      <c r="Q553" s="895">
        <v>0</v>
      </c>
      <c r="R553" s="114"/>
      <c r="S553" s="884"/>
      <c r="T553" s="270"/>
      <c r="U553" s="270"/>
      <c r="V553" s="270"/>
      <c r="W553" s="270"/>
      <c r="X553" s="270"/>
      <c r="Y553" s="270"/>
      <c r="Z553" s="270"/>
      <c r="AA553" s="270"/>
    </row>
    <row r="554" spans="3:27" ht="15" thickBot="1" x14ac:dyDescent="0.35">
      <c r="C554" s="501" t="s">
        <v>88</v>
      </c>
      <c r="D554" s="116"/>
      <c r="E554" s="116" t="s">
        <v>43</v>
      </c>
      <c r="F554" s="116" t="s">
        <v>111</v>
      </c>
      <c r="G554" s="450" t="str">
        <f t="shared" si="22"/>
        <v>Terminal E-Maintenance-Boiler</v>
      </c>
      <c r="H554" s="116"/>
      <c r="I554" s="889" t="s">
        <v>66</v>
      </c>
      <c r="J554" s="890">
        <f>SUMIFS('Level of Efficiency Assumptions'!J:J,'Level of Efficiency Assumptions'!D:D,E554,'Level of Efficiency Assumptions'!F:F,F554,'Level of Efficiency Assumptions'!I:I,I554)</f>
        <v>50</v>
      </c>
      <c r="K554" s="383" t="s">
        <v>585</v>
      </c>
      <c r="L554" s="257" t="s">
        <v>66</v>
      </c>
      <c r="M554" s="879">
        <f>Q556+Q557</f>
        <v>0</v>
      </c>
      <c r="N554" s="880">
        <f>IFERROR(M554/M555,"-")</f>
        <v>0</v>
      </c>
      <c r="O554" s="881">
        <f>SUMIFS('Data Entry'!T:T,'Data Entry'!K:K,G554)</f>
        <v>0</v>
      </c>
      <c r="P554" s="274"/>
      <c r="Q554" s="895">
        <v>1</v>
      </c>
      <c r="R554" s="114"/>
      <c r="S554" s="884"/>
      <c r="T554" s="270"/>
      <c r="U554" s="270"/>
      <c r="V554" s="270"/>
      <c r="W554" s="270"/>
      <c r="X554" s="270"/>
      <c r="Y554" s="270"/>
      <c r="Z554" s="270"/>
      <c r="AA554" s="270"/>
    </row>
    <row r="555" spans="3:27" x14ac:dyDescent="0.3">
      <c r="C555" s="450"/>
      <c r="D555" s="182"/>
      <c r="E555" s="182"/>
      <c r="F555" s="182"/>
      <c r="G555" s="450" t="str">
        <f t="shared" si="22"/>
        <v>--</v>
      </c>
      <c r="H555" s="182"/>
      <c r="I555" s="440"/>
      <c r="J555" s="892"/>
      <c r="K555" s="259"/>
      <c r="L555" s="259" t="s">
        <v>46</v>
      </c>
      <c r="M555" s="893">
        <f>SUM(M552:M554)</f>
        <v>1</v>
      </c>
      <c r="N555" s="894"/>
      <c r="O555" s="894">
        <f>SUM(O552:O554)</f>
        <v>0</v>
      </c>
      <c r="P555" s="274"/>
      <c r="Q555" s="895">
        <v>0</v>
      </c>
      <c r="R555" s="114"/>
      <c r="S555" s="884"/>
      <c r="T555" s="270"/>
      <c r="U555" s="270"/>
      <c r="V555" s="270"/>
      <c r="W555" s="270"/>
      <c r="X555" s="270"/>
      <c r="Y555" s="270"/>
      <c r="Z555" s="270"/>
      <c r="AA555" s="270"/>
    </row>
    <row r="556" spans="3:27" x14ac:dyDescent="0.3">
      <c r="C556" s="450"/>
      <c r="D556" s="182"/>
      <c r="E556" s="182"/>
      <c r="F556" s="182"/>
      <c r="G556" s="450" t="str">
        <f t="shared" si="22"/>
        <v>--</v>
      </c>
      <c r="H556" s="182"/>
      <c r="I556" s="892"/>
      <c r="J556" s="892"/>
      <c r="K556" s="182"/>
      <c r="L556" s="182"/>
      <c r="M556" s="270"/>
      <c r="N556" s="892"/>
      <c r="O556" s="892"/>
      <c r="P556" s="275"/>
      <c r="Q556" s="895">
        <v>0</v>
      </c>
      <c r="R556" s="114"/>
      <c r="S556" s="884"/>
      <c r="T556" s="270"/>
      <c r="U556" s="270"/>
      <c r="V556" s="270"/>
      <c r="W556" s="270"/>
      <c r="X556" s="270"/>
      <c r="Y556" s="270"/>
      <c r="Z556" s="270"/>
      <c r="AA556" s="270"/>
    </row>
    <row r="557" spans="3:27" x14ac:dyDescent="0.3">
      <c r="C557" s="450"/>
      <c r="D557" s="182"/>
      <c r="E557" s="182"/>
      <c r="F557" s="182"/>
      <c r="G557" s="450" t="str">
        <f t="shared" si="22"/>
        <v>--</v>
      </c>
      <c r="H557" s="182"/>
      <c r="I557" s="892"/>
      <c r="J557" s="892"/>
      <c r="K557" s="182"/>
      <c r="L557" s="182"/>
      <c r="M557" s="270"/>
      <c r="N557" s="892"/>
      <c r="O557" s="892"/>
      <c r="P557" s="269"/>
      <c r="Q557" s="895">
        <v>0</v>
      </c>
      <c r="R557" s="114"/>
      <c r="S557" s="884"/>
      <c r="T557" s="270"/>
      <c r="U557" s="270"/>
      <c r="V557" s="270"/>
      <c r="W557" s="270"/>
      <c r="X557" s="270"/>
      <c r="Y557" s="270"/>
      <c r="Z557" s="270"/>
      <c r="AA557" s="270"/>
    </row>
    <row r="558" spans="3:27" x14ac:dyDescent="0.3">
      <c r="C558" s="450"/>
      <c r="D558" s="182"/>
      <c r="E558" s="182"/>
      <c r="F558" s="182"/>
      <c r="G558" s="450" t="str">
        <f t="shared" si="22"/>
        <v>--</v>
      </c>
      <c r="H558" s="182"/>
      <c r="I558" s="892"/>
      <c r="J558" s="892"/>
      <c r="K558" s="182"/>
      <c r="L558" s="182"/>
      <c r="M558" s="270"/>
      <c r="N558" s="892"/>
      <c r="O558" s="892"/>
      <c r="P558" s="263" t="s">
        <v>46</v>
      </c>
      <c r="Q558" s="897">
        <f>SUM(Q552:Q557)</f>
        <v>1</v>
      </c>
      <c r="R558" s="899"/>
      <c r="S558" s="900"/>
      <c r="T558" s="270"/>
      <c r="U558" s="270"/>
      <c r="V558" s="270"/>
      <c r="W558" s="270"/>
      <c r="X558" s="270"/>
      <c r="Y558" s="270"/>
      <c r="Z558" s="270"/>
      <c r="AA558" s="270"/>
    </row>
    <row r="559" spans="3:27" x14ac:dyDescent="0.3">
      <c r="C559" s="450"/>
      <c r="D559" s="182"/>
      <c r="E559" s="182"/>
      <c r="F559" s="182"/>
      <c r="G559" s="450" t="str">
        <f t="shared" si="22"/>
        <v>--</v>
      </c>
      <c r="H559" s="182"/>
      <c r="I559" s="892"/>
      <c r="J559" s="892"/>
      <c r="K559" s="182"/>
      <c r="L559" s="182"/>
      <c r="M559" s="270"/>
      <c r="N559" s="892"/>
      <c r="O559" s="892"/>
      <c r="P559" s="259"/>
      <c r="Q559" s="114"/>
      <c r="R559" s="270"/>
      <c r="S559" s="270"/>
      <c r="T559" s="270"/>
      <c r="U559" s="270"/>
      <c r="V559" s="270"/>
      <c r="W559" s="270"/>
      <c r="X559" s="270"/>
      <c r="Y559" s="270"/>
      <c r="Z559" s="270"/>
      <c r="AA559" s="270"/>
    </row>
    <row r="560" spans="3:27" ht="15" thickBot="1" x14ac:dyDescent="0.35">
      <c r="C560" s="450"/>
      <c r="D560" s="182"/>
      <c r="E560" s="182"/>
      <c r="F560" s="182"/>
      <c r="G560" s="450" t="str">
        <f t="shared" ref="G560:G618" si="23">C560&amp;"-"&amp;E560&amp;"-"&amp;F560</f>
        <v>--</v>
      </c>
      <c r="H560" s="182"/>
      <c r="I560" s="892"/>
      <c r="J560" s="892"/>
      <c r="K560" s="182"/>
      <c r="L560" s="182"/>
      <c r="M560" s="901" t="s">
        <v>155</v>
      </c>
      <c r="N560" s="870" t="s">
        <v>188</v>
      </c>
      <c r="O560" s="870"/>
      <c r="P560" s="276" t="s">
        <v>426</v>
      </c>
      <c r="Q560" s="871" t="s">
        <v>155</v>
      </c>
      <c r="R560" s="902"/>
      <c r="S560" s="874"/>
      <c r="T560" s="270"/>
      <c r="U560" s="270"/>
      <c r="V560" s="270"/>
      <c r="W560" s="270"/>
      <c r="X560" s="270"/>
      <c r="Y560" s="270"/>
      <c r="Z560" s="270"/>
      <c r="AA560" s="270"/>
    </row>
    <row r="561" spans="3:27" ht="15" thickBot="1" x14ac:dyDescent="0.35">
      <c r="C561" s="566" t="s">
        <v>88</v>
      </c>
      <c r="D561" s="875" t="str">
        <f>VLOOKUP(C561,'Airport Mapping'!$C$5:$D$39,2,FALSE)</f>
        <v xml:space="preserve"> </v>
      </c>
      <c r="E561" s="567" t="s">
        <v>43</v>
      </c>
      <c r="F561" s="567" t="s">
        <v>426</v>
      </c>
      <c r="G561" s="450" t="str">
        <f t="shared" si="23"/>
        <v>Terminal E-Maintenance-Pavement cleaning</v>
      </c>
      <c r="H561" s="567" t="s">
        <v>3</v>
      </c>
      <c r="I561" s="877" t="s">
        <v>64</v>
      </c>
      <c r="J561" s="878">
        <f>SUMIFS('Level of Efficiency Assumptions'!J:J,'Level of Efficiency Assumptions'!D:D,E561,'Level of Efficiency Assumptions'!F:F,F561,'Level of Efficiency Assumptions'!I:I,I561)</f>
        <v>10</v>
      </c>
      <c r="K561" s="383" t="s">
        <v>588</v>
      </c>
      <c r="L561" s="253" t="s">
        <v>64</v>
      </c>
      <c r="M561" s="879">
        <f>SUM(Q561:Q562)</f>
        <v>0</v>
      </c>
      <c r="N561" s="880">
        <f>IFERROR(M561/M564,"-")</f>
        <v>0</v>
      </c>
      <c r="O561" s="881">
        <f>SUMIFS('Data Entry'!R:R,'Data Entry'!K:K,G561)</f>
        <v>0</v>
      </c>
      <c r="P561" s="272"/>
      <c r="Q561" s="895">
        <v>0</v>
      </c>
      <c r="R561" s="114"/>
      <c r="S561" s="884"/>
      <c r="T561" s="270"/>
      <c r="U561" s="270"/>
      <c r="V561" s="270"/>
      <c r="W561" s="270"/>
      <c r="X561" s="270"/>
      <c r="Y561" s="270"/>
      <c r="Z561" s="270"/>
      <c r="AA561" s="270"/>
    </row>
    <row r="562" spans="3:27" ht="15" thickBot="1" x14ac:dyDescent="0.35">
      <c r="C562" s="494" t="s">
        <v>88</v>
      </c>
      <c r="D562" s="577"/>
      <c r="E562" s="577" t="s">
        <v>43</v>
      </c>
      <c r="F562" s="577" t="s">
        <v>426</v>
      </c>
      <c r="G562" s="450" t="str">
        <f t="shared" si="23"/>
        <v>Terminal E-Maintenance-Pavement cleaning</v>
      </c>
      <c r="H562" s="577"/>
      <c r="I562" s="887" t="s">
        <v>65</v>
      </c>
      <c r="J562" s="878">
        <f>SUMIFS('Level of Efficiency Assumptions'!J:J,'Level of Efficiency Assumptions'!D:D,E562,'Level of Efficiency Assumptions'!F:F,F562,'Level of Efficiency Assumptions'!I:I,I562)</f>
        <v>7.5</v>
      </c>
      <c r="K562" s="383" t="s">
        <v>588</v>
      </c>
      <c r="L562" s="255" t="s">
        <v>65</v>
      </c>
      <c r="M562" s="879">
        <f>Q563+Q564</f>
        <v>1</v>
      </c>
      <c r="N562" s="880">
        <f>IFERROR(M562/M564,"-")</f>
        <v>1</v>
      </c>
      <c r="O562" s="881">
        <f>SUMIFS('Data Entry'!S:S,'Data Entry'!K:K,G562)</f>
        <v>0</v>
      </c>
      <c r="P562" s="272"/>
      <c r="Q562" s="895">
        <v>0</v>
      </c>
      <c r="R562" s="114"/>
      <c r="S562" s="884"/>
      <c r="T562" s="270"/>
      <c r="U562" s="270"/>
      <c r="V562" s="270"/>
      <c r="W562" s="270"/>
      <c r="X562" s="270"/>
      <c r="Y562" s="270"/>
      <c r="Z562" s="270"/>
      <c r="AA562" s="270"/>
    </row>
    <row r="563" spans="3:27" ht="15" thickBot="1" x14ac:dyDescent="0.35">
      <c r="C563" s="501" t="s">
        <v>88</v>
      </c>
      <c r="D563" s="116"/>
      <c r="E563" s="116" t="s">
        <v>43</v>
      </c>
      <c r="F563" s="116" t="s">
        <v>426</v>
      </c>
      <c r="G563" s="450" t="str">
        <f t="shared" si="23"/>
        <v>Terminal E-Maintenance-Pavement cleaning</v>
      </c>
      <c r="H563" s="116"/>
      <c r="I563" s="889" t="s">
        <v>66</v>
      </c>
      <c r="J563" s="890">
        <f>SUMIFS('Level of Efficiency Assumptions'!J:J,'Level of Efficiency Assumptions'!D:D,E563,'Level of Efficiency Assumptions'!F:F,F563,'Level of Efficiency Assumptions'!I:I,I563)</f>
        <v>5</v>
      </c>
      <c r="K563" s="383" t="s">
        <v>588</v>
      </c>
      <c r="L563" s="257" t="s">
        <v>66</v>
      </c>
      <c r="M563" s="879">
        <f>Q565+Q566</f>
        <v>0</v>
      </c>
      <c r="N563" s="880">
        <f>IFERROR(M563/M564,"-")</f>
        <v>0</v>
      </c>
      <c r="O563" s="881">
        <f>SUMIFS('Data Entry'!T:T,'Data Entry'!K:K,G563)</f>
        <v>0</v>
      </c>
      <c r="P563" s="274"/>
      <c r="Q563" s="895">
        <v>1</v>
      </c>
      <c r="R563" s="114"/>
      <c r="S563" s="884"/>
      <c r="T563" s="270"/>
      <c r="U563" s="270"/>
      <c r="V563" s="270"/>
      <c r="W563" s="270"/>
      <c r="X563" s="270"/>
      <c r="Y563" s="270"/>
      <c r="Z563" s="270"/>
      <c r="AA563" s="270"/>
    </row>
    <row r="564" spans="3:27" x14ac:dyDescent="0.3">
      <c r="C564" s="450"/>
      <c r="D564" s="182"/>
      <c r="E564" s="182"/>
      <c r="F564" s="182"/>
      <c r="G564" s="450" t="str">
        <f t="shared" si="23"/>
        <v>--</v>
      </c>
      <c r="H564" s="182"/>
      <c r="I564" s="440"/>
      <c r="J564" s="892"/>
      <c r="K564" s="259"/>
      <c r="L564" s="259" t="s">
        <v>46</v>
      </c>
      <c r="M564" s="893">
        <f>SUM(M561:M563)</f>
        <v>1</v>
      </c>
      <c r="N564" s="894"/>
      <c r="O564" s="894">
        <f>SUM(O561:O563)</f>
        <v>0</v>
      </c>
      <c r="P564" s="274"/>
      <c r="Q564" s="895">
        <v>0</v>
      </c>
      <c r="R564" s="114"/>
      <c r="S564" s="884"/>
      <c r="T564" s="270"/>
      <c r="U564" s="270"/>
      <c r="V564" s="270"/>
      <c r="W564" s="270"/>
      <c r="X564" s="270"/>
      <c r="Y564" s="270"/>
      <c r="Z564" s="270"/>
      <c r="AA564" s="270"/>
    </row>
    <row r="565" spans="3:27" x14ac:dyDescent="0.3">
      <c r="C565" s="450"/>
      <c r="D565" s="182"/>
      <c r="E565" s="182"/>
      <c r="F565" s="182"/>
      <c r="G565" s="450" t="str">
        <f t="shared" si="23"/>
        <v>--</v>
      </c>
      <c r="H565" s="182"/>
      <c r="I565" s="892"/>
      <c r="J565" s="892"/>
      <c r="K565" s="182"/>
      <c r="L565" s="182"/>
      <c r="M565" s="270"/>
      <c r="N565" s="892"/>
      <c r="O565" s="892"/>
      <c r="P565" s="275"/>
      <c r="Q565" s="895">
        <v>0</v>
      </c>
      <c r="R565" s="114"/>
      <c r="S565" s="884"/>
      <c r="T565" s="270"/>
      <c r="U565" s="270"/>
      <c r="V565" s="270"/>
      <c r="W565" s="270"/>
      <c r="X565" s="270"/>
      <c r="Y565" s="270"/>
      <c r="Z565" s="270"/>
      <c r="AA565" s="270"/>
    </row>
    <row r="566" spans="3:27" x14ac:dyDescent="0.3">
      <c r="C566" s="450"/>
      <c r="D566" s="182"/>
      <c r="E566" s="182"/>
      <c r="F566" s="182"/>
      <c r="G566" s="450" t="str">
        <f t="shared" si="23"/>
        <v>--</v>
      </c>
      <c r="H566" s="182"/>
      <c r="I566" s="892"/>
      <c r="J566" s="892"/>
      <c r="K566" s="182"/>
      <c r="L566" s="182"/>
      <c r="M566" s="270"/>
      <c r="N566" s="892"/>
      <c r="O566" s="892"/>
      <c r="P566" s="269"/>
      <c r="Q566" s="895">
        <v>0</v>
      </c>
      <c r="R566" s="114"/>
      <c r="S566" s="884"/>
      <c r="T566" s="270"/>
      <c r="U566" s="270"/>
      <c r="V566" s="270"/>
      <c r="W566" s="270"/>
      <c r="X566" s="270"/>
      <c r="Y566" s="270"/>
      <c r="Z566" s="270"/>
      <c r="AA566" s="270"/>
    </row>
    <row r="567" spans="3:27" x14ac:dyDescent="0.3">
      <c r="C567" s="450"/>
      <c r="D567" s="182"/>
      <c r="E567" s="182"/>
      <c r="F567" s="182"/>
      <c r="G567" s="450" t="str">
        <f t="shared" si="23"/>
        <v>--</v>
      </c>
      <c r="H567" s="182"/>
      <c r="I567" s="892"/>
      <c r="J567" s="892"/>
      <c r="K567" s="182"/>
      <c r="L567" s="182"/>
      <c r="M567" s="270"/>
      <c r="N567" s="892"/>
      <c r="O567" s="892"/>
      <c r="P567" s="263" t="s">
        <v>46</v>
      </c>
      <c r="Q567" s="897">
        <f>SUM(Q561:Q566)</f>
        <v>1</v>
      </c>
      <c r="R567" s="899"/>
      <c r="S567" s="900"/>
      <c r="T567" s="270"/>
      <c r="U567" s="270"/>
      <c r="V567" s="270"/>
      <c r="W567" s="270"/>
      <c r="X567" s="270"/>
      <c r="Y567" s="270"/>
      <c r="Z567" s="270"/>
      <c r="AA567" s="270"/>
    </row>
    <row r="568" spans="3:27" x14ac:dyDescent="0.3">
      <c r="C568" s="450"/>
      <c r="D568" s="182"/>
      <c r="E568" s="182"/>
      <c r="F568" s="182"/>
      <c r="G568" s="450" t="str">
        <f t="shared" si="23"/>
        <v>--</v>
      </c>
      <c r="H568" s="182"/>
      <c r="I568" s="892"/>
      <c r="J568" s="892"/>
      <c r="K568" s="182"/>
      <c r="L568" s="182"/>
      <c r="M568" s="270"/>
      <c r="N568" s="892"/>
      <c r="O568" s="892"/>
      <c r="P568" s="259"/>
      <c r="Q568" s="114"/>
      <c r="R568" s="270"/>
      <c r="S568" s="270"/>
      <c r="T568" s="270"/>
      <c r="U568" s="270"/>
      <c r="V568" s="270"/>
      <c r="W568" s="270"/>
      <c r="X568" s="270"/>
      <c r="Y568" s="270"/>
      <c r="Z568" s="270"/>
      <c r="AA568" s="270"/>
    </row>
    <row r="569" spans="3:27" ht="15" thickBot="1" x14ac:dyDescent="0.35">
      <c r="C569" s="450"/>
      <c r="D569" s="182"/>
      <c r="E569" s="182"/>
      <c r="F569" s="182"/>
      <c r="G569" s="450" t="str">
        <f t="shared" si="23"/>
        <v>--</v>
      </c>
      <c r="H569" s="182"/>
      <c r="I569" s="892"/>
      <c r="J569" s="892"/>
      <c r="K569" s="182"/>
      <c r="L569" s="182"/>
      <c r="M569" s="901" t="s">
        <v>155</v>
      </c>
      <c r="N569" s="870" t="s">
        <v>188</v>
      </c>
      <c r="O569" s="870"/>
      <c r="P569" s="276" t="s">
        <v>52</v>
      </c>
      <c r="Q569" s="871" t="s">
        <v>155</v>
      </c>
      <c r="R569" s="902"/>
      <c r="S569" s="874"/>
      <c r="T569" s="270"/>
      <c r="U569" s="270"/>
      <c r="V569" s="270"/>
      <c r="W569" s="270"/>
      <c r="X569" s="270"/>
      <c r="Y569" s="270"/>
      <c r="Z569" s="270"/>
      <c r="AA569" s="270"/>
    </row>
    <row r="570" spans="3:27" ht="15" thickBot="1" x14ac:dyDescent="0.35">
      <c r="C570" s="566" t="s">
        <v>88</v>
      </c>
      <c r="D570" s="875" t="str">
        <f>VLOOKUP(C570,'Airport Mapping'!$C$5:$D$39,2,FALSE)</f>
        <v xml:space="preserve"> </v>
      </c>
      <c r="E570" s="567" t="s">
        <v>8</v>
      </c>
      <c r="F570" s="567" t="s">
        <v>52</v>
      </c>
      <c r="G570" s="450" t="str">
        <f t="shared" si="23"/>
        <v>Terminal E-Other-Other 1</v>
      </c>
      <c r="H570" s="567" t="s">
        <v>362</v>
      </c>
      <c r="I570" s="877" t="s">
        <v>64</v>
      </c>
      <c r="J570" s="878">
        <f>SUMIFS('Level of Efficiency Assumptions'!J:J,'Level of Efficiency Assumptions'!D:D,E570,'Level of Efficiency Assumptions'!F:F,F570,'Level of Efficiency Assumptions'!I:I,I570)</f>
        <v>10</v>
      </c>
      <c r="K570" s="383" t="s">
        <v>588</v>
      </c>
      <c r="L570" s="253" t="s">
        <v>64</v>
      </c>
      <c r="M570" s="879">
        <f>SUM(Q570:Q570)</f>
        <v>0</v>
      </c>
      <c r="N570" s="880">
        <f>IFERROR(M570/M573,"-")</f>
        <v>0</v>
      </c>
      <c r="O570" s="881">
        <f>SUMIFS('Data Entry'!R:R,'Data Entry'!K:K,G570)</f>
        <v>0</v>
      </c>
      <c r="P570" s="272" t="s">
        <v>129</v>
      </c>
      <c r="Q570" s="895">
        <v>0</v>
      </c>
      <c r="R570" s="114"/>
      <c r="S570" s="884"/>
      <c r="T570" s="270"/>
      <c r="U570" s="270"/>
      <c r="V570" s="270"/>
      <c r="W570" s="270"/>
      <c r="X570" s="270"/>
      <c r="Y570" s="270"/>
      <c r="Z570" s="270"/>
      <c r="AA570" s="270"/>
    </row>
    <row r="571" spans="3:27" ht="15" thickBot="1" x14ac:dyDescent="0.35">
      <c r="C571" s="494" t="s">
        <v>88</v>
      </c>
      <c r="D571" s="577"/>
      <c r="E571" s="577" t="s">
        <v>8</v>
      </c>
      <c r="F571" s="577" t="s">
        <v>52</v>
      </c>
      <c r="G571" s="450" t="str">
        <f t="shared" si="23"/>
        <v>Terminal E-Other-Other 1</v>
      </c>
      <c r="H571" s="577"/>
      <c r="I571" s="887" t="s">
        <v>65</v>
      </c>
      <c r="J571" s="878">
        <f>SUMIFS('Level of Efficiency Assumptions'!J:J,'Level of Efficiency Assumptions'!D:D,E571,'Level of Efficiency Assumptions'!F:F,F571,'Level of Efficiency Assumptions'!I:I,I571)</f>
        <v>7.5</v>
      </c>
      <c r="K571" s="383" t="s">
        <v>588</v>
      </c>
      <c r="L571" s="255" t="s">
        <v>65</v>
      </c>
      <c r="M571" s="879">
        <f t="shared" ref="M571:M572" si="24">SUM(Q571:Q571)</f>
        <v>1</v>
      </c>
      <c r="N571" s="880">
        <f>IFERROR(M571/M573,"-")</f>
        <v>1</v>
      </c>
      <c r="O571" s="881">
        <f>SUMIFS('Data Entry'!S:S,'Data Entry'!K:K,G571)</f>
        <v>0</v>
      </c>
      <c r="P571" s="274" t="s">
        <v>233</v>
      </c>
      <c r="Q571" s="895">
        <v>1</v>
      </c>
      <c r="R571" s="114"/>
      <c r="S571" s="884"/>
      <c r="T571" s="270"/>
      <c r="U571" s="270"/>
      <c r="V571" s="270"/>
      <c r="W571" s="270"/>
      <c r="X571" s="270"/>
      <c r="Y571" s="270"/>
      <c r="Z571" s="270"/>
      <c r="AA571" s="270"/>
    </row>
    <row r="572" spans="3:27" ht="15" thickBot="1" x14ac:dyDescent="0.35">
      <c r="C572" s="501" t="s">
        <v>88</v>
      </c>
      <c r="D572" s="116"/>
      <c r="E572" s="116" t="s">
        <v>8</v>
      </c>
      <c r="F572" s="116" t="s">
        <v>52</v>
      </c>
      <c r="G572" s="450" t="str">
        <f t="shared" si="23"/>
        <v>Terminal E-Other-Other 1</v>
      </c>
      <c r="H572" s="116"/>
      <c r="I572" s="889" t="s">
        <v>66</v>
      </c>
      <c r="J572" s="890">
        <f>SUMIFS('Level of Efficiency Assumptions'!J:J,'Level of Efficiency Assumptions'!D:D,E572,'Level of Efficiency Assumptions'!F:F,F572,'Level of Efficiency Assumptions'!I:I,I572)</f>
        <v>5</v>
      </c>
      <c r="K572" s="383" t="s">
        <v>588</v>
      </c>
      <c r="L572" s="257" t="s">
        <v>66</v>
      </c>
      <c r="M572" s="879">
        <f t="shared" si="24"/>
        <v>0</v>
      </c>
      <c r="N572" s="880">
        <f>IFERROR(M572/M573,"-")</f>
        <v>0</v>
      </c>
      <c r="O572" s="881">
        <f>SUMIFS('Data Entry'!T:T,'Data Entry'!K:K,G572)</f>
        <v>0</v>
      </c>
      <c r="P572" s="269" t="s">
        <v>234</v>
      </c>
      <c r="Q572" s="895">
        <v>0</v>
      </c>
      <c r="R572" s="114"/>
      <c r="S572" s="884"/>
      <c r="T572" s="270"/>
      <c r="U572" s="270"/>
      <c r="V572" s="270"/>
      <c r="W572" s="270"/>
      <c r="X572" s="270"/>
      <c r="Y572" s="270"/>
      <c r="Z572" s="270"/>
      <c r="AA572" s="270"/>
    </row>
    <row r="573" spans="3:27" x14ac:dyDescent="0.3">
      <c r="C573" s="450"/>
      <c r="D573" s="182"/>
      <c r="E573" s="182"/>
      <c r="F573" s="182"/>
      <c r="G573" s="450" t="str">
        <f t="shared" si="23"/>
        <v>--</v>
      </c>
      <c r="H573" s="182"/>
      <c r="I573" s="440"/>
      <c r="J573" s="892"/>
      <c r="K573" s="259"/>
      <c r="L573" s="259" t="s">
        <v>46</v>
      </c>
      <c r="M573" s="893">
        <f>SUM(M570:M572)</f>
        <v>1</v>
      </c>
      <c r="N573" s="894"/>
      <c r="O573" s="894">
        <f>SUM(O570:O572)</f>
        <v>0</v>
      </c>
      <c r="P573" s="263" t="s">
        <v>46</v>
      </c>
      <c r="Q573" s="897">
        <f>SUM(Q570:Q572)</f>
        <v>1</v>
      </c>
      <c r="R573" s="899"/>
      <c r="S573" s="900"/>
      <c r="T573" s="270"/>
      <c r="U573" s="270"/>
      <c r="V573" s="270"/>
      <c r="W573" s="270"/>
      <c r="X573" s="270"/>
      <c r="Y573" s="270"/>
      <c r="Z573" s="270"/>
      <c r="AA573" s="270"/>
    </row>
    <row r="574" spans="3:27" x14ac:dyDescent="0.3">
      <c r="C574" s="450"/>
      <c r="D574" s="182"/>
      <c r="E574" s="182"/>
      <c r="F574" s="182"/>
      <c r="G574" s="450" t="str">
        <f t="shared" si="23"/>
        <v>--</v>
      </c>
      <c r="H574" s="182"/>
      <c r="I574" s="892"/>
      <c r="J574" s="892"/>
      <c r="K574" s="182"/>
      <c r="L574" s="182"/>
      <c r="M574" s="270"/>
      <c r="N574" s="892"/>
      <c r="O574" s="892"/>
      <c r="P574" s="270"/>
      <c r="Q574" s="270"/>
      <c r="R574" s="270"/>
      <c r="S574" s="270"/>
      <c r="T574" s="270"/>
      <c r="U574" s="270"/>
      <c r="V574" s="270"/>
      <c r="W574" s="270"/>
      <c r="X574" s="270"/>
      <c r="Y574" s="270"/>
      <c r="Z574" s="270"/>
      <c r="AA574" s="270"/>
    </row>
    <row r="575" spans="3:27" ht="15" thickBot="1" x14ac:dyDescent="0.35">
      <c r="C575" s="450"/>
      <c r="D575" s="182"/>
      <c r="E575" s="182"/>
      <c r="F575" s="182"/>
      <c r="G575" s="450" t="str">
        <f t="shared" si="23"/>
        <v>--</v>
      </c>
      <c r="H575" s="182"/>
      <c r="I575" s="892"/>
      <c r="J575" s="892"/>
      <c r="K575" s="182"/>
      <c r="L575" s="182"/>
      <c r="M575" s="901" t="s">
        <v>155</v>
      </c>
      <c r="N575" s="870" t="s">
        <v>188</v>
      </c>
      <c r="O575" s="870"/>
      <c r="P575" s="276" t="s">
        <v>53</v>
      </c>
      <c r="Q575" s="871" t="s">
        <v>155</v>
      </c>
      <c r="R575" s="902"/>
      <c r="S575" s="874"/>
      <c r="T575" s="270"/>
      <c r="U575" s="270"/>
      <c r="V575" s="270"/>
      <c r="W575" s="270"/>
      <c r="X575" s="270"/>
      <c r="Y575" s="270"/>
      <c r="Z575" s="270"/>
      <c r="AA575" s="270"/>
    </row>
    <row r="576" spans="3:27" ht="15" thickBot="1" x14ac:dyDescent="0.35">
      <c r="C576" s="566" t="s">
        <v>88</v>
      </c>
      <c r="D576" s="875" t="str">
        <f>VLOOKUP(C576,'Airport Mapping'!$C$5:$D$39,2,FALSE)</f>
        <v xml:space="preserve"> </v>
      </c>
      <c r="E576" s="567" t="s">
        <v>8</v>
      </c>
      <c r="F576" s="567" t="s">
        <v>53</v>
      </c>
      <c r="G576" s="450" t="str">
        <f t="shared" si="23"/>
        <v>Terminal E-Other-Other 2</v>
      </c>
      <c r="H576" s="567" t="s">
        <v>363</v>
      </c>
      <c r="I576" s="877" t="s">
        <v>64</v>
      </c>
      <c r="J576" s="878">
        <f>SUMIFS('Level of Efficiency Assumptions'!J:J,'Level of Efficiency Assumptions'!D:D,E576,'Level of Efficiency Assumptions'!F:F,F576,'Level of Efficiency Assumptions'!I:I,I576)</f>
        <v>10</v>
      </c>
      <c r="K576" s="383" t="s">
        <v>588</v>
      </c>
      <c r="L576" s="253" t="s">
        <v>64</v>
      </c>
      <c r="M576" s="879">
        <f>SUM(Q576:Q576)</f>
        <v>0</v>
      </c>
      <c r="N576" s="880">
        <f>IFERROR(M576/M579,"-")</f>
        <v>0</v>
      </c>
      <c r="O576" s="881">
        <f>SUMIFS('Data Entry'!R:R,'Data Entry'!K:K,G576)</f>
        <v>0</v>
      </c>
      <c r="P576" s="272" t="s">
        <v>129</v>
      </c>
      <c r="Q576" s="895">
        <v>0</v>
      </c>
      <c r="R576" s="114"/>
      <c r="S576" s="884"/>
      <c r="T576" s="270"/>
      <c r="U576" s="270"/>
      <c r="V576" s="270"/>
      <c r="W576" s="270"/>
      <c r="X576" s="270"/>
      <c r="Y576" s="270"/>
      <c r="Z576" s="270"/>
      <c r="AA576" s="270"/>
    </row>
    <row r="577" spans="3:27" ht="15" thickBot="1" x14ac:dyDescent="0.35">
      <c r="C577" s="494" t="s">
        <v>88</v>
      </c>
      <c r="D577" s="577"/>
      <c r="E577" s="577" t="s">
        <v>8</v>
      </c>
      <c r="F577" s="577" t="s">
        <v>53</v>
      </c>
      <c r="G577" s="450" t="str">
        <f t="shared" si="23"/>
        <v>Terminal E-Other-Other 2</v>
      </c>
      <c r="H577" s="577"/>
      <c r="I577" s="887" t="s">
        <v>65</v>
      </c>
      <c r="J577" s="878">
        <f>SUMIFS('Level of Efficiency Assumptions'!J:J,'Level of Efficiency Assumptions'!D:D,E577,'Level of Efficiency Assumptions'!F:F,F577,'Level of Efficiency Assumptions'!I:I,I577)</f>
        <v>7.5</v>
      </c>
      <c r="K577" s="383" t="s">
        <v>588</v>
      </c>
      <c r="L577" s="255" t="s">
        <v>65</v>
      </c>
      <c r="M577" s="879">
        <f t="shared" ref="M577:M578" si="25">SUM(Q577:Q577)</f>
        <v>1</v>
      </c>
      <c r="N577" s="880">
        <f>IFERROR(M577/M579,"-")</f>
        <v>1</v>
      </c>
      <c r="O577" s="881">
        <f>SUMIFS('Data Entry'!S:S,'Data Entry'!K:K,G577)</f>
        <v>0</v>
      </c>
      <c r="P577" s="274" t="s">
        <v>233</v>
      </c>
      <c r="Q577" s="895">
        <v>1</v>
      </c>
      <c r="R577" s="114"/>
      <c r="S577" s="884"/>
      <c r="T577" s="270"/>
      <c r="U577" s="270"/>
      <c r="V577" s="270"/>
      <c r="W577" s="270"/>
      <c r="X577" s="270"/>
      <c r="Y577" s="270"/>
      <c r="Z577" s="270"/>
      <c r="AA577" s="270"/>
    </row>
    <row r="578" spans="3:27" ht="15" thickBot="1" x14ac:dyDescent="0.35">
      <c r="C578" s="501" t="s">
        <v>88</v>
      </c>
      <c r="D578" s="116"/>
      <c r="E578" s="116" t="s">
        <v>8</v>
      </c>
      <c r="F578" s="116" t="s">
        <v>53</v>
      </c>
      <c r="G578" s="450" t="str">
        <f t="shared" si="23"/>
        <v>Terminal E-Other-Other 2</v>
      </c>
      <c r="H578" s="116"/>
      <c r="I578" s="889" t="s">
        <v>66</v>
      </c>
      <c r="J578" s="890">
        <f>SUMIFS('Level of Efficiency Assumptions'!J:J,'Level of Efficiency Assumptions'!D:D,E578,'Level of Efficiency Assumptions'!F:F,F578,'Level of Efficiency Assumptions'!I:I,I578)</f>
        <v>5</v>
      </c>
      <c r="K578" s="383" t="s">
        <v>588</v>
      </c>
      <c r="L578" s="257" t="s">
        <v>66</v>
      </c>
      <c r="M578" s="879">
        <f t="shared" si="25"/>
        <v>0</v>
      </c>
      <c r="N578" s="880">
        <f>IFERROR(M578/M579,"-")</f>
        <v>0</v>
      </c>
      <c r="O578" s="881">
        <f>SUMIFS('Data Entry'!T:T,'Data Entry'!K:K,G578)</f>
        <v>0</v>
      </c>
      <c r="P578" s="269" t="s">
        <v>234</v>
      </c>
      <c r="Q578" s="895">
        <v>0</v>
      </c>
      <c r="R578" s="114"/>
      <c r="S578" s="884"/>
      <c r="T578" s="270"/>
      <c r="U578" s="270"/>
      <c r="V578" s="270"/>
      <c r="W578" s="270"/>
      <c r="X578" s="270"/>
      <c r="Y578" s="270"/>
      <c r="Z578" s="270"/>
      <c r="AA578" s="270"/>
    </row>
    <row r="579" spans="3:27" x14ac:dyDescent="0.3">
      <c r="C579" s="450"/>
      <c r="D579" s="182"/>
      <c r="E579" s="182"/>
      <c r="F579" s="182"/>
      <c r="G579" s="450" t="str">
        <f t="shared" si="23"/>
        <v>--</v>
      </c>
      <c r="H579" s="182"/>
      <c r="I579" s="440"/>
      <c r="J579" s="892"/>
      <c r="K579" s="259"/>
      <c r="L579" s="259" t="s">
        <v>46</v>
      </c>
      <c r="M579" s="893">
        <f>SUM(M576:M578)</f>
        <v>1</v>
      </c>
      <c r="N579" s="894"/>
      <c r="O579" s="894">
        <f>SUM(O576:O578)</f>
        <v>0</v>
      </c>
      <c r="P579" s="263" t="s">
        <v>46</v>
      </c>
      <c r="Q579" s="897">
        <f>SUM(Q576:Q578)</f>
        <v>1</v>
      </c>
      <c r="R579" s="899"/>
      <c r="S579" s="900"/>
      <c r="T579" s="270"/>
      <c r="U579" s="270"/>
      <c r="V579" s="270"/>
      <c r="W579" s="270"/>
      <c r="X579" s="270"/>
      <c r="Y579" s="270"/>
      <c r="Z579" s="270"/>
      <c r="AA579" s="270"/>
    </row>
    <row r="580" spans="3:27" x14ac:dyDescent="0.3">
      <c r="C580" s="450"/>
      <c r="D580" s="182"/>
      <c r="E580" s="182"/>
      <c r="F580" s="182"/>
      <c r="G580" s="450" t="str">
        <f t="shared" si="23"/>
        <v>--</v>
      </c>
      <c r="H580" s="182"/>
      <c r="I580" s="892"/>
      <c r="J580" s="892"/>
      <c r="K580" s="182"/>
      <c r="L580" s="182"/>
      <c r="M580" s="270"/>
      <c r="N580" s="892"/>
      <c r="O580" s="892"/>
      <c r="P580" s="270"/>
      <c r="Q580" s="270"/>
      <c r="R580" s="270"/>
      <c r="S580" s="270"/>
      <c r="T580" s="270"/>
      <c r="U580" s="270"/>
      <c r="V580" s="270"/>
      <c r="W580" s="270"/>
      <c r="X580" s="270"/>
      <c r="Y580" s="270"/>
      <c r="Z580" s="270"/>
      <c r="AA580" s="270"/>
    </row>
    <row r="581" spans="3:27" ht="15" thickBot="1" x14ac:dyDescent="0.35">
      <c r="C581" s="450"/>
      <c r="D581" s="182"/>
      <c r="E581" s="182"/>
      <c r="F581" s="182"/>
      <c r="G581" s="450" t="str">
        <f t="shared" si="23"/>
        <v>--</v>
      </c>
      <c r="H581" s="182"/>
      <c r="I581" s="892"/>
      <c r="J581" s="892"/>
      <c r="K581" s="182"/>
      <c r="L581" s="182"/>
      <c r="M581" s="901" t="s">
        <v>155</v>
      </c>
      <c r="N581" s="870" t="s">
        <v>188</v>
      </c>
      <c r="O581" s="870"/>
      <c r="P581" s="276" t="s">
        <v>54</v>
      </c>
      <c r="Q581" s="871" t="s">
        <v>155</v>
      </c>
      <c r="R581" s="902"/>
      <c r="S581" s="874"/>
      <c r="T581" s="270"/>
      <c r="U581" s="270"/>
      <c r="V581" s="270"/>
      <c r="W581" s="270"/>
      <c r="X581" s="270"/>
      <c r="Y581" s="270"/>
      <c r="Z581" s="270"/>
      <c r="AA581" s="270"/>
    </row>
    <row r="582" spans="3:27" ht="15" thickBot="1" x14ac:dyDescent="0.35">
      <c r="C582" s="566" t="s">
        <v>88</v>
      </c>
      <c r="D582" s="875" t="str">
        <f>VLOOKUP(C582,'Airport Mapping'!$C$5:$D$39,2,FALSE)</f>
        <v xml:space="preserve"> </v>
      </c>
      <c r="E582" s="567" t="s">
        <v>8</v>
      </c>
      <c r="F582" s="567" t="s">
        <v>54</v>
      </c>
      <c r="G582" s="450" t="str">
        <f t="shared" si="23"/>
        <v>Terminal E-Other-Other 3</v>
      </c>
      <c r="H582" s="567" t="s">
        <v>364</v>
      </c>
      <c r="I582" s="877" t="s">
        <v>64</v>
      </c>
      <c r="J582" s="878">
        <f>SUMIFS('Level of Efficiency Assumptions'!J:J,'Level of Efficiency Assumptions'!D:D,E582,'Level of Efficiency Assumptions'!F:F,F582,'Level of Efficiency Assumptions'!I:I,I582)</f>
        <v>10</v>
      </c>
      <c r="K582" s="383" t="s">
        <v>588</v>
      </c>
      <c r="L582" s="253" t="s">
        <v>64</v>
      </c>
      <c r="M582" s="879">
        <f>SUM(Q582:Q582)</f>
        <v>0</v>
      </c>
      <c r="N582" s="880">
        <f>IFERROR(M582/M585,"-")</f>
        <v>0</v>
      </c>
      <c r="O582" s="881">
        <f>SUMIFS('Data Entry'!R:R,'Data Entry'!K:K,G582)</f>
        <v>0</v>
      </c>
      <c r="P582" s="272" t="s">
        <v>129</v>
      </c>
      <c r="Q582" s="895">
        <v>0</v>
      </c>
      <c r="R582" s="114"/>
      <c r="S582" s="884"/>
      <c r="T582" s="270"/>
      <c r="U582" s="270"/>
      <c r="V582" s="270"/>
      <c r="W582" s="270"/>
      <c r="X582" s="270"/>
      <c r="Y582" s="270"/>
      <c r="Z582" s="270"/>
      <c r="AA582" s="270"/>
    </row>
    <row r="583" spans="3:27" ht="15" thickBot="1" x14ac:dyDescent="0.35">
      <c r="C583" s="494" t="s">
        <v>88</v>
      </c>
      <c r="D583" s="577"/>
      <c r="E583" s="577" t="s">
        <v>8</v>
      </c>
      <c r="F583" s="577" t="s">
        <v>54</v>
      </c>
      <c r="G583" s="450" t="str">
        <f t="shared" si="23"/>
        <v>Terminal E-Other-Other 3</v>
      </c>
      <c r="H583" s="577"/>
      <c r="I583" s="887" t="s">
        <v>65</v>
      </c>
      <c r="J583" s="878">
        <f>SUMIFS('Level of Efficiency Assumptions'!J:J,'Level of Efficiency Assumptions'!D:D,E583,'Level of Efficiency Assumptions'!F:F,F583,'Level of Efficiency Assumptions'!I:I,I583)</f>
        <v>7.5</v>
      </c>
      <c r="K583" s="383" t="s">
        <v>588</v>
      </c>
      <c r="L583" s="255" t="s">
        <v>65</v>
      </c>
      <c r="M583" s="879">
        <f t="shared" ref="M583:M584" si="26">SUM(Q583:Q583)</f>
        <v>1</v>
      </c>
      <c r="N583" s="880">
        <f>IFERROR(M583/M585,"-")</f>
        <v>1</v>
      </c>
      <c r="O583" s="881">
        <f>SUMIFS('Data Entry'!S:S,'Data Entry'!K:K,G583)</f>
        <v>0</v>
      </c>
      <c r="P583" s="274" t="s">
        <v>233</v>
      </c>
      <c r="Q583" s="895">
        <v>1</v>
      </c>
      <c r="R583" s="114"/>
      <c r="S583" s="884"/>
      <c r="T583" s="270"/>
      <c r="U583" s="270"/>
      <c r="V583" s="270"/>
      <c r="W583" s="270"/>
      <c r="X583" s="270"/>
      <c r="Y583" s="270"/>
      <c r="Z583" s="270"/>
      <c r="AA583" s="270"/>
    </row>
    <row r="584" spans="3:27" ht="15" thickBot="1" x14ac:dyDescent="0.35">
      <c r="C584" s="501" t="s">
        <v>88</v>
      </c>
      <c r="D584" s="116"/>
      <c r="E584" s="116" t="s">
        <v>8</v>
      </c>
      <c r="F584" s="116" t="s">
        <v>54</v>
      </c>
      <c r="G584" s="450" t="str">
        <f t="shared" si="23"/>
        <v>Terminal E-Other-Other 3</v>
      </c>
      <c r="H584" s="116"/>
      <c r="I584" s="889" t="s">
        <v>66</v>
      </c>
      <c r="J584" s="890">
        <f>SUMIFS('Level of Efficiency Assumptions'!J:J,'Level of Efficiency Assumptions'!D:D,E584,'Level of Efficiency Assumptions'!F:F,F584,'Level of Efficiency Assumptions'!I:I,I584)</f>
        <v>5</v>
      </c>
      <c r="K584" s="383" t="s">
        <v>588</v>
      </c>
      <c r="L584" s="257" t="s">
        <v>66</v>
      </c>
      <c r="M584" s="879">
        <f t="shared" si="26"/>
        <v>0</v>
      </c>
      <c r="N584" s="880">
        <f>IFERROR(M584/M585,"-")</f>
        <v>0</v>
      </c>
      <c r="O584" s="881">
        <f>SUMIFS('Data Entry'!T:T,'Data Entry'!K:K,G584)</f>
        <v>0</v>
      </c>
      <c r="P584" s="269" t="s">
        <v>234</v>
      </c>
      <c r="Q584" s="895">
        <v>0</v>
      </c>
      <c r="R584" s="114"/>
      <c r="S584" s="884"/>
      <c r="T584" s="270"/>
      <c r="U584" s="270"/>
      <c r="V584" s="270"/>
      <c r="W584" s="270"/>
      <c r="X584" s="270"/>
      <c r="Y584" s="270"/>
      <c r="Z584" s="270"/>
      <c r="AA584" s="270"/>
    </row>
    <row r="585" spans="3:27" x14ac:dyDescent="0.3">
      <c r="C585" s="450"/>
      <c r="D585" s="182"/>
      <c r="E585" s="182"/>
      <c r="F585" s="182"/>
      <c r="G585" s="450" t="str">
        <f t="shared" si="23"/>
        <v>--</v>
      </c>
      <c r="H585" s="182"/>
      <c r="I585" s="440"/>
      <c r="J585" s="892"/>
      <c r="K585" s="259"/>
      <c r="L585" s="259" t="s">
        <v>46</v>
      </c>
      <c r="M585" s="893">
        <f>SUM(M582:M584)</f>
        <v>1</v>
      </c>
      <c r="N585" s="894"/>
      <c r="O585" s="894">
        <f>SUM(O582:O584)</f>
        <v>0</v>
      </c>
      <c r="P585" s="263" t="s">
        <v>46</v>
      </c>
      <c r="Q585" s="897">
        <f>SUM(Q582:Q584)</f>
        <v>1</v>
      </c>
      <c r="R585" s="899"/>
      <c r="S585" s="900"/>
      <c r="T585" s="270"/>
      <c r="U585" s="270"/>
      <c r="V585" s="270"/>
      <c r="W585" s="270"/>
      <c r="X585" s="270"/>
      <c r="Y585" s="270"/>
      <c r="Z585" s="270"/>
      <c r="AA585" s="270"/>
    </row>
    <row r="586" spans="3:27" ht="15" thickBot="1" x14ac:dyDescent="0.35">
      <c r="C586" s="451"/>
      <c r="D586" s="184"/>
      <c r="E586" s="184"/>
      <c r="F586" s="184"/>
      <c r="G586" s="450" t="str">
        <f t="shared" si="23"/>
        <v>--</v>
      </c>
      <c r="H586" s="184"/>
      <c r="I586" s="184"/>
      <c r="J586" s="184"/>
      <c r="K586" s="184"/>
      <c r="L586" s="184"/>
      <c r="M586" s="278"/>
      <c r="N586" s="281"/>
      <c r="O586" s="281"/>
      <c r="P586" s="278"/>
      <c r="Q586" s="278"/>
      <c r="R586" s="278"/>
      <c r="S586" s="278"/>
      <c r="T586" s="278"/>
      <c r="U586" s="270"/>
      <c r="V586" s="270"/>
      <c r="W586" s="270"/>
      <c r="X586" s="270"/>
      <c r="Y586" s="270"/>
      <c r="Z586" s="270"/>
      <c r="AA586" s="270"/>
    </row>
    <row r="587" spans="3:27" x14ac:dyDescent="0.3">
      <c r="C587" s="450"/>
      <c r="D587" s="182"/>
      <c r="E587" s="182"/>
      <c r="F587" s="182"/>
      <c r="G587" s="450" t="str">
        <f t="shared" si="23"/>
        <v>--</v>
      </c>
      <c r="H587" s="182"/>
      <c r="I587" s="892"/>
      <c r="J587" s="892"/>
      <c r="K587" s="182"/>
      <c r="L587" s="182"/>
      <c r="M587" s="270"/>
      <c r="N587" s="892"/>
      <c r="O587" s="892"/>
      <c r="P587" s="270"/>
      <c r="Q587" s="270"/>
      <c r="R587" s="270"/>
      <c r="S587" s="270"/>
      <c r="T587" s="270"/>
      <c r="U587" s="270"/>
      <c r="V587" s="270"/>
      <c r="W587" s="270"/>
      <c r="X587" s="270"/>
      <c r="Y587" s="270"/>
      <c r="Z587" s="270"/>
      <c r="AA587" s="270"/>
    </row>
    <row r="588" spans="3:27" ht="15" thickBot="1" x14ac:dyDescent="0.35">
      <c r="C588" s="450"/>
      <c r="D588" s="182"/>
      <c r="E588" s="182"/>
      <c r="F588" s="182"/>
      <c r="G588" s="450" t="str">
        <f t="shared" si="23"/>
        <v>--</v>
      </c>
      <c r="H588" s="182"/>
      <c r="I588" s="892"/>
      <c r="J588" s="892"/>
      <c r="K588" s="182"/>
      <c r="L588" s="182"/>
      <c r="M588" s="901" t="s">
        <v>155</v>
      </c>
      <c r="N588" s="870" t="s">
        <v>188</v>
      </c>
      <c r="O588" s="870"/>
      <c r="P588" s="252" t="s">
        <v>158</v>
      </c>
      <c r="Q588" s="871" t="s">
        <v>155</v>
      </c>
      <c r="R588" s="872" t="s">
        <v>168</v>
      </c>
      <c r="S588" s="872" t="s">
        <v>169</v>
      </c>
      <c r="T588" s="873"/>
      <c r="U588" s="874"/>
      <c r="V588" s="270"/>
      <c r="W588" s="270"/>
      <c r="X588" s="270"/>
      <c r="Y588" s="114"/>
      <c r="Z588" s="270"/>
      <c r="AA588" s="270"/>
    </row>
    <row r="589" spans="3:27" ht="15" thickBot="1" x14ac:dyDescent="0.35">
      <c r="C589" s="566" t="s">
        <v>383</v>
      </c>
      <c r="D589" s="875" t="str">
        <f>VLOOKUP(C589,'Airport Mapping'!$C$5:$D$39,2,FALSE)</f>
        <v xml:space="preserve"> </v>
      </c>
      <c r="E589" s="567" t="s">
        <v>37</v>
      </c>
      <c r="F589" s="567" t="s">
        <v>2</v>
      </c>
      <c r="G589" s="450" t="str">
        <f t="shared" si="23"/>
        <v>Office Building A-Restrooms-Toilets</v>
      </c>
      <c r="H589" s="567" t="s">
        <v>6</v>
      </c>
      <c r="I589" s="877" t="s">
        <v>64</v>
      </c>
      <c r="J589" s="878">
        <f>SUMIFS('Level of Efficiency Assumptions'!J:J,'Level of Efficiency Assumptions'!D:D,E589,'Level of Efficiency Assumptions'!F:F,F589,'Level of Efficiency Assumptions'!I:I,I589)</f>
        <v>3.5</v>
      </c>
      <c r="K589" s="383" t="s">
        <v>68</v>
      </c>
      <c r="L589" s="253" t="s">
        <v>64</v>
      </c>
      <c r="M589" s="879">
        <f>Q589+Q595</f>
        <v>0</v>
      </c>
      <c r="N589" s="880">
        <f>IFERROR(M589/M592,"-")</f>
        <v>0</v>
      </c>
      <c r="O589" s="881">
        <f>SUMIFS('Data Entry'!R:R,'Data Entry'!K:K,G589)</f>
        <v>0</v>
      </c>
      <c r="P589" s="254" t="s">
        <v>159</v>
      </c>
      <c r="Q589" s="882">
        <v>0</v>
      </c>
      <c r="R589" s="883"/>
      <c r="S589" s="883"/>
      <c r="T589" s="114" t="s">
        <v>182</v>
      </c>
      <c r="U589" s="884"/>
      <c r="V589" s="270"/>
      <c r="W589" s="270"/>
      <c r="X589" s="270"/>
      <c r="Y589" s="114"/>
      <c r="Z589" s="270"/>
      <c r="AA589" s="270"/>
    </row>
    <row r="590" spans="3:27" ht="15" thickBot="1" x14ac:dyDescent="0.35">
      <c r="C590" s="494" t="s">
        <v>383</v>
      </c>
      <c r="D590" s="577"/>
      <c r="E590" s="577" t="s">
        <v>37</v>
      </c>
      <c r="F590" s="577" t="s">
        <v>2</v>
      </c>
      <c r="G590" s="450" t="str">
        <f t="shared" si="23"/>
        <v>Office Building A-Restrooms-Toilets</v>
      </c>
      <c r="H590" s="577"/>
      <c r="I590" s="887" t="s">
        <v>65</v>
      </c>
      <c r="J590" s="878">
        <f>SUMIFS('Level of Efficiency Assumptions'!J:J,'Level of Efficiency Assumptions'!D:D,E590,'Level of Efficiency Assumptions'!F:F,F590,'Level of Efficiency Assumptions'!I:I,I590)</f>
        <v>1.6</v>
      </c>
      <c r="K590" s="383" t="s">
        <v>68</v>
      </c>
      <c r="L590" s="255" t="s">
        <v>65</v>
      </c>
      <c r="M590" s="879">
        <f>Q590+Q593+Q596</f>
        <v>1</v>
      </c>
      <c r="N590" s="880">
        <f>IFERROR(M590/M592,"-")</f>
        <v>1</v>
      </c>
      <c r="O590" s="881">
        <f>SUMIFS('Data Entry'!S:S,'Data Entry'!K:K,G590)</f>
        <v>0</v>
      </c>
      <c r="P590" s="256" t="s">
        <v>161</v>
      </c>
      <c r="Q590" s="882">
        <v>1</v>
      </c>
      <c r="R590" s="883"/>
      <c r="S590" s="883"/>
      <c r="T590" s="114" t="s">
        <v>184</v>
      </c>
      <c r="U590" s="884"/>
      <c r="V590" s="270"/>
      <c r="W590" s="270"/>
      <c r="X590" s="270"/>
      <c r="Y590" s="114"/>
      <c r="Z590" s="270"/>
      <c r="AA590" s="270"/>
    </row>
    <row r="591" spans="3:27" ht="15" thickBot="1" x14ac:dyDescent="0.35">
      <c r="C591" s="501" t="s">
        <v>383</v>
      </c>
      <c r="D591" s="116"/>
      <c r="E591" s="116" t="s">
        <v>37</v>
      </c>
      <c r="F591" s="116" t="s">
        <v>2</v>
      </c>
      <c r="G591" s="450" t="str">
        <f t="shared" si="23"/>
        <v>Office Building A-Restrooms-Toilets</v>
      </c>
      <c r="H591" s="116"/>
      <c r="I591" s="889" t="s">
        <v>66</v>
      </c>
      <c r="J591" s="890">
        <f>SUMIFS('Level of Efficiency Assumptions'!J:J,'Level of Efficiency Assumptions'!D:D,E591,'Level of Efficiency Assumptions'!F:F,F591,'Level of Efficiency Assumptions'!I:I,I591)</f>
        <v>1.28</v>
      </c>
      <c r="K591" s="383" t="s">
        <v>68</v>
      </c>
      <c r="L591" s="257" t="s">
        <v>66</v>
      </c>
      <c r="M591" s="879">
        <f>Q591+Q592+Q594+Q597+Q598</f>
        <v>0</v>
      </c>
      <c r="N591" s="880">
        <f>IFERROR(M591/M592,"-")</f>
        <v>0</v>
      </c>
      <c r="O591" s="881">
        <f>SUMIFS('Data Entry'!T:T,'Data Entry'!K:K,G591)</f>
        <v>0</v>
      </c>
      <c r="P591" s="258" t="s">
        <v>163</v>
      </c>
      <c r="Q591" s="882">
        <v>0</v>
      </c>
      <c r="R591" s="883"/>
      <c r="S591" s="883"/>
      <c r="T591" s="891"/>
      <c r="U591" s="884"/>
      <c r="V591" s="270"/>
      <c r="W591" s="270"/>
      <c r="X591" s="270"/>
      <c r="Y591" s="114"/>
      <c r="Z591" s="270"/>
      <c r="AA591" s="270"/>
    </row>
    <row r="592" spans="3:27" x14ac:dyDescent="0.3">
      <c r="C592" s="450"/>
      <c r="D592" s="182"/>
      <c r="E592" s="182"/>
      <c r="F592" s="182"/>
      <c r="G592" s="450" t="str">
        <f t="shared" si="23"/>
        <v>--</v>
      </c>
      <c r="H592" s="182"/>
      <c r="I592" s="440"/>
      <c r="J592" s="892"/>
      <c r="K592" s="259"/>
      <c r="L592" s="259" t="s">
        <v>46</v>
      </c>
      <c r="M592" s="893">
        <f>SUM(M589:M591)</f>
        <v>1</v>
      </c>
      <c r="N592" s="894"/>
      <c r="O592" s="894">
        <f>SUM(O589:O591)</f>
        <v>0</v>
      </c>
      <c r="P592" s="258" t="s">
        <v>165</v>
      </c>
      <c r="Q592" s="882">
        <v>0</v>
      </c>
      <c r="R592" s="883"/>
      <c r="S592" s="883"/>
      <c r="T592" s="891"/>
      <c r="U592" s="884"/>
      <c r="V592" s="270"/>
      <c r="W592" s="270"/>
      <c r="X592" s="270"/>
      <c r="Y592" s="114"/>
      <c r="Z592" s="270"/>
      <c r="AA592" s="270"/>
    </row>
    <row r="593" spans="3:27" ht="15" thickBot="1" x14ac:dyDescent="0.35">
      <c r="C593" s="450"/>
      <c r="D593" s="182"/>
      <c r="E593" s="182"/>
      <c r="F593" s="182"/>
      <c r="G593" s="450" t="str">
        <f t="shared" si="23"/>
        <v>--</v>
      </c>
      <c r="H593" s="182"/>
      <c r="I593" s="892"/>
      <c r="J593" s="288"/>
      <c r="K593" s="182"/>
      <c r="L593" s="181"/>
      <c r="M593" s="181"/>
      <c r="N593" s="892"/>
      <c r="O593" s="892"/>
      <c r="P593" s="256" t="s">
        <v>166</v>
      </c>
      <c r="Q593" s="895">
        <v>0</v>
      </c>
      <c r="R593" s="883"/>
      <c r="S593" s="883"/>
      <c r="T593" s="891"/>
      <c r="U593" s="896"/>
      <c r="V593" s="891"/>
      <c r="W593" s="270"/>
      <c r="X593" s="270"/>
      <c r="Y593" s="114"/>
      <c r="Z593" s="270"/>
      <c r="AA593" s="270"/>
    </row>
    <row r="594" spans="3:27" x14ac:dyDescent="0.3">
      <c r="C594" s="450"/>
      <c r="D594" s="182"/>
      <c r="E594" s="182"/>
      <c r="F594" s="182"/>
      <c r="G594" s="450" t="str">
        <f t="shared" si="23"/>
        <v>--</v>
      </c>
      <c r="H594" s="182"/>
      <c r="I594" s="892"/>
      <c r="J594" s="288"/>
      <c r="K594" s="182"/>
      <c r="L594" s="1384" t="s">
        <v>377</v>
      </c>
      <c r="M594" s="1385"/>
      <c r="N594" s="1385"/>
      <c r="O594" s="1386"/>
      <c r="P594" s="258" t="s">
        <v>167</v>
      </c>
      <c r="Q594" s="895">
        <v>0</v>
      </c>
      <c r="R594" s="883"/>
      <c r="S594" s="883"/>
      <c r="T594" s="891"/>
      <c r="U594" s="896"/>
      <c r="V594" s="891"/>
      <c r="W594" s="270"/>
      <c r="X594" s="270"/>
      <c r="Y594" s="270"/>
      <c r="Z594" s="270"/>
      <c r="AA594" s="270"/>
    </row>
    <row r="595" spans="3:27" x14ac:dyDescent="0.3">
      <c r="C595" s="450"/>
      <c r="D595" s="182"/>
      <c r="E595" s="182"/>
      <c r="F595" s="182"/>
      <c r="G595" s="450" t="str">
        <f t="shared" si="23"/>
        <v>--</v>
      </c>
      <c r="H595" s="182"/>
      <c r="I595" s="892"/>
      <c r="J595" s="288"/>
      <c r="K595" s="182"/>
      <c r="L595" s="1387"/>
      <c r="M595" s="1388"/>
      <c r="N595" s="1388"/>
      <c r="O595" s="1389"/>
      <c r="P595" s="254" t="s">
        <v>160</v>
      </c>
      <c r="Q595" s="895">
        <v>0</v>
      </c>
      <c r="R595" s="891"/>
      <c r="S595" s="891"/>
      <c r="T595" s="891"/>
      <c r="U595" s="896"/>
      <c r="V595" s="891"/>
      <c r="W595" s="270"/>
      <c r="X595" s="270"/>
      <c r="Y595" s="270"/>
      <c r="Z595" s="270"/>
      <c r="AA595" s="270"/>
    </row>
    <row r="596" spans="3:27" x14ac:dyDescent="0.3">
      <c r="C596" s="450"/>
      <c r="D596" s="182"/>
      <c r="E596" s="182"/>
      <c r="F596" s="182"/>
      <c r="G596" s="450" t="str">
        <f t="shared" si="23"/>
        <v>--</v>
      </c>
      <c r="H596" s="182"/>
      <c r="I596" s="892"/>
      <c r="J596" s="288"/>
      <c r="K596" s="182"/>
      <c r="L596" s="1387"/>
      <c r="M596" s="1388"/>
      <c r="N596" s="1388"/>
      <c r="O596" s="1389"/>
      <c r="P596" s="256" t="s">
        <v>162</v>
      </c>
      <c r="Q596" s="895">
        <v>0</v>
      </c>
      <c r="R596" s="891"/>
      <c r="S596" s="891"/>
      <c r="T596" s="891"/>
      <c r="U596" s="896"/>
      <c r="V596" s="891"/>
      <c r="W596" s="270"/>
      <c r="X596" s="270"/>
      <c r="Y596" s="270"/>
      <c r="Z596" s="270"/>
      <c r="AA596" s="270"/>
    </row>
    <row r="597" spans="3:27" ht="15" thickBot="1" x14ac:dyDescent="0.35">
      <c r="C597" s="450"/>
      <c r="D597" s="182"/>
      <c r="E597" s="182"/>
      <c r="F597" s="182"/>
      <c r="G597" s="450" t="str">
        <f t="shared" si="23"/>
        <v>--</v>
      </c>
      <c r="H597" s="182"/>
      <c r="I597" s="892"/>
      <c r="J597" s="288"/>
      <c r="K597" s="182"/>
      <c r="L597" s="1390"/>
      <c r="M597" s="1391"/>
      <c r="N597" s="1391"/>
      <c r="O597" s="1392"/>
      <c r="P597" s="258" t="s">
        <v>164</v>
      </c>
      <c r="Q597" s="895">
        <v>0</v>
      </c>
      <c r="R597" s="114"/>
      <c r="S597" s="891"/>
      <c r="T597" s="114"/>
      <c r="U597" s="884"/>
      <c r="V597" s="114"/>
      <c r="W597" s="270"/>
      <c r="X597" s="270"/>
      <c r="Y597" s="270"/>
      <c r="Z597" s="270"/>
      <c r="AA597" s="270"/>
    </row>
    <row r="598" spans="3:27" x14ac:dyDescent="0.3">
      <c r="C598" s="450"/>
      <c r="D598" s="182"/>
      <c r="E598" s="182"/>
      <c r="F598" s="182"/>
      <c r="G598" s="450" t="str">
        <f t="shared" si="23"/>
        <v>--</v>
      </c>
      <c r="H598" s="182"/>
      <c r="I598" s="892"/>
      <c r="J598" s="288"/>
      <c r="K598" s="182"/>
      <c r="L598" s="181"/>
      <c r="M598" s="181"/>
      <c r="N598" s="892"/>
      <c r="O598" s="892"/>
      <c r="P598" s="258" t="s">
        <v>187</v>
      </c>
      <c r="Q598" s="895">
        <v>0</v>
      </c>
      <c r="R598" s="114"/>
      <c r="S598" s="891"/>
      <c r="T598" s="114"/>
      <c r="U598" s="884"/>
      <c r="V598" s="114"/>
      <c r="W598" s="270"/>
      <c r="X598" s="270"/>
      <c r="Y598" s="270"/>
      <c r="Z598" s="270"/>
      <c r="AA598" s="270"/>
    </row>
    <row r="599" spans="3:27" x14ac:dyDescent="0.3">
      <c r="C599" s="450"/>
      <c r="D599" s="182"/>
      <c r="E599" s="182"/>
      <c r="F599" s="182"/>
      <c r="G599" s="450" t="str">
        <f t="shared" si="23"/>
        <v>--</v>
      </c>
      <c r="H599" s="182"/>
      <c r="I599" s="892"/>
      <c r="J599" s="288"/>
      <c r="K599" s="182"/>
      <c r="L599" s="181"/>
      <c r="M599" s="181"/>
      <c r="N599" s="892"/>
      <c r="O599" s="892"/>
      <c r="P599" s="263" t="s">
        <v>46</v>
      </c>
      <c r="Q599" s="897">
        <f>SUM(Q589:Q598)</f>
        <v>1</v>
      </c>
      <c r="R599" s="898"/>
      <c r="S599" s="898"/>
      <c r="T599" s="899"/>
      <c r="U599" s="900"/>
      <c r="V599" s="114"/>
      <c r="W599" s="270"/>
      <c r="X599" s="270"/>
      <c r="Y599" s="270"/>
      <c r="Z599" s="270"/>
      <c r="AA599" s="270"/>
    </row>
    <row r="600" spans="3:27" x14ac:dyDescent="0.3">
      <c r="C600" s="450"/>
      <c r="D600" s="182"/>
      <c r="E600" s="182"/>
      <c r="F600" s="182"/>
      <c r="G600" s="450" t="str">
        <f t="shared" si="23"/>
        <v>--</v>
      </c>
      <c r="H600" s="182"/>
      <c r="I600" s="892"/>
      <c r="J600" s="288"/>
      <c r="K600" s="182"/>
      <c r="L600" s="181"/>
      <c r="M600" s="181"/>
      <c r="N600" s="892"/>
      <c r="O600" s="892"/>
      <c r="P600" s="114"/>
      <c r="Q600" s="114"/>
      <c r="R600" s="891"/>
      <c r="S600" s="891"/>
      <c r="T600" s="114"/>
      <c r="U600" s="114"/>
      <c r="V600" s="114"/>
      <c r="W600" s="270"/>
      <c r="X600" s="270"/>
      <c r="Y600" s="270"/>
      <c r="Z600" s="270"/>
      <c r="AA600" s="270"/>
    </row>
    <row r="601" spans="3:27" ht="15" thickBot="1" x14ac:dyDescent="0.35">
      <c r="C601" s="450"/>
      <c r="D601" s="182"/>
      <c r="E601" s="182"/>
      <c r="F601" s="182"/>
      <c r="G601" s="450" t="str">
        <f t="shared" si="23"/>
        <v>--</v>
      </c>
      <c r="H601" s="182"/>
      <c r="I601" s="892"/>
      <c r="J601" s="892"/>
      <c r="K601" s="182"/>
      <c r="L601" s="182"/>
      <c r="M601" s="901" t="s">
        <v>155</v>
      </c>
      <c r="N601" s="870" t="s">
        <v>188</v>
      </c>
      <c r="O601" s="870"/>
      <c r="P601" s="252" t="s">
        <v>175</v>
      </c>
      <c r="Q601" s="871" t="s">
        <v>155</v>
      </c>
      <c r="R601" s="872" t="s">
        <v>168</v>
      </c>
      <c r="S601" s="872" t="s">
        <v>169</v>
      </c>
      <c r="T601" s="902"/>
      <c r="U601" s="903"/>
      <c r="V601" s="270"/>
      <c r="W601" s="270"/>
      <c r="X601" s="270"/>
      <c r="Y601" s="270"/>
      <c r="Z601" s="270"/>
      <c r="AA601" s="270"/>
    </row>
    <row r="602" spans="3:27" ht="15" thickBot="1" x14ac:dyDescent="0.35">
      <c r="C602" s="566" t="s">
        <v>383</v>
      </c>
      <c r="D602" s="875" t="str">
        <f>VLOOKUP(C602,'Airport Mapping'!$C$5:$D$39,2,FALSE)</f>
        <v xml:space="preserve"> </v>
      </c>
      <c r="E602" s="567" t="s">
        <v>37</v>
      </c>
      <c r="F602" s="567" t="s">
        <v>4</v>
      </c>
      <c r="G602" s="450" t="str">
        <f t="shared" si="23"/>
        <v>Office Building A-Restrooms-Urinals</v>
      </c>
      <c r="H602" s="567" t="s">
        <v>6</v>
      </c>
      <c r="I602" s="877" t="s">
        <v>64</v>
      </c>
      <c r="J602" s="878">
        <f>SUMIFS('Level of Efficiency Assumptions'!J:J,'Level of Efficiency Assumptions'!D:D,E602,'Level of Efficiency Assumptions'!F:F,F602,'Level of Efficiency Assumptions'!I:I,I602)</f>
        <v>2</v>
      </c>
      <c r="K602" s="383" t="s">
        <v>68</v>
      </c>
      <c r="L602" s="253" t="s">
        <v>64</v>
      </c>
      <c r="M602" s="879">
        <f>Q602+Q603</f>
        <v>0</v>
      </c>
      <c r="N602" s="880">
        <f>IFERROR(M602/M605,"-")</f>
        <v>0</v>
      </c>
      <c r="O602" s="881">
        <f>SUMIFS('Data Entry'!R:R,'Data Entry'!K:K,G602)</f>
        <v>0</v>
      </c>
      <c r="P602" s="254" t="s">
        <v>177</v>
      </c>
      <c r="Q602" s="882">
        <v>0</v>
      </c>
      <c r="R602" s="883"/>
      <c r="S602" s="883"/>
      <c r="T602" s="114"/>
      <c r="U602" s="904"/>
      <c r="V602" s="270"/>
      <c r="W602" s="270"/>
      <c r="X602" s="270"/>
      <c r="Y602" s="270"/>
      <c r="Z602" s="270"/>
      <c r="AA602" s="270"/>
    </row>
    <row r="603" spans="3:27" ht="15" thickBot="1" x14ac:dyDescent="0.35">
      <c r="C603" s="494" t="s">
        <v>383</v>
      </c>
      <c r="D603" s="577"/>
      <c r="E603" s="577" t="s">
        <v>37</v>
      </c>
      <c r="F603" s="577" t="s">
        <v>4</v>
      </c>
      <c r="G603" s="450" t="str">
        <f t="shared" si="23"/>
        <v>Office Building A-Restrooms-Urinals</v>
      </c>
      <c r="H603" s="577"/>
      <c r="I603" s="887" t="s">
        <v>65</v>
      </c>
      <c r="J603" s="878">
        <f>SUMIFS('Level of Efficiency Assumptions'!J:J,'Level of Efficiency Assumptions'!D:D,E603,'Level of Efficiency Assumptions'!F:F,F603,'Level of Efficiency Assumptions'!I:I,I603)</f>
        <v>1</v>
      </c>
      <c r="K603" s="383" t="s">
        <v>68</v>
      </c>
      <c r="L603" s="255" t="s">
        <v>65</v>
      </c>
      <c r="M603" s="879">
        <f>Q604+Q605</f>
        <v>1</v>
      </c>
      <c r="N603" s="880">
        <f>IFERROR(M603/M605,"-")</f>
        <v>1</v>
      </c>
      <c r="O603" s="881">
        <f>SUMIFS('Data Entry'!S:S,'Data Entry'!K:K,G603)</f>
        <v>0</v>
      </c>
      <c r="P603" s="254" t="s">
        <v>179</v>
      </c>
      <c r="Q603" s="882">
        <v>0</v>
      </c>
      <c r="R603" s="883"/>
      <c r="S603" s="883"/>
      <c r="T603" s="114"/>
      <c r="U603" s="904"/>
      <c r="V603" s="270"/>
      <c r="W603" s="270"/>
      <c r="X603" s="270"/>
      <c r="Y603" s="270"/>
      <c r="Z603" s="270"/>
      <c r="AA603" s="270"/>
    </row>
    <row r="604" spans="3:27" ht="15" thickBot="1" x14ac:dyDescent="0.35">
      <c r="C604" s="501" t="s">
        <v>383</v>
      </c>
      <c r="D604" s="116"/>
      <c r="E604" s="116" t="s">
        <v>37</v>
      </c>
      <c r="F604" s="116" t="s">
        <v>4</v>
      </c>
      <c r="G604" s="450" t="str">
        <f t="shared" si="23"/>
        <v>Office Building A-Restrooms-Urinals</v>
      </c>
      <c r="H604" s="116"/>
      <c r="I604" s="889" t="s">
        <v>66</v>
      </c>
      <c r="J604" s="890">
        <f>SUMIFS('Level of Efficiency Assumptions'!J:J,'Level of Efficiency Assumptions'!D:D,E604,'Level of Efficiency Assumptions'!F:F,F604,'Level of Efficiency Assumptions'!I:I,I604)</f>
        <v>0.125</v>
      </c>
      <c r="K604" s="383" t="s">
        <v>68</v>
      </c>
      <c r="L604" s="257" t="s">
        <v>66</v>
      </c>
      <c r="M604" s="879">
        <f>Q606+Q607</f>
        <v>0</v>
      </c>
      <c r="N604" s="880">
        <f>IFERROR(M604/M605,"-")</f>
        <v>0</v>
      </c>
      <c r="O604" s="881">
        <f>SUMIFS('Data Entry'!T:T,'Data Entry'!K:K,G604)</f>
        <v>0</v>
      </c>
      <c r="P604" s="256" t="s">
        <v>189</v>
      </c>
      <c r="Q604" s="882">
        <v>0</v>
      </c>
      <c r="R604" s="883"/>
      <c r="S604" s="883"/>
      <c r="T604" s="114"/>
      <c r="U604" s="904"/>
      <c r="V604" s="270"/>
      <c r="W604" s="270"/>
      <c r="X604" s="270"/>
      <c r="Y604" s="270"/>
      <c r="Z604" s="270"/>
      <c r="AA604" s="270"/>
    </row>
    <row r="605" spans="3:27" x14ac:dyDescent="0.3">
      <c r="C605" s="450"/>
      <c r="D605" s="182"/>
      <c r="E605" s="182"/>
      <c r="F605" s="182"/>
      <c r="G605" s="450" t="str">
        <f t="shared" si="23"/>
        <v>--</v>
      </c>
      <c r="H605" s="182"/>
      <c r="I605" s="440"/>
      <c r="J605" s="892"/>
      <c r="K605" s="259"/>
      <c r="L605" s="259" t="s">
        <v>46</v>
      </c>
      <c r="M605" s="893">
        <f>SUM(M602:M604)</f>
        <v>1</v>
      </c>
      <c r="N605" s="894"/>
      <c r="O605" s="894">
        <f>SUM(O602:O604)</f>
        <v>0</v>
      </c>
      <c r="P605" s="256" t="s">
        <v>181</v>
      </c>
      <c r="Q605" s="882">
        <v>1</v>
      </c>
      <c r="R605" s="883"/>
      <c r="S605" s="883"/>
      <c r="T605" s="114"/>
      <c r="U605" s="264"/>
      <c r="V605" s="270"/>
      <c r="W605" s="270"/>
      <c r="X605" s="270"/>
      <c r="Y605" s="270"/>
      <c r="Z605" s="270"/>
      <c r="AA605" s="270"/>
    </row>
    <row r="606" spans="3:27" x14ac:dyDescent="0.3">
      <c r="C606" s="450"/>
      <c r="D606" s="182"/>
      <c r="E606" s="182"/>
      <c r="F606" s="182"/>
      <c r="G606" s="450" t="str">
        <f t="shared" si="23"/>
        <v>--</v>
      </c>
      <c r="H606" s="182"/>
      <c r="I606" s="892"/>
      <c r="J606" s="288"/>
      <c r="K606" s="182"/>
      <c r="L606" s="181"/>
      <c r="M606" s="181"/>
      <c r="N606" s="892"/>
      <c r="O606" s="892"/>
      <c r="P606" s="258" t="s">
        <v>183</v>
      </c>
      <c r="Q606" s="882">
        <v>0</v>
      </c>
      <c r="R606" s="883"/>
      <c r="S606" s="883"/>
      <c r="T606" s="114"/>
      <c r="U606" s="884"/>
      <c r="V606" s="114"/>
      <c r="W606" s="270"/>
      <c r="X606" s="270"/>
      <c r="Y606" s="270"/>
      <c r="Z606" s="270"/>
      <c r="AA606" s="270"/>
    </row>
    <row r="607" spans="3:27" x14ac:dyDescent="0.3">
      <c r="C607" s="450"/>
      <c r="D607" s="182"/>
      <c r="E607" s="182"/>
      <c r="F607" s="182"/>
      <c r="G607" s="450" t="str">
        <f t="shared" si="23"/>
        <v>--</v>
      </c>
      <c r="H607" s="182"/>
      <c r="I607" s="892"/>
      <c r="J607" s="288"/>
      <c r="K607" s="182"/>
      <c r="L607" s="181"/>
      <c r="M607" s="181"/>
      <c r="N607" s="892"/>
      <c r="O607" s="892"/>
      <c r="P607" s="258" t="s">
        <v>190</v>
      </c>
      <c r="Q607" s="882">
        <v>0</v>
      </c>
      <c r="R607" s="114"/>
      <c r="S607" s="114"/>
      <c r="T607" s="114"/>
      <c r="U607" s="884"/>
      <c r="V607" s="114"/>
      <c r="W607" s="270"/>
      <c r="X607" s="270"/>
      <c r="Y607" s="270"/>
      <c r="Z607" s="270"/>
      <c r="AA607" s="270"/>
    </row>
    <row r="608" spans="3:27" x14ac:dyDescent="0.3">
      <c r="C608" s="450"/>
      <c r="D608" s="182"/>
      <c r="E608" s="182"/>
      <c r="F608" s="182"/>
      <c r="G608" s="450" t="str">
        <f t="shared" si="23"/>
        <v>--</v>
      </c>
      <c r="H608" s="182"/>
      <c r="I608" s="892"/>
      <c r="J608" s="288"/>
      <c r="K608" s="182"/>
      <c r="L608" s="181"/>
      <c r="M608" s="181"/>
      <c r="N608" s="892"/>
      <c r="O608" s="892"/>
      <c r="P608" s="263" t="s">
        <v>46</v>
      </c>
      <c r="Q608" s="897">
        <f>SUM(Q602:Q607)</f>
        <v>1</v>
      </c>
      <c r="R608" s="899"/>
      <c r="S608" s="899"/>
      <c r="T608" s="899"/>
      <c r="U608" s="900"/>
      <c r="V608" s="114"/>
      <c r="W608" s="270"/>
      <c r="X608" s="270"/>
      <c r="Y608" s="270"/>
      <c r="Z608" s="270"/>
      <c r="AA608" s="270"/>
    </row>
    <row r="609" spans="3:27" x14ac:dyDescent="0.3">
      <c r="C609" s="450"/>
      <c r="D609" s="182"/>
      <c r="E609" s="182"/>
      <c r="F609" s="182"/>
      <c r="G609" s="450" t="str">
        <f t="shared" si="23"/>
        <v>--</v>
      </c>
      <c r="H609" s="182"/>
      <c r="I609" s="892"/>
      <c r="J609" s="288"/>
      <c r="K609" s="182"/>
      <c r="L609" s="181"/>
      <c r="M609" s="181"/>
      <c r="N609" s="892"/>
      <c r="O609" s="892"/>
      <c r="P609" s="262"/>
      <c r="Q609" s="114"/>
      <c r="R609" s="114"/>
      <c r="S609" s="114"/>
      <c r="T609" s="114"/>
      <c r="U609" s="114"/>
      <c r="V609" s="114"/>
      <c r="W609" s="270"/>
      <c r="X609" s="270"/>
      <c r="Y609" s="270"/>
      <c r="Z609" s="270"/>
      <c r="AA609" s="270"/>
    </row>
    <row r="610" spans="3:27" ht="15" thickBot="1" x14ac:dyDescent="0.35">
      <c r="C610" s="450"/>
      <c r="D610" s="182"/>
      <c r="E610" s="182"/>
      <c r="F610" s="182"/>
      <c r="G610" s="450" t="str">
        <f t="shared" si="23"/>
        <v>--</v>
      </c>
      <c r="H610" s="182"/>
      <c r="I610" s="892"/>
      <c r="J610" s="892"/>
      <c r="K610" s="182"/>
      <c r="L610" s="182"/>
      <c r="M610" s="901" t="s">
        <v>155</v>
      </c>
      <c r="N610" s="870" t="s">
        <v>188</v>
      </c>
      <c r="O610" s="870"/>
      <c r="P610" s="265" t="s">
        <v>33</v>
      </c>
      <c r="Q610" s="871" t="s">
        <v>155</v>
      </c>
      <c r="R610" s="872" t="s">
        <v>168</v>
      </c>
      <c r="S610" s="872" t="s">
        <v>169</v>
      </c>
      <c r="T610" s="872" t="s">
        <v>170</v>
      </c>
      <c r="U610" s="872" t="s">
        <v>171</v>
      </c>
      <c r="V610" s="902"/>
      <c r="W610" s="902"/>
      <c r="X610" s="874"/>
      <c r="Y610" s="270"/>
      <c r="Z610" s="270"/>
      <c r="AA610" s="270"/>
    </row>
    <row r="611" spans="3:27" ht="15" thickBot="1" x14ac:dyDescent="0.35">
      <c r="C611" s="566" t="s">
        <v>383</v>
      </c>
      <c r="D611" s="875" t="str">
        <f>VLOOKUP(C611,'Airport Mapping'!$C$5:$D$39,2,FALSE)</f>
        <v xml:space="preserve"> </v>
      </c>
      <c r="E611" s="567" t="s">
        <v>37</v>
      </c>
      <c r="F611" s="567" t="s">
        <v>33</v>
      </c>
      <c r="G611" s="450" t="str">
        <f t="shared" si="23"/>
        <v>Office Building A-Restrooms-Faucets</v>
      </c>
      <c r="H611" s="567" t="s">
        <v>6</v>
      </c>
      <c r="I611" s="877" t="s">
        <v>64</v>
      </c>
      <c r="J611" s="878">
        <f>SUMIFS('Level of Efficiency Assumptions'!J:J,'Level of Efficiency Assumptions'!D:D,E611,'Level of Efficiency Assumptions'!F:F,F611,'Level of Efficiency Assumptions'!I:I,I611)</f>
        <v>2</v>
      </c>
      <c r="K611" s="383" t="s">
        <v>78</v>
      </c>
      <c r="L611" s="253" t="s">
        <v>64</v>
      </c>
      <c r="M611" s="879">
        <f>Q611+Q612</f>
        <v>0</v>
      </c>
      <c r="N611" s="880">
        <f>IFERROR(M611/M614,"-")</f>
        <v>0</v>
      </c>
      <c r="O611" s="881">
        <f>SUMIFS('Data Entry'!R:R,'Data Entry'!K:K,G611)</f>
        <v>0</v>
      </c>
      <c r="P611" s="266" t="s">
        <v>180</v>
      </c>
      <c r="Q611" s="895">
        <v>0</v>
      </c>
      <c r="R611" s="883"/>
      <c r="S611" s="883"/>
      <c r="T611" s="883"/>
      <c r="U611" s="883"/>
      <c r="V611" s="114" t="s">
        <v>182</v>
      </c>
      <c r="W611" s="114"/>
      <c r="X611" s="884"/>
      <c r="Y611" s="270"/>
      <c r="Z611" s="270"/>
      <c r="AA611" s="270"/>
    </row>
    <row r="612" spans="3:27" ht="15" thickBot="1" x14ac:dyDescent="0.35">
      <c r="C612" s="494" t="s">
        <v>383</v>
      </c>
      <c r="D612" s="577"/>
      <c r="E612" s="577" t="s">
        <v>37</v>
      </c>
      <c r="F612" s="577" t="s">
        <v>33</v>
      </c>
      <c r="G612" s="450" t="str">
        <f t="shared" si="23"/>
        <v>Office Building A-Restrooms-Faucets</v>
      </c>
      <c r="H612" s="577"/>
      <c r="I612" s="887" t="s">
        <v>65</v>
      </c>
      <c r="J612" s="878">
        <f>SUMIFS('Level of Efficiency Assumptions'!J:J,'Level of Efficiency Assumptions'!D:D,E612,'Level of Efficiency Assumptions'!F:F,F612,'Level of Efficiency Assumptions'!I:I,I612)</f>
        <v>1</v>
      </c>
      <c r="K612" s="383" t="s">
        <v>78</v>
      </c>
      <c r="L612" s="255" t="s">
        <v>65</v>
      </c>
      <c r="M612" s="879">
        <f>Q613+Q614</f>
        <v>1</v>
      </c>
      <c r="N612" s="880">
        <f>IFERROR(M612/M614,"-")</f>
        <v>1</v>
      </c>
      <c r="O612" s="881">
        <f>SUMIFS('Data Entry'!S:S,'Data Entry'!K:K,G612)</f>
        <v>0</v>
      </c>
      <c r="P612" s="266" t="s">
        <v>178</v>
      </c>
      <c r="Q612" s="895">
        <v>0</v>
      </c>
      <c r="R612" s="883"/>
      <c r="S612" s="883"/>
      <c r="T612" s="883"/>
      <c r="U612" s="883"/>
      <c r="V612" s="114" t="s">
        <v>184</v>
      </c>
      <c r="W612" s="114"/>
      <c r="X612" s="884"/>
      <c r="Y612" s="270"/>
      <c r="Z612" s="270"/>
      <c r="AA612" s="270"/>
    </row>
    <row r="613" spans="3:27" ht="15" thickBot="1" x14ac:dyDescent="0.35">
      <c r="C613" s="501" t="s">
        <v>383</v>
      </c>
      <c r="D613" s="116"/>
      <c r="E613" s="116" t="s">
        <v>37</v>
      </c>
      <c r="F613" s="116" t="s">
        <v>33</v>
      </c>
      <c r="G613" s="450" t="str">
        <f t="shared" si="23"/>
        <v>Office Building A-Restrooms-Faucets</v>
      </c>
      <c r="H613" s="116"/>
      <c r="I613" s="889" t="s">
        <v>66</v>
      </c>
      <c r="J613" s="890">
        <f>SUMIFS('Level of Efficiency Assumptions'!J:J,'Level of Efficiency Assumptions'!D:D,E613,'Level of Efficiency Assumptions'!F:F,F613,'Level of Efficiency Assumptions'!I:I,I613)</f>
        <v>0.5</v>
      </c>
      <c r="K613" s="383" t="s">
        <v>78</v>
      </c>
      <c r="L613" s="257" t="s">
        <v>66</v>
      </c>
      <c r="M613" s="879">
        <f>Q615</f>
        <v>0</v>
      </c>
      <c r="N613" s="880">
        <f>IFERROR(M613/M614,"-")</f>
        <v>0</v>
      </c>
      <c r="O613" s="881">
        <f>SUMIFS('Data Entry'!T:T,'Data Entry'!K:K,G613)</f>
        <v>0</v>
      </c>
      <c r="P613" s="267" t="s">
        <v>176</v>
      </c>
      <c r="Q613" s="895">
        <v>1</v>
      </c>
      <c r="R613" s="883"/>
      <c r="S613" s="883"/>
      <c r="T613" s="883"/>
      <c r="U613" s="883"/>
      <c r="V613" s="114" t="s">
        <v>185</v>
      </c>
      <c r="W613" s="114"/>
      <c r="X613" s="884"/>
      <c r="Y613" s="270"/>
      <c r="Z613" s="270"/>
      <c r="AA613" s="270"/>
    </row>
    <row r="614" spans="3:27" x14ac:dyDescent="0.3">
      <c r="C614" s="450"/>
      <c r="D614" s="182"/>
      <c r="E614" s="182"/>
      <c r="F614" s="182"/>
      <c r="G614" s="450" t="str">
        <f t="shared" si="23"/>
        <v>--</v>
      </c>
      <c r="H614" s="182"/>
      <c r="I614" s="440"/>
      <c r="J614" s="892"/>
      <c r="K614" s="259"/>
      <c r="L614" s="259" t="s">
        <v>46</v>
      </c>
      <c r="M614" s="893">
        <f>SUM(M611:M613)</f>
        <v>1</v>
      </c>
      <c r="N614" s="894"/>
      <c r="O614" s="894">
        <f>SUM(O611:O613)</f>
        <v>0</v>
      </c>
      <c r="P614" s="256" t="s">
        <v>173</v>
      </c>
      <c r="Q614" s="895">
        <v>0</v>
      </c>
      <c r="R614" s="883"/>
      <c r="S614" s="883"/>
      <c r="T614" s="883"/>
      <c r="U614" s="883"/>
      <c r="V614" s="114" t="s">
        <v>186</v>
      </c>
      <c r="W614" s="114"/>
      <c r="X614" s="884"/>
      <c r="Y614" s="270"/>
      <c r="Z614" s="270"/>
      <c r="AA614" s="270"/>
    </row>
    <row r="615" spans="3:27" x14ac:dyDescent="0.3">
      <c r="C615" s="450"/>
      <c r="D615" s="182"/>
      <c r="E615" s="182"/>
      <c r="F615" s="182"/>
      <c r="G615" s="450" t="str">
        <f t="shared" si="23"/>
        <v>--</v>
      </c>
      <c r="H615" s="182"/>
      <c r="I615" s="892"/>
      <c r="J615" s="288"/>
      <c r="K615" s="182"/>
      <c r="L615" s="114"/>
      <c r="M615" s="114"/>
      <c r="N615" s="905"/>
      <c r="O615" s="905"/>
      <c r="P615" s="258" t="s">
        <v>172</v>
      </c>
      <c r="Q615" s="895">
        <v>0</v>
      </c>
      <c r="R615" s="883"/>
      <c r="S615" s="883"/>
      <c r="T615" s="883"/>
      <c r="U615" s="883"/>
      <c r="V615" s="114"/>
      <c r="W615" s="114"/>
      <c r="X615" s="884"/>
      <c r="Y615" s="270"/>
      <c r="Z615" s="270"/>
      <c r="AA615" s="270"/>
    </row>
    <row r="616" spans="3:27" x14ac:dyDescent="0.3">
      <c r="C616" s="450"/>
      <c r="D616" s="182"/>
      <c r="E616" s="182"/>
      <c r="F616" s="182"/>
      <c r="G616" s="450" t="str">
        <f t="shared" si="23"/>
        <v>--</v>
      </c>
      <c r="H616" s="182"/>
      <c r="I616" s="892"/>
      <c r="J616" s="288"/>
      <c r="K616" s="182"/>
      <c r="L616" s="181"/>
      <c r="M616" s="181"/>
      <c r="N616" s="892"/>
      <c r="O616" s="892"/>
      <c r="P616" s="263" t="s">
        <v>46</v>
      </c>
      <c r="Q616" s="897">
        <f>SUM(Q610:Q615)</f>
        <v>1</v>
      </c>
      <c r="R616" s="899"/>
      <c r="S616" s="899"/>
      <c r="T616" s="899"/>
      <c r="U616" s="899"/>
      <c r="V616" s="899"/>
      <c r="W616" s="899"/>
      <c r="X616" s="900"/>
      <c r="Y616" s="270"/>
      <c r="Z616" s="270"/>
      <c r="AA616" s="270"/>
    </row>
    <row r="617" spans="3:27" x14ac:dyDescent="0.3">
      <c r="C617" s="450"/>
      <c r="D617" s="182"/>
      <c r="E617" s="182"/>
      <c r="F617" s="182"/>
      <c r="G617" s="450" t="str">
        <f t="shared" si="23"/>
        <v>--</v>
      </c>
      <c r="H617" s="182"/>
      <c r="I617" s="892"/>
      <c r="J617" s="288"/>
      <c r="K617" s="182"/>
      <c r="L617" s="181"/>
      <c r="M617" s="181"/>
      <c r="N617" s="892"/>
      <c r="O617" s="892"/>
      <c r="P617" s="262"/>
      <c r="Q617" s="114"/>
      <c r="R617" s="114"/>
      <c r="S617" s="114"/>
      <c r="T617" s="114"/>
      <c r="U617" s="114"/>
      <c r="V617" s="114"/>
      <c r="W617" s="270"/>
      <c r="X617" s="270"/>
      <c r="Y617" s="270"/>
      <c r="Z617" s="270"/>
      <c r="AA617" s="270"/>
    </row>
    <row r="618" spans="3:27" ht="15" thickBot="1" x14ac:dyDescent="0.35">
      <c r="C618" s="450"/>
      <c r="D618" s="182"/>
      <c r="E618" s="182"/>
      <c r="F618" s="182"/>
      <c r="G618" s="450" t="str">
        <f t="shared" si="23"/>
        <v>--</v>
      </c>
      <c r="H618" s="182"/>
      <c r="I618" s="892"/>
      <c r="J618" s="892"/>
      <c r="K618" s="182"/>
      <c r="L618" s="182"/>
      <c r="M618" s="901" t="s">
        <v>155</v>
      </c>
      <c r="N618" s="870" t="s">
        <v>188</v>
      </c>
      <c r="O618" s="870"/>
      <c r="P618" s="265" t="s">
        <v>33</v>
      </c>
      <c r="Q618" s="871" t="s">
        <v>155</v>
      </c>
      <c r="R618" s="872" t="s">
        <v>168</v>
      </c>
      <c r="S618" s="872" t="s">
        <v>169</v>
      </c>
      <c r="T618" s="872" t="s">
        <v>170</v>
      </c>
      <c r="U618" s="872" t="s">
        <v>171</v>
      </c>
      <c r="V618" s="902"/>
      <c r="W618" s="902"/>
      <c r="X618" s="874"/>
      <c r="Y618" s="270"/>
      <c r="Z618" s="270"/>
      <c r="AA618" s="270"/>
    </row>
    <row r="619" spans="3:27" ht="15" thickBot="1" x14ac:dyDescent="0.35">
      <c r="C619" s="566" t="s">
        <v>383</v>
      </c>
      <c r="D619" s="875" t="str">
        <f>VLOOKUP(C619,'Airport Mapping'!$C$5:$D$39,2,FALSE)</f>
        <v xml:space="preserve"> </v>
      </c>
      <c r="E619" s="567" t="s">
        <v>5</v>
      </c>
      <c r="F619" s="567" t="s">
        <v>33</v>
      </c>
      <c r="G619" s="450" t="str">
        <f t="shared" ref="G619:G681" si="27">C619&amp;"-"&amp;E619&amp;"-"&amp;F619</f>
        <v>Office Building A-Break rooms-Faucets</v>
      </c>
      <c r="H619" s="567" t="s">
        <v>6</v>
      </c>
      <c r="I619" s="877" t="s">
        <v>64</v>
      </c>
      <c r="J619" s="878">
        <f>SUMIFS('Level of Efficiency Assumptions'!J:J,'Level of Efficiency Assumptions'!D:D,E619,'Level of Efficiency Assumptions'!F:F,F619,'Level of Efficiency Assumptions'!I:I,I619)</f>
        <v>2</v>
      </c>
      <c r="K619" s="383" t="s">
        <v>78</v>
      </c>
      <c r="L619" s="253" t="s">
        <v>64</v>
      </c>
      <c r="M619" s="879">
        <f>Q619+Q620</f>
        <v>0</v>
      </c>
      <c r="N619" s="880">
        <f>IFERROR(M619/M622,"-")</f>
        <v>0</v>
      </c>
      <c r="O619" s="881">
        <f>SUMIFS('Data Entry'!R:R,'Data Entry'!K:K,G619)</f>
        <v>0</v>
      </c>
      <c r="P619" s="266" t="s">
        <v>180</v>
      </c>
      <c r="Q619" s="895">
        <v>0</v>
      </c>
      <c r="R619" s="883"/>
      <c r="S619" s="883"/>
      <c r="T619" s="883"/>
      <c r="U619" s="883"/>
      <c r="V619" s="114" t="s">
        <v>182</v>
      </c>
      <c r="W619" s="114"/>
      <c r="X619" s="884"/>
      <c r="Y619" s="270"/>
      <c r="Z619" s="270"/>
      <c r="AA619" s="270"/>
    </row>
    <row r="620" spans="3:27" ht="15" thickBot="1" x14ac:dyDescent="0.35">
      <c r="C620" s="494" t="s">
        <v>383</v>
      </c>
      <c r="D620" s="577"/>
      <c r="E620" s="577" t="s">
        <v>5</v>
      </c>
      <c r="F620" s="577" t="s">
        <v>33</v>
      </c>
      <c r="G620" s="450" t="str">
        <f t="shared" si="27"/>
        <v>Office Building A-Break rooms-Faucets</v>
      </c>
      <c r="H620" s="577"/>
      <c r="I620" s="887" t="s">
        <v>65</v>
      </c>
      <c r="J620" s="878">
        <f>SUMIFS('Level of Efficiency Assumptions'!J:J,'Level of Efficiency Assumptions'!D:D,E620,'Level of Efficiency Assumptions'!F:F,F620,'Level of Efficiency Assumptions'!I:I,I620)</f>
        <v>1</v>
      </c>
      <c r="K620" s="383" t="s">
        <v>78</v>
      </c>
      <c r="L620" s="255" t="s">
        <v>65</v>
      </c>
      <c r="M620" s="879">
        <f>Q621+Q622</f>
        <v>1</v>
      </c>
      <c r="N620" s="880">
        <f>IFERROR(M620/M622,"-")</f>
        <v>1</v>
      </c>
      <c r="O620" s="881">
        <f>SUMIFS('Data Entry'!S:S,'Data Entry'!K:K,G620)</f>
        <v>0</v>
      </c>
      <c r="P620" s="266" t="s">
        <v>178</v>
      </c>
      <c r="Q620" s="895">
        <v>0</v>
      </c>
      <c r="R620" s="883"/>
      <c r="S620" s="883"/>
      <c r="T620" s="883"/>
      <c r="U620" s="883"/>
      <c r="V620" s="114" t="s">
        <v>184</v>
      </c>
      <c r="W620" s="114"/>
      <c r="X620" s="884"/>
      <c r="Y620" s="270"/>
      <c r="Z620" s="270"/>
      <c r="AA620" s="270"/>
    </row>
    <row r="621" spans="3:27" ht="15" thickBot="1" x14ac:dyDescent="0.35">
      <c r="C621" s="501" t="s">
        <v>383</v>
      </c>
      <c r="D621" s="116"/>
      <c r="E621" s="116" t="s">
        <v>5</v>
      </c>
      <c r="F621" s="116" t="s">
        <v>33</v>
      </c>
      <c r="G621" s="450" t="str">
        <f t="shared" si="27"/>
        <v>Office Building A-Break rooms-Faucets</v>
      </c>
      <c r="H621" s="116"/>
      <c r="I621" s="889" t="s">
        <v>66</v>
      </c>
      <c r="J621" s="890">
        <f>SUMIFS('Level of Efficiency Assumptions'!J:J,'Level of Efficiency Assumptions'!D:D,E621,'Level of Efficiency Assumptions'!F:F,F621,'Level of Efficiency Assumptions'!I:I,I621)</f>
        <v>0.5</v>
      </c>
      <c r="K621" s="383" t="s">
        <v>78</v>
      </c>
      <c r="L621" s="257" t="s">
        <v>66</v>
      </c>
      <c r="M621" s="879">
        <f>Q623</f>
        <v>0</v>
      </c>
      <c r="N621" s="880">
        <f>IFERROR(M621/M622,"-")</f>
        <v>0</v>
      </c>
      <c r="O621" s="881">
        <f>SUMIFS('Data Entry'!T:T,'Data Entry'!K:K,G621)</f>
        <v>0</v>
      </c>
      <c r="P621" s="267" t="s">
        <v>176</v>
      </c>
      <c r="Q621" s="895">
        <v>1</v>
      </c>
      <c r="R621" s="883"/>
      <c r="S621" s="883"/>
      <c r="T621" s="883"/>
      <c r="U621" s="883"/>
      <c r="V621" s="114" t="s">
        <v>185</v>
      </c>
      <c r="W621" s="114"/>
      <c r="X621" s="884"/>
      <c r="Y621" s="270"/>
      <c r="Z621" s="270"/>
      <c r="AA621" s="270"/>
    </row>
    <row r="622" spans="3:27" x14ac:dyDescent="0.3">
      <c r="C622" s="450"/>
      <c r="D622" s="182"/>
      <c r="E622" s="182"/>
      <c r="F622" s="182"/>
      <c r="G622" s="450" t="str">
        <f t="shared" si="27"/>
        <v>--</v>
      </c>
      <c r="H622" s="182"/>
      <c r="I622" s="440"/>
      <c r="J622" s="892"/>
      <c r="K622" s="259"/>
      <c r="L622" s="259" t="s">
        <v>46</v>
      </c>
      <c r="M622" s="893">
        <f>SUM(M619:M621)</f>
        <v>1</v>
      </c>
      <c r="N622" s="894"/>
      <c r="O622" s="894">
        <f>SUM(O619:O621)</f>
        <v>0</v>
      </c>
      <c r="P622" s="256" t="s">
        <v>173</v>
      </c>
      <c r="Q622" s="895">
        <v>0</v>
      </c>
      <c r="R622" s="883"/>
      <c r="S622" s="883"/>
      <c r="T622" s="883"/>
      <c r="U622" s="883"/>
      <c r="V622" s="114" t="s">
        <v>186</v>
      </c>
      <c r="W622" s="114"/>
      <c r="X622" s="884"/>
      <c r="Y622" s="270"/>
      <c r="Z622" s="270"/>
      <c r="AA622" s="270"/>
    </row>
    <row r="623" spans="3:27" x14ac:dyDescent="0.3">
      <c r="C623" s="450"/>
      <c r="D623" s="182"/>
      <c r="E623" s="182"/>
      <c r="F623" s="182"/>
      <c r="G623" s="450" t="str">
        <f t="shared" si="27"/>
        <v>--</v>
      </c>
      <c r="H623" s="182"/>
      <c r="I623" s="892"/>
      <c r="J623" s="288"/>
      <c r="K623" s="182"/>
      <c r="L623" s="182"/>
      <c r="M623" s="270"/>
      <c r="N623" s="892"/>
      <c r="O623" s="892"/>
      <c r="P623" s="258" t="s">
        <v>172</v>
      </c>
      <c r="Q623" s="895">
        <v>0</v>
      </c>
      <c r="R623" s="883"/>
      <c r="S623" s="883"/>
      <c r="T623" s="883"/>
      <c r="U623" s="883"/>
      <c r="V623" s="114"/>
      <c r="W623" s="114"/>
      <c r="X623" s="884"/>
      <c r="Y623" s="270"/>
      <c r="Z623" s="270"/>
      <c r="AA623" s="270"/>
    </row>
    <row r="624" spans="3:27" x14ac:dyDescent="0.3">
      <c r="C624" s="450"/>
      <c r="D624" s="182"/>
      <c r="E624" s="182"/>
      <c r="F624" s="182"/>
      <c r="G624" s="450" t="str">
        <f t="shared" si="27"/>
        <v>--</v>
      </c>
      <c r="H624" s="182"/>
      <c r="I624" s="892"/>
      <c r="J624" s="288"/>
      <c r="K624" s="182"/>
      <c r="L624" s="182"/>
      <c r="M624" s="270"/>
      <c r="N624" s="892"/>
      <c r="O624" s="892"/>
      <c r="P624" s="263" t="s">
        <v>46</v>
      </c>
      <c r="Q624" s="897">
        <f>SUM(Q618:Q623)</f>
        <v>1</v>
      </c>
      <c r="R624" s="899"/>
      <c r="S624" s="899"/>
      <c r="T624" s="899"/>
      <c r="U624" s="899"/>
      <c r="V624" s="899"/>
      <c r="W624" s="899"/>
      <c r="X624" s="900"/>
      <c r="Y624" s="270"/>
      <c r="Z624" s="270"/>
      <c r="AA624" s="270"/>
    </row>
    <row r="625" spans="3:27" x14ac:dyDescent="0.3">
      <c r="C625" s="450"/>
      <c r="D625" s="182"/>
      <c r="E625" s="182"/>
      <c r="F625" s="182"/>
      <c r="G625" s="450" t="str">
        <f t="shared" si="27"/>
        <v>--</v>
      </c>
      <c r="H625" s="182"/>
      <c r="I625" s="892"/>
      <c r="J625" s="288"/>
      <c r="K625" s="182"/>
      <c r="L625" s="182"/>
      <c r="M625" s="270"/>
      <c r="N625" s="892"/>
      <c r="O625" s="892"/>
      <c r="P625" s="259"/>
      <c r="Q625" s="114"/>
      <c r="R625" s="114"/>
      <c r="S625" s="114"/>
      <c r="T625" s="114"/>
      <c r="U625" s="114"/>
      <c r="V625" s="114"/>
      <c r="W625" s="270"/>
      <c r="X625" s="270"/>
      <c r="Y625" s="270"/>
      <c r="Z625" s="270"/>
      <c r="AA625" s="270"/>
    </row>
    <row r="626" spans="3:27" x14ac:dyDescent="0.3">
      <c r="C626" s="450"/>
      <c r="D626" s="182"/>
      <c r="E626" s="182"/>
      <c r="F626" s="182"/>
      <c r="G626" s="450" t="str">
        <f t="shared" si="27"/>
        <v>--</v>
      </c>
      <c r="H626" s="182"/>
      <c r="I626" s="892"/>
      <c r="J626" s="288"/>
      <c r="K626" s="182"/>
      <c r="L626" s="182"/>
      <c r="M626" s="270"/>
      <c r="N626" s="892"/>
      <c r="O626" s="892"/>
      <c r="P626" s="276" t="s">
        <v>42</v>
      </c>
      <c r="Q626" s="902"/>
      <c r="R626" s="902"/>
      <c r="S626" s="902"/>
      <c r="T626" s="902"/>
      <c r="U626" s="902"/>
      <c r="V626" s="874"/>
      <c r="W626" s="270"/>
      <c r="X626" s="270"/>
      <c r="Y626" s="270"/>
      <c r="Z626" s="270"/>
      <c r="AA626" s="270"/>
    </row>
    <row r="627" spans="3:27" ht="15" thickBot="1" x14ac:dyDescent="0.35">
      <c r="C627" s="450"/>
      <c r="D627" s="182"/>
      <c r="E627" s="182"/>
      <c r="F627" s="182"/>
      <c r="G627" s="450" t="str">
        <f t="shared" si="27"/>
        <v>--</v>
      </c>
      <c r="H627" s="182"/>
      <c r="I627" s="892"/>
      <c r="J627" s="892"/>
      <c r="K627" s="182"/>
      <c r="L627" s="182"/>
      <c r="M627" s="901" t="s">
        <v>155</v>
      </c>
      <c r="N627" s="870" t="s">
        <v>188</v>
      </c>
      <c r="O627" s="870"/>
      <c r="P627" s="277" t="s">
        <v>818</v>
      </c>
      <c r="Q627" s="871" t="s">
        <v>155</v>
      </c>
      <c r="R627" s="114"/>
      <c r="S627" s="114"/>
      <c r="T627" s="114"/>
      <c r="U627" s="114"/>
      <c r="V627" s="884"/>
      <c r="W627" s="270"/>
      <c r="X627" s="270"/>
      <c r="Y627" s="270"/>
      <c r="Z627" s="270"/>
      <c r="AA627" s="270"/>
    </row>
    <row r="628" spans="3:27" ht="15" thickBot="1" x14ac:dyDescent="0.35">
      <c r="C628" s="566" t="s">
        <v>383</v>
      </c>
      <c r="D628" s="875" t="str">
        <f>VLOOKUP(C628,'Airport Mapping'!$C$5:$D$39,2,FALSE)</f>
        <v xml:space="preserve"> </v>
      </c>
      <c r="E628" s="567" t="s">
        <v>39</v>
      </c>
      <c r="F628" s="567" t="s">
        <v>42</v>
      </c>
      <c r="G628" s="450" t="str">
        <f t="shared" si="27"/>
        <v>Office Building A-Landscaping-Outdoor irrigation</v>
      </c>
      <c r="H628" s="567" t="s">
        <v>32</v>
      </c>
      <c r="I628" s="877" t="s">
        <v>64</v>
      </c>
      <c r="J628" s="878">
        <f>SUMIFS('Level of Efficiency Assumptions'!J:J,'Level of Efficiency Assumptions'!D:D,E628,'Level of Efficiency Assumptions'!F:F,F628,'Level of Efficiency Assumptions'!I:I,I628)</f>
        <v>28.6</v>
      </c>
      <c r="K628" s="383" t="s">
        <v>816</v>
      </c>
      <c r="L628" s="253" t="s">
        <v>64</v>
      </c>
      <c r="M628" s="879">
        <f>SUM(Q628:Q629)</f>
        <v>0</v>
      </c>
      <c r="N628" s="880">
        <f>IFERROR(M628/M631,"-")</f>
        <v>0</v>
      </c>
      <c r="O628" s="881">
        <f>SUMIFS('Data Entry'!R:R,'Data Entry'!K:K,G628)</f>
        <v>0</v>
      </c>
      <c r="P628" s="272" t="s">
        <v>237</v>
      </c>
      <c r="Q628" s="895">
        <v>0</v>
      </c>
      <c r="R628" s="114"/>
      <c r="S628" s="114"/>
      <c r="T628" s="114"/>
      <c r="U628" s="114"/>
      <c r="V628" s="884"/>
      <c r="W628" s="270"/>
      <c r="X628" s="270"/>
      <c r="Y628" s="270"/>
      <c r="Z628" s="270"/>
      <c r="AA628" s="270"/>
    </row>
    <row r="629" spans="3:27" ht="15" thickBot="1" x14ac:dyDescent="0.35">
      <c r="C629" s="494" t="s">
        <v>383</v>
      </c>
      <c r="D629" s="577"/>
      <c r="E629" s="577" t="s">
        <v>39</v>
      </c>
      <c r="F629" s="577" t="s">
        <v>42</v>
      </c>
      <c r="G629" s="450" t="str">
        <f t="shared" si="27"/>
        <v>Office Building A-Landscaping-Outdoor irrigation</v>
      </c>
      <c r="H629" s="577"/>
      <c r="I629" s="887" t="s">
        <v>65</v>
      </c>
      <c r="J629" s="878">
        <f>SUMIFS('Level of Efficiency Assumptions'!J:J,'Level of Efficiency Assumptions'!D:D,E629,'Level of Efficiency Assumptions'!F:F,F629,'Level of Efficiency Assumptions'!I:I,I629)</f>
        <v>13.980821518350929</v>
      </c>
      <c r="K629" s="383" t="s">
        <v>816</v>
      </c>
      <c r="L629" s="255" t="s">
        <v>65</v>
      </c>
      <c r="M629" s="879">
        <f>Q630+Q631</f>
        <v>1</v>
      </c>
      <c r="N629" s="880">
        <f>IFERROR(M629/M631,"-")</f>
        <v>1</v>
      </c>
      <c r="O629" s="881">
        <f>SUMIFS('Data Entry'!S:S,'Data Entry'!K:K,G629)</f>
        <v>0</v>
      </c>
      <c r="P629" s="272" t="s">
        <v>232</v>
      </c>
      <c r="Q629" s="895">
        <v>0</v>
      </c>
      <c r="R629" s="114"/>
      <c r="S629" s="114"/>
      <c r="T629" s="114"/>
      <c r="U629" s="114"/>
      <c r="V629" s="884"/>
      <c r="W629" s="270"/>
      <c r="X629" s="270"/>
      <c r="Y629" s="270"/>
      <c r="Z629" s="270"/>
      <c r="AA629" s="270"/>
    </row>
    <row r="630" spans="3:27" ht="15" thickBot="1" x14ac:dyDescent="0.35">
      <c r="C630" s="501" t="s">
        <v>383</v>
      </c>
      <c r="D630" s="116"/>
      <c r="E630" s="116" t="s">
        <v>39</v>
      </c>
      <c r="F630" s="116" t="s">
        <v>42</v>
      </c>
      <c r="G630" s="450" t="str">
        <f t="shared" si="27"/>
        <v>Office Building A-Landscaping-Outdoor irrigation</v>
      </c>
      <c r="H630" s="116"/>
      <c r="I630" s="889" t="s">
        <v>66</v>
      </c>
      <c r="J630" s="890">
        <f>SUMIFS('Level of Efficiency Assumptions'!J:J,'Level of Efficiency Assumptions'!D:D,E630,'Level of Efficiency Assumptions'!F:F,F630,'Level of Efficiency Assumptions'!I:I,I630)</f>
        <v>0.59137254901960778</v>
      </c>
      <c r="K630" s="383" t="s">
        <v>816</v>
      </c>
      <c r="L630" s="257" t="s">
        <v>66</v>
      </c>
      <c r="M630" s="879">
        <f>Q632+Q633</f>
        <v>0</v>
      </c>
      <c r="N630" s="880">
        <f>IFERROR(M630/M631,"-")</f>
        <v>0</v>
      </c>
      <c r="O630" s="881">
        <f>SUMIFS('Data Entry'!T:T,'Data Entry'!K:K,G630)</f>
        <v>0</v>
      </c>
      <c r="P630" s="274" t="s">
        <v>231</v>
      </c>
      <c r="Q630" s="895">
        <v>1</v>
      </c>
      <c r="R630" s="114"/>
      <c r="S630" s="114"/>
      <c r="T630" s="114"/>
      <c r="U630" s="114"/>
      <c r="V630" s="884"/>
      <c r="W630" s="270"/>
      <c r="X630" s="270"/>
      <c r="Y630" s="270"/>
      <c r="Z630" s="270"/>
      <c r="AA630" s="270"/>
    </row>
    <row r="631" spans="3:27" x14ac:dyDescent="0.3">
      <c r="C631" s="450"/>
      <c r="D631" s="182"/>
      <c r="E631" s="182"/>
      <c r="F631" s="182"/>
      <c r="G631" s="450" t="str">
        <f t="shared" si="27"/>
        <v>--</v>
      </c>
      <c r="H631" s="182"/>
      <c r="I631" s="440"/>
      <c r="J631" s="892"/>
      <c r="K631" s="259"/>
      <c r="L631" s="259" t="s">
        <v>46</v>
      </c>
      <c r="M631" s="893">
        <f>SUM(M628:M630)</f>
        <v>1</v>
      </c>
      <c r="N631" s="894"/>
      <c r="O631" s="894">
        <f>SUM(O628:O630)</f>
        <v>0</v>
      </c>
      <c r="P631" s="274" t="s">
        <v>230</v>
      </c>
      <c r="Q631" s="895">
        <v>0</v>
      </c>
      <c r="R631" s="114"/>
      <c r="S631" s="114"/>
      <c r="T631" s="114"/>
      <c r="U631" s="114"/>
      <c r="V631" s="884"/>
      <c r="W631" s="270"/>
      <c r="X631" s="270"/>
      <c r="Y631" s="270"/>
      <c r="Z631" s="270"/>
      <c r="AA631" s="270"/>
    </row>
    <row r="632" spans="3:27" x14ac:dyDescent="0.3">
      <c r="C632" s="450"/>
      <c r="D632" s="182"/>
      <c r="E632" s="182"/>
      <c r="F632" s="182"/>
      <c r="G632" s="450" t="str">
        <f t="shared" si="27"/>
        <v>--</v>
      </c>
      <c r="H632" s="182"/>
      <c r="I632" s="892"/>
      <c r="J632" s="288"/>
      <c r="K632" s="182"/>
      <c r="L632" s="182"/>
      <c r="M632" s="270"/>
      <c r="N632" s="892"/>
      <c r="O632" s="892"/>
      <c r="P632" s="275" t="s">
        <v>229</v>
      </c>
      <c r="Q632" s="895">
        <v>0</v>
      </c>
      <c r="R632" s="114"/>
      <c r="S632" s="114"/>
      <c r="T632" s="114"/>
      <c r="U632" s="114"/>
      <c r="V632" s="884"/>
      <c r="W632" s="270"/>
      <c r="X632" s="270"/>
      <c r="Y632" s="270"/>
      <c r="Z632" s="270"/>
      <c r="AA632" s="270"/>
    </row>
    <row r="633" spans="3:27" x14ac:dyDescent="0.3">
      <c r="C633" s="450"/>
      <c r="D633" s="182"/>
      <c r="E633" s="182"/>
      <c r="F633" s="182"/>
      <c r="G633" s="450" t="str">
        <f t="shared" si="27"/>
        <v>--</v>
      </c>
      <c r="H633" s="182"/>
      <c r="I633" s="892"/>
      <c r="J633" s="288"/>
      <c r="K633" s="182"/>
      <c r="L633" s="182"/>
      <c r="M633" s="270"/>
      <c r="N633" s="892"/>
      <c r="O633" s="892"/>
      <c r="P633" s="269" t="s">
        <v>225</v>
      </c>
      <c r="Q633" s="895">
        <v>0</v>
      </c>
      <c r="R633" s="114"/>
      <c r="S633" s="114"/>
      <c r="T633" s="114"/>
      <c r="U633" s="114"/>
      <c r="V633" s="884"/>
      <c r="W633" s="270"/>
      <c r="X633" s="270"/>
      <c r="Y633" s="270"/>
      <c r="Z633" s="270"/>
      <c r="AA633" s="270"/>
    </row>
    <row r="634" spans="3:27" x14ac:dyDescent="0.3">
      <c r="C634" s="450"/>
      <c r="D634" s="182"/>
      <c r="E634" s="182"/>
      <c r="F634" s="182"/>
      <c r="G634" s="450" t="str">
        <f t="shared" si="27"/>
        <v>--</v>
      </c>
      <c r="H634" s="182"/>
      <c r="I634" s="892"/>
      <c r="J634" s="288"/>
      <c r="K634" s="182"/>
      <c r="L634" s="182"/>
      <c r="M634" s="270"/>
      <c r="N634" s="892"/>
      <c r="O634" s="892"/>
      <c r="P634" s="263" t="s">
        <v>46</v>
      </c>
      <c r="Q634" s="897">
        <f>SUM(Q628:Q633)</f>
        <v>1</v>
      </c>
      <c r="R634" s="899"/>
      <c r="S634" s="899"/>
      <c r="T634" s="899"/>
      <c r="U634" s="899"/>
      <c r="V634" s="900"/>
      <c r="W634" s="270"/>
      <c r="X634" s="270"/>
      <c r="Y634" s="270"/>
      <c r="Z634" s="270"/>
      <c r="AA634" s="270"/>
    </row>
    <row r="635" spans="3:27" x14ac:dyDescent="0.3">
      <c r="C635" s="450"/>
      <c r="D635" s="182"/>
      <c r="E635" s="182"/>
      <c r="F635" s="182"/>
      <c r="G635" s="450" t="str">
        <f t="shared" si="27"/>
        <v>--</v>
      </c>
      <c r="H635" s="182"/>
      <c r="I635" s="892"/>
      <c r="J635" s="288"/>
      <c r="K635" s="182"/>
      <c r="L635" s="182"/>
      <c r="M635" s="270"/>
      <c r="N635" s="892"/>
      <c r="O635" s="892"/>
      <c r="P635" s="259"/>
      <c r="Q635" s="114"/>
      <c r="R635" s="270"/>
      <c r="S635" s="270"/>
      <c r="T635" s="270"/>
      <c r="U635" s="270"/>
      <c r="V635" s="270"/>
      <c r="W635" s="270"/>
      <c r="X635" s="270"/>
      <c r="Y635" s="270"/>
      <c r="Z635" s="270"/>
      <c r="AA635" s="270"/>
    </row>
    <row r="636" spans="3:27" ht="15" thickBot="1" x14ac:dyDescent="0.35">
      <c r="C636" s="450"/>
      <c r="D636" s="182"/>
      <c r="E636" s="182"/>
      <c r="F636" s="182"/>
      <c r="G636" s="450" t="str">
        <f t="shared" si="27"/>
        <v>--</v>
      </c>
      <c r="H636" s="182"/>
      <c r="I636" s="892"/>
      <c r="J636" s="892"/>
      <c r="K636" s="182"/>
      <c r="L636" s="182"/>
      <c r="M636" s="901" t="s">
        <v>155</v>
      </c>
      <c r="N636" s="870" t="s">
        <v>188</v>
      </c>
      <c r="O636" s="870"/>
      <c r="P636" s="276" t="s">
        <v>111</v>
      </c>
      <c r="Q636" s="871" t="s">
        <v>155</v>
      </c>
      <c r="R636" s="902"/>
      <c r="S636" s="874"/>
      <c r="T636" s="270"/>
      <c r="U636" s="270"/>
      <c r="V636" s="270"/>
      <c r="W636" s="270"/>
      <c r="X636" s="270"/>
      <c r="Y636" s="270"/>
      <c r="Z636" s="270"/>
      <c r="AA636" s="270"/>
    </row>
    <row r="637" spans="3:27" ht="15" thickBot="1" x14ac:dyDescent="0.35">
      <c r="C637" s="566" t="s">
        <v>383</v>
      </c>
      <c r="D637" s="875" t="str">
        <f>VLOOKUP(C637,'Airport Mapping'!$C$5:$D$39,2,FALSE)</f>
        <v xml:space="preserve"> </v>
      </c>
      <c r="E637" s="567" t="s">
        <v>43</v>
      </c>
      <c r="F637" s="567" t="s">
        <v>111</v>
      </c>
      <c r="G637" s="450" t="str">
        <f t="shared" si="27"/>
        <v>Office Building A-Maintenance-Boiler</v>
      </c>
      <c r="H637" s="567" t="s">
        <v>424</v>
      </c>
      <c r="I637" s="877" t="s">
        <v>64</v>
      </c>
      <c r="J637" s="878">
        <f>SUMIFS('Level of Efficiency Assumptions'!J:J,'Level of Efficiency Assumptions'!D:D,E637,'Level of Efficiency Assumptions'!F:F,F637,'Level of Efficiency Assumptions'!I:I,I637)</f>
        <v>100</v>
      </c>
      <c r="K637" s="383" t="s">
        <v>585</v>
      </c>
      <c r="L637" s="253" t="s">
        <v>64</v>
      </c>
      <c r="M637" s="879">
        <f>SUM(Q637:Q638)</f>
        <v>0</v>
      </c>
      <c r="N637" s="880">
        <f>IFERROR(M637/M640,"-")</f>
        <v>0</v>
      </c>
      <c r="O637" s="881">
        <f>SUMIFS('Data Entry'!R:R,'Data Entry'!K:K,G637)</f>
        <v>0</v>
      </c>
      <c r="P637" s="272"/>
      <c r="Q637" s="895">
        <v>0</v>
      </c>
      <c r="R637" s="114"/>
      <c r="S637" s="884"/>
      <c r="T637" s="270"/>
      <c r="U637" s="270"/>
      <c r="V637" s="270"/>
      <c r="W637" s="270"/>
      <c r="X637" s="270"/>
      <c r="Y637" s="270"/>
      <c r="Z637" s="270"/>
      <c r="AA637" s="270"/>
    </row>
    <row r="638" spans="3:27" ht="15" thickBot="1" x14ac:dyDescent="0.35">
      <c r="C638" s="494" t="s">
        <v>383</v>
      </c>
      <c r="D638" s="577"/>
      <c r="E638" s="577" t="s">
        <v>43</v>
      </c>
      <c r="F638" s="577" t="s">
        <v>111</v>
      </c>
      <c r="G638" s="450" t="str">
        <f t="shared" si="27"/>
        <v>Office Building A-Maintenance-Boiler</v>
      </c>
      <c r="H638" s="577"/>
      <c r="I638" s="887" t="s">
        <v>65</v>
      </c>
      <c r="J638" s="878">
        <f>SUMIFS('Level of Efficiency Assumptions'!J:J,'Level of Efficiency Assumptions'!D:D,E638,'Level of Efficiency Assumptions'!F:F,F638,'Level of Efficiency Assumptions'!I:I,I638)</f>
        <v>75</v>
      </c>
      <c r="K638" s="383" t="s">
        <v>585</v>
      </c>
      <c r="L638" s="255" t="s">
        <v>65</v>
      </c>
      <c r="M638" s="879">
        <f>Q639+Q640</f>
        <v>1</v>
      </c>
      <c r="N638" s="880">
        <f>IFERROR(M638/M640,"-")</f>
        <v>1</v>
      </c>
      <c r="O638" s="881">
        <f>SUMIFS('Data Entry'!S:S,'Data Entry'!K:K,G638)</f>
        <v>0</v>
      </c>
      <c r="P638" s="272"/>
      <c r="Q638" s="895">
        <v>0</v>
      </c>
      <c r="R638" s="114"/>
      <c r="S638" s="884"/>
      <c r="T638" s="270"/>
      <c r="U638" s="270"/>
      <c r="V638" s="270"/>
      <c r="W638" s="270"/>
      <c r="X638" s="270"/>
      <c r="Y638" s="270"/>
      <c r="Z638" s="270"/>
      <c r="AA638" s="270"/>
    </row>
    <row r="639" spans="3:27" ht="15" thickBot="1" x14ac:dyDescent="0.35">
      <c r="C639" s="501" t="s">
        <v>383</v>
      </c>
      <c r="D639" s="116"/>
      <c r="E639" s="116" t="s">
        <v>43</v>
      </c>
      <c r="F639" s="116" t="s">
        <v>111</v>
      </c>
      <c r="G639" s="450" t="str">
        <f t="shared" si="27"/>
        <v>Office Building A-Maintenance-Boiler</v>
      </c>
      <c r="H639" s="116"/>
      <c r="I639" s="889" t="s">
        <v>66</v>
      </c>
      <c r="J639" s="890">
        <f>SUMIFS('Level of Efficiency Assumptions'!J:J,'Level of Efficiency Assumptions'!D:D,E639,'Level of Efficiency Assumptions'!F:F,F639,'Level of Efficiency Assumptions'!I:I,I639)</f>
        <v>50</v>
      </c>
      <c r="K639" s="383" t="s">
        <v>585</v>
      </c>
      <c r="L639" s="257" t="s">
        <v>66</v>
      </c>
      <c r="M639" s="879">
        <f>Q641+Q642</f>
        <v>0</v>
      </c>
      <c r="N639" s="880">
        <f>IFERROR(M639/M640,"-")</f>
        <v>0</v>
      </c>
      <c r="O639" s="881">
        <f>SUMIFS('Data Entry'!T:T,'Data Entry'!K:K,G639)</f>
        <v>0</v>
      </c>
      <c r="P639" s="274"/>
      <c r="Q639" s="895">
        <v>1</v>
      </c>
      <c r="R639" s="114"/>
      <c r="S639" s="884"/>
      <c r="T639" s="270"/>
      <c r="U639" s="270"/>
      <c r="V639" s="270"/>
      <c r="W639" s="270"/>
      <c r="X639" s="270"/>
      <c r="Y639" s="270"/>
      <c r="Z639" s="270"/>
      <c r="AA639" s="270"/>
    </row>
    <row r="640" spans="3:27" x14ac:dyDescent="0.3">
      <c r="C640" s="450"/>
      <c r="D640" s="182"/>
      <c r="E640" s="182"/>
      <c r="F640" s="182"/>
      <c r="G640" s="450" t="str">
        <f t="shared" si="27"/>
        <v>--</v>
      </c>
      <c r="H640" s="182"/>
      <c r="I640" s="440"/>
      <c r="J640" s="892"/>
      <c r="K640" s="259"/>
      <c r="L640" s="259" t="s">
        <v>46</v>
      </c>
      <c r="M640" s="893">
        <f>SUM(M637:M639)</f>
        <v>1</v>
      </c>
      <c r="N640" s="894"/>
      <c r="O640" s="894">
        <f>SUM(O637:O639)</f>
        <v>0</v>
      </c>
      <c r="P640" s="274"/>
      <c r="Q640" s="895">
        <v>0</v>
      </c>
      <c r="R640" s="114"/>
      <c r="S640" s="884"/>
      <c r="T640" s="270"/>
      <c r="U640" s="270"/>
      <c r="V640" s="270"/>
      <c r="W640" s="270"/>
      <c r="X640" s="270"/>
      <c r="Y640" s="270"/>
      <c r="Z640" s="270"/>
      <c r="AA640" s="270"/>
    </row>
    <row r="641" spans="3:27" x14ac:dyDescent="0.3">
      <c r="C641" s="450"/>
      <c r="D641" s="182"/>
      <c r="E641" s="182"/>
      <c r="F641" s="182"/>
      <c r="G641" s="450" t="str">
        <f t="shared" si="27"/>
        <v>--</v>
      </c>
      <c r="H641" s="182"/>
      <c r="I641" s="892"/>
      <c r="J641" s="288"/>
      <c r="K641" s="182"/>
      <c r="L641" s="182"/>
      <c r="M641" s="270"/>
      <c r="N641" s="892"/>
      <c r="O641" s="892"/>
      <c r="P641" s="275"/>
      <c r="Q641" s="895">
        <v>0</v>
      </c>
      <c r="R641" s="114"/>
      <c r="S641" s="884"/>
      <c r="T641" s="270"/>
      <c r="U641" s="270"/>
      <c r="V641" s="270"/>
      <c r="W641" s="270"/>
      <c r="X641" s="270"/>
      <c r="Y641" s="270"/>
      <c r="Z641" s="270"/>
      <c r="AA641" s="270"/>
    </row>
    <row r="642" spans="3:27" x14ac:dyDescent="0.3">
      <c r="C642" s="225"/>
      <c r="D642" s="288"/>
      <c r="E642" s="288"/>
      <c r="F642" s="288"/>
      <c r="G642" s="450" t="str">
        <f t="shared" si="27"/>
        <v>--</v>
      </c>
      <c r="H642" s="182"/>
      <c r="I642" s="892"/>
      <c r="J642" s="288"/>
      <c r="K642" s="182"/>
      <c r="L642" s="182"/>
      <c r="M642" s="270"/>
      <c r="N642" s="892"/>
      <c r="O642" s="892"/>
      <c r="P642" s="269"/>
      <c r="Q642" s="895">
        <v>0</v>
      </c>
      <c r="R642" s="114"/>
      <c r="S642" s="884"/>
      <c r="T642" s="270"/>
      <c r="U642" s="270"/>
      <c r="V642" s="270"/>
      <c r="W642" s="270"/>
      <c r="X642" s="270"/>
      <c r="Y642" s="270"/>
      <c r="Z642" s="270"/>
      <c r="AA642" s="270"/>
    </row>
    <row r="643" spans="3:27" x14ac:dyDescent="0.3">
      <c r="C643" s="225"/>
      <c r="D643" s="288"/>
      <c r="E643" s="288"/>
      <c r="F643" s="288"/>
      <c r="G643" s="450" t="str">
        <f t="shared" si="27"/>
        <v>--</v>
      </c>
      <c r="H643" s="182"/>
      <c r="I643" s="892"/>
      <c r="J643" s="288"/>
      <c r="K643" s="182"/>
      <c r="L643" s="182"/>
      <c r="M643" s="270"/>
      <c r="N643" s="892"/>
      <c r="O643" s="892"/>
      <c r="P643" s="263" t="s">
        <v>46</v>
      </c>
      <c r="Q643" s="897">
        <f>SUM(Q637:Q642)</f>
        <v>1</v>
      </c>
      <c r="R643" s="899"/>
      <c r="S643" s="900"/>
      <c r="T643" s="270"/>
      <c r="U643" s="270"/>
      <c r="V643" s="270"/>
      <c r="W643" s="270"/>
      <c r="X643" s="270"/>
      <c r="Y643" s="270"/>
      <c r="Z643" s="270"/>
      <c r="AA643" s="270"/>
    </row>
    <row r="644" spans="3:27" x14ac:dyDescent="0.3">
      <c r="C644" s="225"/>
      <c r="D644" s="288"/>
      <c r="E644" s="288"/>
      <c r="F644" s="288"/>
      <c r="G644" s="450" t="str">
        <f t="shared" si="27"/>
        <v>--</v>
      </c>
      <c r="H644" s="182"/>
      <c r="I644" s="892"/>
      <c r="J644" s="288"/>
      <c r="K644" s="182"/>
      <c r="L644" s="182"/>
      <c r="M644" s="270"/>
      <c r="N644" s="892"/>
      <c r="O644" s="892"/>
      <c r="P644" s="259"/>
      <c r="Q644" s="114"/>
      <c r="R644" s="270"/>
      <c r="S644" s="270"/>
      <c r="T644" s="270"/>
      <c r="U644" s="270"/>
      <c r="V644" s="270"/>
      <c r="W644" s="270"/>
      <c r="X644" s="270"/>
      <c r="Y644" s="270"/>
      <c r="Z644" s="270"/>
      <c r="AA644" s="270"/>
    </row>
    <row r="645" spans="3:27" ht="15" thickBot="1" x14ac:dyDescent="0.35">
      <c r="C645" s="225"/>
      <c r="D645" s="182"/>
      <c r="E645" s="182"/>
      <c r="F645" s="182"/>
      <c r="G645" s="450" t="str">
        <f t="shared" si="27"/>
        <v>--</v>
      </c>
      <c r="H645" s="182"/>
      <c r="I645" s="892"/>
      <c r="J645" s="892"/>
      <c r="K645" s="182"/>
      <c r="L645" s="182"/>
      <c r="M645" s="901" t="s">
        <v>155</v>
      </c>
      <c r="N645" s="870" t="s">
        <v>188</v>
      </c>
      <c r="O645" s="870"/>
      <c r="P645" s="276" t="s">
        <v>52</v>
      </c>
      <c r="Q645" s="871" t="s">
        <v>155</v>
      </c>
      <c r="R645" s="902"/>
      <c r="S645" s="874"/>
      <c r="T645" s="270"/>
      <c r="U645" s="270"/>
      <c r="V645" s="270"/>
      <c r="W645" s="270"/>
      <c r="X645" s="270"/>
      <c r="Y645" s="270"/>
      <c r="Z645" s="270"/>
      <c r="AA645" s="270"/>
    </row>
    <row r="646" spans="3:27" ht="15" thickBot="1" x14ac:dyDescent="0.35">
      <c r="C646" s="566" t="s">
        <v>383</v>
      </c>
      <c r="D646" s="875" t="str">
        <f>VLOOKUP(C646,'Airport Mapping'!$C$5:$D$39,2,FALSE)</f>
        <v xml:space="preserve"> </v>
      </c>
      <c r="E646" s="567" t="s">
        <v>8</v>
      </c>
      <c r="F646" s="567" t="s">
        <v>52</v>
      </c>
      <c r="G646" s="450" t="str">
        <f t="shared" si="27"/>
        <v>Office Building A-Other-Other 1</v>
      </c>
      <c r="H646" s="567" t="s">
        <v>362</v>
      </c>
      <c r="I646" s="877" t="s">
        <v>64</v>
      </c>
      <c r="J646" s="878">
        <f>SUMIFS('Level of Efficiency Assumptions'!J:J,'Level of Efficiency Assumptions'!D:D,E646,'Level of Efficiency Assumptions'!F:F,F646,'Level of Efficiency Assumptions'!I:I,I646)</f>
        <v>10</v>
      </c>
      <c r="K646" s="383" t="s">
        <v>588</v>
      </c>
      <c r="L646" s="253" t="s">
        <v>64</v>
      </c>
      <c r="M646" s="879">
        <f>SUM(Q646:Q646)</f>
        <v>0</v>
      </c>
      <c r="N646" s="880">
        <f>IFERROR(M646/M649,"-")</f>
        <v>0</v>
      </c>
      <c r="O646" s="881">
        <f>SUMIFS('Data Entry'!R:R,'Data Entry'!K:K,G646)</f>
        <v>0</v>
      </c>
      <c r="P646" s="272" t="s">
        <v>129</v>
      </c>
      <c r="Q646" s="895">
        <v>0</v>
      </c>
      <c r="R646" s="114"/>
      <c r="S646" s="884"/>
      <c r="T646" s="270"/>
      <c r="U646" s="270"/>
      <c r="V646" s="270"/>
      <c r="W646" s="270"/>
      <c r="X646" s="270"/>
      <c r="Y646" s="270"/>
      <c r="Z646" s="270"/>
      <c r="AA646" s="270"/>
    </row>
    <row r="647" spans="3:27" ht="15" thickBot="1" x14ac:dyDescent="0.35">
      <c r="C647" s="494" t="s">
        <v>383</v>
      </c>
      <c r="D647" s="577"/>
      <c r="E647" s="577" t="s">
        <v>8</v>
      </c>
      <c r="F647" s="577" t="s">
        <v>52</v>
      </c>
      <c r="G647" s="450" t="str">
        <f t="shared" si="27"/>
        <v>Office Building A-Other-Other 1</v>
      </c>
      <c r="H647" s="577"/>
      <c r="I647" s="887" t="s">
        <v>65</v>
      </c>
      <c r="J647" s="878">
        <f>SUMIFS('Level of Efficiency Assumptions'!J:J,'Level of Efficiency Assumptions'!D:D,E647,'Level of Efficiency Assumptions'!F:F,F647,'Level of Efficiency Assumptions'!I:I,I647)</f>
        <v>7.5</v>
      </c>
      <c r="K647" s="383" t="s">
        <v>588</v>
      </c>
      <c r="L647" s="255" t="s">
        <v>65</v>
      </c>
      <c r="M647" s="879">
        <f t="shared" ref="M647:M648" si="28">SUM(Q647:Q647)</f>
        <v>1</v>
      </c>
      <c r="N647" s="880">
        <f>IFERROR(M647/M649,"-")</f>
        <v>1</v>
      </c>
      <c r="O647" s="881">
        <f>SUMIFS('Data Entry'!S:S,'Data Entry'!K:K,G647)</f>
        <v>0</v>
      </c>
      <c r="P647" s="274" t="s">
        <v>233</v>
      </c>
      <c r="Q647" s="895">
        <v>1</v>
      </c>
      <c r="R647" s="114"/>
      <c r="S647" s="884"/>
      <c r="T647" s="270"/>
      <c r="U647" s="270"/>
      <c r="V647" s="270"/>
      <c r="W647" s="270"/>
      <c r="X647" s="270"/>
      <c r="Y647" s="270"/>
      <c r="Z647" s="270"/>
      <c r="AA647" s="270"/>
    </row>
    <row r="648" spans="3:27" ht="15" thickBot="1" x14ac:dyDescent="0.35">
      <c r="C648" s="501" t="s">
        <v>383</v>
      </c>
      <c r="D648" s="116"/>
      <c r="E648" s="116" t="s">
        <v>8</v>
      </c>
      <c r="F648" s="116" t="s">
        <v>52</v>
      </c>
      <c r="G648" s="450" t="str">
        <f t="shared" si="27"/>
        <v>Office Building A-Other-Other 1</v>
      </c>
      <c r="H648" s="116"/>
      <c r="I648" s="889" t="s">
        <v>66</v>
      </c>
      <c r="J648" s="890">
        <f>SUMIFS('Level of Efficiency Assumptions'!J:J,'Level of Efficiency Assumptions'!D:D,E648,'Level of Efficiency Assumptions'!F:F,F648,'Level of Efficiency Assumptions'!I:I,I648)</f>
        <v>5</v>
      </c>
      <c r="K648" s="383" t="s">
        <v>588</v>
      </c>
      <c r="L648" s="257" t="s">
        <v>66</v>
      </c>
      <c r="M648" s="879">
        <f t="shared" si="28"/>
        <v>0</v>
      </c>
      <c r="N648" s="880">
        <f>IFERROR(M648/M649,"-")</f>
        <v>0</v>
      </c>
      <c r="O648" s="881">
        <f>SUMIFS('Data Entry'!T:T,'Data Entry'!K:K,G648)</f>
        <v>0</v>
      </c>
      <c r="P648" s="269" t="s">
        <v>234</v>
      </c>
      <c r="Q648" s="895">
        <v>0</v>
      </c>
      <c r="R648" s="114"/>
      <c r="S648" s="884"/>
      <c r="T648" s="270"/>
      <c r="U648" s="270"/>
      <c r="V648" s="270"/>
      <c r="W648" s="270"/>
      <c r="X648" s="270"/>
      <c r="Y648" s="270"/>
      <c r="Z648" s="270"/>
      <c r="AA648" s="270"/>
    </row>
    <row r="649" spans="3:27" x14ac:dyDescent="0.3">
      <c r="C649" s="450"/>
      <c r="D649" s="182"/>
      <c r="E649" s="182"/>
      <c r="F649" s="182"/>
      <c r="G649" s="450" t="str">
        <f t="shared" si="27"/>
        <v>--</v>
      </c>
      <c r="H649" s="182"/>
      <c r="I649" s="440"/>
      <c r="J649" s="892"/>
      <c r="K649" s="259"/>
      <c r="L649" s="259" t="s">
        <v>46</v>
      </c>
      <c r="M649" s="893">
        <f>SUM(M646:M648)</f>
        <v>1</v>
      </c>
      <c r="N649" s="894"/>
      <c r="O649" s="894">
        <f>SUM(O646:O648)</f>
        <v>0</v>
      </c>
      <c r="P649" s="263" t="s">
        <v>46</v>
      </c>
      <c r="Q649" s="897">
        <f>SUM(Q646:Q648)</f>
        <v>1</v>
      </c>
      <c r="R649" s="899"/>
      <c r="S649" s="900"/>
      <c r="T649" s="270"/>
      <c r="U649" s="270"/>
      <c r="V649" s="270"/>
      <c r="W649" s="270"/>
      <c r="X649" s="270"/>
      <c r="Y649" s="270"/>
      <c r="Z649" s="270"/>
      <c r="AA649" s="270"/>
    </row>
    <row r="650" spans="3:27" x14ac:dyDescent="0.3">
      <c r="C650" s="450"/>
      <c r="D650" s="182"/>
      <c r="E650" s="182"/>
      <c r="F650" s="182"/>
      <c r="G650" s="450" t="str">
        <f t="shared" si="27"/>
        <v>--</v>
      </c>
      <c r="H650" s="182"/>
      <c r="I650" s="892"/>
      <c r="J650" s="288"/>
      <c r="K650" s="182"/>
      <c r="L650" s="182"/>
      <c r="M650" s="270"/>
      <c r="N650" s="892"/>
      <c r="O650" s="892"/>
      <c r="P650" s="270"/>
      <c r="Q650" s="270"/>
      <c r="R650" s="270"/>
      <c r="S650" s="270"/>
      <c r="T650" s="270"/>
      <c r="U650" s="270"/>
      <c r="V650" s="270"/>
      <c r="W650" s="270"/>
      <c r="X650" s="270"/>
      <c r="Y650" s="270"/>
      <c r="Z650" s="270"/>
      <c r="AA650" s="270"/>
    </row>
    <row r="651" spans="3:27" ht="15" thickBot="1" x14ac:dyDescent="0.35">
      <c r="C651" s="450"/>
      <c r="D651" s="182"/>
      <c r="E651" s="182"/>
      <c r="F651" s="182"/>
      <c r="G651" s="450" t="str">
        <f t="shared" si="27"/>
        <v>--</v>
      </c>
      <c r="H651" s="182"/>
      <c r="I651" s="892"/>
      <c r="J651" s="892"/>
      <c r="K651" s="182"/>
      <c r="L651" s="182"/>
      <c r="M651" s="901" t="s">
        <v>155</v>
      </c>
      <c r="N651" s="870" t="s">
        <v>188</v>
      </c>
      <c r="O651" s="870"/>
      <c r="P651" s="276" t="s">
        <v>53</v>
      </c>
      <c r="Q651" s="871" t="s">
        <v>155</v>
      </c>
      <c r="R651" s="902"/>
      <c r="S651" s="874"/>
      <c r="T651" s="270"/>
      <c r="U651" s="270"/>
      <c r="V651" s="270"/>
      <c r="W651" s="270"/>
      <c r="X651" s="270"/>
      <c r="Y651" s="270"/>
      <c r="Z651" s="270"/>
      <c r="AA651" s="270"/>
    </row>
    <row r="652" spans="3:27" ht="15" thickBot="1" x14ac:dyDescent="0.35">
      <c r="C652" s="566" t="s">
        <v>383</v>
      </c>
      <c r="D652" s="875" t="str">
        <f>VLOOKUP(C652,'Airport Mapping'!$C$5:$D$39,2,FALSE)</f>
        <v xml:space="preserve"> </v>
      </c>
      <c r="E652" s="567" t="s">
        <v>8</v>
      </c>
      <c r="F652" s="567" t="s">
        <v>53</v>
      </c>
      <c r="G652" s="450" t="str">
        <f t="shared" si="27"/>
        <v>Office Building A-Other-Other 2</v>
      </c>
      <c r="H652" s="567" t="s">
        <v>363</v>
      </c>
      <c r="I652" s="877" t="s">
        <v>64</v>
      </c>
      <c r="J652" s="878">
        <f>SUMIFS('Level of Efficiency Assumptions'!J:J,'Level of Efficiency Assumptions'!D:D,E652,'Level of Efficiency Assumptions'!F:F,F652,'Level of Efficiency Assumptions'!I:I,I652)</f>
        <v>10</v>
      </c>
      <c r="K652" s="383" t="s">
        <v>588</v>
      </c>
      <c r="L652" s="253" t="s">
        <v>64</v>
      </c>
      <c r="M652" s="879">
        <f>SUM(Q652:Q652)</f>
        <v>0</v>
      </c>
      <c r="N652" s="880">
        <f>IFERROR(M652/M655,"-")</f>
        <v>0</v>
      </c>
      <c r="O652" s="881">
        <f>SUMIFS('Data Entry'!R:R,'Data Entry'!K:K,G652)</f>
        <v>0</v>
      </c>
      <c r="P652" s="272" t="s">
        <v>129</v>
      </c>
      <c r="Q652" s="895">
        <v>0</v>
      </c>
      <c r="R652" s="114"/>
      <c r="S652" s="884"/>
      <c r="T652" s="270"/>
      <c r="U652" s="270"/>
      <c r="V652" s="270"/>
      <c r="W652" s="270"/>
      <c r="X652" s="270"/>
      <c r="Y652" s="270"/>
      <c r="Z652" s="270"/>
      <c r="AA652" s="270"/>
    </row>
    <row r="653" spans="3:27" ht="15" thickBot="1" x14ac:dyDescent="0.35">
      <c r="C653" s="494" t="s">
        <v>383</v>
      </c>
      <c r="D653" s="577"/>
      <c r="E653" s="577" t="s">
        <v>8</v>
      </c>
      <c r="F653" s="577" t="s">
        <v>53</v>
      </c>
      <c r="G653" s="450" t="str">
        <f t="shared" si="27"/>
        <v>Office Building A-Other-Other 2</v>
      </c>
      <c r="H653" s="577"/>
      <c r="I653" s="887" t="s">
        <v>65</v>
      </c>
      <c r="J653" s="878">
        <f>SUMIFS('Level of Efficiency Assumptions'!J:J,'Level of Efficiency Assumptions'!D:D,E653,'Level of Efficiency Assumptions'!F:F,F653,'Level of Efficiency Assumptions'!I:I,I653)</f>
        <v>7.5</v>
      </c>
      <c r="K653" s="383" t="s">
        <v>588</v>
      </c>
      <c r="L653" s="255" t="s">
        <v>65</v>
      </c>
      <c r="M653" s="879">
        <f t="shared" ref="M653:M654" si="29">SUM(Q653:Q653)</f>
        <v>1</v>
      </c>
      <c r="N653" s="880">
        <f>IFERROR(M653/M655,"-")</f>
        <v>1</v>
      </c>
      <c r="O653" s="881">
        <f>SUMIFS('Data Entry'!S:S,'Data Entry'!K:K,G653)</f>
        <v>0</v>
      </c>
      <c r="P653" s="274" t="s">
        <v>233</v>
      </c>
      <c r="Q653" s="895">
        <v>1</v>
      </c>
      <c r="R653" s="114"/>
      <c r="S653" s="884"/>
      <c r="T653" s="270"/>
      <c r="U653" s="270"/>
      <c r="V653" s="270"/>
      <c r="W653" s="270"/>
      <c r="X653" s="270"/>
      <c r="Y653" s="270"/>
      <c r="Z653" s="270"/>
      <c r="AA653" s="270"/>
    </row>
    <row r="654" spans="3:27" ht="15" thickBot="1" x14ac:dyDescent="0.35">
      <c r="C654" s="501" t="s">
        <v>383</v>
      </c>
      <c r="D654" s="116"/>
      <c r="E654" s="116" t="s">
        <v>8</v>
      </c>
      <c r="F654" s="116" t="s">
        <v>53</v>
      </c>
      <c r="G654" s="450" t="str">
        <f t="shared" si="27"/>
        <v>Office Building A-Other-Other 2</v>
      </c>
      <c r="H654" s="116"/>
      <c r="I654" s="889" t="s">
        <v>66</v>
      </c>
      <c r="J654" s="890">
        <f>SUMIFS('Level of Efficiency Assumptions'!J:J,'Level of Efficiency Assumptions'!D:D,E654,'Level of Efficiency Assumptions'!F:F,F654,'Level of Efficiency Assumptions'!I:I,I654)</f>
        <v>5</v>
      </c>
      <c r="K654" s="383" t="s">
        <v>588</v>
      </c>
      <c r="L654" s="257" t="s">
        <v>66</v>
      </c>
      <c r="M654" s="879">
        <f t="shared" si="29"/>
        <v>0</v>
      </c>
      <c r="N654" s="880">
        <f>IFERROR(M654/M655,"-")</f>
        <v>0</v>
      </c>
      <c r="O654" s="881">
        <f>SUMIFS('Data Entry'!T:T,'Data Entry'!K:K,G654)</f>
        <v>0</v>
      </c>
      <c r="P654" s="269" t="s">
        <v>234</v>
      </c>
      <c r="Q654" s="895">
        <v>0</v>
      </c>
      <c r="R654" s="114"/>
      <c r="S654" s="884"/>
      <c r="T654" s="270"/>
      <c r="U654" s="270"/>
      <c r="V654" s="270"/>
      <c r="W654" s="270"/>
      <c r="X654" s="270"/>
      <c r="Y654" s="270"/>
      <c r="Z654" s="270"/>
      <c r="AA654" s="270"/>
    </row>
    <row r="655" spans="3:27" x14ac:dyDescent="0.3">
      <c r="C655" s="450"/>
      <c r="D655" s="182"/>
      <c r="E655" s="182"/>
      <c r="F655" s="182"/>
      <c r="G655" s="450" t="str">
        <f t="shared" si="27"/>
        <v>--</v>
      </c>
      <c r="H655" s="182"/>
      <c r="I655" s="440"/>
      <c r="J655" s="892"/>
      <c r="K655" s="259"/>
      <c r="L655" s="259" t="s">
        <v>46</v>
      </c>
      <c r="M655" s="893">
        <f>SUM(M652:M654)</f>
        <v>1</v>
      </c>
      <c r="N655" s="894"/>
      <c r="O655" s="894">
        <f>SUM(O652:O654)</f>
        <v>0</v>
      </c>
      <c r="P655" s="263" t="s">
        <v>46</v>
      </c>
      <c r="Q655" s="897">
        <f>SUM(Q652:Q654)</f>
        <v>1</v>
      </c>
      <c r="R655" s="899"/>
      <c r="S655" s="900"/>
      <c r="T655" s="270"/>
      <c r="U655" s="270"/>
      <c r="V655" s="270"/>
      <c r="W655" s="270"/>
      <c r="X655" s="270"/>
      <c r="Y655" s="270"/>
      <c r="Z655" s="270"/>
      <c r="AA655" s="270"/>
    </row>
    <row r="656" spans="3:27" x14ac:dyDescent="0.3">
      <c r="C656" s="450"/>
      <c r="D656" s="182"/>
      <c r="E656" s="182"/>
      <c r="F656" s="182"/>
      <c r="G656" s="450" t="str">
        <f t="shared" si="27"/>
        <v>--</v>
      </c>
      <c r="H656" s="182"/>
      <c r="I656" s="892"/>
      <c r="J656" s="288"/>
      <c r="K656" s="288"/>
      <c r="L656" s="182"/>
      <c r="M656" s="270"/>
      <c r="N656" s="892"/>
      <c r="O656" s="892"/>
      <c r="P656" s="270"/>
      <c r="Q656" s="270"/>
      <c r="R656" s="270"/>
      <c r="S656" s="270"/>
      <c r="T656" s="270"/>
      <c r="U656" s="270"/>
      <c r="V656" s="270"/>
      <c r="W656" s="270"/>
      <c r="X656" s="270"/>
      <c r="Y656" s="270"/>
      <c r="Z656" s="270"/>
      <c r="AA656" s="270"/>
    </row>
    <row r="657" spans="3:31" ht="15" thickBot="1" x14ac:dyDescent="0.35">
      <c r="C657" s="450"/>
      <c r="D657" s="182"/>
      <c r="E657" s="182"/>
      <c r="F657" s="182"/>
      <c r="G657" s="450" t="str">
        <f t="shared" si="27"/>
        <v>--</v>
      </c>
      <c r="H657" s="182"/>
      <c r="I657" s="892"/>
      <c r="J657" s="892"/>
      <c r="K657" s="182"/>
      <c r="L657" s="182"/>
      <c r="M657" s="901" t="s">
        <v>155</v>
      </c>
      <c r="N657" s="870" t="s">
        <v>188</v>
      </c>
      <c r="O657" s="870"/>
      <c r="P657" s="276" t="s">
        <v>54</v>
      </c>
      <c r="Q657" s="871" t="s">
        <v>155</v>
      </c>
      <c r="R657" s="902"/>
      <c r="S657" s="874"/>
      <c r="T657" s="270"/>
      <c r="U657" s="270"/>
      <c r="V657" s="270"/>
      <c r="W657" s="270"/>
      <c r="X657" s="270"/>
      <c r="Y657" s="270"/>
      <c r="Z657" s="270"/>
      <c r="AA657" s="270"/>
    </row>
    <row r="658" spans="3:31" ht="15" thickBot="1" x14ac:dyDescent="0.35">
      <c r="C658" s="566" t="s">
        <v>383</v>
      </c>
      <c r="D658" s="875" t="str">
        <f>VLOOKUP(C658,'Airport Mapping'!$C$5:$D$39,2,FALSE)</f>
        <v xml:space="preserve"> </v>
      </c>
      <c r="E658" s="567" t="s">
        <v>8</v>
      </c>
      <c r="F658" s="567" t="s">
        <v>54</v>
      </c>
      <c r="G658" s="450" t="str">
        <f t="shared" si="27"/>
        <v>Office Building A-Other-Other 3</v>
      </c>
      <c r="H658" s="567" t="s">
        <v>364</v>
      </c>
      <c r="I658" s="877" t="s">
        <v>64</v>
      </c>
      <c r="J658" s="878">
        <f>SUMIFS('Level of Efficiency Assumptions'!J:J,'Level of Efficiency Assumptions'!D:D,E658,'Level of Efficiency Assumptions'!F:F,F658,'Level of Efficiency Assumptions'!I:I,I658)</f>
        <v>10</v>
      </c>
      <c r="K658" s="383" t="s">
        <v>588</v>
      </c>
      <c r="L658" s="253" t="s">
        <v>64</v>
      </c>
      <c r="M658" s="879">
        <f>SUM(Q658:Q658)</f>
        <v>0</v>
      </c>
      <c r="N658" s="880">
        <f>IFERROR(M658/M661,"-")</f>
        <v>0</v>
      </c>
      <c r="O658" s="881">
        <f>SUMIFS('Data Entry'!R:R,'Data Entry'!K:K,G658)</f>
        <v>0</v>
      </c>
      <c r="P658" s="272" t="s">
        <v>129</v>
      </c>
      <c r="Q658" s="895">
        <v>0</v>
      </c>
      <c r="R658" s="114"/>
      <c r="S658" s="884"/>
      <c r="T658" s="270"/>
      <c r="U658" s="270"/>
      <c r="V658" s="270"/>
      <c r="W658" s="270"/>
      <c r="X658" s="270"/>
      <c r="Y658" s="270"/>
      <c r="Z658" s="270"/>
      <c r="AA658" s="270"/>
    </row>
    <row r="659" spans="3:31" ht="15" thickBot="1" x14ac:dyDescent="0.35">
      <c r="C659" s="494" t="s">
        <v>383</v>
      </c>
      <c r="D659" s="577"/>
      <c r="E659" s="577" t="s">
        <v>8</v>
      </c>
      <c r="F659" s="577" t="s">
        <v>54</v>
      </c>
      <c r="G659" s="450" t="str">
        <f t="shared" si="27"/>
        <v>Office Building A-Other-Other 3</v>
      </c>
      <c r="H659" s="577"/>
      <c r="I659" s="887" t="s">
        <v>65</v>
      </c>
      <c r="J659" s="878">
        <f>SUMIFS('Level of Efficiency Assumptions'!J:J,'Level of Efficiency Assumptions'!D:D,E659,'Level of Efficiency Assumptions'!F:F,F659,'Level of Efficiency Assumptions'!I:I,I659)</f>
        <v>7.5</v>
      </c>
      <c r="K659" s="383" t="s">
        <v>588</v>
      </c>
      <c r="L659" s="255" t="s">
        <v>65</v>
      </c>
      <c r="M659" s="879">
        <f t="shared" ref="M659:M660" si="30">SUM(Q659:Q659)</f>
        <v>1</v>
      </c>
      <c r="N659" s="880">
        <f>IFERROR(M659/M661,"-")</f>
        <v>1</v>
      </c>
      <c r="O659" s="881">
        <f>SUMIFS('Data Entry'!S:S,'Data Entry'!K:K,G659)</f>
        <v>0</v>
      </c>
      <c r="P659" s="274" t="s">
        <v>233</v>
      </c>
      <c r="Q659" s="895">
        <v>1</v>
      </c>
      <c r="R659" s="114"/>
      <c r="S659" s="884"/>
      <c r="T659" s="270"/>
      <c r="U659" s="270"/>
      <c r="V659" s="270"/>
      <c r="W659" s="270"/>
      <c r="X659" s="270"/>
      <c r="Y659" s="270"/>
      <c r="Z659" s="270"/>
      <c r="AA659" s="270"/>
    </row>
    <row r="660" spans="3:31" ht="15" thickBot="1" x14ac:dyDescent="0.35">
      <c r="C660" s="501" t="s">
        <v>383</v>
      </c>
      <c r="D660" s="116"/>
      <c r="E660" s="116" t="s">
        <v>8</v>
      </c>
      <c r="F660" s="116" t="s">
        <v>54</v>
      </c>
      <c r="G660" s="450" t="str">
        <f t="shared" si="27"/>
        <v>Office Building A-Other-Other 3</v>
      </c>
      <c r="H660" s="116"/>
      <c r="I660" s="889" t="s">
        <v>66</v>
      </c>
      <c r="J660" s="890">
        <f>SUMIFS('Level of Efficiency Assumptions'!J:J,'Level of Efficiency Assumptions'!D:D,E660,'Level of Efficiency Assumptions'!F:F,F660,'Level of Efficiency Assumptions'!I:I,I660)</f>
        <v>5</v>
      </c>
      <c r="K660" s="383" t="s">
        <v>588</v>
      </c>
      <c r="L660" s="257" t="s">
        <v>66</v>
      </c>
      <c r="M660" s="879">
        <f t="shared" si="30"/>
        <v>0</v>
      </c>
      <c r="N660" s="880">
        <f>IFERROR(M660/M661,"-")</f>
        <v>0</v>
      </c>
      <c r="O660" s="881">
        <f>SUMIFS('Data Entry'!T:T,'Data Entry'!K:K,G660)</f>
        <v>0</v>
      </c>
      <c r="P660" s="269" t="s">
        <v>234</v>
      </c>
      <c r="Q660" s="895">
        <v>0</v>
      </c>
      <c r="R660" s="114"/>
      <c r="S660" s="884"/>
      <c r="T660" s="270"/>
      <c r="U660" s="270"/>
      <c r="V660" s="270"/>
      <c r="W660" s="270"/>
      <c r="X660" s="270"/>
      <c r="Y660" s="270"/>
      <c r="Z660" s="270"/>
      <c r="AA660" s="270"/>
    </row>
    <row r="661" spans="3:31" x14ac:dyDescent="0.3">
      <c r="C661" s="450"/>
      <c r="D661" s="182"/>
      <c r="E661" s="182"/>
      <c r="F661" s="182"/>
      <c r="G661" s="450" t="str">
        <f t="shared" si="27"/>
        <v>--</v>
      </c>
      <c r="H661" s="182"/>
      <c r="I661" s="440"/>
      <c r="J661" s="892"/>
      <c r="K661" s="259"/>
      <c r="L661" s="259" t="s">
        <v>46</v>
      </c>
      <c r="M661" s="893">
        <f>SUM(M658:M660)</f>
        <v>1</v>
      </c>
      <c r="N661" s="894"/>
      <c r="O661" s="894">
        <f>SUM(O658:O660)</f>
        <v>0</v>
      </c>
      <c r="P661" s="263" t="s">
        <v>46</v>
      </c>
      <c r="Q661" s="897">
        <f>SUM(Q658:Q660)</f>
        <v>1</v>
      </c>
      <c r="R661" s="899"/>
      <c r="S661" s="900"/>
      <c r="T661" s="270"/>
      <c r="U661" s="270"/>
      <c r="V661" s="270"/>
      <c r="W661" s="270"/>
      <c r="X661" s="270"/>
      <c r="Y661" s="270"/>
      <c r="Z661" s="270"/>
      <c r="AA661" s="270"/>
    </row>
    <row r="662" spans="3:31" ht="15" thickBot="1" x14ac:dyDescent="0.35">
      <c r="C662" s="451"/>
      <c r="D662" s="184"/>
      <c r="E662" s="184"/>
      <c r="F662" s="184"/>
      <c r="G662" s="450" t="str">
        <f t="shared" si="27"/>
        <v>--</v>
      </c>
      <c r="H662" s="184"/>
      <c r="I662" s="184"/>
      <c r="J662" s="184"/>
      <c r="K662" s="184"/>
      <c r="L662" s="184"/>
      <c r="M662" s="278"/>
      <c r="N662" s="281"/>
      <c r="O662" s="281"/>
      <c r="P662" s="278"/>
      <c r="Q662" s="278"/>
      <c r="R662" s="278"/>
      <c r="S662" s="278"/>
      <c r="T662" s="278"/>
      <c r="U662" s="270"/>
      <c r="V662" s="270"/>
      <c r="W662" s="270"/>
      <c r="X662" s="270"/>
      <c r="Y662" s="270"/>
      <c r="Z662" s="270"/>
      <c r="AA662" s="270"/>
    </row>
    <row r="663" spans="3:31" s="45" customFormat="1" x14ac:dyDescent="0.3">
      <c r="C663" s="450"/>
      <c r="D663" s="182"/>
      <c r="E663" s="182"/>
      <c r="F663" s="182"/>
      <c r="G663" s="450" t="str">
        <f t="shared" si="27"/>
        <v>--</v>
      </c>
      <c r="H663" s="182"/>
      <c r="I663" s="892"/>
      <c r="J663" s="892"/>
      <c r="K663" s="182"/>
      <c r="L663" s="182"/>
      <c r="M663" s="270"/>
      <c r="N663" s="892"/>
      <c r="O663" s="892"/>
      <c r="P663" s="114"/>
      <c r="Q663" s="114"/>
      <c r="R663" s="114"/>
      <c r="S663" s="114"/>
      <c r="T663" s="114"/>
      <c r="U663" s="114"/>
      <c r="V663" s="114"/>
      <c r="W663" s="114"/>
      <c r="X663" s="114"/>
      <c r="Y663" s="114"/>
      <c r="Z663" s="114"/>
      <c r="AA663" s="114"/>
      <c r="AB663" s="85"/>
      <c r="AC663" s="85"/>
      <c r="AD663" s="85"/>
      <c r="AE663" s="85"/>
    </row>
    <row r="664" spans="3:31" s="45" customFormat="1" ht="15" thickBot="1" x14ac:dyDescent="0.35">
      <c r="C664" s="450"/>
      <c r="D664" s="182"/>
      <c r="E664" s="182"/>
      <c r="F664" s="182"/>
      <c r="G664" s="450" t="str">
        <f t="shared" si="27"/>
        <v>--</v>
      </c>
      <c r="H664" s="182"/>
      <c r="I664" s="892"/>
      <c r="J664" s="892"/>
      <c r="K664" s="182"/>
      <c r="L664" s="182"/>
      <c r="M664" s="901" t="s">
        <v>155</v>
      </c>
      <c r="N664" s="870" t="s">
        <v>188</v>
      </c>
      <c r="O664" s="870"/>
      <c r="P664" s="252" t="s">
        <v>158</v>
      </c>
      <c r="Q664" s="871" t="s">
        <v>155</v>
      </c>
      <c r="R664" s="872" t="s">
        <v>168</v>
      </c>
      <c r="S664" s="872" t="s">
        <v>169</v>
      </c>
      <c r="T664" s="873"/>
      <c r="U664" s="874"/>
      <c r="V664" s="270"/>
      <c r="W664" s="270"/>
      <c r="X664" s="270"/>
      <c r="Y664" s="114"/>
      <c r="Z664" s="270"/>
      <c r="AA664" s="270"/>
      <c r="AB664" s="125"/>
      <c r="AC664" s="85"/>
      <c r="AD664" s="85"/>
      <c r="AE664" s="85"/>
    </row>
    <row r="665" spans="3:31" ht="15" thickBot="1" x14ac:dyDescent="0.35">
      <c r="C665" s="566" t="s">
        <v>384</v>
      </c>
      <c r="D665" s="875" t="str">
        <f>VLOOKUP(C665,'Airport Mapping'!$C$5:$D$39,2,FALSE)</f>
        <v xml:space="preserve"> </v>
      </c>
      <c r="E665" s="567" t="s">
        <v>37</v>
      </c>
      <c r="F665" s="567" t="s">
        <v>2</v>
      </c>
      <c r="G665" s="450" t="str">
        <f t="shared" si="27"/>
        <v>Office Building B-Restrooms-Toilets</v>
      </c>
      <c r="H665" s="567" t="s">
        <v>6</v>
      </c>
      <c r="I665" s="877" t="s">
        <v>64</v>
      </c>
      <c r="J665" s="878">
        <f>SUMIFS('Level of Efficiency Assumptions'!J:J,'Level of Efficiency Assumptions'!D:D,E665,'Level of Efficiency Assumptions'!F:F,F665,'Level of Efficiency Assumptions'!I:I,I665)</f>
        <v>3.5</v>
      </c>
      <c r="K665" s="383" t="s">
        <v>68</v>
      </c>
      <c r="L665" s="253" t="s">
        <v>64</v>
      </c>
      <c r="M665" s="879">
        <f>Q665+Q671</f>
        <v>0</v>
      </c>
      <c r="N665" s="880">
        <f>IFERROR(M665/M668,"-")</f>
        <v>0</v>
      </c>
      <c r="O665" s="881">
        <f>SUMIFS('Data Entry'!R:R,'Data Entry'!K:K,G665)</f>
        <v>0</v>
      </c>
      <c r="P665" s="254" t="s">
        <v>159</v>
      </c>
      <c r="Q665" s="882">
        <v>0</v>
      </c>
      <c r="R665" s="883"/>
      <c r="S665" s="883"/>
      <c r="T665" s="114" t="s">
        <v>182</v>
      </c>
      <c r="U665" s="884"/>
      <c r="V665" s="270"/>
      <c r="W665" s="270"/>
      <c r="X665" s="270"/>
      <c r="Y665" s="114"/>
      <c r="Z665" s="270"/>
      <c r="AA665" s="270"/>
      <c r="AC665" s="85"/>
      <c r="AD665" s="85"/>
    </row>
    <row r="666" spans="3:31" ht="15" thickBot="1" x14ac:dyDescent="0.35">
      <c r="C666" s="494" t="s">
        <v>384</v>
      </c>
      <c r="D666" s="577"/>
      <c r="E666" s="577" t="s">
        <v>37</v>
      </c>
      <c r="F666" s="577" t="s">
        <v>2</v>
      </c>
      <c r="G666" s="450" t="str">
        <f t="shared" si="27"/>
        <v>Office Building B-Restrooms-Toilets</v>
      </c>
      <c r="H666" s="577"/>
      <c r="I666" s="887" t="s">
        <v>65</v>
      </c>
      <c r="J666" s="878">
        <f>SUMIFS('Level of Efficiency Assumptions'!J:J,'Level of Efficiency Assumptions'!D:D,E666,'Level of Efficiency Assumptions'!F:F,F666,'Level of Efficiency Assumptions'!I:I,I666)</f>
        <v>1.6</v>
      </c>
      <c r="K666" s="383" t="s">
        <v>68</v>
      </c>
      <c r="L666" s="255" t="s">
        <v>65</v>
      </c>
      <c r="M666" s="879">
        <f>Q666+Q669+Q672</f>
        <v>1</v>
      </c>
      <c r="N666" s="880">
        <f>IFERROR(M666/M668,"-")</f>
        <v>1</v>
      </c>
      <c r="O666" s="881">
        <f>SUMIFS('Data Entry'!S:S,'Data Entry'!K:K,G666)</f>
        <v>0</v>
      </c>
      <c r="P666" s="256" t="s">
        <v>161</v>
      </c>
      <c r="Q666" s="882">
        <v>1</v>
      </c>
      <c r="R666" s="883"/>
      <c r="S666" s="883"/>
      <c r="T666" s="114" t="s">
        <v>184</v>
      </c>
      <c r="U666" s="884"/>
      <c r="V666" s="270"/>
      <c r="W666" s="270"/>
      <c r="X666" s="270"/>
      <c r="Y666" s="114"/>
      <c r="Z666" s="270"/>
      <c r="AA666" s="270"/>
      <c r="AC666" s="85"/>
      <c r="AD666" s="85"/>
    </row>
    <row r="667" spans="3:31" ht="15" thickBot="1" x14ac:dyDescent="0.35">
      <c r="C667" s="501" t="s">
        <v>384</v>
      </c>
      <c r="D667" s="116"/>
      <c r="E667" s="116" t="s">
        <v>37</v>
      </c>
      <c r="F667" s="116" t="s">
        <v>2</v>
      </c>
      <c r="G667" s="450" t="str">
        <f t="shared" si="27"/>
        <v>Office Building B-Restrooms-Toilets</v>
      </c>
      <c r="H667" s="116"/>
      <c r="I667" s="889" t="s">
        <v>66</v>
      </c>
      <c r="J667" s="890">
        <f>SUMIFS('Level of Efficiency Assumptions'!J:J,'Level of Efficiency Assumptions'!D:D,E667,'Level of Efficiency Assumptions'!F:F,F667,'Level of Efficiency Assumptions'!I:I,I667)</f>
        <v>1.28</v>
      </c>
      <c r="K667" s="383" t="s">
        <v>68</v>
      </c>
      <c r="L667" s="257" t="s">
        <v>66</v>
      </c>
      <c r="M667" s="879">
        <f>Q667+Q668+Q670+Q673+Q674</f>
        <v>0</v>
      </c>
      <c r="N667" s="880">
        <f>IFERROR(M667/M668,"-")</f>
        <v>0</v>
      </c>
      <c r="O667" s="881">
        <f>SUMIFS('Data Entry'!T:T,'Data Entry'!K:K,G667)</f>
        <v>0</v>
      </c>
      <c r="P667" s="258" t="s">
        <v>163</v>
      </c>
      <c r="Q667" s="882">
        <v>0</v>
      </c>
      <c r="R667" s="883"/>
      <c r="S667" s="883"/>
      <c r="T667" s="891"/>
      <c r="U667" s="884"/>
      <c r="V667" s="270"/>
      <c r="W667" s="270"/>
      <c r="X667" s="270"/>
      <c r="Y667" s="114"/>
      <c r="Z667" s="270"/>
      <c r="AA667" s="270"/>
      <c r="AC667" s="85"/>
      <c r="AD667" s="85"/>
    </row>
    <row r="668" spans="3:31" x14ac:dyDescent="0.3">
      <c r="C668" s="450"/>
      <c r="D668" s="182"/>
      <c r="E668" s="182"/>
      <c r="F668" s="182"/>
      <c r="G668" s="450" t="str">
        <f t="shared" si="27"/>
        <v>--</v>
      </c>
      <c r="H668" s="182"/>
      <c r="I668" s="440"/>
      <c r="J668" s="892"/>
      <c r="K668" s="259"/>
      <c r="L668" s="259" t="s">
        <v>46</v>
      </c>
      <c r="M668" s="893">
        <f>SUM(M665:M667)</f>
        <v>1</v>
      </c>
      <c r="N668" s="894"/>
      <c r="O668" s="894">
        <f>SUM(O665:O667)</f>
        <v>0</v>
      </c>
      <c r="P668" s="258" t="s">
        <v>165</v>
      </c>
      <c r="Q668" s="882">
        <v>0</v>
      </c>
      <c r="R668" s="883"/>
      <c r="S668" s="883"/>
      <c r="T668" s="891"/>
      <c r="U668" s="884"/>
      <c r="V668" s="270"/>
      <c r="W668" s="270"/>
      <c r="X668" s="270"/>
      <c r="Y668" s="114"/>
      <c r="Z668" s="270"/>
      <c r="AA668" s="270"/>
      <c r="AC668" s="85"/>
      <c r="AD668" s="85"/>
    </row>
    <row r="669" spans="3:31" ht="15" thickBot="1" x14ac:dyDescent="0.35">
      <c r="C669" s="450"/>
      <c r="D669" s="182"/>
      <c r="E669" s="182"/>
      <c r="F669" s="182"/>
      <c r="G669" s="450" t="str">
        <f t="shared" si="27"/>
        <v>--</v>
      </c>
      <c r="H669" s="182"/>
      <c r="I669" s="892"/>
      <c r="J669" s="288"/>
      <c r="K669" s="182"/>
      <c r="L669" s="181"/>
      <c r="M669" s="181"/>
      <c r="N669" s="892"/>
      <c r="O669" s="892"/>
      <c r="P669" s="256" t="s">
        <v>166</v>
      </c>
      <c r="Q669" s="895">
        <v>0</v>
      </c>
      <c r="R669" s="883"/>
      <c r="S669" s="883"/>
      <c r="T669" s="891"/>
      <c r="U669" s="896"/>
      <c r="V669" s="891"/>
      <c r="W669" s="270"/>
      <c r="X669" s="270"/>
      <c r="Y669" s="114"/>
      <c r="Z669" s="270"/>
      <c r="AA669" s="270"/>
      <c r="AC669" s="85"/>
      <c r="AD669" s="85"/>
    </row>
    <row r="670" spans="3:31" x14ac:dyDescent="0.3">
      <c r="C670" s="450"/>
      <c r="D670" s="182"/>
      <c r="E670" s="182"/>
      <c r="F670" s="182"/>
      <c r="G670" s="450" t="str">
        <f t="shared" si="27"/>
        <v>--</v>
      </c>
      <c r="H670" s="182"/>
      <c r="I670" s="892"/>
      <c r="J670" s="288"/>
      <c r="K670" s="182"/>
      <c r="L670" s="1384" t="s">
        <v>377</v>
      </c>
      <c r="M670" s="1385"/>
      <c r="N670" s="1385"/>
      <c r="O670" s="1386"/>
      <c r="P670" s="258" t="s">
        <v>167</v>
      </c>
      <c r="Q670" s="895">
        <v>0</v>
      </c>
      <c r="R670" s="883"/>
      <c r="S670" s="883"/>
      <c r="T670" s="891"/>
      <c r="U670" s="896"/>
      <c r="V670" s="891"/>
      <c r="W670" s="270"/>
      <c r="X670" s="270"/>
      <c r="Y670" s="270"/>
      <c r="Z670" s="270"/>
      <c r="AA670" s="270"/>
      <c r="AC670" s="85"/>
      <c r="AD670" s="85"/>
    </row>
    <row r="671" spans="3:31" x14ac:dyDescent="0.3">
      <c r="C671" s="450"/>
      <c r="D671" s="182"/>
      <c r="E671" s="182"/>
      <c r="F671" s="182"/>
      <c r="G671" s="450" t="str">
        <f t="shared" si="27"/>
        <v>--</v>
      </c>
      <c r="H671" s="182"/>
      <c r="I671" s="892"/>
      <c r="J671" s="288"/>
      <c r="K671" s="182"/>
      <c r="L671" s="1387"/>
      <c r="M671" s="1388"/>
      <c r="N671" s="1388"/>
      <c r="O671" s="1389"/>
      <c r="P671" s="254" t="s">
        <v>160</v>
      </c>
      <c r="Q671" s="895">
        <v>0</v>
      </c>
      <c r="R671" s="891"/>
      <c r="S671" s="891"/>
      <c r="T671" s="891"/>
      <c r="U671" s="896"/>
      <c r="V671" s="891"/>
      <c r="W671" s="270"/>
      <c r="X671" s="270"/>
      <c r="Y671" s="270"/>
      <c r="Z671" s="270"/>
      <c r="AA671" s="270"/>
      <c r="AC671" s="85"/>
      <c r="AD671" s="85"/>
    </row>
    <row r="672" spans="3:31" x14ac:dyDescent="0.3">
      <c r="C672" s="450"/>
      <c r="D672" s="182"/>
      <c r="E672" s="182"/>
      <c r="F672" s="182"/>
      <c r="G672" s="450" t="str">
        <f t="shared" si="27"/>
        <v>--</v>
      </c>
      <c r="H672" s="182"/>
      <c r="I672" s="892"/>
      <c r="J672" s="288"/>
      <c r="K672" s="182"/>
      <c r="L672" s="1387"/>
      <c r="M672" s="1388"/>
      <c r="N672" s="1388"/>
      <c r="O672" s="1389"/>
      <c r="P672" s="256" t="s">
        <v>162</v>
      </c>
      <c r="Q672" s="895">
        <v>0</v>
      </c>
      <c r="R672" s="891"/>
      <c r="S672" s="891"/>
      <c r="T672" s="891"/>
      <c r="U672" s="896"/>
      <c r="V672" s="891"/>
      <c r="W672" s="270"/>
      <c r="X672" s="270"/>
      <c r="Y672" s="270"/>
      <c r="Z672" s="270"/>
      <c r="AA672" s="270"/>
      <c r="AC672" s="85"/>
      <c r="AD672" s="85"/>
    </row>
    <row r="673" spans="3:30" ht="15" thickBot="1" x14ac:dyDescent="0.35">
      <c r="C673" s="450"/>
      <c r="D673" s="182"/>
      <c r="E673" s="182"/>
      <c r="F673" s="182"/>
      <c r="G673" s="450" t="str">
        <f t="shared" si="27"/>
        <v>--</v>
      </c>
      <c r="H673" s="182"/>
      <c r="I673" s="892"/>
      <c r="J673" s="288"/>
      <c r="K673" s="182"/>
      <c r="L673" s="1390"/>
      <c r="M673" s="1391"/>
      <c r="N673" s="1391"/>
      <c r="O673" s="1392"/>
      <c r="P673" s="258" t="s">
        <v>164</v>
      </c>
      <c r="Q673" s="895">
        <v>0</v>
      </c>
      <c r="R673" s="114"/>
      <c r="S673" s="891"/>
      <c r="T673" s="114"/>
      <c r="U673" s="884"/>
      <c r="V673" s="114"/>
      <c r="W673" s="270"/>
      <c r="X673" s="270"/>
      <c r="Y673" s="270"/>
      <c r="Z673" s="270"/>
      <c r="AA673" s="270"/>
      <c r="AC673" s="85"/>
      <c r="AD673" s="85"/>
    </row>
    <row r="674" spans="3:30" x14ac:dyDescent="0.3">
      <c r="C674" s="450"/>
      <c r="D674" s="182"/>
      <c r="E674" s="182"/>
      <c r="F674" s="182"/>
      <c r="G674" s="450" t="str">
        <f t="shared" si="27"/>
        <v>--</v>
      </c>
      <c r="H674" s="182"/>
      <c r="I674" s="892"/>
      <c r="J674" s="288"/>
      <c r="K674" s="182"/>
      <c r="L674" s="181"/>
      <c r="M674" s="181"/>
      <c r="N674" s="892"/>
      <c r="O674" s="892"/>
      <c r="P674" s="258" t="s">
        <v>187</v>
      </c>
      <c r="Q674" s="895">
        <v>0</v>
      </c>
      <c r="R674" s="114"/>
      <c r="S674" s="891"/>
      <c r="T674" s="114"/>
      <c r="U674" s="884"/>
      <c r="V674" s="114"/>
      <c r="W674" s="270"/>
      <c r="X674" s="270"/>
      <c r="Y674" s="270"/>
      <c r="Z674" s="270"/>
      <c r="AA674" s="270"/>
      <c r="AC674" s="85"/>
      <c r="AD674" s="85"/>
    </row>
    <row r="675" spans="3:30" x14ac:dyDescent="0.3">
      <c r="C675" s="450"/>
      <c r="D675" s="182"/>
      <c r="E675" s="182"/>
      <c r="F675" s="182"/>
      <c r="G675" s="450" t="str">
        <f t="shared" si="27"/>
        <v>--</v>
      </c>
      <c r="H675" s="182"/>
      <c r="I675" s="892"/>
      <c r="J675" s="288"/>
      <c r="K675" s="182"/>
      <c r="L675" s="181"/>
      <c r="M675" s="181"/>
      <c r="N675" s="892"/>
      <c r="O675" s="892"/>
      <c r="P675" s="263" t="s">
        <v>46</v>
      </c>
      <c r="Q675" s="897">
        <f>SUM(Q665:Q674)</f>
        <v>1</v>
      </c>
      <c r="R675" s="898"/>
      <c r="S675" s="898"/>
      <c r="T675" s="899"/>
      <c r="U675" s="900"/>
      <c r="V675" s="114"/>
      <c r="W675" s="270"/>
      <c r="X675" s="270"/>
      <c r="Y675" s="270"/>
      <c r="Z675" s="270"/>
      <c r="AA675" s="270"/>
      <c r="AC675" s="85"/>
      <c r="AD675" s="85"/>
    </row>
    <row r="676" spans="3:30" x14ac:dyDescent="0.3">
      <c r="C676" s="450"/>
      <c r="D676" s="182"/>
      <c r="E676" s="182"/>
      <c r="F676" s="182"/>
      <c r="G676" s="450" t="str">
        <f t="shared" si="27"/>
        <v>--</v>
      </c>
      <c r="H676" s="182"/>
      <c r="I676" s="892"/>
      <c r="J676" s="288"/>
      <c r="K676" s="182"/>
      <c r="L676" s="181"/>
      <c r="M676" s="181"/>
      <c r="N676" s="892"/>
      <c r="O676" s="892"/>
      <c r="P676" s="114"/>
      <c r="Q676" s="114"/>
      <c r="R676" s="891"/>
      <c r="S676" s="891"/>
      <c r="T676" s="114"/>
      <c r="U676" s="114"/>
      <c r="V676" s="114"/>
      <c r="W676" s="270"/>
      <c r="X676" s="270"/>
      <c r="Y676" s="270"/>
      <c r="Z676" s="270"/>
      <c r="AA676" s="270"/>
      <c r="AC676" s="85"/>
      <c r="AD676" s="85"/>
    </row>
    <row r="677" spans="3:30" ht="15" thickBot="1" x14ac:dyDescent="0.35">
      <c r="C677" s="450"/>
      <c r="D677" s="182"/>
      <c r="E677" s="182"/>
      <c r="F677" s="182"/>
      <c r="G677" s="450" t="str">
        <f t="shared" si="27"/>
        <v>--</v>
      </c>
      <c r="H677" s="182"/>
      <c r="I677" s="892"/>
      <c r="J677" s="892"/>
      <c r="K677" s="182"/>
      <c r="L677" s="182"/>
      <c r="M677" s="901" t="s">
        <v>155</v>
      </c>
      <c r="N677" s="870" t="s">
        <v>188</v>
      </c>
      <c r="O677" s="870"/>
      <c r="P677" s="252" t="s">
        <v>175</v>
      </c>
      <c r="Q677" s="871" t="s">
        <v>155</v>
      </c>
      <c r="R677" s="872" t="s">
        <v>168</v>
      </c>
      <c r="S677" s="872" t="s">
        <v>169</v>
      </c>
      <c r="T677" s="902"/>
      <c r="U677" s="903"/>
      <c r="V677" s="270"/>
      <c r="W677" s="270"/>
      <c r="X677" s="270"/>
      <c r="Y677" s="270"/>
      <c r="Z677" s="270"/>
      <c r="AA677" s="270"/>
      <c r="AC677" s="85"/>
      <c r="AD677" s="85"/>
    </row>
    <row r="678" spans="3:30" ht="15" thickBot="1" x14ac:dyDescent="0.35">
      <c r="C678" s="566" t="s">
        <v>384</v>
      </c>
      <c r="D678" s="875" t="str">
        <f>VLOOKUP(C678,'Airport Mapping'!$C$5:$D$39,2,FALSE)</f>
        <v xml:space="preserve"> </v>
      </c>
      <c r="E678" s="567" t="s">
        <v>37</v>
      </c>
      <c r="F678" s="567" t="s">
        <v>4</v>
      </c>
      <c r="G678" s="450" t="str">
        <f t="shared" si="27"/>
        <v>Office Building B-Restrooms-Urinals</v>
      </c>
      <c r="H678" s="567" t="s">
        <v>6</v>
      </c>
      <c r="I678" s="877" t="s">
        <v>64</v>
      </c>
      <c r="J678" s="878">
        <f>SUMIFS('Level of Efficiency Assumptions'!J:J,'Level of Efficiency Assumptions'!D:D,E678,'Level of Efficiency Assumptions'!F:F,F678,'Level of Efficiency Assumptions'!I:I,I678)</f>
        <v>2</v>
      </c>
      <c r="K678" s="383" t="s">
        <v>68</v>
      </c>
      <c r="L678" s="253" t="s">
        <v>64</v>
      </c>
      <c r="M678" s="879">
        <f>Q678+Q679</f>
        <v>0</v>
      </c>
      <c r="N678" s="880">
        <f>IFERROR(M678/M681,"-")</f>
        <v>0</v>
      </c>
      <c r="O678" s="881">
        <f>SUMIFS('Data Entry'!R:R,'Data Entry'!K:K,G678)</f>
        <v>0</v>
      </c>
      <c r="P678" s="254" t="s">
        <v>177</v>
      </c>
      <c r="Q678" s="882">
        <v>0</v>
      </c>
      <c r="R678" s="883"/>
      <c r="S678" s="883"/>
      <c r="T678" s="114"/>
      <c r="U678" s="904"/>
      <c r="V678" s="270"/>
      <c r="W678" s="270"/>
      <c r="X678" s="270"/>
      <c r="Y678" s="270"/>
      <c r="Z678" s="270"/>
      <c r="AA678" s="270"/>
      <c r="AC678" s="85"/>
      <c r="AD678" s="85"/>
    </row>
    <row r="679" spans="3:30" ht="15" thickBot="1" x14ac:dyDescent="0.35">
      <c r="C679" s="494" t="s">
        <v>384</v>
      </c>
      <c r="D679" s="577"/>
      <c r="E679" s="577" t="s">
        <v>37</v>
      </c>
      <c r="F679" s="577" t="s">
        <v>4</v>
      </c>
      <c r="G679" s="450" t="str">
        <f t="shared" si="27"/>
        <v>Office Building B-Restrooms-Urinals</v>
      </c>
      <c r="H679" s="577"/>
      <c r="I679" s="887" t="s">
        <v>65</v>
      </c>
      <c r="J679" s="878">
        <f>SUMIFS('Level of Efficiency Assumptions'!J:J,'Level of Efficiency Assumptions'!D:D,E679,'Level of Efficiency Assumptions'!F:F,F679,'Level of Efficiency Assumptions'!I:I,I679)</f>
        <v>1</v>
      </c>
      <c r="K679" s="383" t="s">
        <v>68</v>
      </c>
      <c r="L679" s="255" t="s">
        <v>65</v>
      </c>
      <c r="M679" s="879">
        <f>Q680+Q681</f>
        <v>1</v>
      </c>
      <c r="N679" s="880">
        <f>IFERROR(M679/M681,"-")</f>
        <v>1</v>
      </c>
      <c r="O679" s="881">
        <f>SUMIFS('Data Entry'!S:S,'Data Entry'!K:K,G679)</f>
        <v>0</v>
      </c>
      <c r="P679" s="254" t="s">
        <v>179</v>
      </c>
      <c r="Q679" s="882">
        <v>0</v>
      </c>
      <c r="R679" s="883"/>
      <c r="S679" s="883"/>
      <c r="T679" s="114"/>
      <c r="U679" s="904"/>
      <c r="V679" s="270"/>
      <c r="W679" s="270"/>
      <c r="X679" s="270"/>
      <c r="Y679" s="270"/>
      <c r="Z679" s="270"/>
      <c r="AA679" s="270"/>
      <c r="AC679" s="85"/>
      <c r="AD679" s="85"/>
    </row>
    <row r="680" spans="3:30" ht="15" thickBot="1" x14ac:dyDescent="0.35">
      <c r="C680" s="501" t="s">
        <v>384</v>
      </c>
      <c r="D680" s="116"/>
      <c r="E680" s="116" t="s">
        <v>37</v>
      </c>
      <c r="F680" s="116" t="s">
        <v>4</v>
      </c>
      <c r="G680" s="450" t="str">
        <f t="shared" si="27"/>
        <v>Office Building B-Restrooms-Urinals</v>
      </c>
      <c r="H680" s="116"/>
      <c r="I680" s="889" t="s">
        <v>66</v>
      </c>
      <c r="J680" s="890">
        <f>SUMIFS('Level of Efficiency Assumptions'!J:J,'Level of Efficiency Assumptions'!D:D,E680,'Level of Efficiency Assumptions'!F:F,F680,'Level of Efficiency Assumptions'!I:I,I680)</f>
        <v>0.125</v>
      </c>
      <c r="K680" s="383" t="s">
        <v>68</v>
      </c>
      <c r="L680" s="257" t="s">
        <v>66</v>
      </c>
      <c r="M680" s="879">
        <f>Q682+Q683</f>
        <v>0</v>
      </c>
      <c r="N680" s="880">
        <f>IFERROR(M680/M681,"-")</f>
        <v>0</v>
      </c>
      <c r="O680" s="881">
        <f>SUMIFS('Data Entry'!T:T,'Data Entry'!K:K,G680)</f>
        <v>0</v>
      </c>
      <c r="P680" s="256" t="s">
        <v>189</v>
      </c>
      <c r="Q680" s="882">
        <v>0</v>
      </c>
      <c r="R680" s="883"/>
      <c r="S680" s="883"/>
      <c r="T680" s="114"/>
      <c r="U680" s="904"/>
      <c r="V680" s="270"/>
      <c r="W680" s="270"/>
      <c r="X680" s="270"/>
      <c r="Y680" s="270"/>
      <c r="Z680" s="270"/>
      <c r="AA680" s="270"/>
      <c r="AC680" s="85"/>
      <c r="AD680" s="85"/>
    </row>
    <row r="681" spans="3:30" x14ac:dyDescent="0.3">
      <c r="C681" s="450"/>
      <c r="D681" s="182"/>
      <c r="E681" s="182"/>
      <c r="F681" s="182"/>
      <c r="G681" s="450" t="str">
        <f t="shared" si="27"/>
        <v>--</v>
      </c>
      <c r="H681" s="182"/>
      <c r="I681" s="440"/>
      <c r="J681" s="892"/>
      <c r="K681" s="259"/>
      <c r="L681" s="259" t="s">
        <v>46</v>
      </c>
      <c r="M681" s="893">
        <f>SUM(M678:M680)</f>
        <v>1</v>
      </c>
      <c r="N681" s="894"/>
      <c r="O681" s="894">
        <f>SUM(O678:O680)</f>
        <v>0</v>
      </c>
      <c r="P681" s="256" t="s">
        <v>181</v>
      </c>
      <c r="Q681" s="882">
        <v>1</v>
      </c>
      <c r="R681" s="883"/>
      <c r="S681" s="883"/>
      <c r="T681" s="114"/>
      <c r="U681" s="264"/>
      <c r="V681" s="270"/>
      <c r="W681" s="270"/>
      <c r="X681" s="270"/>
      <c r="Y681" s="270"/>
      <c r="Z681" s="270"/>
      <c r="AA681" s="270"/>
      <c r="AC681" s="85"/>
      <c r="AD681" s="85"/>
    </row>
    <row r="682" spans="3:30" x14ac:dyDescent="0.3">
      <c r="C682" s="450"/>
      <c r="D682" s="182"/>
      <c r="E682" s="182"/>
      <c r="F682" s="182"/>
      <c r="G682" s="450" t="str">
        <f t="shared" ref="G682:G744" si="31">C682&amp;"-"&amp;E682&amp;"-"&amp;F682</f>
        <v>--</v>
      </c>
      <c r="H682" s="182"/>
      <c r="I682" s="892"/>
      <c r="J682" s="288"/>
      <c r="K682" s="182"/>
      <c r="L682" s="181"/>
      <c r="M682" s="181"/>
      <c r="N682" s="892"/>
      <c r="O682" s="892"/>
      <c r="P682" s="258" t="s">
        <v>183</v>
      </c>
      <c r="Q682" s="882">
        <v>0</v>
      </c>
      <c r="R682" s="883"/>
      <c r="S682" s="883"/>
      <c r="T682" s="114"/>
      <c r="U682" s="884"/>
      <c r="V682" s="114"/>
      <c r="W682" s="270"/>
      <c r="X682" s="270"/>
      <c r="Y682" s="270"/>
      <c r="Z682" s="270"/>
      <c r="AA682" s="270"/>
      <c r="AC682" s="85"/>
      <c r="AD682" s="85"/>
    </row>
    <row r="683" spans="3:30" x14ac:dyDescent="0.3">
      <c r="C683" s="450"/>
      <c r="D683" s="182"/>
      <c r="E683" s="182"/>
      <c r="F683" s="182"/>
      <c r="G683" s="450" t="str">
        <f t="shared" si="31"/>
        <v>--</v>
      </c>
      <c r="H683" s="182"/>
      <c r="I683" s="892"/>
      <c r="J683" s="288"/>
      <c r="K683" s="182"/>
      <c r="L683" s="181"/>
      <c r="M683" s="181"/>
      <c r="N683" s="892"/>
      <c r="O683" s="892"/>
      <c r="P683" s="258" t="s">
        <v>190</v>
      </c>
      <c r="Q683" s="882">
        <v>0</v>
      </c>
      <c r="R683" s="114"/>
      <c r="S683" s="114"/>
      <c r="T683" s="114"/>
      <c r="U683" s="884"/>
      <c r="V683" s="114"/>
      <c r="W683" s="270"/>
      <c r="X683" s="270"/>
      <c r="Y683" s="270"/>
      <c r="Z683" s="270"/>
      <c r="AA683" s="270"/>
      <c r="AC683" s="85"/>
      <c r="AD683" s="85"/>
    </row>
    <row r="684" spans="3:30" x14ac:dyDescent="0.3">
      <c r="C684" s="450"/>
      <c r="D684" s="182"/>
      <c r="E684" s="182"/>
      <c r="F684" s="182"/>
      <c r="G684" s="450" t="str">
        <f t="shared" si="31"/>
        <v>--</v>
      </c>
      <c r="H684" s="182"/>
      <c r="I684" s="892"/>
      <c r="J684" s="288"/>
      <c r="K684" s="182"/>
      <c r="L684" s="181"/>
      <c r="M684" s="181"/>
      <c r="N684" s="892"/>
      <c r="O684" s="892"/>
      <c r="P684" s="263" t="s">
        <v>46</v>
      </c>
      <c r="Q684" s="897">
        <f>SUM(Q678:Q683)</f>
        <v>1</v>
      </c>
      <c r="R684" s="899"/>
      <c r="S684" s="899"/>
      <c r="T684" s="899"/>
      <c r="U684" s="900"/>
      <c r="V684" s="114"/>
      <c r="W684" s="270"/>
      <c r="X684" s="270"/>
      <c r="Y684" s="270"/>
      <c r="Z684" s="270"/>
      <c r="AA684" s="270"/>
      <c r="AC684" s="85"/>
      <c r="AD684" s="85"/>
    </row>
    <row r="685" spans="3:30" x14ac:dyDescent="0.3">
      <c r="C685" s="450"/>
      <c r="D685" s="182"/>
      <c r="E685" s="182"/>
      <c r="F685" s="182"/>
      <c r="G685" s="450" t="str">
        <f t="shared" si="31"/>
        <v>--</v>
      </c>
      <c r="H685" s="182"/>
      <c r="I685" s="892"/>
      <c r="J685" s="288"/>
      <c r="K685" s="182"/>
      <c r="L685" s="181"/>
      <c r="M685" s="181"/>
      <c r="N685" s="892"/>
      <c r="O685" s="892"/>
      <c r="P685" s="262"/>
      <c r="Q685" s="114"/>
      <c r="R685" s="114"/>
      <c r="S685" s="114"/>
      <c r="T685" s="114"/>
      <c r="U685" s="114"/>
      <c r="V685" s="114"/>
      <c r="W685" s="270"/>
      <c r="X685" s="270"/>
      <c r="Y685" s="270"/>
      <c r="Z685" s="270"/>
      <c r="AA685" s="270"/>
      <c r="AC685" s="85"/>
      <c r="AD685" s="85"/>
    </row>
    <row r="686" spans="3:30" ht="15" thickBot="1" x14ac:dyDescent="0.35">
      <c r="C686" s="450"/>
      <c r="D686" s="182"/>
      <c r="E686" s="182"/>
      <c r="F686" s="182"/>
      <c r="G686" s="450" t="str">
        <f t="shared" si="31"/>
        <v>--</v>
      </c>
      <c r="H686" s="182"/>
      <c r="I686" s="892"/>
      <c r="J686" s="892"/>
      <c r="K686" s="182"/>
      <c r="L686" s="182"/>
      <c r="M686" s="901" t="s">
        <v>155</v>
      </c>
      <c r="N686" s="870" t="s">
        <v>188</v>
      </c>
      <c r="O686" s="870"/>
      <c r="P686" s="265" t="s">
        <v>33</v>
      </c>
      <c r="Q686" s="871" t="s">
        <v>155</v>
      </c>
      <c r="R686" s="872" t="s">
        <v>168</v>
      </c>
      <c r="S686" s="872" t="s">
        <v>169</v>
      </c>
      <c r="T686" s="872" t="s">
        <v>170</v>
      </c>
      <c r="U686" s="872" t="s">
        <v>171</v>
      </c>
      <c r="V686" s="902"/>
      <c r="W686" s="902"/>
      <c r="X686" s="874"/>
      <c r="Y686" s="270"/>
      <c r="Z686" s="270"/>
      <c r="AA686" s="270"/>
      <c r="AC686" s="85"/>
      <c r="AD686" s="85"/>
    </row>
    <row r="687" spans="3:30" ht="15" thickBot="1" x14ac:dyDescent="0.35">
      <c r="C687" s="566" t="s">
        <v>384</v>
      </c>
      <c r="D687" s="875" t="str">
        <f>VLOOKUP(C687,'Airport Mapping'!$C$5:$D$39,2,FALSE)</f>
        <v xml:space="preserve"> </v>
      </c>
      <c r="E687" s="567" t="s">
        <v>37</v>
      </c>
      <c r="F687" s="567" t="s">
        <v>33</v>
      </c>
      <c r="G687" s="450" t="str">
        <f t="shared" si="31"/>
        <v>Office Building B-Restrooms-Faucets</v>
      </c>
      <c r="H687" s="567" t="s">
        <v>6</v>
      </c>
      <c r="I687" s="877" t="s">
        <v>64</v>
      </c>
      <c r="J687" s="878">
        <f>SUMIFS('Level of Efficiency Assumptions'!J:J,'Level of Efficiency Assumptions'!D:D,E687,'Level of Efficiency Assumptions'!F:F,F687,'Level of Efficiency Assumptions'!I:I,I687)</f>
        <v>2</v>
      </c>
      <c r="K687" s="383" t="s">
        <v>78</v>
      </c>
      <c r="L687" s="253" t="s">
        <v>64</v>
      </c>
      <c r="M687" s="879">
        <f>Q687+Q688</f>
        <v>0</v>
      </c>
      <c r="N687" s="880">
        <f>IFERROR(M687/M690,"-")</f>
        <v>0</v>
      </c>
      <c r="O687" s="881">
        <f>SUMIFS('Data Entry'!R:R,'Data Entry'!K:K,G687)</f>
        <v>0</v>
      </c>
      <c r="P687" s="266" t="s">
        <v>180</v>
      </c>
      <c r="Q687" s="895">
        <v>0</v>
      </c>
      <c r="R687" s="883"/>
      <c r="S687" s="883"/>
      <c r="T687" s="883"/>
      <c r="U687" s="883"/>
      <c r="V687" s="114" t="s">
        <v>182</v>
      </c>
      <c r="W687" s="114"/>
      <c r="X687" s="884"/>
      <c r="Y687" s="270"/>
      <c r="Z687" s="270"/>
      <c r="AA687" s="270"/>
      <c r="AC687" s="85"/>
      <c r="AD687" s="85"/>
    </row>
    <row r="688" spans="3:30" ht="15" thickBot="1" x14ac:dyDescent="0.35">
      <c r="C688" s="494" t="s">
        <v>384</v>
      </c>
      <c r="D688" s="577"/>
      <c r="E688" s="577" t="s">
        <v>37</v>
      </c>
      <c r="F688" s="577" t="s">
        <v>33</v>
      </c>
      <c r="G688" s="450" t="str">
        <f t="shared" si="31"/>
        <v>Office Building B-Restrooms-Faucets</v>
      </c>
      <c r="H688" s="577"/>
      <c r="I688" s="887" t="s">
        <v>65</v>
      </c>
      <c r="J688" s="878">
        <f>SUMIFS('Level of Efficiency Assumptions'!J:J,'Level of Efficiency Assumptions'!D:D,E688,'Level of Efficiency Assumptions'!F:F,F688,'Level of Efficiency Assumptions'!I:I,I688)</f>
        <v>1</v>
      </c>
      <c r="K688" s="383" t="s">
        <v>78</v>
      </c>
      <c r="L688" s="255" t="s">
        <v>65</v>
      </c>
      <c r="M688" s="879">
        <f>Q689+Q690</f>
        <v>1</v>
      </c>
      <c r="N688" s="880">
        <f>IFERROR(M688/M690,"-")</f>
        <v>1</v>
      </c>
      <c r="O688" s="881">
        <f>SUMIFS('Data Entry'!S:S,'Data Entry'!K:K,G688)</f>
        <v>0</v>
      </c>
      <c r="P688" s="266" t="s">
        <v>178</v>
      </c>
      <c r="Q688" s="895">
        <v>0</v>
      </c>
      <c r="R688" s="883"/>
      <c r="S688" s="883"/>
      <c r="T688" s="883"/>
      <c r="U688" s="883"/>
      <c r="V688" s="114" t="s">
        <v>184</v>
      </c>
      <c r="W688" s="114"/>
      <c r="X688" s="884"/>
      <c r="Y688" s="270"/>
      <c r="Z688" s="270"/>
      <c r="AA688" s="270"/>
      <c r="AC688" s="85"/>
      <c r="AD688" s="85"/>
    </row>
    <row r="689" spans="3:30" ht="15" thickBot="1" x14ac:dyDescent="0.35">
      <c r="C689" s="501" t="s">
        <v>384</v>
      </c>
      <c r="D689" s="116"/>
      <c r="E689" s="116" t="s">
        <v>37</v>
      </c>
      <c r="F689" s="116" t="s">
        <v>33</v>
      </c>
      <c r="G689" s="450" t="str">
        <f t="shared" si="31"/>
        <v>Office Building B-Restrooms-Faucets</v>
      </c>
      <c r="H689" s="116"/>
      <c r="I689" s="889" t="s">
        <v>66</v>
      </c>
      <c r="J689" s="890">
        <f>SUMIFS('Level of Efficiency Assumptions'!J:J,'Level of Efficiency Assumptions'!D:D,E689,'Level of Efficiency Assumptions'!F:F,F689,'Level of Efficiency Assumptions'!I:I,I689)</f>
        <v>0.5</v>
      </c>
      <c r="K689" s="383" t="s">
        <v>78</v>
      </c>
      <c r="L689" s="257" t="s">
        <v>66</v>
      </c>
      <c r="M689" s="879">
        <f>Q691</f>
        <v>0</v>
      </c>
      <c r="N689" s="880">
        <f>IFERROR(M689/M690,"-")</f>
        <v>0</v>
      </c>
      <c r="O689" s="881">
        <f>SUMIFS('Data Entry'!T:T,'Data Entry'!K:K,G689)</f>
        <v>0</v>
      </c>
      <c r="P689" s="267" t="s">
        <v>176</v>
      </c>
      <c r="Q689" s="895">
        <v>1</v>
      </c>
      <c r="R689" s="883"/>
      <c r="S689" s="883"/>
      <c r="T689" s="883"/>
      <c r="U689" s="883"/>
      <c r="V689" s="114" t="s">
        <v>185</v>
      </c>
      <c r="W689" s="114"/>
      <c r="X689" s="884"/>
      <c r="Y689" s="270"/>
      <c r="Z689" s="270"/>
      <c r="AA689" s="270"/>
      <c r="AC689" s="85"/>
      <c r="AD689" s="85"/>
    </row>
    <row r="690" spans="3:30" x14ac:dyDescent="0.3">
      <c r="C690" s="450"/>
      <c r="D690" s="182"/>
      <c r="E690" s="182"/>
      <c r="F690" s="182"/>
      <c r="G690" s="450" t="str">
        <f t="shared" si="31"/>
        <v>--</v>
      </c>
      <c r="H690" s="182"/>
      <c r="I690" s="440"/>
      <c r="J690" s="892"/>
      <c r="K690" s="259"/>
      <c r="L690" s="259" t="s">
        <v>46</v>
      </c>
      <c r="M690" s="893">
        <f>SUM(M687:M689)</f>
        <v>1</v>
      </c>
      <c r="N690" s="894"/>
      <c r="O690" s="894">
        <f>SUM(O687:O689)</f>
        <v>0</v>
      </c>
      <c r="P690" s="256" t="s">
        <v>173</v>
      </c>
      <c r="Q690" s="895">
        <v>0</v>
      </c>
      <c r="R690" s="883"/>
      <c r="S690" s="883"/>
      <c r="T690" s="883"/>
      <c r="U690" s="883"/>
      <c r="V690" s="114" t="s">
        <v>186</v>
      </c>
      <c r="W690" s="114"/>
      <c r="X690" s="884"/>
      <c r="Y690" s="270"/>
      <c r="Z690" s="270"/>
      <c r="AA690" s="270"/>
      <c r="AC690" s="85"/>
      <c r="AD690" s="85"/>
    </row>
    <row r="691" spans="3:30" x14ac:dyDescent="0.3">
      <c r="C691" s="450"/>
      <c r="D691" s="182"/>
      <c r="E691" s="182"/>
      <c r="F691" s="182"/>
      <c r="G691" s="450" t="str">
        <f t="shared" si="31"/>
        <v>--</v>
      </c>
      <c r="H691" s="182"/>
      <c r="I691" s="892"/>
      <c r="J691" s="288"/>
      <c r="K691" s="182"/>
      <c r="L691" s="114"/>
      <c r="M691" s="114"/>
      <c r="N691" s="905"/>
      <c r="O691" s="905"/>
      <c r="P691" s="258" t="s">
        <v>172</v>
      </c>
      <c r="Q691" s="895">
        <v>0</v>
      </c>
      <c r="R691" s="883"/>
      <c r="S691" s="883"/>
      <c r="T691" s="883"/>
      <c r="U691" s="883"/>
      <c r="V691" s="114"/>
      <c r="W691" s="114"/>
      <c r="X691" s="884"/>
      <c r="Y691" s="270"/>
      <c r="Z691" s="270"/>
      <c r="AA691" s="270"/>
      <c r="AC691" s="85"/>
      <c r="AD691" s="85"/>
    </row>
    <row r="692" spans="3:30" x14ac:dyDescent="0.3">
      <c r="C692" s="450"/>
      <c r="D692" s="182"/>
      <c r="E692" s="182"/>
      <c r="F692" s="182"/>
      <c r="G692" s="450" t="str">
        <f t="shared" si="31"/>
        <v>--</v>
      </c>
      <c r="H692" s="182"/>
      <c r="I692" s="892"/>
      <c r="J692" s="288"/>
      <c r="K692" s="182"/>
      <c r="L692" s="181"/>
      <c r="M692" s="181"/>
      <c r="N692" s="892"/>
      <c r="O692" s="892"/>
      <c r="P692" s="263" t="s">
        <v>46</v>
      </c>
      <c r="Q692" s="897">
        <f>SUM(Q686:Q691)</f>
        <v>1</v>
      </c>
      <c r="R692" s="899"/>
      <c r="S692" s="899"/>
      <c r="T692" s="899"/>
      <c r="U692" s="899"/>
      <c r="V692" s="899"/>
      <c r="W692" s="899"/>
      <c r="X692" s="900"/>
      <c r="Y692" s="270"/>
      <c r="Z692" s="270"/>
      <c r="AA692" s="270"/>
      <c r="AC692" s="85"/>
      <c r="AD692" s="85"/>
    </row>
    <row r="693" spans="3:30" x14ac:dyDescent="0.3">
      <c r="C693" s="450"/>
      <c r="D693" s="182"/>
      <c r="E693" s="182"/>
      <c r="F693" s="182"/>
      <c r="G693" s="450" t="str">
        <f t="shared" si="31"/>
        <v>--</v>
      </c>
      <c r="H693" s="182"/>
      <c r="I693" s="892"/>
      <c r="J693" s="288"/>
      <c r="K693" s="182"/>
      <c r="L693" s="181"/>
      <c r="M693" s="181"/>
      <c r="N693" s="892"/>
      <c r="O693" s="892"/>
      <c r="P693" s="262"/>
      <c r="Q693" s="114"/>
      <c r="R693" s="114"/>
      <c r="S693" s="114"/>
      <c r="T693" s="114"/>
      <c r="U693" s="114"/>
      <c r="V693" s="114"/>
      <c r="W693" s="270"/>
      <c r="X693" s="270"/>
      <c r="Y693" s="270"/>
      <c r="Z693" s="270"/>
      <c r="AA693" s="270"/>
      <c r="AC693" s="85"/>
      <c r="AD693" s="85"/>
    </row>
    <row r="694" spans="3:30" ht="15" thickBot="1" x14ac:dyDescent="0.35">
      <c r="C694" s="450"/>
      <c r="D694" s="182"/>
      <c r="E694" s="182"/>
      <c r="F694" s="182"/>
      <c r="G694" s="450" t="str">
        <f t="shared" si="31"/>
        <v>--</v>
      </c>
      <c r="H694" s="182"/>
      <c r="I694" s="892"/>
      <c r="J694" s="892"/>
      <c r="K694" s="182"/>
      <c r="L694" s="182"/>
      <c r="M694" s="901" t="s">
        <v>155</v>
      </c>
      <c r="N694" s="870" t="s">
        <v>188</v>
      </c>
      <c r="O694" s="870"/>
      <c r="P694" s="265" t="s">
        <v>33</v>
      </c>
      <c r="Q694" s="871" t="s">
        <v>155</v>
      </c>
      <c r="R694" s="872" t="s">
        <v>168</v>
      </c>
      <c r="S694" s="872" t="s">
        <v>169</v>
      </c>
      <c r="T694" s="872" t="s">
        <v>170</v>
      </c>
      <c r="U694" s="872" t="s">
        <v>171</v>
      </c>
      <c r="V694" s="902"/>
      <c r="W694" s="902"/>
      <c r="X694" s="874"/>
      <c r="Y694" s="270"/>
      <c r="Z694" s="270"/>
      <c r="AA694" s="270"/>
      <c r="AC694" s="85"/>
      <c r="AD694" s="85"/>
    </row>
    <row r="695" spans="3:30" ht="15" thickBot="1" x14ac:dyDescent="0.35">
      <c r="C695" s="566" t="s">
        <v>384</v>
      </c>
      <c r="D695" s="875" t="str">
        <f>VLOOKUP(C695,'Airport Mapping'!$C$5:$D$39,2,FALSE)</f>
        <v xml:space="preserve"> </v>
      </c>
      <c r="E695" s="567" t="s">
        <v>5</v>
      </c>
      <c r="F695" s="567" t="s">
        <v>33</v>
      </c>
      <c r="G695" s="450" t="str">
        <f t="shared" si="31"/>
        <v>Office Building B-Break rooms-Faucets</v>
      </c>
      <c r="H695" s="567" t="s">
        <v>6</v>
      </c>
      <c r="I695" s="877" t="s">
        <v>64</v>
      </c>
      <c r="J695" s="878">
        <f>SUMIFS('Level of Efficiency Assumptions'!J:J,'Level of Efficiency Assumptions'!D:D,E695,'Level of Efficiency Assumptions'!F:F,F695,'Level of Efficiency Assumptions'!I:I,I695)</f>
        <v>2</v>
      </c>
      <c r="K695" s="383" t="s">
        <v>78</v>
      </c>
      <c r="L695" s="253" t="s">
        <v>64</v>
      </c>
      <c r="M695" s="879">
        <f>Q695+Q696</f>
        <v>0</v>
      </c>
      <c r="N695" s="880">
        <f>IFERROR(M695/M698,"-")</f>
        <v>0</v>
      </c>
      <c r="O695" s="881">
        <f>SUMIFS('Data Entry'!R:R,'Data Entry'!K:K,G695)</f>
        <v>0</v>
      </c>
      <c r="P695" s="266" t="s">
        <v>180</v>
      </c>
      <c r="Q695" s="895">
        <v>0</v>
      </c>
      <c r="R695" s="883"/>
      <c r="S695" s="883"/>
      <c r="T695" s="883"/>
      <c r="U695" s="883"/>
      <c r="V695" s="114" t="s">
        <v>182</v>
      </c>
      <c r="W695" s="114"/>
      <c r="X695" s="884"/>
      <c r="Y695" s="270"/>
      <c r="Z695" s="270"/>
      <c r="AA695" s="270"/>
      <c r="AC695" s="85"/>
      <c r="AD695" s="85"/>
    </row>
    <row r="696" spans="3:30" ht="15" thickBot="1" x14ac:dyDescent="0.35">
      <c r="C696" s="494" t="s">
        <v>384</v>
      </c>
      <c r="D696" s="577"/>
      <c r="E696" s="577" t="s">
        <v>5</v>
      </c>
      <c r="F696" s="577" t="s">
        <v>33</v>
      </c>
      <c r="G696" s="450" t="str">
        <f t="shared" si="31"/>
        <v>Office Building B-Break rooms-Faucets</v>
      </c>
      <c r="H696" s="577"/>
      <c r="I696" s="887" t="s">
        <v>65</v>
      </c>
      <c r="J696" s="878">
        <f>SUMIFS('Level of Efficiency Assumptions'!J:J,'Level of Efficiency Assumptions'!D:D,E696,'Level of Efficiency Assumptions'!F:F,F696,'Level of Efficiency Assumptions'!I:I,I696)</f>
        <v>1</v>
      </c>
      <c r="K696" s="383" t="s">
        <v>78</v>
      </c>
      <c r="L696" s="255" t="s">
        <v>65</v>
      </c>
      <c r="M696" s="879">
        <f>Q697+Q698</f>
        <v>1</v>
      </c>
      <c r="N696" s="880">
        <f>IFERROR(M696/M698,"-")</f>
        <v>1</v>
      </c>
      <c r="O696" s="881">
        <f>SUMIFS('Data Entry'!S:S,'Data Entry'!K:K,G696)</f>
        <v>0</v>
      </c>
      <c r="P696" s="266" t="s">
        <v>178</v>
      </c>
      <c r="Q696" s="895">
        <v>0</v>
      </c>
      <c r="R696" s="883"/>
      <c r="S696" s="883"/>
      <c r="T696" s="883"/>
      <c r="U696" s="883"/>
      <c r="V696" s="114" t="s">
        <v>184</v>
      </c>
      <c r="W696" s="114"/>
      <c r="X696" s="884"/>
      <c r="Y696" s="270"/>
      <c r="Z696" s="270"/>
      <c r="AA696" s="270"/>
      <c r="AC696" s="85"/>
      <c r="AD696" s="85"/>
    </row>
    <row r="697" spans="3:30" ht="15" thickBot="1" x14ac:dyDescent="0.35">
      <c r="C697" s="501" t="s">
        <v>384</v>
      </c>
      <c r="D697" s="116"/>
      <c r="E697" s="116" t="s">
        <v>5</v>
      </c>
      <c r="F697" s="116" t="s">
        <v>33</v>
      </c>
      <c r="G697" s="450" t="str">
        <f t="shared" si="31"/>
        <v>Office Building B-Break rooms-Faucets</v>
      </c>
      <c r="H697" s="116"/>
      <c r="I697" s="889" t="s">
        <v>66</v>
      </c>
      <c r="J697" s="890">
        <f>SUMIFS('Level of Efficiency Assumptions'!J:J,'Level of Efficiency Assumptions'!D:D,E697,'Level of Efficiency Assumptions'!F:F,F697,'Level of Efficiency Assumptions'!I:I,I697)</f>
        <v>0.5</v>
      </c>
      <c r="K697" s="383" t="s">
        <v>78</v>
      </c>
      <c r="L697" s="257" t="s">
        <v>66</v>
      </c>
      <c r="M697" s="879">
        <f>Q699</f>
        <v>0</v>
      </c>
      <c r="N697" s="880">
        <f>IFERROR(M697/M698,"-")</f>
        <v>0</v>
      </c>
      <c r="O697" s="881">
        <f>SUMIFS('Data Entry'!T:T,'Data Entry'!K:K,G697)</f>
        <v>0</v>
      </c>
      <c r="P697" s="267" t="s">
        <v>176</v>
      </c>
      <c r="Q697" s="895">
        <v>1</v>
      </c>
      <c r="R697" s="883"/>
      <c r="S697" s="883"/>
      <c r="T697" s="883"/>
      <c r="U697" s="883"/>
      <c r="V697" s="114" t="s">
        <v>185</v>
      </c>
      <c r="W697" s="114"/>
      <c r="X697" s="884"/>
      <c r="Y697" s="270"/>
      <c r="Z697" s="270"/>
      <c r="AA697" s="270"/>
      <c r="AC697" s="85"/>
      <c r="AD697" s="85"/>
    </row>
    <row r="698" spans="3:30" x14ac:dyDescent="0.3">
      <c r="C698" s="450"/>
      <c r="D698" s="182"/>
      <c r="E698" s="182"/>
      <c r="F698" s="182"/>
      <c r="G698" s="450" t="str">
        <f t="shared" si="31"/>
        <v>--</v>
      </c>
      <c r="H698" s="182"/>
      <c r="I698" s="440"/>
      <c r="J698" s="892"/>
      <c r="K698" s="259"/>
      <c r="L698" s="259" t="s">
        <v>46</v>
      </c>
      <c r="M698" s="893">
        <f>SUM(M695:M697)</f>
        <v>1</v>
      </c>
      <c r="N698" s="894"/>
      <c r="O698" s="894">
        <f>SUM(O695:O697)</f>
        <v>0</v>
      </c>
      <c r="P698" s="256" t="s">
        <v>173</v>
      </c>
      <c r="Q698" s="895">
        <v>0</v>
      </c>
      <c r="R698" s="883"/>
      <c r="S698" s="883"/>
      <c r="T698" s="883"/>
      <c r="U698" s="883"/>
      <c r="V698" s="114" t="s">
        <v>186</v>
      </c>
      <c r="W698" s="114"/>
      <c r="X698" s="884"/>
      <c r="Y698" s="270"/>
      <c r="Z698" s="270"/>
      <c r="AA698" s="270"/>
      <c r="AC698" s="85"/>
      <c r="AD698" s="85"/>
    </row>
    <row r="699" spans="3:30" x14ac:dyDescent="0.3">
      <c r="C699" s="450"/>
      <c r="D699" s="182"/>
      <c r="E699" s="182"/>
      <c r="F699" s="182"/>
      <c r="G699" s="450" t="str">
        <f t="shared" si="31"/>
        <v>--</v>
      </c>
      <c r="H699" s="182"/>
      <c r="I699" s="892"/>
      <c r="J699" s="288"/>
      <c r="K699" s="182"/>
      <c r="L699" s="182"/>
      <c r="M699" s="270"/>
      <c r="N699" s="892"/>
      <c r="O699" s="892"/>
      <c r="P699" s="258" t="s">
        <v>172</v>
      </c>
      <c r="Q699" s="895">
        <v>0</v>
      </c>
      <c r="R699" s="883"/>
      <c r="S699" s="883"/>
      <c r="T699" s="883"/>
      <c r="U699" s="883"/>
      <c r="V699" s="114"/>
      <c r="W699" s="114"/>
      <c r="X699" s="884"/>
      <c r="Y699" s="270"/>
      <c r="Z699" s="270"/>
      <c r="AA699" s="270"/>
      <c r="AC699" s="85"/>
      <c r="AD699" s="85"/>
    </row>
    <row r="700" spans="3:30" x14ac:dyDescent="0.3">
      <c r="C700" s="450"/>
      <c r="D700" s="182"/>
      <c r="E700" s="182"/>
      <c r="F700" s="182"/>
      <c r="G700" s="450" t="str">
        <f t="shared" si="31"/>
        <v>--</v>
      </c>
      <c r="H700" s="182"/>
      <c r="I700" s="892"/>
      <c r="J700" s="288"/>
      <c r="K700" s="182"/>
      <c r="L700" s="182"/>
      <c r="M700" s="270"/>
      <c r="N700" s="892"/>
      <c r="O700" s="892"/>
      <c r="P700" s="263" t="s">
        <v>46</v>
      </c>
      <c r="Q700" s="897">
        <f>SUM(Q694:Q699)</f>
        <v>1</v>
      </c>
      <c r="R700" s="899"/>
      <c r="S700" s="899"/>
      <c r="T700" s="899"/>
      <c r="U700" s="899"/>
      <c r="V700" s="899"/>
      <c r="W700" s="899"/>
      <c r="X700" s="900"/>
      <c r="Y700" s="270"/>
      <c r="Z700" s="270"/>
      <c r="AA700" s="270"/>
      <c r="AC700" s="85"/>
      <c r="AD700" s="85"/>
    </row>
    <row r="701" spans="3:30" x14ac:dyDescent="0.3">
      <c r="C701" s="450"/>
      <c r="D701" s="182"/>
      <c r="E701" s="182"/>
      <c r="F701" s="182"/>
      <c r="G701" s="450" t="str">
        <f t="shared" si="31"/>
        <v>--</v>
      </c>
      <c r="H701" s="182"/>
      <c r="I701" s="892"/>
      <c r="J701" s="288"/>
      <c r="K701" s="182"/>
      <c r="L701" s="182"/>
      <c r="M701" s="270"/>
      <c r="N701" s="892"/>
      <c r="O701" s="892"/>
      <c r="P701" s="259"/>
      <c r="Q701" s="114"/>
      <c r="R701" s="114"/>
      <c r="S701" s="114"/>
      <c r="T701" s="114"/>
      <c r="U701" s="114"/>
      <c r="V701" s="114"/>
      <c r="W701" s="270"/>
      <c r="X701" s="270"/>
      <c r="Y701" s="270"/>
      <c r="Z701" s="270"/>
      <c r="AA701" s="270"/>
      <c r="AC701" s="85"/>
      <c r="AD701" s="85"/>
    </row>
    <row r="702" spans="3:30" x14ac:dyDescent="0.3">
      <c r="C702" s="450"/>
      <c r="D702" s="182"/>
      <c r="E702" s="182"/>
      <c r="F702" s="182"/>
      <c r="G702" s="450" t="str">
        <f t="shared" si="31"/>
        <v>--</v>
      </c>
      <c r="H702" s="182"/>
      <c r="I702" s="892"/>
      <c r="J702" s="288"/>
      <c r="K702" s="182"/>
      <c r="L702" s="182"/>
      <c r="M702" s="270"/>
      <c r="N702" s="892"/>
      <c r="O702" s="892"/>
      <c r="P702" s="276" t="s">
        <v>42</v>
      </c>
      <c r="Q702" s="902"/>
      <c r="R702" s="902"/>
      <c r="S702" s="874"/>
      <c r="T702" s="114"/>
      <c r="U702" s="114"/>
      <c r="V702" s="114"/>
      <c r="W702" s="270"/>
      <c r="X702" s="270"/>
      <c r="Y702" s="270"/>
      <c r="Z702" s="270"/>
      <c r="AA702" s="270"/>
      <c r="AC702" s="85"/>
      <c r="AD702" s="85"/>
    </row>
    <row r="703" spans="3:30" ht="15" thickBot="1" x14ac:dyDescent="0.35">
      <c r="C703" s="450"/>
      <c r="D703" s="182"/>
      <c r="E703" s="182"/>
      <c r="F703" s="182"/>
      <c r="G703" s="450" t="str">
        <f t="shared" si="31"/>
        <v>--</v>
      </c>
      <c r="H703" s="182"/>
      <c r="I703" s="892"/>
      <c r="J703" s="892"/>
      <c r="K703" s="182"/>
      <c r="L703" s="182"/>
      <c r="M703" s="901" t="s">
        <v>155</v>
      </c>
      <c r="N703" s="870" t="s">
        <v>188</v>
      </c>
      <c r="O703" s="870"/>
      <c r="P703" s="277" t="s">
        <v>818</v>
      </c>
      <c r="Q703" s="871" t="s">
        <v>155</v>
      </c>
      <c r="R703" s="114"/>
      <c r="S703" s="884"/>
      <c r="T703" s="114"/>
      <c r="U703" s="114"/>
      <c r="V703" s="114"/>
      <c r="W703" s="270"/>
      <c r="X703" s="270"/>
      <c r="Y703" s="270"/>
      <c r="Z703" s="270"/>
      <c r="AA703" s="270"/>
      <c r="AC703" s="85"/>
      <c r="AD703" s="85"/>
    </row>
    <row r="704" spans="3:30" ht="15" thickBot="1" x14ac:dyDescent="0.35">
      <c r="C704" s="566" t="s">
        <v>384</v>
      </c>
      <c r="D704" s="875" t="str">
        <f>VLOOKUP(C704,'Airport Mapping'!$C$5:$D$39,2,FALSE)</f>
        <v xml:space="preserve"> </v>
      </c>
      <c r="E704" s="567" t="s">
        <v>39</v>
      </c>
      <c r="F704" s="567" t="s">
        <v>42</v>
      </c>
      <c r="G704" s="450" t="str">
        <f t="shared" si="31"/>
        <v>Office Building B-Landscaping-Outdoor irrigation</v>
      </c>
      <c r="H704" s="567" t="s">
        <v>32</v>
      </c>
      <c r="I704" s="877" t="s">
        <v>64</v>
      </c>
      <c r="J704" s="878">
        <f>SUMIFS('Level of Efficiency Assumptions'!J:J,'Level of Efficiency Assumptions'!D:D,E704,'Level of Efficiency Assumptions'!F:F,F704,'Level of Efficiency Assumptions'!I:I,I704)</f>
        <v>28.6</v>
      </c>
      <c r="K704" s="383" t="s">
        <v>816</v>
      </c>
      <c r="L704" s="253" t="s">
        <v>64</v>
      </c>
      <c r="M704" s="879">
        <f>SUM(Q704:Q705)</f>
        <v>0</v>
      </c>
      <c r="N704" s="880">
        <f>IFERROR(M704/M707,"-")</f>
        <v>0</v>
      </c>
      <c r="O704" s="881">
        <f>SUMIFS('Data Entry'!R:R,'Data Entry'!K:K,G704)</f>
        <v>0</v>
      </c>
      <c r="P704" s="272" t="s">
        <v>237</v>
      </c>
      <c r="Q704" s="895">
        <v>0</v>
      </c>
      <c r="R704" s="114"/>
      <c r="S704" s="884"/>
      <c r="T704" s="114"/>
      <c r="U704" s="114"/>
      <c r="V704" s="114"/>
      <c r="W704" s="270"/>
      <c r="X704" s="270"/>
      <c r="Y704" s="270"/>
      <c r="Z704" s="270"/>
      <c r="AA704" s="270"/>
      <c r="AC704" s="85"/>
      <c r="AD704" s="85"/>
    </row>
    <row r="705" spans="3:30" ht="15" thickBot="1" x14ac:dyDescent="0.35">
      <c r="C705" s="494" t="s">
        <v>384</v>
      </c>
      <c r="D705" s="577"/>
      <c r="E705" s="577" t="s">
        <v>39</v>
      </c>
      <c r="F705" s="577" t="s">
        <v>42</v>
      </c>
      <c r="G705" s="450" t="str">
        <f t="shared" si="31"/>
        <v>Office Building B-Landscaping-Outdoor irrigation</v>
      </c>
      <c r="H705" s="577"/>
      <c r="I705" s="887" t="s">
        <v>65</v>
      </c>
      <c r="J705" s="878">
        <f>SUMIFS('Level of Efficiency Assumptions'!J:J,'Level of Efficiency Assumptions'!D:D,E705,'Level of Efficiency Assumptions'!F:F,F705,'Level of Efficiency Assumptions'!I:I,I705)</f>
        <v>13.980821518350929</v>
      </c>
      <c r="K705" s="383" t="s">
        <v>816</v>
      </c>
      <c r="L705" s="255" t="s">
        <v>65</v>
      </c>
      <c r="M705" s="879">
        <f>Q706+Q707</f>
        <v>1</v>
      </c>
      <c r="N705" s="880">
        <f>IFERROR(M705/M707,"-")</f>
        <v>1</v>
      </c>
      <c r="O705" s="881">
        <f>SUMIFS('Data Entry'!S:S,'Data Entry'!K:K,G705)</f>
        <v>0</v>
      </c>
      <c r="P705" s="272" t="s">
        <v>232</v>
      </c>
      <c r="Q705" s="895">
        <v>0</v>
      </c>
      <c r="R705" s="114"/>
      <c r="S705" s="884"/>
      <c r="T705" s="114"/>
      <c r="U705" s="114"/>
      <c r="V705" s="114"/>
      <c r="W705" s="270"/>
      <c r="X705" s="270"/>
      <c r="Y705" s="270"/>
      <c r="Z705" s="270"/>
      <c r="AA705" s="270"/>
      <c r="AC705" s="85"/>
      <c r="AD705" s="85"/>
    </row>
    <row r="706" spans="3:30" ht="15" thickBot="1" x14ac:dyDescent="0.35">
      <c r="C706" s="501" t="s">
        <v>384</v>
      </c>
      <c r="D706" s="116"/>
      <c r="E706" s="116" t="s">
        <v>39</v>
      </c>
      <c r="F706" s="116" t="s">
        <v>42</v>
      </c>
      <c r="G706" s="450" t="str">
        <f t="shared" si="31"/>
        <v>Office Building B-Landscaping-Outdoor irrigation</v>
      </c>
      <c r="H706" s="116"/>
      <c r="I706" s="889" t="s">
        <v>66</v>
      </c>
      <c r="J706" s="890">
        <f>SUMIFS('Level of Efficiency Assumptions'!J:J,'Level of Efficiency Assumptions'!D:D,E706,'Level of Efficiency Assumptions'!F:F,F706,'Level of Efficiency Assumptions'!I:I,I706)</f>
        <v>0.59137254901960778</v>
      </c>
      <c r="K706" s="383" t="s">
        <v>816</v>
      </c>
      <c r="L706" s="257" t="s">
        <v>66</v>
      </c>
      <c r="M706" s="879">
        <f>Q708+Q709</f>
        <v>0</v>
      </c>
      <c r="N706" s="880">
        <f>IFERROR(M706/M707,"-")</f>
        <v>0</v>
      </c>
      <c r="O706" s="881">
        <f>SUMIFS('Data Entry'!T:T,'Data Entry'!K:K,G706)</f>
        <v>0</v>
      </c>
      <c r="P706" s="274" t="s">
        <v>231</v>
      </c>
      <c r="Q706" s="895">
        <v>1</v>
      </c>
      <c r="R706" s="114"/>
      <c r="S706" s="884"/>
      <c r="T706" s="114"/>
      <c r="U706" s="114"/>
      <c r="V706" s="114"/>
      <c r="W706" s="270"/>
      <c r="X706" s="270"/>
      <c r="Y706" s="270"/>
      <c r="Z706" s="270"/>
      <c r="AA706" s="270"/>
      <c r="AC706" s="85"/>
      <c r="AD706" s="85"/>
    </row>
    <row r="707" spans="3:30" x14ac:dyDescent="0.3">
      <c r="C707" s="450"/>
      <c r="D707" s="182"/>
      <c r="E707" s="182"/>
      <c r="F707" s="182"/>
      <c r="G707" s="450" t="str">
        <f t="shared" si="31"/>
        <v>--</v>
      </c>
      <c r="H707" s="182"/>
      <c r="I707" s="440"/>
      <c r="J707" s="892"/>
      <c r="K707" s="259"/>
      <c r="L707" s="259" t="s">
        <v>46</v>
      </c>
      <c r="M707" s="893">
        <f>SUM(M704:M706)</f>
        <v>1</v>
      </c>
      <c r="N707" s="894"/>
      <c r="O707" s="894">
        <f>SUM(O704:O706)</f>
        <v>0</v>
      </c>
      <c r="P707" s="274" t="s">
        <v>230</v>
      </c>
      <c r="Q707" s="895">
        <v>0</v>
      </c>
      <c r="R707" s="114"/>
      <c r="S707" s="884"/>
      <c r="T707" s="114"/>
      <c r="U707" s="114"/>
      <c r="V707" s="114"/>
      <c r="W707" s="270"/>
      <c r="X707" s="270"/>
      <c r="Y707" s="270"/>
      <c r="Z707" s="270"/>
      <c r="AA707" s="270"/>
      <c r="AC707" s="85"/>
      <c r="AD707" s="85"/>
    </row>
    <row r="708" spans="3:30" x14ac:dyDescent="0.3">
      <c r="C708" s="450"/>
      <c r="D708" s="182"/>
      <c r="E708" s="182"/>
      <c r="F708" s="182"/>
      <c r="G708" s="450" t="str">
        <f t="shared" si="31"/>
        <v>--</v>
      </c>
      <c r="H708" s="182"/>
      <c r="I708" s="892"/>
      <c r="J708" s="288"/>
      <c r="K708" s="182"/>
      <c r="L708" s="182"/>
      <c r="M708" s="270"/>
      <c r="N708" s="892"/>
      <c r="O708" s="892"/>
      <c r="P708" s="275" t="s">
        <v>229</v>
      </c>
      <c r="Q708" s="895">
        <v>0</v>
      </c>
      <c r="R708" s="114"/>
      <c r="S708" s="884"/>
      <c r="T708" s="114"/>
      <c r="U708" s="114"/>
      <c r="V708" s="114"/>
      <c r="W708" s="270"/>
      <c r="X708" s="270"/>
      <c r="Y708" s="270"/>
      <c r="Z708" s="270"/>
      <c r="AA708" s="270"/>
      <c r="AC708" s="85"/>
      <c r="AD708" s="85"/>
    </row>
    <row r="709" spans="3:30" x14ac:dyDescent="0.3">
      <c r="C709" s="450"/>
      <c r="D709" s="182"/>
      <c r="E709" s="182"/>
      <c r="F709" s="182"/>
      <c r="G709" s="450" t="str">
        <f t="shared" si="31"/>
        <v>--</v>
      </c>
      <c r="H709" s="182"/>
      <c r="I709" s="892"/>
      <c r="J709" s="288"/>
      <c r="K709" s="182"/>
      <c r="L709" s="182"/>
      <c r="M709" s="270"/>
      <c r="N709" s="892"/>
      <c r="O709" s="892"/>
      <c r="P709" s="269" t="s">
        <v>225</v>
      </c>
      <c r="Q709" s="895">
        <v>0</v>
      </c>
      <c r="R709" s="114"/>
      <c r="S709" s="884"/>
      <c r="T709" s="114"/>
      <c r="U709" s="114"/>
      <c r="V709" s="114"/>
      <c r="W709" s="270"/>
      <c r="X709" s="270"/>
      <c r="Y709" s="270"/>
      <c r="Z709" s="270"/>
      <c r="AA709" s="270"/>
      <c r="AC709" s="85"/>
      <c r="AD709" s="85"/>
    </row>
    <row r="710" spans="3:30" x14ac:dyDescent="0.3">
      <c r="C710" s="450"/>
      <c r="D710" s="182"/>
      <c r="E710" s="182"/>
      <c r="F710" s="182"/>
      <c r="G710" s="450" t="str">
        <f t="shared" si="31"/>
        <v>--</v>
      </c>
      <c r="H710" s="182"/>
      <c r="I710" s="892"/>
      <c r="J710" s="288"/>
      <c r="K710" s="182"/>
      <c r="L710" s="182"/>
      <c r="M710" s="270"/>
      <c r="N710" s="892"/>
      <c r="O710" s="892"/>
      <c r="P710" s="263" t="s">
        <v>46</v>
      </c>
      <c r="Q710" s="897">
        <f>SUM(Q704:Q709)</f>
        <v>1</v>
      </c>
      <c r="R710" s="899"/>
      <c r="S710" s="900"/>
      <c r="T710" s="114"/>
      <c r="U710" s="114"/>
      <c r="V710" s="114"/>
      <c r="W710" s="270"/>
      <c r="X710" s="270"/>
      <c r="Y710" s="270"/>
      <c r="Z710" s="270"/>
      <c r="AA710" s="270"/>
      <c r="AC710" s="85"/>
      <c r="AD710" s="85"/>
    </row>
    <row r="711" spans="3:30" x14ac:dyDescent="0.3">
      <c r="C711" s="450"/>
      <c r="D711" s="182"/>
      <c r="E711" s="182"/>
      <c r="F711" s="182"/>
      <c r="G711" s="450" t="str">
        <f t="shared" si="31"/>
        <v>--</v>
      </c>
      <c r="H711" s="182"/>
      <c r="I711" s="892"/>
      <c r="J711" s="288"/>
      <c r="K711" s="182"/>
      <c r="L711" s="182"/>
      <c r="M711" s="270"/>
      <c r="N711" s="892"/>
      <c r="O711" s="892"/>
      <c r="P711" s="259"/>
      <c r="Q711" s="114"/>
      <c r="R711" s="270"/>
      <c r="S711" s="270"/>
      <c r="T711" s="270"/>
      <c r="U711" s="270"/>
      <c r="V711" s="270"/>
      <c r="W711" s="270"/>
      <c r="X711" s="270"/>
      <c r="Y711" s="270"/>
      <c r="Z711" s="270"/>
      <c r="AA711" s="270"/>
      <c r="AC711" s="85"/>
      <c r="AD711" s="85"/>
    </row>
    <row r="712" spans="3:30" ht="15" thickBot="1" x14ac:dyDescent="0.35">
      <c r="C712" s="450"/>
      <c r="D712" s="182"/>
      <c r="E712" s="182"/>
      <c r="F712" s="182"/>
      <c r="G712" s="450" t="str">
        <f t="shared" si="31"/>
        <v>--</v>
      </c>
      <c r="H712" s="182"/>
      <c r="I712" s="892"/>
      <c r="J712" s="892"/>
      <c r="K712" s="182"/>
      <c r="L712" s="182"/>
      <c r="M712" s="901" t="s">
        <v>155</v>
      </c>
      <c r="N712" s="870" t="s">
        <v>188</v>
      </c>
      <c r="O712" s="870"/>
      <c r="P712" s="276" t="s">
        <v>111</v>
      </c>
      <c r="Q712" s="871" t="s">
        <v>155</v>
      </c>
      <c r="R712" s="902"/>
      <c r="S712" s="874"/>
      <c r="T712" s="270"/>
      <c r="U712" s="270"/>
      <c r="V712" s="270"/>
      <c r="W712" s="270"/>
      <c r="X712" s="270"/>
      <c r="Y712" s="270"/>
      <c r="Z712" s="270"/>
      <c r="AA712" s="270"/>
      <c r="AC712" s="85"/>
      <c r="AD712" s="85"/>
    </row>
    <row r="713" spans="3:30" ht="15" thickBot="1" x14ac:dyDescent="0.35">
      <c r="C713" s="566" t="s">
        <v>384</v>
      </c>
      <c r="D713" s="875" t="str">
        <f>VLOOKUP(C713,'Airport Mapping'!$C$5:$D$39,2,FALSE)</f>
        <v xml:space="preserve"> </v>
      </c>
      <c r="E713" s="567" t="s">
        <v>43</v>
      </c>
      <c r="F713" s="567" t="s">
        <v>111</v>
      </c>
      <c r="G713" s="450" t="str">
        <f t="shared" si="31"/>
        <v>Office Building B-Maintenance-Boiler</v>
      </c>
      <c r="H713" s="567" t="s">
        <v>424</v>
      </c>
      <c r="I713" s="877" t="s">
        <v>64</v>
      </c>
      <c r="J713" s="878">
        <f>SUMIFS('Level of Efficiency Assumptions'!J:J,'Level of Efficiency Assumptions'!D:D,E713,'Level of Efficiency Assumptions'!F:F,F713,'Level of Efficiency Assumptions'!I:I,I713)</f>
        <v>100</v>
      </c>
      <c r="K713" s="383" t="s">
        <v>585</v>
      </c>
      <c r="L713" s="253" t="s">
        <v>64</v>
      </c>
      <c r="M713" s="879">
        <f>SUM(Q713:Q714)</f>
        <v>0</v>
      </c>
      <c r="N713" s="880">
        <f>IFERROR(M713/M716,"-")</f>
        <v>0</v>
      </c>
      <c r="O713" s="881">
        <f>SUMIFS('Data Entry'!R:R,'Data Entry'!K:K,G713)</f>
        <v>0</v>
      </c>
      <c r="P713" s="272"/>
      <c r="Q713" s="895">
        <v>0</v>
      </c>
      <c r="R713" s="114"/>
      <c r="S713" s="884"/>
      <c r="T713" s="270"/>
      <c r="U713" s="270"/>
      <c r="V713" s="270"/>
      <c r="W713" s="270"/>
      <c r="X713" s="270"/>
      <c r="Y713" s="270"/>
      <c r="Z713" s="270"/>
      <c r="AA713" s="270"/>
      <c r="AC713" s="85"/>
      <c r="AD713" s="85"/>
    </row>
    <row r="714" spans="3:30" ht="15" thickBot="1" x14ac:dyDescent="0.35">
      <c r="C714" s="494" t="s">
        <v>384</v>
      </c>
      <c r="D714" s="577"/>
      <c r="E714" s="577" t="s">
        <v>43</v>
      </c>
      <c r="F714" s="577" t="s">
        <v>111</v>
      </c>
      <c r="G714" s="450" t="str">
        <f t="shared" si="31"/>
        <v>Office Building B-Maintenance-Boiler</v>
      </c>
      <c r="H714" s="577"/>
      <c r="I714" s="887" t="s">
        <v>65</v>
      </c>
      <c r="J714" s="878">
        <f>SUMIFS('Level of Efficiency Assumptions'!J:J,'Level of Efficiency Assumptions'!D:D,E714,'Level of Efficiency Assumptions'!F:F,F714,'Level of Efficiency Assumptions'!I:I,I714)</f>
        <v>75</v>
      </c>
      <c r="K714" s="383" t="s">
        <v>585</v>
      </c>
      <c r="L714" s="255" t="s">
        <v>65</v>
      </c>
      <c r="M714" s="879">
        <f>Q715+Q716</f>
        <v>1</v>
      </c>
      <c r="N714" s="880">
        <f>IFERROR(M714/M716,"-")</f>
        <v>1</v>
      </c>
      <c r="O714" s="881">
        <f>SUMIFS('Data Entry'!S:S,'Data Entry'!K:K,G714)</f>
        <v>0</v>
      </c>
      <c r="P714" s="272"/>
      <c r="Q714" s="895">
        <v>0</v>
      </c>
      <c r="R714" s="114"/>
      <c r="S714" s="884"/>
      <c r="T714" s="270"/>
      <c r="U714" s="270"/>
      <c r="V714" s="270"/>
      <c r="W714" s="270"/>
      <c r="X714" s="270"/>
      <c r="Y714" s="270"/>
      <c r="Z714" s="270"/>
      <c r="AA714" s="270"/>
      <c r="AC714" s="85"/>
      <c r="AD714" s="85"/>
    </row>
    <row r="715" spans="3:30" ht="15" thickBot="1" x14ac:dyDescent="0.35">
      <c r="C715" s="501" t="s">
        <v>384</v>
      </c>
      <c r="D715" s="116"/>
      <c r="E715" s="116" t="s">
        <v>43</v>
      </c>
      <c r="F715" s="116" t="s">
        <v>111</v>
      </c>
      <c r="G715" s="450" t="str">
        <f t="shared" si="31"/>
        <v>Office Building B-Maintenance-Boiler</v>
      </c>
      <c r="H715" s="116"/>
      <c r="I715" s="889" t="s">
        <v>66</v>
      </c>
      <c r="J715" s="890">
        <f>SUMIFS('Level of Efficiency Assumptions'!J:J,'Level of Efficiency Assumptions'!D:D,E715,'Level of Efficiency Assumptions'!F:F,F715,'Level of Efficiency Assumptions'!I:I,I715)</f>
        <v>50</v>
      </c>
      <c r="K715" s="383" t="s">
        <v>585</v>
      </c>
      <c r="L715" s="257" t="s">
        <v>66</v>
      </c>
      <c r="M715" s="879">
        <f>Q717+Q718</f>
        <v>0</v>
      </c>
      <c r="N715" s="880">
        <f>IFERROR(M715/M716,"-")</f>
        <v>0</v>
      </c>
      <c r="O715" s="881">
        <f>SUMIFS('Data Entry'!T:T,'Data Entry'!K:K,G715)</f>
        <v>0</v>
      </c>
      <c r="P715" s="274"/>
      <c r="Q715" s="895">
        <v>1</v>
      </c>
      <c r="R715" s="114"/>
      <c r="S715" s="884"/>
      <c r="T715" s="270"/>
      <c r="U715" s="270"/>
      <c r="V715" s="270"/>
      <c r="W715" s="270"/>
      <c r="X715" s="270"/>
      <c r="Y715" s="270"/>
      <c r="Z715" s="270"/>
      <c r="AA715" s="270"/>
      <c r="AC715" s="85"/>
      <c r="AD715" s="85"/>
    </row>
    <row r="716" spans="3:30" x14ac:dyDescent="0.3">
      <c r="C716" s="450"/>
      <c r="D716" s="182"/>
      <c r="E716" s="182"/>
      <c r="F716" s="182"/>
      <c r="G716" s="450" t="str">
        <f t="shared" si="31"/>
        <v>--</v>
      </c>
      <c r="H716" s="182"/>
      <c r="I716" s="440"/>
      <c r="J716" s="892"/>
      <c r="K716" s="259"/>
      <c r="L716" s="259" t="s">
        <v>46</v>
      </c>
      <c r="M716" s="893">
        <f>SUM(M713:M715)</f>
        <v>1</v>
      </c>
      <c r="N716" s="894"/>
      <c r="O716" s="894">
        <f>SUM(O713:O715)</f>
        <v>0</v>
      </c>
      <c r="P716" s="274"/>
      <c r="Q716" s="895">
        <v>0</v>
      </c>
      <c r="R716" s="114"/>
      <c r="S716" s="884"/>
      <c r="T716" s="270"/>
      <c r="U716" s="270"/>
      <c r="V716" s="270"/>
      <c r="W716" s="270"/>
      <c r="X716" s="270"/>
      <c r="Y716" s="270"/>
      <c r="Z716" s="270"/>
      <c r="AA716" s="270"/>
      <c r="AC716" s="85"/>
      <c r="AD716" s="85"/>
    </row>
    <row r="717" spans="3:30" x14ac:dyDescent="0.3">
      <c r="C717" s="450"/>
      <c r="D717" s="182"/>
      <c r="E717" s="182"/>
      <c r="F717" s="182"/>
      <c r="G717" s="450" t="str">
        <f t="shared" si="31"/>
        <v>--</v>
      </c>
      <c r="H717" s="182"/>
      <c r="I717" s="892"/>
      <c r="J717" s="288"/>
      <c r="K717" s="182"/>
      <c r="L717" s="182"/>
      <c r="M717" s="270"/>
      <c r="N717" s="892"/>
      <c r="O717" s="892"/>
      <c r="P717" s="275"/>
      <c r="Q717" s="895">
        <v>0</v>
      </c>
      <c r="R717" s="114"/>
      <c r="S717" s="884"/>
      <c r="T717" s="270"/>
      <c r="U717" s="270"/>
      <c r="V717" s="270"/>
      <c r="W717" s="270"/>
      <c r="X717" s="270"/>
      <c r="Y717" s="270"/>
      <c r="Z717" s="270"/>
      <c r="AA717" s="270"/>
      <c r="AC717" s="85"/>
      <c r="AD717" s="85"/>
    </row>
    <row r="718" spans="3:30" x14ac:dyDescent="0.3">
      <c r="C718" s="225"/>
      <c r="D718" s="288"/>
      <c r="E718" s="288"/>
      <c r="F718" s="288"/>
      <c r="G718" s="450" t="str">
        <f t="shared" si="31"/>
        <v>--</v>
      </c>
      <c r="H718" s="182"/>
      <c r="I718" s="892"/>
      <c r="J718" s="288"/>
      <c r="K718" s="182"/>
      <c r="L718" s="182"/>
      <c r="M718" s="270"/>
      <c r="N718" s="892"/>
      <c r="O718" s="892"/>
      <c r="P718" s="269"/>
      <c r="Q718" s="895">
        <v>0</v>
      </c>
      <c r="R718" s="114"/>
      <c r="S718" s="884"/>
      <c r="T718" s="270"/>
      <c r="U718" s="270"/>
      <c r="V718" s="270"/>
      <c r="W718" s="270"/>
      <c r="X718" s="270"/>
      <c r="Y718" s="270"/>
      <c r="Z718" s="270"/>
      <c r="AA718" s="270"/>
      <c r="AC718" s="85"/>
      <c r="AD718" s="85"/>
    </row>
    <row r="719" spans="3:30" x14ac:dyDescent="0.3">
      <c r="C719" s="225"/>
      <c r="D719" s="288"/>
      <c r="E719" s="288"/>
      <c r="F719" s="288"/>
      <c r="G719" s="450" t="str">
        <f t="shared" si="31"/>
        <v>--</v>
      </c>
      <c r="H719" s="182"/>
      <c r="I719" s="892"/>
      <c r="J719" s="288"/>
      <c r="K719" s="182"/>
      <c r="L719" s="182"/>
      <c r="M719" s="270"/>
      <c r="N719" s="892"/>
      <c r="O719" s="892"/>
      <c r="P719" s="263" t="s">
        <v>46</v>
      </c>
      <c r="Q719" s="897">
        <f>SUM(Q713:Q718)</f>
        <v>1</v>
      </c>
      <c r="R719" s="899"/>
      <c r="S719" s="900"/>
      <c r="T719" s="270"/>
      <c r="U719" s="270"/>
      <c r="V719" s="270"/>
      <c r="W719" s="270"/>
      <c r="X719" s="270"/>
      <c r="Y719" s="270"/>
      <c r="Z719" s="270"/>
      <c r="AA719" s="270"/>
      <c r="AC719" s="85"/>
      <c r="AD719" s="85"/>
    </row>
    <row r="720" spans="3:30" x14ac:dyDescent="0.3">
      <c r="C720" s="225"/>
      <c r="D720" s="288"/>
      <c r="E720" s="288"/>
      <c r="F720" s="288"/>
      <c r="G720" s="450" t="str">
        <f t="shared" si="31"/>
        <v>--</v>
      </c>
      <c r="H720" s="182"/>
      <c r="I720" s="892"/>
      <c r="J720" s="288"/>
      <c r="K720" s="182"/>
      <c r="L720" s="182"/>
      <c r="M720" s="270"/>
      <c r="N720" s="892"/>
      <c r="O720" s="892"/>
      <c r="P720" s="259"/>
      <c r="Q720" s="114"/>
      <c r="R720" s="270"/>
      <c r="S720" s="270"/>
      <c r="T720" s="270"/>
      <c r="U720" s="270"/>
      <c r="V720" s="270"/>
      <c r="W720" s="270"/>
      <c r="X720" s="270"/>
      <c r="Y720" s="270"/>
      <c r="Z720" s="270"/>
      <c r="AA720" s="270"/>
      <c r="AC720" s="85"/>
      <c r="AD720" s="85"/>
    </row>
    <row r="721" spans="3:30" ht="15" thickBot="1" x14ac:dyDescent="0.35">
      <c r="C721" s="225"/>
      <c r="D721" s="182"/>
      <c r="E721" s="182"/>
      <c r="F721" s="182"/>
      <c r="G721" s="450" t="str">
        <f t="shared" si="31"/>
        <v>--</v>
      </c>
      <c r="H721" s="182"/>
      <c r="I721" s="892"/>
      <c r="J721" s="892"/>
      <c r="K721" s="182"/>
      <c r="L721" s="182"/>
      <c r="M721" s="901" t="s">
        <v>155</v>
      </c>
      <c r="N721" s="870" t="s">
        <v>188</v>
      </c>
      <c r="O721" s="870"/>
      <c r="P721" s="276" t="s">
        <v>52</v>
      </c>
      <c r="Q721" s="871" t="s">
        <v>155</v>
      </c>
      <c r="R721" s="902"/>
      <c r="S721" s="874"/>
      <c r="T721" s="270"/>
      <c r="U721" s="270"/>
      <c r="V721" s="270"/>
      <c r="W721" s="270"/>
      <c r="X721" s="270"/>
      <c r="Y721" s="270"/>
      <c r="Z721" s="270"/>
      <c r="AA721" s="270"/>
      <c r="AC721" s="85"/>
      <c r="AD721" s="85"/>
    </row>
    <row r="722" spans="3:30" ht="15" thickBot="1" x14ac:dyDescent="0.35">
      <c r="C722" s="566" t="s">
        <v>384</v>
      </c>
      <c r="D722" s="875" t="str">
        <f>VLOOKUP(C722,'Airport Mapping'!$C$5:$D$39,2,FALSE)</f>
        <v xml:space="preserve"> </v>
      </c>
      <c r="E722" s="567" t="s">
        <v>8</v>
      </c>
      <c r="F722" s="567" t="s">
        <v>52</v>
      </c>
      <c r="G722" s="450" t="str">
        <f t="shared" si="31"/>
        <v>Office Building B-Other-Other 1</v>
      </c>
      <c r="H722" s="567" t="s">
        <v>362</v>
      </c>
      <c r="I722" s="877" t="s">
        <v>64</v>
      </c>
      <c r="J722" s="878">
        <f>SUMIFS('Level of Efficiency Assumptions'!J:J,'Level of Efficiency Assumptions'!D:D,E722,'Level of Efficiency Assumptions'!F:F,F722,'Level of Efficiency Assumptions'!I:I,I722)</f>
        <v>10</v>
      </c>
      <c r="K722" s="383" t="s">
        <v>588</v>
      </c>
      <c r="L722" s="253" t="s">
        <v>64</v>
      </c>
      <c r="M722" s="879">
        <f>SUM(Q722:Q722)</f>
        <v>0</v>
      </c>
      <c r="N722" s="880">
        <f>IFERROR(M722/M725,"-")</f>
        <v>0</v>
      </c>
      <c r="O722" s="881">
        <f>SUMIFS('Data Entry'!R:R,'Data Entry'!K:K,G722)</f>
        <v>0</v>
      </c>
      <c r="P722" s="272" t="s">
        <v>129</v>
      </c>
      <c r="Q722" s="895">
        <v>0</v>
      </c>
      <c r="R722" s="114"/>
      <c r="S722" s="884"/>
      <c r="T722" s="270"/>
      <c r="U722" s="270"/>
      <c r="V722" s="270"/>
      <c r="W722" s="270"/>
      <c r="X722" s="270"/>
      <c r="Y722" s="270"/>
      <c r="Z722" s="270"/>
      <c r="AA722" s="270"/>
      <c r="AC722" s="85"/>
      <c r="AD722" s="85"/>
    </row>
    <row r="723" spans="3:30" ht="15" thickBot="1" x14ac:dyDescent="0.35">
      <c r="C723" s="494" t="s">
        <v>384</v>
      </c>
      <c r="D723" s="577"/>
      <c r="E723" s="577" t="s">
        <v>8</v>
      </c>
      <c r="F723" s="577" t="s">
        <v>52</v>
      </c>
      <c r="G723" s="450" t="str">
        <f t="shared" si="31"/>
        <v>Office Building B-Other-Other 1</v>
      </c>
      <c r="H723" s="577"/>
      <c r="I723" s="887" t="s">
        <v>65</v>
      </c>
      <c r="J723" s="878">
        <f>SUMIFS('Level of Efficiency Assumptions'!J:J,'Level of Efficiency Assumptions'!D:D,E723,'Level of Efficiency Assumptions'!F:F,F723,'Level of Efficiency Assumptions'!I:I,I723)</f>
        <v>7.5</v>
      </c>
      <c r="K723" s="383" t="s">
        <v>588</v>
      </c>
      <c r="L723" s="255" t="s">
        <v>65</v>
      </c>
      <c r="M723" s="879">
        <f t="shared" ref="M723:M724" si="32">SUM(Q723:Q723)</f>
        <v>1</v>
      </c>
      <c r="N723" s="880">
        <f>IFERROR(M723/M725,"-")</f>
        <v>1</v>
      </c>
      <c r="O723" s="881">
        <f>SUMIFS('Data Entry'!S:S,'Data Entry'!K:K,G723)</f>
        <v>0</v>
      </c>
      <c r="P723" s="274" t="s">
        <v>233</v>
      </c>
      <c r="Q723" s="895">
        <v>1</v>
      </c>
      <c r="R723" s="114"/>
      <c r="S723" s="884"/>
      <c r="T723" s="270"/>
      <c r="U723" s="270"/>
      <c r="V723" s="270"/>
      <c r="W723" s="270"/>
      <c r="X723" s="270"/>
      <c r="Y723" s="270"/>
      <c r="Z723" s="270"/>
      <c r="AA723" s="270"/>
      <c r="AC723" s="85"/>
      <c r="AD723" s="85"/>
    </row>
    <row r="724" spans="3:30" ht="15" thickBot="1" x14ac:dyDescent="0.35">
      <c r="C724" s="501" t="s">
        <v>384</v>
      </c>
      <c r="D724" s="116"/>
      <c r="E724" s="116" t="s">
        <v>8</v>
      </c>
      <c r="F724" s="116" t="s">
        <v>52</v>
      </c>
      <c r="G724" s="450" t="str">
        <f t="shared" si="31"/>
        <v>Office Building B-Other-Other 1</v>
      </c>
      <c r="H724" s="116"/>
      <c r="I724" s="889" t="s">
        <v>66</v>
      </c>
      <c r="J724" s="890">
        <f>SUMIFS('Level of Efficiency Assumptions'!J:J,'Level of Efficiency Assumptions'!D:D,E724,'Level of Efficiency Assumptions'!F:F,F724,'Level of Efficiency Assumptions'!I:I,I724)</f>
        <v>5</v>
      </c>
      <c r="K724" s="383" t="s">
        <v>588</v>
      </c>
      <c r="L724" s="257" t="s">
        <v>66</v>
      </c>
      <c r="M724" s="879">
        <f t="shared" si="32"/>
        <v>0</v>
      </c>
      <c r="N724" s="880">
        <f>IFERROR(M724/M725,"-")</f>
        <v>0</v>
      </c>
      <c r="O724" s="881">
        <f>SUMIFS('Data Entry'!T:T,'Data Entry'!K:K,G724)</f>
        <v>0</v>
      </c>
      <c r="P724" s="269" t="s">
        <v>234</v>
      </c>
      <c r="Q724" s="895">
        <v>0</v>
      </c>
      <c r="R724" s="114"/>
      <c r="S724" s="884"/>
      <c r="T724" s="270"/>
      <c r="U724" s="270"/>
      <c r="V724" s="270"/>
      <c r="W724" s="270"/>
      <c r="X724" s="270"/>
      <c r="Y724" s="270"/>
      <c r="Z724" s="270"/>
      <c r="AA724" s="270"/>
      <c r="AC724" s="85"/>
      <c r="AD724" s="85"/>
    </row>
    <row r="725" spans="3:30" x14ac:dyDescent="0.3">
      <c r="C725" s="450"/>
      <c r="D725" s="182"/>
      <c r="E725" s="182"/>
      <c r="F725" s="182"/>
      <c r="G725" s="450" t="str">
        <f t="shared" si="31"/>
        <v>--</v>
      </c>
      <c r="H725" s="182"/>
      <c r="I725" s="440"/>
      <c r="J725" s="892"/>
      <c r="K725" s="259"/>
      <c r="L725" s="259" t="s">
        <v>46</v>
      </c>
      <c r="M725" s="893">
        <f>SUM(M722:M724)</f>
        <v>1</v>
      </c>
      <c r="N725" s="894"/>
      <c r="O725" s="894">
        <f>SUM(O722:O724)</f>
        <v>0</v>
      </c>
      <c r="P725" s="263" t="s">
        <v>46</v>
      </c>
      <c r="Q725" s="897">
        <f>SUM(Q722:Q724)</f>
        <v>1</v>
      </c>
      <c r="R725" s="899"/>
      <c r="S725" s="900"/>
      <c r="T725" s="270"/>
      <c r="U725" s="270"/>
      <c r="V725" s="270"/>
      <c r="W725" s="270"/>
      <c r="X725" s="270"/>
      <c r="Y725" s="270"/>
      <c r="Z725" s="270"/>
      <c r="AA725" s="270"/>
      <c r="AC725" s="85"/>
      <c r="AD725" s="85"/>
    </row>
    <row r="726" spans="3:30" x14ac:dyDescent="0.3">
      <c r="C726" s="450"/>
      <c r="D726" s="182"/>
      <c r="E726" s="182"/>
      <c r="F726" s="182"/>
      <c r="G726" s="450" t="str">
        <f t="shared" si="31"/>
        <v>--</v>
      </c>
      <c r="H726" s="182"/>
      <c r="I726" s="892"/>
      <c r="J726" s="288"/>
      <c r="K726" s="182"/>
      <c r="L726" s="182"/>
      <c r="M726" s="270"/>
      <c r="N726" s="892"/>
      <c r="O726" s="892"/>
      <c r="P726" s="270"/>
      <c r="Q726" s="270"/>
      <c r="R726" s="270"/>
      <c r="S726" s="270"/>
      <c r="T726" s="270"/>
      <c r="U726" s="270"/>
      <c r="V726" s="270"/>
      <c r="W726" s="270"/>
      <c r="X726" s="270"/>
      <c r="Y726" s="270"/>
      <c r="Z726" s="270"/>
      <c r="AA726" s="270"/>
      <c r="AC726" s="85"/>
      <c r="AD726" s="85"/>
    </row>
    <row r="727" spans="3:30" ht="15" thickBot="1" x14ac:dyDescent="0.35">
      <c r="C727" s="450"/>
      <c r="D727" s="182"/>
      <c r="E727" s="182"/>
      <c r="F727" s="182"/>
      <c r="G727" s="450" t="str">
        <f t="shared" si="31"/>
        <v>--</v>
      </c>
      <c r="H727" s="182"/>
      <c r="I727" s="892"/>
      <c r="J727" s="892"/>
      <c r="K727" s="182"/>
      <c r="L727" s="182"/>
      <c r="M727" s="901" t="s">
        <v>155</v>
      </c>
      <c r="N727" s="870" t="s">
        <v>188</v>
      </c>
      <c r="O727" s="870"/>
      <c r="P727" s="276" t="s">
        <v>53</v>
      </c>
      <c r="Q727" s="871" t="s">
        <v>155</v>
      </c>
      <c r="R727" s="902"/>
      <c r="S727" s="874"/>
      <c r="T727" s="270"/>
      <c r="U727" s="270"/>
      <c r="V727" s="270"/>
      <c r="W727" s="270"/>
      <c r="X727" s="270"/>
      <c r="Y727" s="270"/>
      <c r="Z727" s="270"/>
      <c r="AA727" s="270"/>
      <c r="AC727" s="85"/>
      <c r="AD727" s="85"/>
    </row>
    <row r="728" spans="3:30" ht="15" thickBot="1" x14ac:dyDescent="0.35">
      <c r="C728" s="566" t="s">
        <v>384</v>
      </c>
      <c r="D728" s="875" t="str">
        <f>VLOOKUP(C728,'Airport Mapping'!$C$5:$D$39,2,FALSE)</f>
        <v xml:space="preserve"> </v>
      </c>
      <c r="E728" s="567" t="s">
        <v>8</v>
      </c>
      <c r="F728" s="567" t="s">
        <v>53</v>
      </c>
      <c r="G728" s="450" t="str">
        <f t="shared" si="31"/>
        <v>Office Building B-Other-Other 2</v>
      </c>
      <c r="H728" s="567" t="s">
        <v>363</v>
      </c>
      <c r="I728" s="877" t="s">
        <v>64</v>
      </c>
      <c r="J728" s="878">
        <f>SUMIFS('Level of Efficiency Assumptions'!J:J,'Level of Efficiency Assumptions'!D:D,E728,'Level of Efficiency Assumptions'!F:F,F728,'Level of Efficiency Assumptions'!I:I,I728)</f>
        <v>10</v>
      </c>
      <c r="K728" s="383" t="s">
        <v>588</v>
      </c>
      <c r="L728" s="253" t="s">
        <v>64</v>
      </c>
      <c r="M728" s="879">
        <f>SUM(Q728:Q728)</f>
        <v>0</v>
      </c>
      <c r="N728" s="880">
        <f>IFERROR(M728/M731,"-")</f>
        <v>0</v>
      </c>
      <c r="O728" s="881">
        <f>SUMIFS('Data Entry'!R:R,'Data Entry'!K:K,G728)</f>
        <v>0</v>
      </c>
      <c r="P728" s="272" t="s">
        <v>129</v>
      </c>
      <c r="Q728" s="895">
        <v>0</v>
      </c>
      <c r="R728" s="114"/>
      <c r="S728" s="884"/>
      <c r="T728" s="270"/>
      <c r="U728" s="270"/>
      <c r="V728" s="270"/>
      <c r="W728" s="270"/>
      <c r="X728" s="270"/>
      <c r="Y728" s="270"/>
      <c r="Z728" s="270"/>
      <c r="AA728" s="270"/>
      <c r="AC728" s="85"/>
      <c r="AD728" s="85"/>
    </row>
    <row r="729" spans="3:30" ht="15" thickBot="1" x14ac:dyDescent="0.35">
      <c r="C729" s="494" t="s">
        <v>384</v>
      </c>
      <c r="D729" s="577"/>
      <c r="E729" s="577" t="s">
        <v>8</v>
      </c>
      <c r="F729" s="577" t="s">
        <v>53</v>
      </c>
      <c r="G729" s="450" t="str">
        <f t="shared" si="31"/>
        <v>Office Building B-Other-Other 2</v>
      </c>
      <c r="H729" s="577"/>
      <c r="I729" s="887" t="s">
        <v>65</v>
      </c>
      <c r="J729" s="878">
        <f>SUMIFS('Level of Efficiency Assumptions'!J:J,'Level of Efficiency Assumptions'!D:D,E729,'Level of Efficiency Assumptions'!F:F,F729,'Level of Efficiency Assumptions'!I:I,I729)</f>
        <v>7.5</v>
      </c>
      <c r="K729" s="383" t="s">
        <v>588</v>
      </c>
      <c r="L729" s="255" t="s">
        <v>65</v>
      </c>
      <c r="M729" s="879">
        <f t="shared" ref="M729:M730" si="33">SUM(Q729:Q729)</f>
        <v>1</v>
      </c>
      <c r="N729" s="880">
        <f>IFERROR(M729/M731,"-")</f>
        <v>1</v>
      </c>
      <c r="O729" s="881">
        <f>SUMIFS('Data Entry'!S:S,'Data Entry'!K:K,G729)</f>
        <v>0</v>
      </c>
      <c r="P729" s="274" t="s">
        <v>233</v>
      </c>
      <c r="Q729" s="895">
        <v>1</v>
      </c>
      <c r="R729" s="114"/>
      <c r="S729" s="884"/>
      <c r="T729" s="270"/>
      <c r="U729" s="270"/>
      <c r="V729" s="270"/>
      <c r="W729" s="270"/>
      <c r="X729" s="270"/>
      <c r="Y729" s="270"/>
      <c r="Z729" s="270"/>
      <c r="AA729" s="270"/>
      <c r="AC729" s="85"/>
      <c r="AD729" s="85"/>
    </row>
    <row r="730" spans="3:30" ht="15" thickBot="1" x14ac:dyDescent="0.35">
      <c r="C730" s="501" t="s">
        <v>384</v>
      </c>
      <c r="D730" s="116"/>
      <c r="E730" s="116" t="s">
        <v>8</v>
      </c>
      <c r="F730" s="116" t="s">
        <v>53</v>
      </c>
      <c r="G730" s="450" t="str">
        <f t="shared" si="31"/>
        <v>Office Building B-Other-Other 2</v>
      </c>
      <c r="H730" s="116"/>
      <c r="I730" s="889" t="s">
        <v>66</v>
      </c>
      <c r="J730" s="890">
        <f>SUMIFS('Level of Efficiency Assumptions'!J:J,'Level of Efficiency Assumptions'!D:D,E730,'Level of Efficiency Assumptions'!F:F,F730,'Level of Efficiency Assumptions'!I:I,I730)</f>
        <v>5</v>
      </c>
      <c r="K730" s="383" t="s">
        <v>588</v>
      </c>
      <c r="L730" s="257" t="s">
        <v>66</v>
      </c>
      <c r="M730" s="879">
        <f t="shared" si="33"/>
        <v>0</v>
      </c>
      <c r="N730" s="880">
        <f>IFERROR(M730/M731,"-")</f>
        <v>0</v>
      </c>
      <c r="O730" s="881">
        <f>SUMIFS('Data Entry'!T:T,'Data Entry'!K:K,G730)</f>
        <v>0</v>
      </c>
      <c r="P730" s="269" t="s">
        <v>234</v>
      </c>
      <c r="Q730" s="895">
        <v>0</v>
      </c>
      <c r="R730" s="114"/>
      <c r="S730" s="884"/>
      <c r="T730" s="270"/>
      <c r="U730" s="270"/>
      <c r="V730" s="270"/>
      <c r="W730" s="270"/>
      <c r="X730" s="270"/>
      <c r="Y730" s="270"/>
      <c r="Z730" s="270"/>
      <c r="AA730" s="270"/>
      <c r="AC730" s="85"/>
      <c r="AD730" s="85"/>
    </row>
    <row r="731" spans="3:30" x14ac:dyDescent="0.3">
      <c r="C731" s="450"/>
      <c r="D731" s="182"/>
      <c r="E731" s="182"/>
      <c r="F731" s="182"/>
      <c r="G731" s="450" t="str">
        <f t="shared" si="31"/>
        <v>--</v>
      </c>
      <c r="H731" s="182"/>
      <c r="I731" s="440"/>
      <c r="J731" s="892"/>
      <c r="K731" s="259"/>
      <c r="L731" s="259" t="s">
        <v>46</v>
      </c>
      <c r="M731" s="893">
        <f>SUM(M728:M730)</f>
        <v>1</v>
      </c>
      <c r="N731" s="894"/>
      <c r="O731" s="894">
        <f>SUM(O728:O730)</f>
        <v>0</v>
      </c>
      <c r="P731" s="263" t="s">
        <v>46</v>
      </c>
      <c r="Q731" s="897">
        <f>SUM(Q728:Q730)</f>
        <v>1</v>
      </c>
      <c r="R731" s="899"/>
      <c r="S731" s="900"/>
      <c r="T731" s="270"/>
      <c r="U731" s="270"/>
      <c r="V731" s="270"/>
      <c r="W731" s="270"/>
      <c r="X731" s="270"/>
      <c r="Y731" s="270"/>
      <c r="Z731" s="270"/>
      <c r="AA731" s="270"/>
      <c r="AC731" s="85"/>
      <c r="AD731" s="85"/>
    </row>
    <row r="732" spans="3:30" x14ac:dyDescent="0.3">
      <c r="C732" s="450"/>
      <c r="D732" s="182"/>
      <c r="E732" s="182"/>
      <c r="F732" s="182"/>
      <c r="G732" s="450" t="str">
        <f t="shared" si="31"/>
        <v>--</v>
      </c>
      <c r="H732" s="182"/>
      <c r="I732" s="892"/>
      <c r="J732" s="288"/>
      <c r="K732" s="288"/>
      <c r="L732" s="182"/>
      <c r="M732" s="270"/>
      <c r="N732" s="892"/>
      <c r="O732" s="892"/>
      <c r="P732" s="270"/>
      <c r="Q732" s="270"/>
      <c r="R732" s="270"/>
      <c r="S732" s="270"/>
      <c r="T732" s="270"/>
      <c r="U732" s="270"/>
      <c r="V732" s="270"/>
      <c r="W732" s="270"/>
      <c r="X732" s="270"/>
      <c r="Y732" s="270"/>
      <c r="Z732" s="270"/>
      <c r="AA732" s="270"/>
      <c r="AC732" s="85"/>
      <c r="AD732" s="85"/>
    </row>
    <row r="733" spans="3:30" ht="15" thickBot="1" x14ac:dyDescent="0.35">
      <c r="C733" s="450"/>
      <c r="D733" s="182"/>
      <c r="E733" s="182"/>
      <c r="F733" s="182"/>
      <c r="G733" s="450" t="str">
        <f t="shared" si="31"/>
        <v>--</v>
      </c>
      <c r="H733" s="182"/>
      <c r="I733" s="892"/>
      <c r="J733" s="892"/>
      <c r="K733" s="182"/>
      <c r="L733" s="182"/>
      <c r="M733" s="901" t="s">
        <v>155</v>
      </c>
      <c r="N733" s="870" t="s">
        <v>188</v>
      </c>
      <c r="O733" s="870"/>
      <c r="P733" s="276" t="s">
        <v>54</v>
      </c>
      <c r="Q733" s="871" t="s">
        <v>155</v>
      </c>
      <c r="R733" s="902"/>
      <c r="S733" s="874"/>
      <c r="T733" s="270"/>
      <c r="U733" s="270"/>
      <c r="V733" s="270"/>
      <c r="W733" s="270"/>
      <c r="X733" s="270"/>
      <c r="Y733" s="270"/>
      <c r="Z733" s="270"/>
      <c r="AA733" s="270"/>
      <c r="AC733" s="85"/>
      <c r="AD733" s="85"/>
    </row>
    <row r="734" spans="3:30" ht="15" thickBot="1" x14ac:dyDescent="0.35">
      <c r="C734" s="566" t="s">
        <v>384</v>
      </c>
      <c r="D734" s="875" t="str">
        <f>VLOOKUP(C734,'Airport Mapping'!$C$5:$D$39,2,FALSE)</f>
        <v xml:space="preserve"> </v>
      </c>
      <c r="E734" s="567" t="s">
        <v>8</v>
      </c>
      <c r="F734" s="567" t="s">
        <v>54</v>
      </c>
      <c r="G734" s="450" t="str">
        <f t="shared" si="31"/>
        <v>Office Building B-Other-Other 3</v>
      </c>
      <c r="H734" s="567" t="s">
        <v>364</v>
      </c>
      <c r="I734" s="877" t="s">
        <v>64</v>
      </c>
      <c r="J734" s="878">
        <f>SUMIFS('Level of Efficiency Assumptions'!J:J,'Level of Efficiency Assumptions'!D:D,E734,'Level of Efficiency Assumptions'!F:F,F734,'Level of Efficiency Assumptions'!I:I,I734)</f>
        <v>10</v>
      </c>
      <c r="K734" s="383" t="s">
        <v>588</v>
      </c>
      <c r="L734" s="253" t="s">
        <v>64</v>
      </c>
      <c r="M734" s="879">
        <f>SUM(Q734:Q734)</f>
        <v>0</v>
      </c>
      <c r="N734" s="880">
        <f>IFERROR(M734/M737,"-")</f>
        <v>0</v>
      </c>
      <c r="O734" s="881">
        <f>SUMIFS('Data Entry'!R:R,'Data Entry'!K:K,G734)</f>
        <v>0</v>
      </c>
      <c r="P734" s="272" t="s">
        <v>129</v>
      </c>
      <c r="Q734" s="895">
        <v>0</v>
      </c>
      <c r="R734" s="114"/>
      <c r="S734" s="884"/>
      <c r="T734" s="270"/>
      <c r="U734" s="270"/>
      <c r="V734" s="270"/>
      <c r="W734" s="270"/>
      <c r="X734" s="270"/>
      <c r="Y734" s="270"/>
      <c r="Z734" s="270"/>
      <c r="AA734" s="270"/>
      <c r="AC734" s="85"/>
      <c r="AD734" s="85"/>
    </row>
    <row r="735" spans="3:30" ht="15" thickBot="1" x14ac:dyDescent="0.35">
      <c r="C735" s="494" t="s">
        <v>384</v>
      </c>
      <c r="D735" s="577"/>
      <c r="E735" s="577" t="s">
        <v>8</v>
      </c>
      <c r="F735" s="577" t="s">
        <v>54</v>
      </c>
      <c r="G735" s="450" t="str">
        <f t="shared" si="31"/>
        <v>Office Building B-Other-Other 3</v>
      </c>
      <c r="H735" s="577"/>
      <c r="I735" s="887" t="s">
        <v>65</v>
      </c>
      <c r="J735" s="878">
        <f>SUMIFS('Level of Efficiency Assumptions'!J:J,'Level of Efficiency Assumptions'!D:D,E735,'Level of Efficiency Assumptions'!F:F,F735,'Level of Efficiency Assumptions'!I:I,I735)</f>
        <v>7.5</v>
      </c>
      <c r="K735" s="383" t="s">
        <v>588</v>
      </c>
      <c r="L735" s="255" t="s">
        <v>65</v>
      </c>
      <c r="M735" s="879">
        <f t="shared" ref="M735:M736" si="34">SUM(Q735:Q735)</f>
        <v>1</v>
      </c>
      <c r="N735" s="880">
        <f>IFERROR(M735/M737,"-")</f>
        <v>1</v>
      </c>
      <c r="O735" s="881">
        <f>SUMIFS('Data Entry'!S:S,'Data Entry'!K:K,G735)</f>
        <v>0</v>
      </c>
      <c r="P735" s="274" t="s">
        <v>233</v>
      </c>
      <c r="Q735" s="895">
        <v>1</v>
      </c>
      <c r="R735" s="114"/>
      <c r="S735" s="884"/>
      <c r="T735" s="270"/>
      <c r="U735" s="270"/>
      <c r="V735" s="270"/>
      <c r="W735" s="270"/>
      <c r="X735" s="270"/>
      <c r="Y735" s="270"/>
      <c r="Z735" s="270"/>
      <c r="AA735" s="270"/>
      <c r="AC735" s="85"/>
      <c r="AD735" s="85"/>
    </row>
    <row r="736" spans="3:30" ht="15" thickBot="1" x14ac:dyDescent="0.35">
      <c r="C736" s="501" t="s">
        <v>384</v>
      </c>
      <c r="D736" s="116"/>
      <c r="E736" s="116" t="s">
        <v>8</v>
      </c>
      <c r="F736" s="116" t="s">
        <v>54</v>
      </c>
      <c r="G736" s="450" t="str">
        <f t="shared" si="31"/>
        <v>Office Building B-Other-Other 3</v>
      </c>
      <c r="H736" s="116"/>
      <c r="I736" s="889" t="s">
        <v>66</v>
      </c>
      <c r="J736" s="890">
        <f>SUMIFS('Level of Efficiency Assumptions'!J:J,'Level of Efficiency Assumptions'!D:D,E736,'Level of Efficiency Assumptions'!F:F,F736,'Level of Efficiency Assumptions'!I:I,I736)</f>
        <v>5</v>
      </c>
      <c r="K736" s="383" t="s">
        <v>588</v>
      </c>
      <c r="L736" s="257" t="s">
        <v>66</v>
      </c>
      <c r="M736" s="879">
        <f t="shared" si="34"/>
        <v>0</v>
      </c>
      <c r="N736" s="880">
        <f>IFERROR(M736/M737,"-")</f>
        <v>0</v>
      </c>
      <c r="O736" s="881">
        <f>SUMIFS('Data Entry'!T:T,'Data Entry'!K:K,G736)</f>
        <v>0</v>
      </c>
      <c r="P736" s="269" t="s">
        <v>234</v>
      </c>
      <c r="Q736" s="895">
        <v>0</v>
      </c>
      <c r="R736" s="114"/>
      <c r="S736" s="884"/>
      <c r="T736" s="270"/>
      <c r="U736" s="270"/>
      <c r="V736" s="270"/>
      <c r="W736" s="270"/>
      <c r="X736" s="270"/>
      <c r="Y736" s="270"/>
      <c r="Z736" s="270"/>
      <c r="AA736" s="270"/>
      <c r="AC736" s="85"/>
      <c r="AD736" s="85"/>
    </row>
    <row r="737" spans="3:31" x14ac:dyDescent="0.3">
      <c r="C737" s="450"/>
      <c r="D737" s="182"/>
      <c r="E737" s="182"/>
      <c r="F737" s="182"/>
      <c r="G737" s="450" t="str">
        <f t="shared" si="31"/>
        <v>--</v>
      </c>
      <c r="H737" s="182"/>
      <c r="I737" s="440"/>
      <c r="J737" s="892"/>
      <c r="K737" s="259"/>
      <c r="L737" s="259" t="s">
        <v>46</v>
      </c>
      <c r="M737" s="893">
        <f>SUM(M734:M736)</f>
        <v>1</v>
      </c>
      <c r="N737" s="894"/>
      <c r="O737" s="894">
        <f>SUM(O734:O736)</f>
        <v>0</v>
      </c>
      <c r="P737" s="263" t="s">
        <v>46</v>
      </c>
      <c r="Q737" s="897">
        <f>SUM(Q734:Q736)</f>
        <v>1</v>
      </c>
      <c r="R737" s="899"/>
      <c r="S737" s="900"/>
      <c r="T737" s="270"/>
      <c r="U737" s="270"/>
      <c r="V737" s="270"/>
      <c r="W737" s="270"/>
      <c r="X737" s="270"/>
      <c r="Y737" s="270"/>
      <c r="Z737" s="270"/>
      <c r="AA737" s="270"/>
      <c r="AC737" s="85"/>
      <c r="AD737" s="85"/>
    </row>
    <row r="738" spans="3:31" ht="15" thickBot="1" x14ac:dyDescent="0.35">
      <c r="C738" s="451"/>
      <c r="D738" s="184"/>
      <c r="E738" s="184"/>
      <c r="F738" s="184"/>
      <c r="G738" s="450" t="str">
        <f t="shared" si="31"/>
        <v>--</v>
      </c>
      <c r="H738" s="184"/>
      <c r="I738" s="184"/>
      <c r="J738" s="184"/>
      <c r="K738" s="184"/>
      <c r="L738" s="184"/>
      <c r="M738" s="278"/>
      <c r="N738" s="281"/>
      <c r="O738" s="281"/>
      <c r="P738" s="278"/>
      <c r="Q738" s="278"/>
      <c r="R738" s="278"/>
      <c r="S738" s="278"/>
      <c r="T738" s="278"/>
      <c r="U738" s="270"/>
      <c r="V738" s="270"/>
      <c r="W738" s="270"/>
      <c r="X738" s="270"/>
      <c r="Y738" s="270"/>
      <c r="Z738" s="270"/>
      <c r="AA738" s="270"/>
    </row>
    <row r="739" spans="3:31" s="45" customFormat="1" x14ac:dyDescent="0.3">
      <c r="C739" s="450"/>
      <c r="D739" s="182"/>
      <c r="E739" s="182"/>
      <c r="F739" s="182"/>
      <c r="G739" s="450" t="str">
        <f t="shared" si="31"/>
        <v>--</v>
      </c>
      <c r="H739" s="182"/>
      <c r="I739" s="892"/>
      <c r="J739" s="892"/>
      <c r="K739" s="182"/>
      <c r="L739" s="182"/>
      <c r="M739" s="270"/>
      <c r="N739" s="892"/>
      <c r="O739" s="892"/>
      <c r="P739" s="114"/>
      <c r="Q739" s="114"/>
      <c r="R739" s="114"/>
      <c r="S739" s="114"/>
      <c r="T739" s="114"/>
      <c r="U739" s="114"/>
      <c r="V739" s="114"/>
      <c r="W739" s="114"/>
      <c r="X739" s="114"/>
      <c r="Y739" s="114"/>
      <c r="Z739" s="114"/>
      <c r="AA739" s="114"/>
      <c r="AB739" s="85"/>
      <c r="AC739" s="85"/>
      <c r="AD739" s="85"/>
      <c r="AE739" s="85"/>
    </row>
    <row r="740" spans="3:31" s="45" customFormat="1" ht="15" thickBot="1" x14ac:dyDescent="0.35">
      <c r="C740" s="450"/>
      <c r="D740" s="182"/>
      <c r="E740" s="182"/>
      <c r="F740" s="182"/>
      <c r="G740" s="450" t="str">
        <f t="shared" si="31"/>
        <v>--</v>
      </c>
      <c r="H740" s="182"/>
      <c r="I740" s="892"/>
      <c r="J740" s="892"/>
      <c r="K740" s="182"/>
      <c r="L740" s="182"/>
      <c r="M740" s="901" t="s">
        <v>155</v>
      </c>
      <c r="N740" s="870" t="s">
        <v>188</v>
      </c>
      <c r="O740" s="870"/>
      <c r="P740" s="252" t="s">
        <v>158</v>
      </c>
      <c r="Q740" s="871" t="s">
        <v>155</v>
      </c>
      <c r="R740" s="872" t="s">
        <v>168</v>
      </c>
      <c r="S740" s="872" t="s">
        <v>169</v>
      </c>
      <c r="T740" s="873"/>
      <c r="U740" s="874"/>
      <c r="V740" s="270"/>
      <c r="W740" s="270"/>
      <c r="X740" s="270"/>
      <c r="Y740" s="114"/>
      <c r="Z740" s="270"/>
      <c r="AA740" s="270"/>
      <c r="AB740" s="125"/>
      <c r="AC740" s="85"/>
      <c r="AD740" s="85"/>
      <c r="AE740" s="85"/>
    </row>
    <row r="741" spans="3:31" ht="15" thickBot="1" x14ac:dyDescent="0.35">
      <c r="C741" s="566" t="s">
        <v>385</v>
      </c>
      <c r="D741" s="875" t="str">
        <f>VLOOKUP(C741,'Airport Mapping'!$C$5:$D$39,2,FALSE)</f>
        <v xml:space="preserve"> </v>
      </c>
      <c r="E741" s="567" t="s">
        <v>37</v>
      </c>
      <c r="F741" s="567" t="s">
        <v>2</v>
      </c>
      <c r="G741" s="450" t="str">
        <f t="shared" si="31"/>
        <v>Office Building C-Restrooms-Toilets</v>
      </c>
      <c r="H741" s="567" t="s">
        <v>6</v>
      </c>
      <c r="I741" s="877" t="s">
        <v>64</v>
      </c>
      <c r="J741" s="878">
        <f>SUMIFS('Level of Efficiency Assumptions'!J:J,'Level of Efficiency Assumptions'!D:D,E741,'Level of Efficiency Assumptions'!F:F,F741,'Level of Efficiency Assumptions'!I:I,I741)</f>
        <v>3.5</v>
      </c>
      <c r="K741" s="383" t="s">
        <v>68</v>
      </c>
      <c r="L741" s="253" t="s">
        <v>64</v>
      </c>
      <c r="M741" s="879">
        <f>Q741+Q747</f>
        <v>0</v>
      </c>
      <c r="N741" s="880">
        <f>IFERROR(M741/M744,"-")</f>
        <v>0</v>
      </c>
      <c r="O741" s="881">
        <f>SUMIFS('Data Entry'!R:R,'Data Entry'!K:K,G741)</f>
        <v>0</v>
      </c>
      <c r="P741" s="254" t="s">
        <v>159</v>
      </c>
      <c r="Q741" s="882">
        <v>0</v>
      </c>
      <c r="R741" s="883"/>
      <c r="S741" s="883"/>
      <c r="T741" s="114" t="s">
        <v>182</v>
      </c>
      <c r="U741" s="884"/>
      <c r="V741" s="270"/>
      <c r="W741" s="270"/>
      <c r="X741" s="270"/>
      <c r="Y741" s="114"/>
      <c r="Z741" s="270"/>
      <c r="AA741" s="270"/>
      <c r="AC741" s="85"/>
      <c r="AD741" s="85"/>
    </row>
    <row r="742" spans="3:31" ht="15" thickBot="1" x14ac:dyDescent="0.35">
      <c r="C742" s="494" t="s">
        <v>385</v>
      </c>
      <c r="D742" s="577"/>
      <c r="E742" s="577" t="s">
        <v>37</v>
      </c>
      <c r="F742" s="577" t="s">
        <v>2</v>
      </c>
      <c r="G742" s="450" t="str">
        <f t="shared" si="31"/>
        <v>Office Building C-Restrooms-Toilets</v>
      </c>
      <c r="H742" s="577"/>
      <c r="I742" s="887" t="s">
        <v>65</v>
      </c>
      <c r="J742" s="878">
        <f>SUMIFS('Level of Efficiency Assumptions'!J:J,'Level of Efficiency Assumptions'!D:D,E742,'Level of Efficiency Assumptions'!F:F,F742,'Level of Efficiency Assumptions'!I:I,I742)</f>
        <v>1.6</v>
      </c>
      <c r="K742" s="383" t="s">
        <v>68</v>
      </c>
      <c r="L742" s="255" t="s">
        <v>65</v>
      </c>
      <c r="M742" s="879">
        <f>Q742+Q745+Q748</f>
        <v>1</v>
      </c>
      <c r="N742" s="880">
        <f>IFERROR(M742/M744,"-")</f>
        <v>1</v>
      </c>
      <c r="O742" s="881">
        <f>SUMIFS('Data Entry'!S:S,'Data Entry'!K:K,G742)</f>
        <v>0</v>
      </c>
      <c r="P742" s="256" t="s">
        <v>161</v>
      </c>
      <c r="Q742" s="882">
        <v>1</v>
      </c>
      <c r="R742" s="883"/>
      <c r="S742" s="883"/>
      <c r="T742" s="114" t="s">
        <v>184</v>
      </c>
      <c r="U742" s="884"/>
      <c r="V742" s="270"/>
      <c r="W742" s="270"/>
      <c r="X742" s="270"/>
      <c r="Y742" s="114"/>
      <c r="Z742" s="270"/>
      <c r="AA742" s="270"/>
      <c r="AC742" s="85"/>
      <c r="AD742" s="85"/>
    </row>
    <row r="743" spans="3:31" ht="15" thickBot="1" x14ac:dyDescent="0.35">
      <c r="C743" s="501" t="s">
        <v>385</v>
      </c>
      <c r="D743" s="116"/>
      <c r="E743" s="116" t="s">
        <v>37</v>
      </c>
      <c r="F743" s="116" t="s">
        <v>2</v>
      </c>
      <c r="G743" s="450" t="str">
        <f t="shared" si="31"/>
        <v>Office Building C-Restrooms-Toilets</v>
      </c>
      <c r="H743" s="116"/>
      <c r="I743" s="889" t="s">
        <v>66</v>
      </c>
      <c r="J743" s="890">
        <f>SUMIFS('Level of Efficiency Assumptions'!J:J,'Level of Efficiency Assumptions'!D:D,E743,'Level of Efficiency Assumptions'!F:F,F743,'Level of Efficiency Assumptions'!I:I,I743)</f>
        <v>1.28</v>
      </c>
      <c r="K743" s="383" t="s">
        <v>68</v>
      </c>
      <c r="L743" s="257" t="s">
        <v>66</v>
      </c>
      <c r="M743" s="879">
        <f>Q743+Q744+Q746+Q749+Q750</f>
        <v>0</v>
      </c>
      <c r="N743" s="880">
        <f>IFERROR(M743/M744,"-")</f>
        <v>0</v>
      </c>
      <c r="O743" s="881">
        <f>SUMIFS('Data Entry'!T:T,'Data Entry'!K:K,G743)</f>
        <v>0</v>
      </c>
      <c r="P743" s="258" t="s">
        <v>163</v>
      </c>
      <c r="Q743" s="882">
        <v>0</v>
      </c>
      <c r="R743" s="883"/>
      <c r="S743" s="883"/>
      <c r="T743" s="891"/>
      <c r="U743" s="884"/>
      <c r="V743" s="270"/>
      <c r="W743" s="270"/>
      <c r="X743" s="270"/>
      <c r="Y743" s="114"/>
      <c r="Z743" s="270"/>
      <c r="AA743" s="270"/>
      <c r="AC743" s="85"/>
      <c r="AD743" s="85"/>
    </row>
    <row r="744" spans="3:31" x14ac:dyDescent="0.3">
      <c r="C744" s="450"/>
      <c r="D744" s="182"/>
      <c r="E744" s="182"/>
      <c r="F744" s="182"/>
      <c r="G744" s="450" t="str">
        <f t="shared" si="31"/>
        <v>--</v>
      </c>
      <c r="H744" s="182"/>
      <c r="I744" s="440"/>
      <c r="J744" s="892"/>
      <c r="K744" s="259"/>
      <c r="L744" s="259" t="s">
        <v>46</v>
      </c>
      <c r="M744" s="893">
        <f>SUM(M741:M743)</f>
        <v>1</v>
      </c>
      <c r="N744" s="894"/>
      <c r="O744" s="894">
        <f>SUM(O741:O743)</f>
        <v>0</v>
      </c>
      <c r="P744" s="258" t="s">
        <v>165</v>
      </c>
      <c r="Q744" s="882">
        <v>0</v>
      </c>
      <c r="R744" s="883"/>
      <c r="S744" s="883"/>
      <c r="T744" s="891"/>
      <c r="U744" s="884"/>
      <c r="V744" s="270"/>
      <c r="W744" s="270"/>
      <c r="X744" s="270"/>
      <c r="Y744" s="114"/>
      <c r="Z744" s="270"/>
      <c r="AA744" s="270"/>
      <c r="AC744" s="85"/>
      <c r="AD744" s="85"/>
    </row>
    <row r="745" spans="3:31" ht="15" thickBot="1" x14ac:dyDescent="0.35">
      <c r="C745" s="450"/>
      <c r="D745" s="182"/>
      <c r="E745" s="182"/>
      <c r="F745" s="182"/>
      <c r="G745" s="450" t="str">
        <f t="shared" ref="G745:G808" si="35">C745&amp;"-"&amp;E745&amp;"-"&amp;F745</f>
        <v>--</v>
      </c>
      <c r="H745" s="182"/>
      <c r="I745" s="892"/>
      <c r="J745" s="288"/>
      <c r="K745" s="182"/>
      <c r="L745" s="181"/>
      <c r="M745" s="181"/>
      <c r="N745" s="892"/>
      <c r="O745" s="892"/>
      <c r="P745" s="256" t="s">
        <v>166</v>
      </c>
      <c r="Q745" s="895">
        <v>0</v>
      </c>
      <c r="R745" s="883"/>
      <c r="S745" s="883"/>
      <c r="T745" s="891"/>
      <c r="U745" s="896"/>
      <c r="V745" s="891"/>
      <c r="W745" s="270"/>
      <c r="X745" s="270"/>
      <c r="Y745" s="114"/>
      <c r="Z745" s="270"/>
      <c r="AA745" s="270"/>
      <c r="AC745" s="85"/>
      <c r="AD745" s="85"/>
    </row>
    <row r="746" spans="3:31" x14ac:dyDescent="0.3">
      <c r="C746" s="450"/>
      <c r="D746" s="182"/>
      <c r="E746" s="182"/>
      <c r="F746" s="182"/>
      <c r="G746" s="450" t="str">
        <f t="shared" si="35"/>
        <v>--</v>
      </c>
      <c r="H746" s="182"/>
      <c r="I746" s="892"/>
      <c r="J746" s="288"/>
      <c r="K746" s="182"/>
      <c r="L746" s="1384" t="s">
        <v>377</v>
      </c>
      <c r="M746" s="1385"/>
      <c r="N746" s="1385"/>
      <c r="O746" s="1386"/>
      <c r="P746" s="258" t="s">
        <v>167</v>
      </c>
      <c r="Q746" s="895">
        <v>0</v>
      </c>
      <c r="R746" s="883"/>
      <c r="S746" s="883"/>
      <c r="T746" s="891"/>
      <c r="U746" s="896"/>
      <c r="V746" s="891"/>
      <c r="W746" s="270"/>
      <c r="X746" s="270"/>
      <c r="Y746" s="270"/>
      <c r="Z746" s="270"/>
      <c r="AA746" s="270"/>
      <c r="AC746" s="85"/>
      <c r="AD746" s="85"/>
    </row>
    <row r="747" spans="3:31" x14ac:dyDescent="0.3">
      <c r="C747" s="450"/>
      <c r="D747" s="182"/>
      <c r="E747" s="182"/>
      <c r="F747" s="182"/>
      <c r="G747" s="450" t="str">
        <f t="shared" si="35"/>
        <v>--</v>
      </c>
      <c r="H747" s="182"/>
      <c r="I747" s="892"/>
      <c r="J747" s="288"/>
      <c r="K747" s="182"/>
      <c r="L747" s="1387"/>
      <c r="M747" s="1388"/>
      <c r="N747" s="1388"/>
      <c r="O747" s="1389"/>
      <c r="P747" s="254" t="s">
        <v>160</v>
      </c>
      <c r="Q747" s="895">
        <v>0</v>
      </c>
      <c r="R747" s="891"/>
      <c r="S747" s="891"/>
      <c r="T747" s="891"/>
      <c r="U747" s="896"/>
      <c r="V747" s="891"/>
      <c r="W747" s="270"/>
      <c r="X747" s="270"/>
      <c r="Y747" s="270"/>
      <c r="Z747" s="270"/>
      <c r="AA747" s="270"/>
      <c r="AC747" s="85"/>
      <c r="AD747" s="85"/>
    </row>
    <row r="748" spans="3:31" x14ac:dyDescent="0.3">
      <c r="C748" s="450"/>
      <c r="D748" s="182"/>
      <c r="E748" s="182"/>
      <c r="F748" s="182"/>
      <c r="G748" s="450" t="str">
        <f t="shared" si="35"/>
        <v>--</v>
      </c>
      <c r="H748" s="182"/>
      <c r="I748" s="892"/>
      <c r="J748" s="288"/>
      <c r="K748" s="182"/>
      <c r="L748" s="1387"/>
      <c r="M748" s="1388"/>
      <c r="N748" s="1388"/>
      <c r="O748" s="1389"/>
      <c r="P748" s="256" t="s">
        <v>162</v>
      </c>
      <c r="Q748" s="895">
        <v>0</v>
      </c>
      <c r="R748" s="891"/>
      <c r="S748" s="891"/>
      <c r="T748" s="891"/>
      <c r="U748" s="896"/>
      <c r="V748" s="891"/>
      <c r="W748" s="270"/>
      <c r="X748" s="270"/>
      <c r="Y748" s="270"/>
      <c r="Z748" s="270"/>
      <c r="AA748" s="270"/>
      <c r="AC748" s="85"/>
      <c r="AD748" s="85"/>
    </row>
    <row r="749" spans="3:31" ht="15" thickBot="1" x14ac:dyDescent="0.35">
      <c r="C749" s="450"/>
      <c r="D749" s="182"/>
      <c r="E749" s="182"/>
      <c r="F749" s="182"/>
      <c r="G749" s="450" t="str">
        <f t="shared" si="35"/>
        <v>--</v>
      </c>
      <c r="H749" s="182"/>
      <c r="I749" s="892"/>
      <c r="J749" s="288"/>
      <c r="K749" s="182"/>
      <c r="L749" s="1390"/>
      <c r="M749" s="1391"/>
      <c r="N749" s="1391"/>
      <c r="O749" s="1392"/>
      <c r="P749" s="258" t="s">
        <v>164</v>
      </c>
      <c r="Q749" s="895">
        <v>0</v>
      </c>
      <c r="R749" s="114"/>
      <c r="S749" s="891"/>
      <c r="T749" s="114"/>
      <c r="U749" s="884"/>
      <c r="V749" s="114"/>
      <c r="W749" s="270"/>
      <c r="X749" s="270"/>
      <c r="Y749" s="270"/>
      <c r="Z749" s="270"/>
      <c r="AA749" s="270"/>
      <c r="AC749" s="85"/>
      <c r="AD749" s="85"/>
    </row>
    <row r="750" spans="3:31" x14ac:dyDescent="0.3">
      <c r="C750" s="450"/>
      <c r="D750" s="182"/>
      <c r="E750" s="182"/>
      <c r="F750" s="182"/>
      <c r="G750" s="450" t="str">
        <f t="shared" si="35"/>
        <v>--</v>
      </c>
      <c r="H750" s="182"/>
      <c r="I750" s="892"/>
      <c r="J750" s="288"/>
      <c r="K750" s="182"/>
      <c r="L750" s="181"/>
      <c r="M750" s="181"/>
      <c r="N750" s="892"/>
      <c r="O750" s="892"/>
      <c r="P750" s="258" t="s">
        <v>187</v>
      </c>
      <c r="Q750" s="895">
        <v>0</v>
      </c>
      <c r="R750" s="114"/>
      <c r="S750" s="891"/>
      <c r="T750" s="114"/>
      <c r="U750" s="884"/>
      <c r="V750" s="114"/>
      <c r="W750" s="270"/>
      <c r="X750" s="270"/>
      <c r="Y750" s="270"/>
      <c r="Z750" s="270"/>
      <c r="AA750" s="270"/>
      <c r="AC750" s="85"/>
      <c r="AD750" s="85"/>
    </row>
    <row r="751" spans="3:31" x14ac:dyDescent="0.3">
      <c r="C751" s="450"/>
      <c r="D751" s="182"/>
      <c r="E751" s="182"/>
      <c r="F751" s="182"/>
      <c r="G751" s="450" t="str">
        <f t="shared" si="35"/>
        <v>--</v>
      </c>
      <c r="H751" s="182"/>
      <c r="I751" s="892"/>
      <c r="J751" s="288"/>
      <c r="K751" s="182"/>
      <c r="L751" s="181"/>
      <c r="M751" s="181"/>
      <c r="N751" s="892"/>
      <c r="O751" s="892"/>
      <c r="P751" s="263" t="s">
        <v>46</v>
      </c>
      <c r="Q751" s="897">
        <f>SUM(Q741:Q750)</f>
        <v>1</v>
      </c>
      <c r="R751" s="898"/>
      <c r="S751" s="898"/>
      <c r="T751" s="899"/>
      <c r="U751" s="900"/>
      <c r="V751" s="114"/>
      <c r="W751" s="270"/>
      <c r="X751" s="270"/>
      <c r="Y751" s="270"/>
      <c r="Z751" s="270"/>
      <c r="AA751" s="270"/>
      <c r="AC751" s="85"/>
      <c r="AD751" s="85"/>
    </row>
    <row r="752" spans="3:31" x14ac:dyDescent="0.3">
      <c r="C752" s="450"/>
      <c r="D752" s="182"/>
      <c r="E752" s="182"/>
      <c r="F752" s="182"/>
      <c r="G752" s="450" t="str">
        <f t="shared" si="35"/>
        <v>--</v>
      </c>
      <c r="H752" s="182"/>
      <c r="I752" s="892"/>
      <c r="J752" s="288"/>
      <c r="K752" s="182"/>
      <c r="L752" s="181"/>
      <c r="M752" s="181"/>
      <c r="N752" s="892"/>
      <c r="O752" s="892"/>
      <c r="P752" s="114"/>
      <c r="Q752" s="114"/>
      <c r="R752" s="891"/>
      <c r="S752" s="891"/>
      <c r="T752" s="114"/>
      <c r="U752" s="114"/>
      <c r="V752" s="114"/>
      <c r="W752" s="270"/>
      <c r="X752" s="270"/>
      <c r="Y752" s="270"/>
      <c r="Z752" s="270"/>
      <c r="AA752" s="270"/>
      <c r="AC752" s="85"/>
      <c r="AD752" s="85"/>
    </row>
    <row r="753" spans="3:30" ht="15" thickBot="1" x14ac:dyDescent="0.35">
      <c r="C753" s="450"/>
      <c r="D753" s="182"/>
      <c r="E753" s="182"/>
      <c r="F753" s="182"/>
      <c r="G753" s="450" t="str">
        <f t="shared" si="35"/>
        <v>--</v>
      </c>
      <c r="H753" s="182"/>
      <c r="I753" s="892"/>
      <c r="J753" s="892"/>
      <c r="K753" s="182"/>
      <c r="L753" s="182"/>
      <c r="M753" s="901" t="s">
        <v>155</v>
      </c>
      <c r="N753" s="870" t="s">
        <v>188</v>
      </c>
      <c r="O753" s="870"/>
      <c r="P753" s="252" t="s">
        <v>175</v>
      </c>
      <c r="Q753" s="871" t="s">
        <v>155</v>
      </c>
      <c r="R753" s="872" t="s">
        <v>168</v>
      </c>
      <c r="S753" s="872" t="s">
        <v>169</v>
      </c>
      <c r="T753" s="902"/>
      <c r="U753" s="903"/>
      <c r="V753" s="270"/>
      <c r="W753" s="270"/>
      <c r="X753" s="270"/>
      <c r="Y753" s="270"/>
      <c r="Z753" s="270"/>
      <c r="AA753" s="270"/>
      <c r="AC753" s="85"/>
      <c r="AD753" s="85"/>
    </row>
    <row r="754" spans="3:30" ht="15" thickBot="1" x14ac:dyDescent="0.35">
      <c r="C754" s="566" t="s">
        <v>385</v>
      </c>
      <c r="D754" s="875" t="str">
        <f>VLOOKUP(C754,'Airport Mapping'!$C$5:$D$39,2,FALSE)</f>
        <v xml:space="preserve"> </v>
      </c>
      <c r="E754" s="567" t="s">
        <v>37</v>
      </c>
      <c r="F754" s="567" t="s">
        <v>4</v>
      </c>
      <c r="G754" s="450" t="str">
        <f t="shared" si="35"/>
        <v>Office Building C-Restrooms-Urinals</v>
      </c>
      <c r="H754" s="567" t="s">
        <v>6</v>
      </c>
      <c r="I754" s="877" t="s">
        <v>64</v>
      </c>
      <c r="J754" s="878">
        <f>SUMIFS('Level of Efficiency Assumptions'!J:J,'Level of Efficiency Assumptions'!D:D,E754,'Level of Efficiency Assumptions'!F:F,F754,'Level of Efficiency Assumptions'!I:I,I754)</f>
        <v>2</v>
      </c>
      <c r="K754" s="383" t="s">
        <v>68</v>
      </c>
      <c r="L754" s="253" t="s">
        <v>64</v>
      </c>
      <c r="M754" s="879">
        <f>Q754+Q755</f>
        <v>0</v>
      </c>
      <c r="N754" s="880">
        <f>IFERROR(M754/M757,"-")</f>
        <v>0</v>
      </c>
      <c r="O754" s="881">
        <f>SUMIFS('Data Entry'!R:R,'Data Entry'!K:K,G754)</f>
        <v>0</v>
      </c>
      <c r="P754" s="254" t="s">
        <v>177</v>
      </c>
      <c r="Q754" s="882">
        <v>0</v>
      </c>
      <c r="R754" s="883"/>
      <c r="S754" s="883"/>
      <c r="T754" s="114"/>
      <c r="U754" s="904"/>
      <c r="V754" s="270"/>
      <c r="W754" s="270"/>
      <c r="X754" s="270"/>
      <c r="Y754" s="270"/>
      <c r="Z754" s="270"/>
      <c r="AA754" s="270"/>
      <c r="AC754" s="85"/>
      <c r="AD754" s="85"/>
    </row>
    <row r="755" spans="3:30" ht="15" thickBot="1" x14ac:dyDescent="0.35">
      <c r="C755" s="494" t="s">
        <v>385</v>
      </c>
      <c r="D755" s="577"/>
      <c r="E755" s="577" t="s">
        <v>37</v>
      </c>
      <c r="F755" s="577" t="s">
        <v>4</v>
      </c>
      <c r="G755" s="450" t="str">
        <f t="shared" si="35"/>
        <v>Office Building C-Restrooms-Urinals</v>
      </c>
      <c r="H755" s="577"/>
      <c r="I755" s="887" t="s">
        <v>65</v>
      </c>
      <c r="J755" s="878">
        <f>SUMIFS('Level of Efficiency Assumptions'!J:J,'Level of Efficiency Assumptions'!D:D,E755,'Level of Efficiency Assumptions'!F:F,F755,'Level of Efficiency Assumptions'!I:I,I755)</f>
        <v>1</v>
      </c>
      <c r="K755" s="383" t="s">
        <v>68</v>
      </c>
      <c r="L755" s="255" t="s">
        <v>65</v>
      </c>
      <c r="M755" s="879">
        <f>Q756+Q757</f>
        <v>1</v>
      </c>
      <c r="N755" s="880">
        <f>IFERROR(M755/M757,"-")</f>
        <v>1</v>
      </c>
      <c r="O755" s="881">
        <f>SUMIFS('Data Entry'!S:S,'Data Entry'!K:K,G755)</f>
        <v>0</v>
      </c>
      <c r="P755" s="254" t="s">
        <v>179</v>
      </c>
      <c r="Q755" s="882">
        <v>0</v>
      </c>
      <c r="R755" s="883"/>
      <c r="S755" s="883"/>
      <c r="T755" s="114"/>
      <c r="U755" s="904"/>
      <c r="V755" s="270"/>
      <c r="W755" s="270"/>
      <c r="X755" s="270"/>
      <c r="Y755" s="270"/>
      <c r="Z755" s="270"/>
      <c r="AA755" s="270"/>
      <c r="AC755" s="85"/>
      <c r="AD755" s="85"/>
    </row>
    <row r="756" spans="3:30" ht="15" thickBot="1" x14ac:dyDescent="0.35">
      <c r="C756" s="501" t="s">
        <v>385</v>
      </c>
      <c r="D756" s="116"/>
      <c r="E756" s="116" t="s">
        <v>37</v>
      </c>
      <c r="F756" s="116" t="s">
        <v>4</v>
      </c>
      <c r="G756" s="450" t="str">
        <f t="shared" si="35"/>
        <v>Office Building C-Restrooms-Urinals</v>
      </c>
      <c r="H756" s="116"/>
      <c r="I756" s="889" t="s">
        <v>66</v>
      </c>
      <c r="J756" s="890">
        <f>SUMIFS('Level of Efficiency Assumptions'!J:J,'Level of Efficiency Assumptions'!D:D,E756,'Level of Efficiency Assumptions'!F:F,F756,'Level of Efficiency Assumptions'!I:I,I756)</f>
        <v>0.125</v>
      </c>
      <c r="K756" s="383" t="s">
        <v>68</v>
      </c>
      <c r="L756" s="257" t="s">
        <v>66</v>
      </c>
      <c r="M756" s="879">
        <f>Q758+Q759</f>
        <v>0</v>
      </c>
      <c r="N756" s="880">
        <f>IFERROR(M756/M757,"-")</f>
        <v>0</v>
      </c>
      <c r="O756" s="881">
        <f>SUMIFS('Data Entry'!T:T,'Data Entry'!K:K,G756)</f>
        <v>0</v>
      </c>
      <c r="P756" s="256" t="s">
        <v>189</v>
      </c>
      <c r="Q756" s="882">
        <v>0</v>
      </c>
      <c r="R756" s="883"/>
      <c r="S756" s="883"/>
      <c r="T756" s="114"/>
      <c r="U756" s="904"/>
      <c r="V756" s="270"/>
      <c r="W756" s="270"/>
      <c r="X756" s="270"/>
      <c r="Y756" s="270"/>
      <c r="Z756" s="270"/>
      <c r="AA756" s="270"/>
      <c r="AC756" s="85"/>
      <c r="AD756" s="85"/>
    </row>
    <row r="757" spans="3:30" x14ac:dyDescent="0.3">
      <c r="C757" s="450"/>
      <c r="D757" s="182"/>
      <c r="E757" s="182"/>
      <c r="F757" s="182"/>
      <c r="G757" s="450" t="str">
        <f t="shared" si="35"/>
        <v>--</v>
      </c>
      <c r="H757" s="182"/>
      <c r="I757" s="440"/>
      <c r="J757" s="892"/>
      <c r="K757" s="259"/>
      <c r="L757" s="259" t="s">
        <v>46</v>
      </c>
      <c r="M757" s="893">
        <f>SUM(M754:M756)</f>
        <v>1</v>
      </c>
      <c r="N757" s="894"/>
      <c r="O757" s="894">
        <f>SUM(O754:O756)</f>
        <v>0</v>
      </c>
      <c r="P757" s="256" t="s">
        <v>181</v>
      </c>
      <c r="Q757" s="882">
        <v>1</v>
      </c>
      <c r="R757" s="883"/>
      <c r="S757" s="883"/>
      <c r="T757" s="114"/>
      <c r="U757" s="264"/>
      <c r="V757" s="270"/>
      <c r="W757" s="270"/>
      <c r="X757" s="270"/>
      <c r="Y757" s="270"/>
      <c r="Z757" s="270"/>
      <c r="AA757" s="270"/>
      <c r="AC757" s="85"/>
      <c r="AD757" s="85"/>
    </row>
    <row r="758" spans="3:30" x14ac:dyDescent="0.3">
      <c r="C758" s="450"/>
      <c r="D758" s="182"/>
      <c r="E758" s="182"/>
      <c r="F758" s="182"/>
      <c r="G758" s="450" t="str">
        <f t="shared" si="35"/>
        <v>--</v>
      </c>
      <c r="H758" s="182"/>
      <c r="I758" s="892"/>
      <c r="J758" s="288"/>
      <c r="K758" s="182"/>
      <c r="L758" s="181"/>
      <c r="M758" s="181"/>
      <c r="N758" s="892"/>
      <c r="O758" s="892"/>
      <c r="P758" s="258" t="s">
        <v>183</v>
      </c>
      <c r="Q758" s="882">
        <v>0</v>
      </c>
      <c r="R758" s="883"/>
      <c r="S758" s="883"/>
      <c r="T758" s="114"/>
      <c r="U758" s="884"/>
      <c r="V758" s="114"/>
      <c r="W758" s="270"/>
      <c r="X758" s="270"/>
      <c r="Y758" s="270"/>
      <c r="Z758" s="270"/>
      <c r="AA758" s="270"/>
      <c r="AC758" s="85"/>
      <c r="AD758" s="85"/>
    </row>
    <row r="759" spans="3:30" x14ac:dyDescent="0.3">
      <c r="C759" s="450"/>
      <c r="D759" s="182"/>
      <c r="E759" s="182"/>
      <c r="F759" s="182"/>
      <c r="G759" s="450" t="str">
        <f t="shared" si="35"/>
        <v>--</v>
      </c>
      <c r="H759" s="182"/>
      <c r="I759" s="892"/>
      <c r="J759" s="288"/>
      <c r="K759" s="182"/>
      <c r="L759" s="181"/>
      <c r="M759" s="181"/>
      <c r="N759" s="892"/>
      <c r="O759" s="892"/>
      <c r="P759" s="258" t="s">
        <v>190</v>
      </c>
      <c r="Q759" s="882">
        <v>0</v>
      </c>
      <c r="R759" s="114"/>
      <c r="S759" s="114"/>
      <c r="T759" s="114"/>
      <c r="U759" s="884"/>
      <c r="V759" s="114"/>
      <c r="W759" s="270"/>
      <c r="X759" s="270"/>
      <c r="Y759" s="270"/>
      <c r="Z759" s="270"/>
      <c r="AA759" s="270"/>
      <c r="AC759" s="85"/>
      <c r="AD759" s="85"/>
    </row>
    <row r="760" spans="3:30" x14ac:dyDescent="0.3">
      <c r="C760" s="450"/>
      <c r="D760" s="182"/>
      <c r="E760" s="182"/>
      <c r="F760" s="182"/>
      <c r="G760" s="450" t="str">
        <f t="shared" si="35"/>
        <v>--</v>
      </c>
      <c r="H760" s="182"/>
      <c r="I760" s="892"/>
      <c r="J760" s="288"/>
      <c r="K760" s="182"/>
      <c r="L760" s="181"/>
      <c r="M760" s="181"/>
      <c r="N760" s="892"/>
      <c r="O760" s="892"/>
      <c r="P760" s="263" t="s">
        <v>46</v>
      </c>
      <c r="Q760" s="897">
        <f>SUM(Q754:Q759)</f>
        <v>1</v>
      </c>
      <c r="R760" s="899"/>
      <c r="S760" s="899"/>
      <c r="T760" s="899"/>
      <c r="U760" s="900"/>
      <c r="V760" s="114"/>
      <c r="W760" s="270"/>
      <c r="X760" s="270"/>
      <c r="Y760" s="270"/>
      <c r="Z760" s="270"/>
      <c r="AA760" s="270"/>
      <c r="AC760" s="85"/>
      <c r="AD760" s="85"/>
    </row>
    <row r="761" spans="3:30" x14ac:dyDescent="0.3">
      <c r="C761" s="450"/>
      <c r="D761" s="182"/>
      <c r="E761" s="182"/>
      <c r="F761" s="182"/>
      <c r="G761" s="450" t="str">
        <f t="shared" si="35"/>
        <v>--</v>
      </c>
      <c r="H761" s="182"/>
      <c r="I761" s="892"/>
      <c r="J761" s="288"/>
      <c r="K761" s="182"/>
      <c r="L761" s="181"/>
      <c r="M761" s="181"/>
      <c r="N761" s="892"/>
      <c r="O761" s="892"/>
      <c r="P761" s="262"/>
      <c r="Q761" s="114"/>
      <c r="R761" s="114"/>
      <c r="S761" s="114"/>
      <c r="T761" s="114"/>
      <c r="U761" s="114"/>
      <c r="V761" s="114"/>
      <c r="W761" s="270"/>
      <c r="X761" s="270"/>
      <c r="Y761" s="270"/>
      <c r="Z761" s="270"/>
      <c r="AA761" s="270"/>
      <c r="AC761" s="85"/>
      <c r="AD761" s="85"/>
    </row>
    <row r="762" spans="3:30" ht="15" thickBot="1" x14ac:dyDescent="0.35">
      <c r="C762" s="450"/>
      <c r="D762" s="182"/>
      <c r="E762" s="182"/>
      <c r="F762" s="182"/>
      <c r="G762" s="450" t="str">
        <f t="shared" si="35"/>
        <v>--</v>
      </c>
      <c r="H762" s="182"/>
      <c r="I762" s="892"/>
      <c r="J762" s="892"/>
      <c r="K762" s="182"/>
      <c r="L762" s="182"/>
      <c r="M762" s="901" t="s">
        <v>155</v>
      </c>
      <c r="N762" s="870" t="s">
        <v>188</v>
      </c>
      <c r="O762" s="870"/>
      <c r="P762" s="265" t="s">
        <v>33</v>
      </c>
      <c r="Q762" s="871" t="s">
        <v>155</v>
      </c>
      <c r="R762" s="872" t="s">
        <v>168</v>
      </c>
      <c r="S762" s="872" t="s">
        <v>169</v>
      </c>
      <c r="T762" s="872" t="s">
        <v>170</v>
      </c>
      <c r="U762" s="872" t="s">
        <v>171</v>
      </c>
      <c r="V762" s="902"/>
      <c r="W762" s="902"/>
      <c r="X762" s="874"/>
      <c r="Y762" s="270"/>
      <c r="Z762" s="270"/>
      <c r="AA762" s="270"/>
      <c r="AC762" s="85"/>
      <c r="AD762" s="85"/>
    </row>
    <row r="763" spans="3:30" ht="15" thickBot="1" x14ac:dyDescent="0.35">
      <c r="C763" s="566" t="s">
        <v>385</v>
      </c>
      <c r="D763" s="875" t="str">
        <f>VLOOKUP(C763,'Airport Mapping'!$C$5:$D$39,2,FALSE)</f>
        <v xml:space="preserve"> </v>
      </c>
      <c r="E763" s="567" t="s">
        <v>37</v>
      </c>
      <c r="F763" s="567" t="s">
        <v>33</v>
      </c>
      <c r="G763" s="450" t="str">
        <f t="shared" si="35"/>
        <v>Office Building C-Restrooms-Faucets</v>
      </c>
      <c r="H763" s="567" t="s">
        <v>6</v>
      </c>
      <c r="I763" s="877" t="s">
        <v>64</v>
      </c>
      <c r="J763" s="878">
        <f>SUMIFS('Level of Efficiency Assumptions'!J:J,'Level of Efficiency Assumptions'!D:D,E763,'Level of Efficiency Assumptions'!F:F,F763,'Level of Efficiency Assumptions'!I:I,I763)</f>
        <v>2</v>
      </c>
      <c r="K763" s="383" t="s">
        <v>78</v>
      </c>
      <c r="L763" s="253" t="s">
        <v>64</v>
      </c>
      <c r="M763" s="879">
        <f>Q763+Q764</f>
        <v>0</v>
      </c>
      <c r="N763" s="880">
        <f>IFERROR(M763/M766,"-")</f>
        <v>0</v>
      </c>
      <c r="O763" s="881">
        <f>SUMIFS('Data Entry'!R:R,'Data Entry'!K:K,G763)</f>
        <v>0</v>
      </c>
      <c r="P763" s="266" t="s">
        <v>180</v>
      </c>
      <c r="Q763" s="895">
        <v>0</v>
      </c>
      <c r="R763" s="883"/>
      <c r="S763" s="883"/>
      <c r="T763" s="883"/>
      <c r="U763" s="883"/>
      <c r="V763" s="114" t="s">
        <v>182</v>
      </c>
      <c r="W763" s="114"/>
      <c r="X763" s="884"/>
      <c r="Y763" s="270"/>
      <c r="Z763" s="270"/>
      <c r="AA763" s="270"/>
      <c r="AC763" s="85"/>
      <c r="AD763" s="85"/>
    </row>
    <row r="764" spans="3:30" ht="15" thickBot="1" x14ac:dyDescent="0.35">
      <c r="C764" s="494" t="s">
        <v>385</v>
      </c>
      <c r="D764" s="577"/>
      <c r="E764" s="577" t="s">
        <v>37</v>
      </c>
      <c r="F764" s="577" t="s">
        <v>33</v>
      </c>
      <c r="G764" s="450" t="str">
        <f t="shared" si="35"/>
        <v>Office Building C-Restrooms-Faucets</v>
      </c>
      <c r="H764" s="577"/>
      <c r="I764" s="887" t="s">
        <v>65</v>
      </c>
      <c r="J764" s="878">
        <f>SUMIFS('Level of Efficiency Assumptions'!J:J,'Level of Efficiency Assumptions'!D:D,E764,'Level of Efficiency Assumptions'!F:F,F764,'Level of Efficiency Assumptions'!I:I,I764)</f>
        <v>1</v>
      </c>
      <c r="K764" s="383" t="s">
        <v>78</v>
      </c>
      <c r="L764" s="255" t="s">
        <v>65</v>
      </c>
      <c r="M764" s="879">
        <f>Q765+Q766</f>
        <v>1</v>
      </c>
      <c r="N764" s="880">
        <f>IFERROR(M764/M766,"-")</f>
        <v>1</v>
      </c>
      <c r="O764" s="881">
        <f>SUMIFS('Data Entry'!S:S,'Data Entry'!K:K,G764)</f>
        <v>0</v>
      </c>
      <c r="P764" s="266" t="s">
        <v>178</v>
      </c>
      <c r="Q764" s="895">
        <v>0</v>
      </c>
      <c r="R764" s="883"/>
      <c r="S764" s="883"/>
      <c r="T764" s="883"/>
      <c r="U764" s="883"/>
      <c r="V764" s="114" t="s">
        <v>184</v>
      </c>
      <c r="W764" s="114"/>
      <c r="X764" s="884"/>
      <c r="Y764" s="270"/>
      <c r="Z764" s="270"/>
      <c r="AA764" s="270"/>
      <c r="AC764" s="85"/>
      <c r="AD764" s="85"/>
    </row>
    <row r="765" spans="3:30" ht="15" thickBot="1" x14ac:dyDescent="0.35">
      <c r="C765" s="501" t="s">
        <v>385</v>
      </c>
      <c r="D765" s="116"/>
      <c r="E765" s="116" t="s">
        <v>37</v>
      </c>
      <c r="F765" s="116" t="s">
        <v>33</v>
      </c>
      <c r="G765" s="450" t="str">
        <f t="shared" si="35"/>
        <v>Office Building C-Restrooms-Faucets</v>
      </c>
      <c r="H765" s="116"/>
      <c r="I765" s="889" t="s">
        <v>66</v>
      </c>
      <c r="J765" s="890">
        <f>SUMIFS('Level of Efficiency Assumptions'!J:J,'Level of Efficiency Assumptions'!D:D,E765,'Level of Efficiency Assumptions'!F:F,F765,'Level of Efficiency Assumptions'!I:I,I765)</f>
        <v>0.5</v>
      </c>
      <c r="K765" s="383" t="s">
        <v>78</v>
      </c>
      <c r="L765" s="257" t="s">
        <v>66</v>
      </c>
      <c r="M765" s="879">
        <f>Q767</f>
        <v>0</v>
      </c>
      <c r="N765" s="880">
        <f>IFERROR(M765/M766,"-")</f>
        <v>0</v>
      </c>
      <c r="O765" s="881">
        <f>SUMIFS('Data Entry'!T:T,'Data Entry'!K:K,G765)</f>
        <v>0</v>
      </c>
      <c r="P765" s="267" t="s">
        <v>176</v>
      </c>
      <c r="Q765" s="895">
        <v>1</v>
      </c>
      <c r="R765" s="883"/>
      <c r="S765" s="883"/>
      <c r="T765" s="883"/>
      <c r="U765" s="883"/>
      <c r="V765" s="114" t="s">
        <v>185</v>
      </c>
      <c r="W765" s="114"/>
      <c r="X765" s="884"/>
      <c r="Y765" s="270"/>
      <c r="Z765" s="270"/>
      <c r="AA765" s="270"/>
      <c r="AC765" s="85"/>
      <c r="AD765" s="85"/>
    </row>
    <row r="766" spans="3:30" x14ac:dyDescent="0.3">
      <c r="C766" s="450"/>
      <c r="D766" s="182"/>
      <c r="E766" s="182"/>
      <c r="F766" s="182"/>
      <c r="G766" s="450" t="str">
        <f t="shared" si="35"/>
        <v>--</v>
      </c>
      <c r="H766" s="182"/>
      <c r="I766" s="440"/>
      <c r="J766" s="892"/>
      <c r="K766" s="259"/>
      <c r="L766" s="259" t="s">
        <v>46</v>
      </c>
      <c r="M766" s="893">
        <f>SUM(M763:M765)</f>
        <v>1</v>
      </c>
      <c r="N766" s="894"/>
      <c r="O766" s="894">
        <f>SUM(O763:O765)</f>
        <v>0</v>
      </c>
      <c r="P766" s="256" t="s">
        <v>173</v>
      </c>
      <c r="Q766" s="895">
        <v>0</v>
      </c>
      <c r="R766" s="883"/>
      <c r="S766" s="883"/>
      <c r="T766" s="883"/>
      <c r="U766" s="883"/>
      <c r="V766" s="114" t="s">
        <v>186</v>
      </c>
      <c r="W766" s="114"/>
      <c r="X766" s="884"/>
      <c r="Y766" s="270"/>
      <c r="Z766" s="270"/>
      <c r="AA766" s="270"/>
      <c r="AC766" s="85"/>
      <c r="AD766" s="85"/>
    </row>
    <row r="767" spans="3:30" x14ac:dyDescent="0.3">
      <c r="C767" s="450"/>
      <c r="D767" s="182"/>
      <c r="E767" s="182"/>
      <c r="F767" s="182"/>
      <c r="G767" s="450" t="str">
        <f t="shared" si="35"/>
        <v>--</v>
      </c>
      <c r="H767" s="182"/>
      <c r="I767" s="892"/>
      <c r="J767" s="288"/>
      <c r="K767" s="182"/>
      <c r="L767" s="114"/>
      <c r="M767" s="114"/>
      <c r="N767" s="905"/>
      <c r="O767" s="905"/>
      <c r="P767" s="258" t="s">
        <v>172</v>
      </c>
      <c r="Q767" s="895">
        <v>0</v>
      </c>
      <c r="R767" s="883"/>
      <c r="S767" s="883"/>
      <c r="T767" s="883"/>
      <c r="U767" s="883"/>
      <c r="V767" s="114"/>
      <c r="W767" s="114"/>
      <c r="X767" s="884"/>
      <c r="Y767" s="270"/>
      <c r="Z767" s="270"/>
      <c r="AA767" s="270"/>
      <c r="AC767" s="85"/>
      <c r="AD767" s="85"/>
    </row>
    <row r="768" spans="3:30" x14ac:dyDescent="0.3">
      <c r="C768" s="450"/>
      <c r="D768" s="182"/>
      <c r="E768" s="182"/>
      <c r="F768" s="182"/>
      <c r="G768" s="450" t="str">
        <f t="shared" si="35"/>
        <v>--</v>
      </c>
      <c r="H768" s="182"/>
      <c r="I768" s="892"/>
      <c r="J768" s="288"/>
      <c r="K768" s="182"/>
      <c r="L768" s="181"/>
      <c r="M768" s="181"/>
      <c r="N768" s="892"/>
      <c r="O768" s="892"/>
      <c r="P768" s="263" t="s">
        <v>46</v>
      </c>
      <c r="Q768" s="897">
        <f>SUM(Q762:Q767)</f>
        <v>1</v>
      </c>
      <c r="R768" s="899"/>
      <c r="S768" s="899"/>
      <c r="T768" s="899"/>
      <c r="U768" s="899"/>
      <c r="V768" s="899"/>
      <c r="W768" s="899"/>
      <c r="X768" s="900"/>
      <c r="Y768" s="270"/>
      <c r="Z768" s="270"/>
      <c r="AA768" s="270"/>
      <c r="AC768" s="85"/>
      <c r="AD768" s="85"/>
    </row>
    <row r="769" spans="3:30" x14ac:dyDescent="0.3">
      <c r="C769" s="450"/>
      <c r="D769" s="182"/>
      <c r="E769" s="182"/>
      <c r="F769" s="182"/>
      <c r="G769" s="450" t="str">
        <f t="shared" si="35"/>
        <v>--</v>
      </c>
      <c r="H769" s="182"/>
      <c r="I769" s="892"/>
      <c r="J769" s="288"/>
      <c r="K769" s="182"/>
      <c r="L769" s="181"/>
      <c r="M769" s="181"/>
      <c r="N769" s="892"/>
      <c r="O769" s="892"/>
      <c r="P769" s="262"/>
      <c r="Q769" s="114"/>
      <c r="R769" s="114"/>
      <c r="S769" s="114"/>
      <c r="T769" s="114"/>
      <c r="U769" s="114"/>
      <c r="V769" s="114"/>
      <c r="W769" s="270"/>
      <c r="X769" s="270"/>
      <c r="Y769" s="270"/>
      <c r="Z769" s="270"/>
      <c r="AA769" s="270"/>
      <c r="AC769" s="85"/>
      <c r="AD769" s="85"/>
    </row>
    <row r="770" spans="3:30" ht="15" thickBot="1" x14ac:dyDescent="0.35">
      <c r="C770" s="450"/>
      <c r="D770" s="182"/>
      <c r="E770" s="182"/>
      <c r="F770" s="182"/>
      <c r="G770" s="450" t="str">
        <f t="shared" si="35"/>
        <v>--</v>
      </c>
      <c r="H770" s="182"/>
      <c r="I770" s="892"/>
      <c r="J770" s="892"/>
      <c r="K770" s="182"/>
      <c r="L770" s="182"/>
      <c r="M770" s="901" t="s">
        <v>155</v>
      </c>
      <c r="N770" s="870" t="s">
        <v>188</v>
      </c>
      <c r="O770" s="870"/>
      <c r="P770" s="265" t="s">
        <v>33</v>
      </c>
      <c r="Q770" s="871" t="s">
        <v>155</v>
      </c>
      <c r="R770" s="872" t="s">
        <v>168</v>
      </c>
      <c r="S770" s="872" t="s">
        <v>169</v>
      </c>
      <c r="T770" s="872" t="s">
        <v>170</v>
      </c>
      <c r="U770" s="872" t="s">
        <v>171</v>
      </c>
      <c r="V770" s="902"/>
      <c r="W770" s="902"/>
      <c r="X770" s="874"/>
      <c r="Y770" s="270"/>
      <c r="Z770" s="270"/>
      <c r="AA770" s="270"/>
      <c r="AC770" s="85"/>
      <c r="AD770" s="85"/>
    </row>
    <row r="771" spans="3:30" ht="15" thickBot="1" x14ac:dyDescent="0.35">
      <c r="C771" s="566" t="s">
        <v>385</v>
      </c>
      <c r="D771" s="875" t="str">
        <f>VLOOKUP(C771,'Airport Mapping'!$C$5:$D$39,2,FALSE)</f>
        <v xml:space="preserve"> </v>
      </c>
      <c r="E771" s="567" t="s">
        <v>5</v>
      </c>
      <c r="F771" s="567" t="s">
        <v>33</v>
      </c>
      <c r="G771" s="450" t="str">
        <f t="shared" si="35"/>
        <v>Office Building C-Break rooms-Faucets</v>
      </c>
      <c r="H771" s="567" t="s">
        <v>6</v>
      </c>
      <c r="I771" s="877" t="s">
        <v>64</v>
      </c>
      <c r="J771" s="878">
        <f>SUMIFS('Level of Efficiency Assumptions'!J:J,'Level of Efficiency Assumptions'!D:D,E771,'Level of Efficiency Assumptions'!F:F,F771,'Level of Efficiency Assumptions'!I:I,I771)</f>
        <v>2</v>
      </c>
      <c r="K771" s="383" t="s">
        <v>78</v>
      </c>
      <c r="L771" s="253" t="s">
        <v>64</v>
      </c>
      <c r="M771" s="879">
        <f>Q771+Q772</f>
        <v>0</v>
      </c>
      <c r="N771" s="880">
        <f>IFERROR(M771/M774,"-")</f>
        <v>0</v>
      </c>
      <c r="O771" s="881">
        <f>SUMIFS('Data Entry'!R:R,'Data Entry'!K:K,G771)</f>
        <v>0</v>
      </c>
      <c r="P771" s="266" t="s">
        <v>180</v>
      </c>
      <c r="Q771" s="895">
        <v>0</v>
      </c>
      <c r="R771" s="883"/>
      <c r="S771" s="883"/>
      <c r="T771" s="883"/>
      <c r="U771" s="883"/>
      <c r="V771" s="114" t="s">
        <v>182</v>
      </c>
      <c r="W771" s="114"/>
      <c r="X771" s="884"/>
      <c r="Y771" s="270"/>
      <c r="Z771" s="270"/>
      <c r="AA771" s="270"/>
      <c r="AC771" s="85"/>
      <c r="AD771" s="85"/>
    </row>
    <row r="772" spans="3:30" ht="15" thickBot="1" x14ac:dyDescent="0.35">
      <c r="C772" s="494" t="s">
        <v>385</v>
      </c>
      <c r="D772" s="577"/>
      <c r="E772" s="577" t="s">
        <v>5</v>
      </c>
      <c r="F772" s="577" t="s">
        <v>33</v>
      </c>
      <c r="G772" s="450" t="str">
        <f t="shared" si="35"/>
        <v>Office Building C-Break rooms-Faucets</v>
      </c>
      <c r="H772" s="577"/>
      <c r="I772" s="887" t="s">
        <v>65</v>
      </c>
      <c r="J772" s="878">
        <f>SUMIFS('Level of Efficiency Assumptions'!J:J,'Level of Efficiency Assumptions'!D:D,E772,'Level of Efficiency Assumptions'!F:F,F772,'Level of Efficiency Assumptions'!I:I,I772)</f>
        <v>1</v>
      </c>
      <c r="K772" s="383" t="s">
        <v>78</v>
      </c>
      <c r="L772" s="255" t="s">
        <v>65</v>
      </c>
      <c r="M772" s="879">
        <f>Q773+Q774</f>
        <v>1</v>
      </c>
      <c r="N772" s="880">
        <f>IFERROR(M772/M774,"-")</f>
        <v>1</v>
      </c>
      <c r="O772" s="881">
        <f>SUMIFS('Data Entry'!S:S,'Data Entry'!K:K,G772)</f>
        <v>0</v>
      </c>
      <c r="P772" s="266" t="s">
        <v>178</v>
      </c>
      <c r="Q772" s="895">
        <v>0</v>
      </c>
      <c r="R772" s="883"/>
      <c r="S772" s="883"/>
      <c r="T772" s="883"/>
      <c r="U772" s="883"/>
      <c r="V772" s="114" t="s">
        <v>184</v>
      </c>
      <c r="W772" s="114"/>
      <c r="X772" s="884"/>
      <c r="Y772" s="270"/>
      <c r="Z772" s="270"/>
      <c r="AA772" s="270"/>
      <c r="AC772" s="85"/>
      <c r="AD772" s="85"/>
    </row>
    <row r="773" spans="3:30" ht="15" thickBot="1" x14ac:dyDescent="0.35">
      <c r="C773" s="501" t="s">
        <v>385</v>
      </c>
      <c r="D773" s="116"/>
      <c r="E773" s="116" t="s">
        <v>5</v>
      </c>
      <c r="F773" s="116" t="s">
        <v>33</v>
      </c>
      <c r="G773" s="450" t="str">
        <f t="shared" si="35"/>
        <v>Office Building C-Break rooms-Faucets</v>
      </c>
      <c r="H773" s="116"/>
      <c r="I773" s="889" t="s">
        <v>66</v>
      </c>
      <c r="J773" s="890">
        <f>SUMIFS('Level of Efficiency Assumptions'!J:J,'Level of Efficiency Assumptions'!D:D,E773,'Level of Efficiency Assumptions'!F:F,F773,'Level of Efficiency Assumptions'!I:I,I773)</f>
        <v>0.5</v>
      </c>
      <c r="K773" s="383" t="s">
        <v>78</v>
      </c>
      <c r="L773" s="257" t="s">
        <v>66</v>
      </c>
      <c r="M773" s="879">
        <f>Q775</f>
        <v>0</v>
      </c>
      <c r="N773" s="880">
        <f>IFERROR(M773/M774,"-")</f>
        <v>0</v>
      </c>
      <c r="O773" s="881">
        <f>SUMIFS('Data Entry'!T:T,'Data Entry'!K:K,G773)</f>
        <v>0</v>
      </c>
      <c r="P773" s="267" t="s">
        <v>176</v>
      </c>
      <c r="Q773" s="895">
        <v>1</v>
      </c>
      <c r="R773" s="883"/>
      <c r="S773" s="883"/>
      <c r="T773" s="883"/>
      <c r="U773" s="883"/>
      <c r="V773" s="114" t="s">
        <v>185</v>
      </c>
      <c r="W773" s="114"/>
      <c r="X773" s="884"/>
      <c r="Y773" s="270"/>
      <c r="Z773" s="270"/>
      <c r="AA773" s="270"/>
      <c r="AC773" s="85"/>
      <c r="AD773" s="85"/>
    </row>
    <row r="774" spans="3:30" x14ac:dyDescent="0.3">
      <c r="C774" s="450"/>
      <c r="D774" s="182"/>
      <c r="E774" s="182"/>
      <c r="F774" s="182"/>
      <c r="G774" s="450" t="str">
        <f t="shared" si="35"/>
        <v>--</v>
      </c>
      <c r="H774" s="182"/>
      <c r="I774" s="440"/>
      <c r="J774" s="892"/>
      <c r="K774" s="259"/>
      <c r="L774" s="259" t="s">
        <v>46</v>
      </c>
      <c r="M774" s="893">
        <f>SUM(M771:M773)</f>
        <v>1</v>
      </c>
      <c r="N774" s="894"/>
      <c r="O774" s="894">
        <f>SUM(O771:O773)</f>
        <v>0</v>
      </c>
      <c r="P774" s="256" t="s">
        <v>173</v>
      </c>
      <c r="Q774" s="895">
        <v>0</v>
      </c>
      <c r="R774" s="883"/>
      <c r="S774" s="883"/>
      <c r="T774" s="883"/>
      <c r="U774" s="883"/>
      <c r="V774" s="114" t="s">
        <v>186</v>
      </c>
      <c r="W774" s="114"/>
      <c r="X774" s="884"/>
      <c r="Y774" s="270"/>
      <c r="Z774" s="270"/>
      <c r="AA774" s="270"/>
      <c r="AC774" s="85"/>
      <c r="AD774" s="85"/>
    </row>
    <row r="775" spans="3:30" x14ac:dyDescent="0.3">
      <c r="C775" s="450"/>
      <c r="D775" s="182"/>
      <c r="E775" s="182"/>
      <c r="F775" s="182"/>
      <c r="G775" s="450" t="str">
        <f t="shared" si="35"/>
        <v>--</v>
      </c>
      <c r="H775" s="182"/>
      <c r="I775" s="892"/>
      <c r="J775" s="288"/>
      <c r="K775" s="182"/>
      <c r="L775" s="182"/>
      <c r="M775" s="270"/>
      <c r="N775" s="892"/>
      <c r="O775" s="892"/>
      <c r="P775" s="258" t="s">
        <v>172</v>
      </c>
      <c r="Q775" s="895">
        <v>0</v>
      </c>
      <c r="R775" s="883"/>
      <c r="S775" s="883"/>
      <c r="T775" s="883"/>
      <c r="U775" s="883"/>
      <c r="V775" s="114"/>
      <c r="W775" s="114"/>
      <c r="X775" s="884"/>
      <c r="Y775" s="270"/>
      <c r="Z775" s="270"/>
      <c r="AA775" s="270"/>
      <c r="AC775" s="85"/>
      <c r="AD775" s="85"/>
    </row>
    <row r="776" spans="3:30" x14ac:dyDescent="0.3">
      <c r="C776" s="450"/>
      <c r="D776" s="182"/>
      <c r="E776" s="182"/>
      <c r="F776" s="182"/>
      <c r="G776" s="450" t="str">
        <f t="shared" si="35"/>
        <v>--</v>
      </c>
      <c r="H776" s="182"/>
      <c r="I776" s="892"/>
      <c r="J776" s="288"/>
      <c r="K776" s="182"/>
      <c r="L776" s="182"/>
      <c r="M776" s="270"/>
      <c r="N776" s="892"/>
      <c r="O776" s="892"/>
      <c r="P776" s="263" t="s">
        <v>46</v>
      </c>
      <c r="Q776" s="897">
        <f>SUM(Q770:Q775)</f>
        <v>1</v>
      </c>
      <c r="R776" s="899"/>
      <c r="S776" s="899"/>
      <c r="T776" s="899"/>
      <c r="U776" s="899"/>
      <c r="V776" s="899"/>
      <c r="W776" s="899"/>
      <c r="X776" s="900"/>
      <c r="Y776" s="270"/>
      <c r="Z776" s="270"/>
      <c r="AA776" s="270"/>
      <c r="AC776" s="85"/>
      <c r="AD776" s="85"/>
    </row>
    <row r="777" spans="3:30" x14ac:dyDescent="0.3">
      <c r="C777" s="450"/>
      <c r="D777" s="182"/>
      <c r="E777" s="182"/>
      <c r="F777" s="182"/>
      <c r="G777" s="450" t="str">
        <f t="shared" si="35"/>
        <v>--</v>
      </c>
      <c r="H777" s="182"/>
      <c r="I777" s="892"/>
      <c r="J777" s="288"/>
      <c r="K777" s="182"/>
      <c r="L777" s="182"/>
      <c r="M777" s="270"/>
      <c r="N777" s="892"/>
      <c r="O777" s="892"/>
      <c r="P777" s="259"/>
      <c r="Q777" s="114"/>
      <c r="R777" s="114"/>
      <c r="S777" s="114"/>
      <c r="T777" s="114"/>
      <c r="U777" s="114"/>
      <c r="V777" s="114"/>
      <c r="W777" s="270"/>
      <c r="X777" s="270"/>
      <c r="Y777" s="270"/>
      <c r="Z777" s="270"/>
      <c r="AA777" s="270"/>
      <c r="AC777" s="85"/>
      <c r="AD777" s="85"/>
    </row>
    <row r="778" spans="3:30" x14ac:dyDescent="0.3">
      <c r="C778" s="450"/>
      <c r="D778" s="182"/>
      <c r="E778" s="182"/>
      <c r="F778" s="182"/>
      <c r="G778" s="450" t="str">
        <f t="shared" si="35"/>
        <v>--</v>
      </c>
      <c r="H778" s="182"/>
      <c r="I778" s="892"/>
      <c r="J778" s="288"/>
      <c r="K778" s="182"/>
      <c r="L778" s="182"/>
      <c r="M778" s="270"/>
      <c r="N778" s="892"/>
      <c r="O778" s="892"/>
      <c r="P778" s="276" t="s">
        <v>42</v>
      </c>
      <c r="Q778" s="902"/>
      <c r="R778" s="902"/>
      <c r="S778" s="902"/>
      <c r="T778" s="271"/>
      <c r="U778" s="114"/>
      <c r="V778" s="114"/>
      <c r="W778" s="270"/>
      <c r="X778" s="270"/>
      <c r="Y778" s="270"/>
      <c r="Z778" s="270"/>
      <c r="AA778" s="270"/>
      <c r="AC778" s="85"/>
      <c r="AD778" s="85"/>
    </row>
    <row r="779" spans="3:30" ht="15" thickBot="1" x14ac:dyDescent="0.35">
      <c r="C779" s="450"/>
      <c r="D779" s="182"/>
      <c r="E779" s="182"/>
      <c r="F779" s="182"/>
      <c r="G779" s="450" t="str">
        <f t="shared" si="35"/>
        <v>--</v>
      </c>
      <c r="H779" s="182"/>
      <c r="I779" s="892"/>
      <c r="J779" s="892"/>
      <c r="K779" s="182"/>
      <c r="L779" s="182"/>
      <c r="M779" s="901" t="s">
        <v>155</v>
      </c>
      <c r="N779" s="870" t="s">
        <v>188</v>
      </c>
      <c r="O779" s="870"/>
      <c r="P779" s="277" t="s">
        <v>818</v>
      </c>
      <c r="Q779" s="871" t="s">
        <v>155</v>
      </c>
      <c r="R779" s="114"/>
      <c r="S779" s="114"/>
      <c r="T779" s="271"/>
      <c r="U779" s="114"/>
      <c r="V779" s="114"/>
      <c r="W779" s="270"/>
      <c r="X779" s="270"/>
      <c r="Y779" s="270"/>
      <c r="Z779" s="270"/>
      <c r="AA779" s="270"/>
      <c r="AC779" s="85"/>
      <c r="AD779" s="85"/>
    </row>
    <row r="780" spans="3:30" ht="15" thickBot="1" x14ac:dyDescent="0.35">
      <c r="C780" s="566" t="s">
        <v>385</v>
      </c>
      <c r="D780" s="875" t="str">
        <f>VLOOKUP(C780,'Airport Mapping'!$C$5:$D$39,2,FALSE)</f>
        <v xml:space="preserve"> </v>
      </c>
      <c r="E780" s="567" t="s">
        <v>39</v>
      </c>
      <c r="F780" s="567" t="s">
        <v>42</v>
      </c>
      <c r="G780" s="450" t="str">
        <f t="shared" si="35"/>
        <v>Office Building C-Landscaping-Outdoor irrigation</v>
      </c>
      <c r="H780" s="567" t="s">
        <v>32</v>
      </c>
      <c r="I780" s="877" t="s">
        <v>64</v>
      </c>
      <c r="J780" s="878">
        <f>SUMIFS('Level of Efficiency Assumptions'!J:J,'Level of Efficiency Assumptions'!D:D,E780,'Level of Efficiency Assumptions'!F:F,F780,'Level of Efficiency Assumptions'!I:I,I780)</f>
        <v>28.6</v>
      </c>
      <c r="K780" s="383" t="s">
        <v>816</v>
      </c>
      <c r="L780" s="253" t="s">
        <v>64</v>
      </c>
      <c r="M780" s="879">
        <f>SUM(Q780:Q781)</f>
        <v>0</v>
      </c>
      <c r="N780" s="880">
        <f>IFERROR(M780/M783,"-")</f>
        <v>0</v>
      </c>
      <c r="O780" s="881">
        <f>SUMIFS('Data Entry'!R:R,'Data Entry'!K:K,G780)</f>
        <v>0</v>
      </c>
      <c r="P780" s="272" t="s">
        <v>237</v>
      </c>
      <c r="Q780" s="895">
        <v>0</v>
      </c>
      <c r="R780" s="114"/>
      <c r="S780" s="114"/>
      <c r="T780" s="271"/>
      <c r="U780" s="114"/>
      <c r="V780" s="114"/>
      <c r="W780" s="270"/>
      <c r="X780" s="270"/>
      <c r="Y780" s="270"/>
      <c r="Z780" s="270"/>
      <c r="AA780" s="270"/>
      <c r="AC780" s="85"/>
      <c r="AD780" s="85"/>
    </row>
    <row r="781" spans="3:30" ht="15" thickBot="1" x14ac:dyDescent="0.35">
      <c r="C781" s="494" t="s">
        <v>385</v>
      </c>
      <c r="D781" s="577"/>
      <c r="E781" s="577" t="s">
        <v>39</v>
      </c>
      <c r="F781" s="577" t="s">
        <v>42</v>
      </c>
      <c r="G781" s="450" t="str">
        <f t="shared" si="35"/>
        <v>Office Building C-Landscaping-Outdoor irrigation</v>
      </c>
      <c r="H781" s="577"/>
      <c r="I781" s="887" t="s">
        <v>65</v>
      </c>
      <c r="J781" s="878">
        <f>SUMIFS('Level of Efficiency Assumptions'!J:J,'Level of Efficiency Assumptions'!D:D,E781,'Level of Efficiency Assumptions'!F:F,F781,'Level of Efficiency Assumptions'!I:I,I781)</f>
        <v>13.980821518350929</v>
      </c>
      <c r="K781" s="383" t="s">
        <v>816</v>
      </c>
      <c r="L781" s="255" t="s">
        <v>65</v>
      </c>
      <c r="M781" s="879">
        <f>Q782+Q783</f>
        <v>1</v>
      </c>
      <c r="N781" s="880">
        <f>IFERROR(M781/M783,"-")</f>
        <v>1</v>
      </c>
      <c r="O781" s="881">
        <f>SUMIFS('Data Entry'!S:S,'Data Entry'!K:K,G781)</f>
        <v>0</v>
      </c>
      <c r="P781" s="272" t="s">
        <v>232</v>
      </c>
      <c r="Q781" s="895">
        <v>0</v>
      </c>
      <c r="R781" s="114"/>
      <c r="S781" s="114"/>
      <c r="T781" s="271"/>
      <c r="U781" s="114"/>
      <c r="V781" s="114"/>
      <c r="W781" s="270"/>
      <c r="X781" s="270"/>
      <c r="Y781" s="270"/>
      <c r="Z781" s="270"/>
      <c r="AA781" s="270"/>
      <c r="AC781" s="85"/>
      <c r="AD781" s="85"/>
    </row>
    <row r="782" spans="3:30" ht="15" thickBot="1" x14ac:dyDescent="0.35">
      <c r="C782" s="501" t="s">
        <v>385</v>
      </c>
      <c r="D782" s="116"/>
      <c r="E782" s="116" t="s">
        <v>39</v>
      </c>
      <c r="F782" s="116" t="s">
        <v>42</v>
      </c>
      <c r="G782" s="450" t="str">
        <f t="shared" si="35"/>
        <v>Office Building C-Landscaping-Outdoor irrigation</v>
      </c>
      <c r="H782" s="116"/>
      <c r="I782" s="889" t="s">
        <v>66</v>
      </c>
      <c r="J782" s="890">
        <f>SUMIFS('Level of Efficiency Assumptions'!J:J,'Level of Efficiency Assumptions'!D:D,E782,'Level of Efficiency Assumptions'!F:F,F782,'Level of Efficiency Assumptions'!I:I,I782)</f>
        <v>0.59137254901960778</v>
      </c>
      <c r="K782" s="383" t="s">
        <v>816</v>
      </c>
      <c r="L782" s="257" t="s">
        <v>66</v>
      </c>
      <c r="M782" s="879">
        <f>Q784+Q785</f>
        <v>0</v>
      </c>
      <c r="N782" s="880">
        <f>IFERROR(M782/M783,"-")</f>
        <v>0</v>
      </c>
      <c r="O782" s="881">
        <f>SUMIFS('Data Entry'!T:T,'Data Entry'!K:K,G782)</f>
        <v>0</v>
      </c>
      <c r="P782" s="274" t="s">
        <v>231</v>
      </c>
      <c r="Q782" s="895">
        <v>1</v>
      </c>
      <c r="R782" s="114"/>
      <c r="S782" s="114"/>
      <c r="T782" s="271"/>
      <c r="U782" s="114"/>
      <c r="V782" s="114"/>
      <c r="W782" s="270"/>
      <c r="X782" s="270"/>
      <c r="Y782" s="270"/>
      <c r="Z782" s="270"/>
      <c r="AA782" s="270"/>
      <c r="AC782" s="85"/>
      <c r="AD782" s="85"/>
    </row>
    <row r="783" spans="3:30" x14ac:dyDescent="0.3">
      <c r="C783" s="450"/>
      <c r="D783" s="182"/>
      <c r="E783" s="182"/>
      <c r="F783" s="182"/>
      <c r="G783" s="450" t="str">
        <f t="shared" si="35"/>
        <v>--</v>
      </c>
      <c r="H783" s="182"/>
      <c r="I783" s="440"/>
      <c r="J783" s="892"/>
      <c r="K783" s="259"/>
      <c r="L783" s="259" t="s">
        <v>46</v>
      </c>
      <c r="M783" s="893">
        <f>SUM(M780:M782)</f>
        <v>1</v>
      </c>
      <c r="N783" s="894"/>
      <c r="O783" s="894">
        <f>SUM(O780:O782)</f>
        <v>0</v>
      </c>
      <c r="P783" s="274" t="s">
        <v>230</v>
      </c>
      <c r="Q783" s="895">
        <v>0</v>
      </c>
      <c r="R783" s="114"/>
      <c r="S783" s="114"/>
      <c r="T783" s="271"/>
      <c r="U783" s="114"/>
      <c r="V783" s="114"/>
      <c r="W783" s="270"/>
      <c r="X783" s="270"/>
      <c r="Y783" s="270"/>
      <c r="Z783" s="270"/>
      <c r="AA783" s="270"/>
      <c r="AC783" s="85"/>
      <c r="AD783" s="85"/>
    </row>
    <row r="784" spans="3:30" x14ac:dyDescent="0.3">
      <c r="C784" s="450"/>
      <c r="D784" s="182"/>
      <c r="E784" s="182"/>
      <c r="F784" s="182"/>
      <c r="G784" s="450" t="str">
        <f t="shared" si="35"/>
        <v>--</v>
      </c>
      <c r="H784" s="182"/>
      <c r="I784" s="892"/>
      <c r="J784" s="288"/>
      <c r="K784" s="182"/>
      <c r="L784" s="182"/>
      <c r="M784" s="270"/>
      <c r="N784" s="892"/>
      <c r="O784" s="892"/>
      <c r="P784" s="275" t="s">
        <v>229</v>
      </c>
      <c r="Q784" s="895">
        <v>0</v>
      </c>
      <c r="R784" s="114"/>
      <c r="S784" s="114"/>
      <c r="T784" s="271"/>
      <c r="U784" s="114"/>
      <c r="V784" s="114"/>
      <c r="W784" s="270"/>
      <c r="X784" s="270"/>
      <c r="Y784" s="270"/>
      <c r="Z784" s="270"/>
      <c r="AA784" s="270"/>
      <c r="AC784" s="85"/>
      <c r="AD784" s="85"/>
    </row>
    <row r="785" spans="3:30" x14ac:dyDescent="0.3">
      <c r="C785" s="450"/>
      <c r="D785" s="182"/>
      <c r="E785" s="182"/>
      <c r="F785" s="182"/>
      <c r="G785" s="450" t="str">
        <f t="shared" si="35"/>
        <v>--</v>
      </c>
      <c r="H785" s="182"/>
      <c r="I785" s="892"/>
      <c r="J785" s="288"/>
      <c r="K785" s="182"/>
      <c r="L785" s="182"/>
      <c r="M785" s="270"/>
      <c r="N785" s="892"/>
      <c r="O785" s="892"/>
      <c r="P785" s="269" t="s">
        <v>225</v>
      </c>
      <c r="Q785" s="895">
        <v>0</v>
      </c>
      <c r="R785" s="114"/>
      <c r="S785" s="114"/>
      <c r="T785" s="271"/>
      <c r="U785" s="114"/>
      <c r="V785" s="114"/>
      <c r="W785" s="270"/>
      <c r="X785" s="270"/>
      <c r="Y785" s="270"/>
      <c r="Z785" s="270"/>
      <c r="AA785" s="270"/>
      <c r="AC785" s="85"/>
      <c r="AD785" s="85"/>
    </row>
    <row r="786" spans="3:30" x14ac:dyDescent="0.3">
      <c r="C786" s="450"/>
      <c r="D786" s="182"/>
      <c r="E786" s="182"/>
      <c r="F786" s="182"/>
      <c r="G786" s="450" t="str">
        <f t="shared" si="35"/>
        <v>--</v>
      </c>
      <c r="H786" s="182"/>
      <c r="I786" s="892"/>
      <c r="J786" s="288"/>
      <c r="K786" s="182"/>
      <c r="L786" s="182"/>
      <c r="M786" s="270"/>
      <c r="N786" s="892"/>
      <c r="O786" s="892"/>
      <c r="P786" s="263" t="s">
        <v>46</v>
      </c>
      <c r="Q786" s="897">
        <f>SUM(Q780:Q785)</f>
        <v>1</v>
      </c>
      <c r="R786" s="899"/>
      <c r="S786" s="899"/>
      <c r="T786" s="271"/>
      <c r="U786" s="114"/>
      <c r="V786" s="114"/>
      <c r="W786" s="270"/>
      <c r="X786" s="270"/>
      <c r="Y786" s="270"/>
      <c r="Z786" s="270"/>
      <c r="AA786" s="270"/>
      <c r="AC786" s="85"/>
      <c r="AD786" s="85"/>
    </row>
    <row r="787" spans="3:30" x14ac:dyDescent="0.3">
      <c r="C787" s="450"/>
      <c r="D787" s="182"/>
      <c r="E787" s="182"/>
      <c r="F787" s="182"/>
      <c r="G787" s="450" t="str">
        <f t="shared" si="35"/>
        <v>--</v>
      </c>
      <c r="H787" s="182"/>
      <c r="I787" s="892"/>
      <c r="J787" s="288"/>
      <c r="K787" s="182"/>
      <c r="L787" s="182"/>
      <c r="M787" s="270"/>
      <c r="N787" s="892"/>
      <c r="O787" s="892"/>
      <c r="P787" s="259"/>
      <c r="Q787" s="114"/>
      <c r="R787" s="270"/>
      <c r="S787" s="270"/>
      <c r="T787" s="270"/>
      <c r="U787" s="270"/>
      <c r="V787" s="270"/>
      <c r="W787" s="270"/>
      <c r="X787" s="270"/>
      <c r="Y787" s="270"/>
      <c r="Z787" s="270"/>
      <c r="AA787" s="270"/>
      <c r="AC787" s="85"/>
      <c r="AD787" s="85"/>
    </row>
    <row r="788" spans="3:30" ht="15" thickBot="1" x14ac:dyDescent="0.35">
      <c r="C788" s="450"/>
      <c r="D788" s="182"/>
      <c r="E788" s="182"/>
      <c r="F788" s="182"/>
      <c r="G788" s="450" t="str">
        <f t="shared" si="35"/>
        <v>--</v>
      </c>
      <c r="H788" s="182"/>
      <c r="I788" s="892"/>
      <c r="J788" s="892"/>
      <c r="K788" s="182"/>
      <c r="L788" s="182"/>
      <c r="M788" s="901" t="s">
        <v>155</v>
      </c>
      <c r="N788" s="870" t="s">
        <v>188</v>
      </c>
      <c r="O788" s="870"/>
      <c r="P788" s="276" t="s">
        <v>111</v>
      </c>
      <c r="Q788" s="871" t="s">
        <v>155</v>
      </c>
      <c r="R788" s="902"/>
      <c r="S788" s="874"/>
      <c r="T788" s="270"/>
      <c r="U788" s="270"/>
      <c r="V788" s="270"/>
      <c r="W788" s="270"/>
      <c r="X788" s="270"/>
      <c r="Y788" s="270"/>
      <c r="Z788" s="270"/>
      <c r="AA788" s="270"/>
      <c r="AC788" s="85"/>
      <c r="AD788" s="85"/>
    </row>
    <row r="789" spans="3:30" ht="15" thickBot="1" x14ac:dyDescent="0.35">
      <c r="C789" s="566" t="s">
        <v>385</v>
      </c>
      <c r="D789" s="875" t="str">
        <f>VLOOKUP(C789,'Airport Mapping'!$C$5:$D$39,2,FALSE)</f>
        <v xml:space="preserve"> </v>
      </c>
      <c r="E789" s="567" t="s">
        <v>43</v>
      </c>
      <c r="F789" s="567" t="s">
        <v>111</v>
      </c>
      <c r="G789" s="450" t="str">
        <f t="shared" si="35"/>
        <v>Office Building C-Maintenance-Boiler</v>
      </c>
      <c r="H789" s="567" t="s">
        <v>424</v>
      </c>
      <c r="I789" s="877" t="s">
        <v>64</v>
      </c>
      <c r="J789" s="878">
        <f>SUMIFS('Level of Efficiency Assumptions'!J:J,'Level of Efficiency Assumptions'!D:D,E789,'Level of Efficiency Assumptions'!F:F,F789,'Level of Efficiency Assumptions'!I:I,I789)</f>
        <v>100</v>
      </c>
      <c r="K789" s="383" t="s">
        <v>585</v>
      </c>
      <c r="L789" s="253" t="s">
        <v>64</v>
      </c>
      <c r="M789" s="879">
        <f>SUM(Q789:Q790)</f>
        <v>0</v>
      </c>
      <c r="N789" s="880">
        <f>IFERROR(M789/M792,"-")</f>
        <v>0</v>
      </c>
      <c r="O789" s="881">
        <f>SUMIFS('Data Entry'!R:R,'Data Entry'!K:K,G789)</f>
        <v>0</v>
      </c>
      <c r="P789" s="272"/>
      <c r="Q789" s="895">
        <v>0</v>
      </c>
      <c r="R789" s="114"/>
      <c r="S789" s="884"/>
      <c r="T789" s="270"/>
      <c r="U789" s="270"/>
      <c r="V789" s="270"/>
      <c r="W789" s="270"/>
      <c r="X789" s="270"/>
      <c r="Y789" s="270"/>
      <c r="Z789" s="270"/>
      <c r="AA789" s="270"/>
      <c r="AC789" s="85"/>
      <c r="AD789" s="85"/>
    </row>
    <row r="790" spans="3:30" ht="15" thickBot="1" x14ac:dyDescent="0.35">
      <c r="C790" s="494" t="s">
        <v>385</v>
      </c>
      <c r="D790" s="577"/>
      <c r="E790" s="577" t="s">
        <v>43</v>
      </c>
      <c r="F790" s="577" t="s">
        <v>111</v>
      </c>
      <c r="G790" s="450" t="str">
        <f t="shared" si="35"/>
        <v>Office Building C-Maintenance-Boiler</v>
      </c>
      <c r="H790" s="577"/>
      <c r="I790" s="887" t="s">
        <v>65</v>
      </c>
      <c r="J790" s="878">
        <f>SUMIFS('Level of Efficiency Assumptions'!J:J,'Level of Efficiency Assumptions'!D:D,E790,'Level of Efficiency Assumptions'!F:F,F790,'Level of Efficiency Assumptions'!I:I,I790)</f>
        <v>75</v>
      </c>
      <c r="K790" s="383" t="s">
        <v>585</v>
      </c>
      <c r="L790" s="255" t="s">
        <v>65</v>
      </c>
      <c r="M790" s="879">
        <f>Q791+Q792</f>
        <v>1</v>
      </c>
      <c r="N790" s="880">
        <f>IFERROR(M790/M792,"-")</f>
        <v>1</v>
      </c>
      <c r="O790" s="881">
        <f>SUMIFS('Data Entry'!S:S,'Data Entry'!K:K,G790)</f>
        <v>0</v>
      </c>
      <c r="P790" s="272"/>
      <c r="Q790" s="895">
        <v>0</v>
      </c>
      <c r="R790" s="114"/>
      <c r="S790" s="884"/>
      <c r="T790" s="270"/>
      <c r="U790" s="270"/>
      <c r="V790" s="270"/>
      <c r="W790" s="270"/>
      <c r="X790" s="270"/>
      <c r="Y790" s="270"/>
      <c r="Z790" s="270"/>
      <c r="AA790" s="270"/>
      <c r="AC790" s="85"/>
      <c r="AD790" s="85"/>
    </row>
    <row r="791" spans="3:30" ht="15" thickBot="1" x14ac:dyDescent="0.35">
      <c r="C791" s="501" t="s">
        <v>385</v>
      </c>
      <c r="D791" s="116"/>
      <c r="E791" s="116" t="s">
        <v>43</v>
      </c>
      <c r="F791" s="116" t="s">
        <v>111</v>
      </c>
      <c r="G791" s="450" t="str">
        <f t="shared" si="35"/>
        <v>Office Building C-Maintenance-Boiler</v>
      </c>
      <c r="H791" s="116"/>
      <c r="I791" s="889" t="s">
        <v>66</v>
      </c>
      <c r="J791" s="890">
        <f>SUMIFS('Level of Efficiency Assumptions'!J:J,'Level of Efficiency Assumptions'!D:D,E791,'Level of Efficiency Assumptions'!F:F,F791,'Level of Efficiency Assumptions'!I:I,I791)</f>
        <v>50</v>
      </c>
      <c r="K791" s="383" t="s">
        <v>585</v>
      </c>
      <c r="L791" s="257" t="s">
        <v>66</v>
      </c>
      <c r="M791" s="879">
        <f>Q793+Q794</f>
        <v>0</v>
      </c>
      <c r="N791" s="880">
        <f>IFERROR(M791/M792,"-")</f>
        <v>0</v>
      </c>
      <c r="O791" s="881">
        <f>SUMIFS('Data Entry'!T:T,'Data Entry'!K:K,G791)</f>
        <v>0</v>
      </c>
      <c r="P791" s="274"/>
      <c r="Q791" s="895">
        <v>1</v>
      </c>
      <c r="R791" s="114"/>
      <c r="S791" s="884"/>
      <c r="T791" s="270"/>
      <c r="U791" s="270"/>
      <c r="V791" s="270"/>
      <c r="W791" s="270"/>
      <c r="X791" s="270"/>
      <c r="Y791" s="270"/>
      <c r="Z791" s="270"/>
      <c r="AA791" s="270"/>
      <c r="AC791" s="85"/>
      <c r="AD791" s="85"/>
    </row>
    <row r="792" spans="3:30" x14ac:dyDescent="0.3">
      <c r="C792" s="450"/>
      <c r="D792" s="182"/>
      <c r="E792" s="182"/>
      <c r="F792" s="182"/>
      <c r="G792" s="450" t="str">
        <f t="shared" si="35"/>
        <v>--</v>
      </c>
      <c r="H792" s="182"/>
      <c r="I792" s="440"/>
      <c r="J792" s="892"/>
      <c r="K792" s="259"/>
      <c r="L792" s="259" t="s">
        <v>46</v>
      </c>
      <c r="M792" s="893">
        <f>SUM(M789:M791)</f>
        <v>1</v>
      </c>
      <c r="N792" s="894"/>
      <c r="O792" s="894">
        <f>SUM(O789:O791)</f>
        <v>0</v>
      </c>
      <c r="P792" s="274"/>
      <c r="Q792" s="895">
        <v>0</v>
      </c>
      <c r="R792" s="114"/>
      <c r="S792" s="884"/>
      <c r="T792" s="270"/>
      <c r="U792" s="270"/>
      <c r="V792" s="270"/>
      <c r="W792" s="270"/>
      <c r="X792" s="270"/>
      <c r="Y792" s="270"/>
      <c r="Z792" s="270"/>
      <c r="AA792" s="270"/>
      <c r="AC792" s="85"/>
      <c r="AD792" s="85"/>
    </row>
    <row r="793" spans="3:30" x14ac:dyDescent="0.3">
      <c r="C793" s="450"/>
      <c r="D793" s="182"/>
      <c r="E793" s="182"/>
      <c r="F793" s="182"/>
      <c r="G793" s="450" t="str">
        <f t="shared" si="35"/>
        <v>--</v>
      </c>
      <c r="H793" s="182"/>
      <c r="I793" s="892"/>
      <c r="J793" s="288"/>
      <c r="K793" s="182"/>
      <c r="L793" s="182"/>
      <c r="M793" s="270"/>
      <c r="N793" s="892"/>
      <c r="O793" s="892"/>
      <c r="P793" s="275"/>
      <c r="Q793" s="895">
        <v>0</v>
      </c>
      <c r="R793" s="114"/>
      <c r="S793" s="884"/>
      <c r="T793" s="270"/>
      <c r="U793" s="270"/>
      <c r="V793" s="270"/>
      <c r="W793" s="270"/>
      <c r="X793" s="270"/>
      <c r="Y793" s="270"/>
      <c r="Z793" s="270"/>
      <c r="AA793" s="270"/>
      <c r="AC793" s="85"/>
      <c r="AD793" s="85"/>
    </row>
    <row r="794" spans="3:30" x14ac:dyDescent="0.3">
      <c r="C794" s="225"/>
      <c r="D794" s="288"/>
      <c r="E794" s="288"/>
      <c r="F794" s="288"/>
      <c r="G794" s="450" t="str">
        <f t="shared" si="35"/>
        <v>--</v>
      </c>
      <c r="H794" s="182"/>
      <c r="I794" s="892"/>
      <c r="J794" s="288"/>
      <c r="K794" s="182"/>
      <c r="L794" s="182"/>
      <c r="M794" s="270"/>
      <c r="N794" s="892"/>
      <c r="O794" s="892"/>
      <c r="P794" s="269"/>
      <c r="Q794" s="895">
        <v>0</v>
      </c>
      <c r="R794" s="114"/>
      <c r="S794" s="884"/>
      <c r="T794" s="270"/>
      <c r="U794" s="270"/>
      <c r="V794" s="270"/>
      <c r="W794" s="270"/>
      <c r="X794" s="270"/>
      <c r="Y794" s="270"/>
      <c r="Z794" s="270"/>
      <c r="AA794" s="270"/>
      <c r="AC794" s="85"/>
      <c r="AD794" s="85"/>
    </row>
    <row r="795" spans="3:30" x14ac:dyDescent="0.3">
      <c r="C795" s="225"/>
      <c r="D795" s="288"/>
      <c r="E795" s="288"/>
      <c r="F795" s="288"/>
      <c r="G795" s="450" t="str">
        <f t="shared" si="35"/>
        <v>--</v>
      </c>
      <c r="H795" s="182"/>
      <c r="I795" s="892"/>
      <c r="J795" s="288"/>
      <c r="K795" s="182"/>
      <c r="L795" s="182"/>
      <c r="M795" s="270"/>
      <c r="N795" s="892"/>
      <c r="O795" s="892"/>
      <c r="P795" s="263" t="s">
        <v>46</v>
      </c>
      <c r="Q795" s="897">
        <f>SUM(Q789:Q794)</f>
        <v>1</v>
      </c>
      <c r="R795" s="899"/>
      <c r="S795" s="900"/>
      <c r="T795" s="270"/>
      <c r="U795" s="270"/>
      <c r="V795" s="270"/>
      <c r="W795" s="270"/>
      <c r="X795" s="270"/>
      <c r="Y795" s="270"/>
      <c r="Z795" s="270"/>
      <c r="AA795" s="270"/>
      <c r="AC795" s="85"/>
      <c r="AD795" s="85"/>
    </row>
    <row r="796" spans="3:30" x14ac:dyDescent="0.3">
      <c r="C796" s="225"/>
      <c r="D796" s="288"/>
      <c r="E796" s="288"/>
      <c r="F796" s="288"/>
      <c r="G796" s="450" t="str">
        <f t="shared" si="35"/>
        <v>--</v>
      </c>
      <c r="H796" s="182"/>
      <c r="I796" s="892"/>
      <c r="J796" s="288"/>
      <c r="K796" s="182"/>
      <c r="L796" s="182"/>
      <c r="M796" s="270"/>
      <c r="N796" s="892"/>
      <c r="O796" s="892"/>
      <c r="P796" s="259"/>
      <c r="Q796" s="114"/>
      <c r="R796" s="270"/>
      <c r="S796" s="270"/>
      <c r="T796" s="270"/>
      <c r="U796" s="270"/>
      <c r="V796" s="270"/>
      <c r="W796" s="270"/>
      <c r="X796" s="270"/>
      <c r="Y796" s="270"/>
      <c r="Z796" s="270"/>
      <c r="AA796" s="270"/>
      <c r="AC796" s="85"/>
      <c r="AD796" s="85"/>
    </row>
    <row r="797" spans="3:30" ht="15" thickBot="1" x14ac:dyDescent="0.35">
      <c r="C797" s="225"/>
      <c r="D797" s="182"/>
      <c r="E797" s="182"/>
      <c r="F797" s="182"/>
      <c r="G797" s="450" t="str">
        <f t="shared" si="35"/>
        <v>--</v>
      </c>
      <c r="H797" s="182"/>
      <c r="I797" s="892"/>
      <c r="J797" s="892"/>
      <c r="K797" s="182"/>
      <c r="L797" s="182"/>
      <c r="M797" s="901" t="s">
        <v>155</v>
      </c>
      <c r="N797" s="870" t="s">
        <v>188</v>
      </c>
      <c r="O797" s="870"/>
      <c r="P797" s="276" t="s">
        <v>52</v>
      </c>
      <c r="Q797" s="871" t="s">
        <v>155</v>
      </c>
      <c r="R797" s="902"/>
      <c r="S797" s="874"/>
      <c r="T797" s="270"/>
      <c r="U797" s="270"/>
      <c r="V797" s="270"/>
      <c r="W797" s="270"/>
      <c r="X797" s="270"/>
      <c r="Y797" s="270"/>
      <c r="Z797" s="270"/>
      <c r="AA797" s="270"/>
      <c r="AC797" s="85"/>
      <c r="AD797" s="85"/>
    </row>
    <row r="798" spans="3:30" ht="15" thickBot="1" x14ac:dyDescent="0.35">
      <c r="C798" s="566" t="s">
        <v>385</v>
      </c>
      <c r="D798" s="875" t="str">
        <f>VLOOKUP(C798,'Airport Mapping'!$C$5:$D$39,2,FALSE)</f>
        <v xml:space="preserve"> </v>
      </c>
      <c r="E798" s="567" t="s">
        <v>8</v>
      </c>
      <c r="F798" s="567" t="s">
        <v>52</v>
      </c>
      <c r="G798" s="450" t="str">
        <f t="shared" si="35"/>
        <v>Office Building C-Other-Other 1</v>
      </c>
      <c r="H798" s="567" t="s">
        <v>362</v>
      </c>
      <c r="I798" s="877" t="s">
        <v>64</v>
      </c>
      <c r="J798" s="878">
        <f>SUMIFS('Level of Efficiency Assumptions'!J:J,'Level of Efficiency Assumptions'!D:D,E798,'Level of Efficiency Assumptions'!F:F,F798,'Level of Efficiency Assumptions'!I:I,I798)</f>
        <v>10</v>
      </c>
      <c r="K798" s="383" t="s">
        <v>588</v>
      </c>
      <c r="L798" s="253" t="s">
        <v>64</v>
      </c>
      <c r="M798" s="879">
        <f>SUM(Q798:Q798)</f>
        <v>0</v>
      </c>
      <c r="N798" s="880">
        <f>IFERROR(M798/M801,"-")</f>
        <v>0</v>
      </c>
      <c r="O798" s="881">
        <f>SUMIFS('Data Entry'!R:R,'Data Entry'!K:K,G798)</f>
        <v>0</v>
      </c>
      <c r="P798" s="272" t="s">
        <v>129</v>
      </c>
      <c r="Q798" s="895">
        <v>0</v>
      </c>
      <c r="R798" s="114"/>
      <c r="S798" s="884"/>
      <c r="T798" s="270"/>
      <c r="U798" s="270"/>
      <c r="V798" s="270"/>
      <c r="W798" s="270"/>
      <c r="X798" s="270"/>
      <c r="Y798" s="270"/>
      <c r="Z798" s="270"/>
      <c r="AA798" s="270"/>
      <c r="AC798" s="85"/>
      <c r="AD798" s="85"/>
    </row>
    <row r="799" spans="3:30" ht="15" thickBot="1" x14ac:dyDescent="0.35">
      <c r="C799" s="494" t="s">
        <v>385</v>
      </c>
      <c r="D799" s="577"/>
      <c r="E799" s="577" t="s">
        <v>8</v>
      </c>
      <c r="F799" s="577" t="s">
        <v>52</v>
      </c>
      <c r="G799" s="450" t="str">
        <f t="shared" si="35"/>
        <v>Office Building C-Other-Other 1</v>
      </c>
      <c r="H799" s="577"/>
      <c r="I799" s="887" t="s">
        <v>65</v>
      </c>
      <c r="J799" s="878">
        <f>SUMIFS('Level of Efficiency Assumptions'!J:J,'Level of Efficiency Assumptions'!D:D,E799,'Level of Efficiency Assumptions'!F:F,F799,'Level of Efficiency Assumptions'!I:I,I799)</f>
        <v>7.5</v>
      </c>
      <c r="K799" s="383" t="s">
        <v>588</v>
      </c>
      <c r="L799" s="255" t="s">
        <v>65</v>
      </c>
      <c r="M799" s="879">
        <f t="shared" ref="M799:M800" si="36">SUM(Q799:Q799)</f>
        <v>1</v>
      </c>
      <c r="N799" s="880">
        <f>IFERROR(M799/M801,"-")</f>
        <v>1</v>
      </c>
      <c r="O799" s="881">
        <f>SUMIFS('Data Entry'!S:S,'Data Entry'!K:K,G799)</f>
        <v>0</v>
      </c>
      <c r="P799" s="274" t="s">
        <v>233</v>
      </c>
      <c r="Q799" s="895">
        <v>1</v>
      </c>
      <c r="R799" s="114"/>
      <c r="S799" s="884"/>
      <c r="T799" s="270"/>
      <c r="U799" s="270"/>
      <c r="V799" s="270"/>
      <c r="W799" s="270"/>
      <c r="X799" s="270"/>
      <c r="Y799" s="270"/>
      <c r="Z799" s="270"/>
      <c r="AA799" s="270"/>
      <c r="AC799" s="85"/>
      <c r="AD799" s="85"/>
    </row>
    <row r="800" spans="3:30" ht="15" thickBot="1" x14ac:dyDescent="0.35">
      <c r="C800" s="501" t="s">
        <v>385</v>
      </c>
      <c r="D800" s="116"/>
      <c r="E800" s="116" t="s">
        <v>8</v>
      </c>
      <c r="F800" s="116" t="s">
        <v>52</v>
      </c>
      <c r="G800" s="450" t="str">
        <f t="shared" si="35"/>
        <v>Office Building C-Other-Other 1</v>
      </c>
      <c r="H800" s="116"/>
      <c r="I800" s="889" t="s">
        <v>66</v>
      </c>
      <c r="J800" s="890">
        <f>SUMIFS('Level of Efficiency Assumptions'!J:J,'Level of Efficiency Assumptions'!D:D,E800,'Level of Efficiency Assumptions'!F:F,F800,'Level of Efficiency Assumptions'!I:I,I800)</f>
        <v>5</v>
      </c>
      <c r="K800" s="383" t="s">
        <v>588</v>
      </c>
      <c r="L800" s="257" t="s">
        <v>66</v>
      </c>
      <c r="M800" s="879">
        <f t="shared" si="36"/>
        <v>0</v>
      </c>
      <c r="N800" s="880">
        <f>IFERROR(M800/M801,"-")</f>
        <v>0</v>
      </c>
      <c r="O800" s="881">
        <f>SUMIFS('Data Entry'!T:T,'Data Entry'!K:K,G800)</f>
        <v>0</v>
      </c>
      <c r="P800" s="269" t="s">
        <v>234</v>
      </c>
      <c r="Q800" s="895">
        <v>0</v>
      </c>
      <c r="R800" s="114"/>
      <c r="S800" s="884"/>
      <c r="T800" s="270"/>
      <c r="U800" s="270"/>
      <c r="V800" s="270"/>
      <c r="W800" s="270"/>
      <c r="X800" s="270"/>
      <c r="Y800" s="270"/>
      <c r="Z800" s="270"/>
      <c r="AA800" s="270"/>
      <c r="AC800" s="85"/>
      <c r="AD800" s="85"/>
    </row>
    <row r="801" spans="3:31" x14ac:dyDescent="0.3">
      <c r="C801" s="450"/>
      <c r="D801" s="182"/>
      <c r="E801" s="182"/>
      <c r="F801" s="182"/>
      <c r="G801" s="450" t="str">
        <f t="shared" si="35"/>
        <v>--</v>
      </c>
      <c r="H801" s="182"/>
      <c r="I801" s="440"/>
      <c r="J801" s="892"/>
      <c r="K801" s="259"/>
      <c r="L801" s="259" t="s">
        <v>46</v>
      </c>
      <c r="M801" s="893">
        <f>SUM(M798:M800)</f>
        <v>1</v>
      </c>
      <c r="N801" s="894"/>
      <c r="O801" s="894">
        <f>SUM(O798:O800)</f>
        <v>0</v>
      </c>
      <c r="P801" s="263" t="s">
        <v>46</v>
      </c>
      <c r="Q801" s="897">
        <f>SUM(Q798:Q800)</f>
        <v>1</v>
      </c>
      <c r="R801" s="899"/>
      <c r="S801" s="900"/>
      <c r="T801" s="270"/>
      <c r="U801" s="270"/>
      <c r="V801" s="270"/>
      <c r="W801" s="270"/>
      <c r="X801" s="270"/>
      <c r="Y801" s="270"/>
      <c r="Z801" s="270"/>
      <c r="AA801" s="270"/>
      <c r="AC801" s="85"/>
      <c r="AD801" s="85"/>
    </row>
    <row r="802" spans="3:31" x14ac:dyDescent="0.3">
      <c r="C802" s="450"/>
      <c r="D802" s="182"/>
      <c r="E802" s="182"/>
      <c r="F802" s="182"/>
      <c r="G802" s="450" t="str">
        <f t="shared" si="35"/>
        <v>--</v>
      </c>
      <c r="H802" s="182"/>
      <c r="I802" s="892"/>
      <c r="J802" s="288"/>
      <c r="K802" s="182"/>
      <c r="L802" s="182"/>
      <c r="M802" s="270"/>
      <c r="N802" s="892"/>
      <c r="O802" s="892"/>
      <c r="P802" s="270"/>
      <c r="Q802" s="270"/>
      <c r="R802" s="270"/>
      <c r="S802" s="270"/>
      <c r="T802" s="270"/>
      <c r="U802" s="270"/>
      <c r="V802" s="270"/>
      <c r="W802" s="270"/>
      <c r="X802" s="270"/>
      <c r="Y802" s="270"/>
      <c r="Z802" s="270"/>
      <c r="AA802" s="270"/>
      <c r="AC802" s="85"/>
      <c r="AD802" s="85"/>
    </row>
    <row r="803" spans="3:31" ht="15" thickBot="1" x14ac:dyDescent="0.35">
      <c r="C803" s="450"/>
      <c r="D803" s="182"/>
      <c r="E803" s="182"/>
      <c r="F803" s="182"/>
      <c r="G803" s="450" t="str">
        <f t="shared" si="35"/>
        <v>--</v>
      </c>
      <c r="H803" s="182"/>
      <c r="I803" s="892"/>
      <c r="J803" s="892"/>
      <c r="K803" s="182"/>
      <c r="L803" s="182"/>
      <c r="M803" s="901" t="s">
        <v>155</v>
      </c>
      <c r="N803" s="870" t="s">
        <v>188</v>
      </c>
      <c r="O803" s="870"/>
      <c r="P803" s="276" t="s">
        <v>53</v>
      </c>
      <c r="Q803" s="871" t="s">
        <v>155</v>
      </c>
      <c r="R803" s="902"/>
      <c r="S803" s="874"/>
      <c r="T803" s="270"/>
      <c r="U803" s="270"/>
      <c r="V803" s="270"/>
      <c r="W803" s="270"/>
      <c r="X803" s="270"/>
      <c r="Y803" s="270"/>
      <c r="Z803" s="270"/>
      <c r="AA803" s="270"/>
      <c r="AC803" s="85"/>
      <c r="AD803" s="85"/>
    </row>
    <row r="804" spans="3:31" ht="15" thickBot="1" x14ac:dyDescent="0.35">
      <c r="C804" s="566" t="s">
        <v>385</v>
      </c>
      <c r="D804" s="875" t="str">
        <f>VLOOKUP(C804,'Airport Mapping'!$C$5:$D$39,2,FALSE)</f>
        <v xml:space="preserve"> </v>
      </c>
      <c r="E804" s="567" t="s">
        <v>8</v>
      </c>
      <c r="F804" s="567" t="s">
        <v>53</v>
      </c>
      <c r="G804" s="450" t="str">
        <f t="shared" si="35"/>
        <v>Office Building C-Other-Other 2</v>
      </c>
      <c r="H804" s="567" t="s">
        <v>363</v>
      </c>
      <c r="I804" s="877" t="s">
        <v>64</v>
      </c>
      <c r="J804" s="878">
        <f>SUMIFS('Level of Efficiency Assumptions'!J:J,'Level of Efficiency Assumptions'!D:D,E804,'Level of Efficiency Assumptions'!F:F,F804,'Level of Efficiency Assumptions'!I:I,I804)</f>
        <v>10</v>
      </c>
      <c r="K804" s="383" t="s">
        <v>588</v>
      </c>
      <c r="L804" s="253" t="s">
        <v>64</v>
      </c>
      <c r="M804" s="879">
        <f>SUM(Q804:Q804)</f>
        <v>0</v>
      </c>
      <c r="N804" s="880">
        <f>IFERROR(M804/M807,"-")</f>
        <v>0</v>
      </c>
      <c r="O804" s="881">
        <f>SUMIFS('Data Entry'!R:R,'Data Entry'!K:K,G804)</f>
        <v>0</v>
      </c>
      <c r="P804" s="272" t="s">
        <v>129</v>
      </c>
      <c r="Q804" s="895">
        <v>0</v>
      </c>
      <c r="R804" s="114"/>
      <c r="S804" s="884"/>
      <c r="T804" s="270"/>
      <c r="U804" s="270"/>
      <c r="V804" s="270"/>
      <c r="W804" s="270"/>
      <c r="X804" s="270"/>
      <c r="Y804" s="270"/>
      <c r="Z804" s="270"/>
      <c r="AA804" s="270"/>
      <c r="AC804" s="85"/>
      <c r="AD804" s="85"/>
    </row>
    <row r="805" spans="3:31" ht="15" thickBot="1" x14ac:dyDescent="0.35">
      <c r="C805" s="494" t="s">
        <v>385</v>
      </c>
      <c r="D805" s="577"/>
      <c r="E805" s="577" t="s">
        <v>8</v>
      </c>
      <c r="F805" s="577" t="s">
        <v>53</v>
      </c>
      <c r="G805" s="450" t="str">
        <f t="shared" si="35"/>
        <v>Office Building C-Other-Other 2</v>
      </c>
      <c r="H805" s="577"/>
      <c r="I805" s="887" t="s">
        <v>65</v>
      </c>
      <c r="J805" s="878">
        <f>SUMIFS('Level of Efficiency Assumptions'!J:J,'Level of Efficiency Assumptions'!D:D,E805,'Level of Efficiency Assumptions'!F:F,F805,'Level of Efficiency Assumptions'!I:I,I805)</f>
        <v>7.5</v>
      </c>
      <c r="K805" s="383" t="s">
        <v>588</v>
      </c>
      <c r="L805" s="255" t="s">
        <v>65</v>
      </c>
      <c r="M805" s="879">
        <f t="shared" ref="M805:M806" si="37">SUM(Q805:Q805)</f>
        <v>1</v>
      </c>
      <c r="N805" s="880">
        <f>IFERROR(M805/M807,"-")</f>
        <v>1</v>
      </c>
      <c r="O805" s="881">
        <f>SUMIFS('Data Entry'!S:S,'Data Entry'!K:K,G805)</f>
        <v>0</v>
      </c>
      <c r="P805" s="274" t="s">
        <v>233</v>
      </c>
      <c r="Q805" s="895">
        <v>1</v>
      </c>
      <c r="R805" s="114"/>
      <c r="S805" s="884"/>
      <c r="T805" s="270"/>
      <c r="U805" s="270"/>
      <c r="V805" s="270"/>
      <c r="W805" s="270"/>
      <c r="X805" s="270"/>
      <c r="Y805" s="270"/>
      <c r="Z805" s="270"/>
      <c r="AA805" s="270"/>
      <c r="AC805" s="85"/>
      <c r="AD805" s="85"/>
    </row>
    <row r="806" spans="3:31" ht="15" thickBot="1" x14ac:dyDescent="0.35">
      <c r="C806" s="501" t="s">
        <v>385</v>
      </c>
      <c r="D806" s="116"/>
      <c r="E806" s="116" t="s">
        <v>8</v>
      </c>
      <c r="F806" s="116" t="s">
        <v>53</v>
      </c>
      <c r="G806" s="450" t="str">
        <f t="shared" si="35"/>
        <v>Office Building C-Other-Other 2</v>
      </c>
      <c r="H806" s="116"/>
      <c r="I806" s="889" t="s">
        <v>66</v>
      </c>
      <c r="J806" s="890">
        <f>SUMIFS('Level of Efficiency Assumptions'!J:J,'Level of Efficiency Assumptions'!D:D,E806,'Level of Efficiency Assumptions'!F:F,F806,'Level of Efficiency Assumptions'!I:I,I806)</f>
        <v>5</v>
      </c>
      <c r="K806" s="383" t="s">
        <v>588</v>
      </c>
      <c r="L806" s="257" t="s">
        <v>66</v>
      </c>
      <c r="M806" s="879">
        <f t="shared" si="37"/>
        <v>0</v>
      </c>
      <c r="N806" s="880">
        <f>IFERROR(M806/M807,"-")</f>
        <v>0</v>
      </c>
      <c r="O806" s="881">
        <f>SUMIFS('Data Entry'!T:T,'Data Entry'!K:K,G806)</f>
        <v>0</v>
      </c>
      <c r="P806" s="269" t="s">
        <v>234</v>
      </c>
      <c r="Q806" s="895">
        <v>0</v>
      </c>
      <c r="R806" s="114"/>
      <c r="S806" s="884"/>
      <c r="T806" s="270"/>
      <c r="U806" s="270"/>
      <c r="V806" s="270"/>
      <c r="W806" s="270"/>
      <c r="X806" s="270"/>
      <c r="Y806" s="270"/>
      <c r="Z806" s="270"/>
      <c r="AA806" s="270"/>
      <c r="AC806" s="85"/>
      <c r="AD806" s="85"/>
    </row>
    <row r="807" spans="3:31" x14ac:dyDescent="0.3">
      <c r="C807" s="450"/>
      <c r="D807" s="182"/>
      <c r="E807" s="182"/>
      <c r="F807" s="182"/>
      <c r="G807" s="450" t="str">
        <f t="shared" si="35"/>
        <v>--</v>
      </c>
      <c r="H807" s="182"/>
      <c r="I807" s="440"/>
      <c r="J807" s="892"/>
      <c r="K807" s="259"/>
      <c r="L807" s="259" t="s">
        <v>46</v>
      </c>
      <c r="M807" s="893">
        <f>SUM(M804:M806)</f>
        <v>1</v>
      </c>
      <c r="N807" s="894"/>
      <c r="O807" s="894">
        <f>SUM(O804:O806)</f>
        <v>0</v>
      </c>
      <c r="P807" s="263" t="s">
        <v>46</v>
      </c>
      <c r="Q807" s="897">
        <f>SUM(Q804:Q806)</f>
        <v>1</v>
      </c>
      <c r="R807" s="899"/>
      <c r="S807" s="900"/>
      <c r="T807" s="270"/>
      <c r="U807" s="270"/>
      <c r="V807" s="270"/>
      <c r="W807" s="270"/>
      <c r="X807" s="270"/>
      <c r="Y807" s="270"/>
      <c r="Z807" s="270"/>
      <c r="AA807" s="270"/>
      <c r="AC807" s="85"/>
      <c r="AD807" s="85"/>
    </row>
    <row r="808" spans="3:31" x14ac:dyDescent="0.3">
      <c r="C808" s="450"/>
      <c r="D808" s="182"/>
      <c r="E808" s="182"/>
      <c r="F808" s="182"/>
      <c r="G808" s="450" t="str">
        <f t="shared" si="35"/>
        <v>--</v>
      </c>
      <c r="H808" s="182"/>
      <c r="I808" s="892"/>
      <c r="J808" s="288"/>
      <c r="K808" s="288"/>
      <c r="L808" s="182"/>
      <c r="M808" s="270"/>
      <c r="N808" s="892"/>
      <c r="O808" s="892"/>
      <c r="P808" s="270"/>
      <c r="Q808" s="270"/>
      <c r="R808" s="270"/>
      <c r="S808" s="270"/>
      <c r="T808" s="270"/>
      <c r="U808" s="270"/>
      <c r="V808" s="270"/>
      <c r="W808" s="270"/>
      <c r="X808" s="270"/>
      <c r="Y808" s="270"/>
      <c r="Z808" s="270"/>
      <c r="AA808" s="270"/>
      <c r="AC808" s="85"/>
      <c r="AD808" s="85"/>
    </row>
    <row r="809" spans="3:31" ht="15" thickBot="1" x14ac:dyDescent="0.35">
      <c r="C809" s="450"/>
      <c r="D809" s="182"/>
      <c r="E809" s="182"/>
      <c r="F809" s="182"/>
      <c r="G809" s="450" t="str">
        <f t="shared" ref="G809:G871" si="38">C809&amp;"-"&amp;E809&amp;"-"&amp;F809</f>
        <v>--</v>
      </c>
      <c r="H809" s="182"/>
      <c r="I809" s="892"/>
      <c r="J809" s="892"/>
      <c r="K809" s="182"/>
      <c r="L809" s="182"/>
      <c r="M809" s="901" t="s">
        <v>155</v>
      </c>
      <c r="N809" s="870" t="s">
        <v>188</v>
      </c>
      <c r="O809" s="870"/>
      <c r="P809" s="276" t="s">
        <v>54</v>
      </c>
      <c r="Q809" s="871" t="s">
        <v>155</v>
      </c>
      <c r="R809" s="902"/>
      <c r="S809" s="874"/>
      <c r="T809" s="270"/>
      <c r="U809" s="270"/>
      <c r="V809" s="270"/>
      <c r="W809" s="270"/>
      <c r="X809" s="270"/>
      <c r="Y809" s="270"/>
      <c r="Z809" s="270"/>
      <c r="AA809" s="270"/>
      <c r="AC809" s="85"/>
      <c r="AD809" s="85"/>
    </row>
    <row r="810" spans="3:31" ht="15" thickBot="1" x14ac:dyDescent="0.35">
      <c r="C810" s="566" t="s">
        <v>385</v>
      </c>
      <c r="D810" s="875" t="str">
        <f>VLOOKUP(C810,'Airport Mapping'!$C$5:$D$39,2,FALSE)</f>
        <v xml:space="preserve"> </v>
      </c>
      <c r="E810" s="567" t="s">
        <v>8</v>
      </c>
      <c r="F810" s="567" t="s">
        <v>54</v>
      </c>
      <c r="G810" s="450" t="str">
        <f t="shared" si="38"/>
        <v>Office Building C-Other-Other 3</v>
      </c>
      <c r="H810" s="567" t="s">
        <v>364</v>
      </c>
      <c r="I810" s="877" t="s">
        <v>64</v>
      </c>
      <c r="J810" s="878">
        <f>SUMIFS('Level of Efficiency Assumptions'!J:J,'Level of Efficiency Assumptions'!D:D,E810,'Level of Efficiency Assumptions'!F:F,F810,'Level of Efficiency Assumptions'!I:I,I810)</f>
        <v>10</v>
      </c>
      <c r="K810" s="383" t="s">
        <v>588</v>
      </c>
      <c r="L810" s="253" t="s">
        <v>64</v>
      </c>
      <c r="M810" s="879">
        <f>SUM(Q810:Q810)</f>
        <v>0</v>
      </c>
      <c r="N810" s="880">
        <f>IFERROR(M810/M813,"-")</f>
        <v>0</v>
      </c>
      <c r="O810" s="881">
        <f>SUMIFS('Data Entry'!R:R,'Data Entry'!K:K,G810)</f>
        <v>0</v>
      </c>
      <c r="P810" s="272" t="s">
        <v>129</v>
      </c>
      <c r="Q810" s="895">
        <v>0</v>
      </c>
      <c r="R810" s="114"/>
      <c r="S810" s="884"/>
      <c r="T810" s="270"/>
      <c r="U810" s="270"/>
      <c r="V810" s="270"/>
      <c r="W810" s="270"/>
      <c r="X810" s="270"/>
      <c r="Y810" s="270"/>
      <c r="Z810" s="270"/>
      <c r="AA810" s="270"/>
      <c r="AC810" s="85"/>
      <c r="AD810" s="85"/>
    </row>
    <row r="811" spans="3:31" ht="15" thickBot="1" x14ac:dyDescent="0.35">
      <c r="C811" s="494" t="s">
        <v>385</v>
      </c>
      <c r="D811" s="577"/>
      <c r="E811" s="577" t="s">
        <v>8</v>
      </c>
      <c r="F811" s="577" t="s">
        <v>54</v>
      </c>
      <c r="G811" s="450" t="str">
        <f t="shared" si="38"/>
        <v>Office Building C-Other-Other 3</v>
      </c>
      <c r="H811" s="577"/>
      <c r="I811" s="887" t="s">
        <v>65</v>
      </c>
      <c r="J811" s="878">
        <f>SUMIFS('Level of Efficiency Assumptions'!J:J,'Level of Efficiency Assumptions'!D:D,E811,'Level of Efficiency Assumptions'!F:F,F811,'Level of Efficiency Assumptions'!I:I,I811)</f>
        <v>7.5</v>
      </c>
      <c r="K811" s="383" t="s">
        <v>588</v>
      </c>
      <c r="L811" s="255" t="s">
        <v>65</v>
      </c>
      <c r="M811" s="879">
        <f t="shared" ref="M811:M812" si="39">SUM(Q811:Q811)</f>
        <v>1</v>
      </c>
      <c r="N811" s="880">
        <f>IFERROR(M811/M813,"-")</f>
        <v>1</v>
      </c>
      <c r="O811" s="881">
        <f>SUMIFS('Data Entry'!S:S,'Data Entry'!K:K,G811)</f>
        <v>0</v>
      </c>
      <c r="P811" s="274" t="s">
        <v>233</v>
      </c>
      <c r="Q811" s="895">
        <v>1</v>
      </c>
      <c r="R811" s="114"/>
      <c r="S811" s="884"/>
      <c r="T811" s="270"/>
      <c r="U811" s="270"/>
      <c r="V811" s="270"/>
      <c r="W811" s="270"/>
      <c r="X811" s="270"/>
      <c r="Y811" s="270"/>
      <c r="Z811" s="270"/>
      <c r="AA811" s="270"/>
      <c r="AC811" s="85"/>
      <c r="AD811" s="85"/>
    </row>
    <row r="812" spans="3:31" ht="15" thickBot="1" x14ac:dyDescent="0.35">
      <c r="C812" s="501" t="s">
        <v>385</v>
      </c>
      <c r="D812" s="116"/>
      <c r="E812" s="116" t="s">
        <v>8</v>
      </c>
      <c r="F812" s="116" t="s">
        <v>54</v>
      </c>
      <c r="G812" s="450" t="str">
        <f t="shared" si="38"/>
        <v>Office Building C-Other-Other 3</v>
      </c>
      <c r="H812" s="116"/>
      <c r="I812" s="889" t="s">
        <v>66</v>
      </c>
      <c r="J812" s="890">
        <f>SUMIFS('Level of Efficiency Assumptions'!J:J,'Level of Efficiency Assumptions'!D:D,E812,'Level of Efficiency Assumptions'!F:F,F812,'Level of Efficiency Assumptions'!I:I,I812)</f>
        <v>5</v>
      </c>
      <c r="K812" s="383" t="s">
        <v>588</v>
      </c>
      <c r="L812" s="257" t="s">
        <v>66</v>
      </c>
      <c r="M812" s="879">
        <f t="shared" si="39"/>
        <v>0</v>
      </c>
      <c r="N812" s="880">
        <f>IFERROR(M812/M813,"-")</f>
        <v>0</v>
      </c>
      <c r="O812" s="881">
        <f>SUMIFS('Data Entry'!T:T,'Data Entry'!K:K,G812)</f>
        <v>0</v>
      </c>
      <c r="P812" s="269" t="s">
        <v>234</v>
      </c>
      <c r="Q812" s="895">
        <v>0</v>
      </c>
      <c r="R812" s="114"/>
      <c r="S812" s="884"/>
      <c r="T812" s="270"/>
      <c r="U812" s="270"/>
      <c r="V812" s="270"/>
      <c r="W812" s="270"/>
      <c r="X812" s="270"/>
      <c r="Y812" s="270"/>
      <c r="Z812" s="270"/>
      <c r="AA812" s="270"/>
      <c r="AC812" s="85"/>
      <c r="AD812" s="85"/>
    </row>
    <row r="813" spans="3:31" x14ac:dyDescent="0.3">
      <c r="C813" s="450"/>
      <c r="D813" s="182"/>
      <c r="E813" s="182"/>
      <c r="F813" s="182"/>
      <c r="G813" s="450" t="str">
        <f t="shared" si="38"/>
        <v>--</v>
      </c>
      <c r="H813" s="182"/>
      <c r="I813" s="440"/>
      <c r="J813" s="892"/>
      <c r="K813" s="259"/>
      <c r="L813" s="259" t="s">
        <v>46</v>
      </c>
      <c r="M813" s="893">
        <f>SUM(M810:M812)</f>
        <v>1</v>
      </c>
      <c r="N813" s="894"/>
      <c r="O813" s="894">
        <f>SUM(O810:O812)</f>
        <v>0</v>
      </c>
      <c r="P813" s="263" t="s">
        <v>46</v>
      </c>
      <c r="Q813" s="897">
        <f>SUM(Q810:Q812)</f>
        <v>1</v>
      </c>
      <c r="R813" s="899"/>
      <c r="S813" s="900"/>
      <c r="T813" s="270"/>
      <c r="U813" s="270"/>
      <c r="V813" s="270"/>
      <c r="W813" s="270"/>
      <c r="X813" s="270"/>
      <c r="Y813" s="270"/>
      <c r="Z813" s="270"/>
      <c r="AA813" s="270"/>
      <c r="AC813" s="85"/>
      <c r="AD813" s="85"/>
    </row>
    <row r="814" spans="3:31" ht="15" thickBot="1" x14ac:dyDescent="0.35">
      <c r="C814" s="451"/>
      <c r="D814" s="184"/>
      <c r="E814" s="184"/>
      <c r="F814" s="184"/>
      <c r="G814" s="450" t="str">
        <f t="shared" si="38"/>
        <v>--</v>
      </c>
      <c r="H814" s="184"/>
      <c r="I814" s="184"/>
      <c r="J814" s="184"/>
      <c r="K814" s="184"/>
      <c r="L814" s="184"/>
      <c r="M814" s="278"/>
      <c r="N814" s="281"/>
      <c r="O814" s="281"/>
      <c r="P814" s="278"/>
      <c r="Q814" s="278"/>
      <c r="R814" s="278"/>
      <c r="S814" s="278"/>
      <c r="T814" s="278"/>
      <c r="U814" s="270"/>
      <c r="V814" s="270"/>
      <c r="W814" s="270"/>
      <c r="X814" s="270"/>
      <c r="Y814" s="270"/>
      <c r="Z814" s="270"/>
      <c r="AA814" s="270"/>
    </row>
    <row r="815" spans="3:31" s="45" customFormat="1" x14ac:dyDescent="0.3">
      <c r="C815" s="450"/>
      <c r="D815" s="182"/>
      <c r="E815" s="182"/>
      <c r="F815" s="182"/>
      <c r="G815" s="450" t="str">
        <f t="shared" si="38"/>
        <v>--</v>
      </c>
      <c r="H815" s="182"/>
      <c r="I815" s="892"/>
      <c r="J815" s="892"/>
      <c r="K815" s="182"/>
      <c r="L815" s="182"/>
      <c r="M815" s="270"/>
      <c r="N815" s="892"/>
      <c r="O815" s="892"/>
      <c r="P815" s="259"/>
      <c r="Q815" s="114"/>
      <c r="R815" s="114"/>
      <c r="S815" s="114"/>
      <c r="T815" s="114"/>
      <c r="U815" s="114"/>
      <c r="V815" s="114"/>
      <c r="W815" s="114"/>
      <c r="X815" s="114"/>
      <c r="Y815" s="114"/>
      <c r="Z815" s="114"/>
      <c r="AA815" s="114"/>
      <c r="AB815" s="85"/>
      <c r="AC815" s="85"/>
      <c r="AD815" s="85"/>
      <c r="AE815" s="85"/>
    </row>
    <row r="816" spans="3:31" s="45" customFormat="1" ht="15" thickBot="1" x14ac:dyDescent="0.35">
      <c r="C816" s="450"/>
      <c r="D816" s="182"/>
      <c r="E816" s="182"/>
      <c r="F816" s="182"/>
      <c r="G816" s="450" t="str">
        <f t="shared" si="38"/>
        <v>--</v>
      </c>
      <c r="H816" s="182"/>
      <c r="I816" s="892"/>
      <c r="J816" s="892"/>
      <c r="K816" s="182"/>
      <c r="L816" s="182"/>
      <c r="M816" s="901" t="s">
        <v>155</v>
      </c>
      <c r="N816" s="870" t="s">
        <v>188</v>
      </c>
      <c r="O816" s="870"/>
      <c r="P816" s="252" t="s">
        <v>158</v>
      </c>
      <c r="Q816" s="871" t="s">
        <v>155</v>
      </c>
      <c r="R816" s="872" t="s">
        <v>168</v>
      </c>
      <c r="S816" s="872" t="s">
        <v>169</v>
      </c>
      <c r="T816" s="873"/>
      <c r="U816" s="874"/>
      <c r="V816" s="270"/>
      <c r="W816" s="270"/>
      <c r="X816" s="270"/>
      <c r="Y816" s="114"/>
      <c r="Z816" s="270"/>
      <c r="AA816" s="270"/>
      <c r="AB816" s="125"/>
      <c r="AC816" s="85"/>
      <c r="AD816" s="85"/>
      <c r="AE816" s="85"/>
    </row>
    <row r="817" spans="3:30" ht="15" thickBot="1" x14ac:dyDescent="0.35">
      <c r="C817" s="566" t="s">
        <v>386</v>
      </c>
      <c r="D817" s="875" t="str">
        <f>VLOOKUP(C817,'Airport Mapping'!$C$5:$D$39,2,FALSE)</f>
        <v xml:space="preserve"> </v>
      </c>
      <c r="E817" s="567" t="s">
        <v>37</v>
      </c>
      <c r="F817" s="567" t="s">
        <v>2</v>
      </c>
      <c r="G817" s="450" t="str">
        <f t="shared" si="38"/>
        <v>Office Building D-Restrooms-Toilets</v>
      </c>
      <c r="H817" s="567" t="s">
        <v>6</v>
      </c>
      <c r="I817" s="877" t="s">
        <v>64</v>
      </c>
      <c r="J817" s="878">
        <f>SUMIFS('Level of Efficiency Assumptions'!J:J,'Level of Efficiency Assumptions'!D:D,E817,'Level of Efficiency Assumptions'!F:F,F817,'Level of Efficiency Assumptions'!I:I,I817)</f>
        <v>3.5</v>
      </c>
      <c r="K817" s="383" t="s">
        <v>68</v>
      </c>
      <c r="L817" s="253" t="s">
        <v>64</v>
      </c>
      <c r="M817" s="879">
        <f>Q817+Q823</f>
        <v>0</v>
      </c>
      <c r="N817" s="880">
        <f>IFERROR(M817/M820,"-")</f>
        <v>0</v>
      </c>
      <c r="O817" s="881">
        <f>SUMIFS('Data Entry'!R:R,'Data Entry'!K:K,G817)</f>
        <v>0</v>
      </c>
      <c r="P817" s="254" t="s">
        <v>159</v>
      </c>
      <c r="Q817" s="882">
        <v>0</v>
      </c>
      <c r="R817" s="883"/>
      <c r="S817" s="883"/>
      <c r="T817" s="114" t="s">
        <v>182</v>
      </c>
      <c r="U817" s="884"/>
      <c r="V817" s="270"/>
      <c r="W817" s="270"/>
      <c r="X817" s="270"/>
      <c r="Y817" s="114"/>
      <c r="Z817" s="270"/>
      <c r="AA817" s="270"/>
      <c r="AC817" s="85"/>
      <c r="AD817" s="85"/>
    </row>
    <row r="818" spans="3:30" ht="15" thickBot="1" x14ac:dyDescent="0.35">
      <c r="C818" s="494" t="s">
        <v>386</v>
      </c>
      <c r="D818" s="577"/>
      <c r="E818" s="577" t="s">
        <v>37</v>
      </c>
      <c r="F818" s="577" t="s">
        <v>2</v>
      </c>
      <c r="G818" s="450" t="str">
        <f t="shared" si="38"/>
        <v>Office Building D-Restrooms-Toilets</v>
      </c>
      <c r="H818" s="577"/>
      <c r="I818" s="887" t="s">
        <v>65</v>
      </c>
      <c r="J818" s="878">
        <f>SUMIFS('Level of Efficiency Assumptions'!J:J,'Level of Efficiency Assumptions'!D:D,E818,'Level of Efficiency Assumptions'!F:F,F818,'Level of Efficiency Assumptions'!I:I,I818)</f>
        <v>1.6</v>
      </c>
      <c r="K818" s="383" t="s">
        <v>68</v>
      </c>
      <c r="L818" s="255" t="s">
        <v>65</v>
      </c>
      <c r="M818" s="879">
        <f>Q818+Q821+Q824</f>
        <v>1</v>
      </c>
      <c r="N818" s="880">
        <f>IFERROR(M818/M820,"-")</f>
        <v>1</v>
      </c>
      <c r="O818" s="881">
        <f>SUMIFS('Data Entry'!S:S,'Data Entry'!K:K,G818)</f>
        <v>0</v>
      </c>
      <c r="P818" s="256" t="s">
        <v>161</v>
      </c>
      <c r="Q818" s="882">
        <v>1</v>
      </c>
      <c r="R818" s="883"/>
      <c r="S818" s="883"/>
      <c r="T818" s="114" t="s">
        <v>184</v>
      </c>
      <c r="U818" s="884"/>
      <c r="V818" s="270"/>
      <c r="W818" s="270"/>
      <c r="X818" s="270"/>
      <c r="Y818" s="114"/>
      <c r="Z818" s="270"/>
      <c r="AA818" s="270"/>
      <c r="AC818" s="85"/>
      <c r="AD818" s="85"/>
    </row>
    <row r="819" spans="3:30" ht="15" thickBot="1" x14ac:dyDescent="0.35">
      <c r="C819" s="501" t="s">
        <v>386</v>
      </c>
      <c r="D819" s="116"/>
      <c r="E819" s="116" t="s">
        <v>37</v>
      </c>
      <c r="F819" s="116" t="s">
        <v>2</v>
      </c>
      <c r="G819" s="450" t="str">
        <f t="shared" si="38"/>
        <v>Office Building D-Restrooms-Toilets</v>
      </c>
      <c r="H819" s="116"/>
      <c r="I819" s="889" t="s">
        <v>66</v>
      </c>
      <c r="J819" s="890">
        <f>SUMIFS('Level of Efficiency Assumptions'!J:J,'Level of Efficiency Assumptions'!D:D,E819,'Level of Efficiency Assumptions'!F:F,F819,'Level of Efficiency Assumptions'!I:I,I819)</f>
        <v>1.28</v>
      </c>
      <c r="K819" s="383" t="s">
        <v>68</v>
      </c>
      <c r="L819" s="257" t="s">
        <v>66</v>
      </c>
      <c r="M819" s="879">
        <f>Q819+Q820+Q822+Q825+Q826</f>
        <v>0</v>
      </c>
      <c r="N819" s="880">
        <f>IFERROR(M819/M820,"-")</f>
        <v>0</v>
      </c>
      <c r="O819" s="881">
        <f>SUMIFS('Data Entry'!T:T,'Data Entry'!K:K,G819)</f>
        <v>0</v>
      </c>
      <c r="P819" s="258" t="s">
        <v>163</v>
      </c>
      <c r="Q819" s="882">
        <v>0</v>
      </c>
      <c r="R819" s="883"/>
      <c r="S819" s="883"/>
      <c r="T819" s="891"/>
      <c r="U819" s="884"/>
      <c r="V819" s="270"/>
      <c r="W819" s="270"/>
      <c r="X819" s="270"/>
      <c r="Y819" s="114"/>
      <c r="Z819" s="270"/>
      <c r="AA819" s="270"/>
      <c r="AC819" s="85"/>
      <c r="AD819" s="85"/>
    </row>
    <row r="820" spans="3:30" x14ac:dyDescent="0.3">
      <c r="C820" s="450"/>
      <c r="D820" s="182"/>
      <c r="E820" s="182"/>
      <c r="F820" s="182"/>
      <c r="G820" s="450" t="str">
        <f t="shared" si="38"/>
        <v>--</v>
      </c>
      <c r="H820" s="182"/>
      <c r="I820" s="440"/>
      <c r="J820" s="892"/>
      <c r="K820" s="259"/>
      <c r="L820" s="259" t="s">
        <v>46</v>
      </c>
      <c r="M820" s="893">
        <f>SUM(M817:M819)</f>
        <v>1</v>
      </c>
      <c r="N820" s="894"/>
      <c r="O820" s="894">
        <f>SUM(O817:O819)</f>
        <v>0</v>
      </c>
      <c r="P820" s="258" t="s">
        <v>165</v>
      </c>
      <c r="Q820" s="882">
        <v>0</v>
      </c>
      <c r="R820" s="883"/>
      <c r="S820" s="883"/>
      <c r="T820" s="891"/>
      <c r="U820" s="884"/>
      <c r="V820" s="270"/>
      <c r="W820" s="270"/>
      <c r="X820" s="270"/>
      <c r="Y820" s="114"/>
      <c r="Z820" s="270"/>
      <c r="AA820" s="270"/>
      <c r="AC820" s="85"/>
      <c r="AD820" s="85"/>
    </row>
    <row r="821" spans="3:30" ht="15" thickBot="1" x14ac:dyDescent="0.35">
      <c r="C821" s="450"/>
      <c r="D821" s="182"/>
      <c r="E821" s="182"/>
      <c r="F821" s="182"/>
      <c r="G821" s="450" t="str">
        <f t="shared" si="38"/>
        <v>--</v>
      </c>
      <c r="H821" s="182"/>
      <c r="I821" s="892"/>
      <c r="J821" s="288"/>
      <c r="K821" s="182"/>
      <c r="L821" s="181"/>
      <c r="M821" s="181"/>
      <c r="N821" s="892"/>
      <c r="O821" s="892"/>
      <c r="P821" s="256" t="s">
        <v>166</v>
      </c>
      <c r="Q821" s="895">
        <v>0</v>
      </c>
      <c r="R821" s="883"/>
      <c r="S821" s="883"/>
      <c r="T821" s="891"/>
      <c r="U821" s="896"/>
      <c r="V821" s="891"/>
      <c r="W821" s="270"/>
      <c r="X821" s="270"/>
      <c r="Y821" s="114"/>
      <c r="Z821" s="270"/>
      <c r="AA821" s="270"/>
      <c r="AC821" s="85"/>
      <c r="AD821" s="85"/>
    </row>
    <row r="822" spans="3:30" x14ac:dyDescent="0.3">
      <c r="C822" s="450"/>
      <c r="D822" s="182"/>
      <c r="E822" s="182"/>
      <c r="F822" s="182"/>
      <c r="G822" s="450" t="str">
        <f t="shared" si="38"/>
        <v>--</v>
      </c>
      <c r="H822" s="182"/>
      <c r="I822" s="892"/>
      <c r="J822" s="288"/>
      <c r="K822" s="182"/>
      <c r="L822" s="1384" t="s">
        <v>377</v>
      </c>
      <c r="M822" s="1385"/>
      <c r="N822" s="1385"/>
      <c r="O822" s="1386"/>
      <c r="P822" s="258" t="s">
        <v>167</v>
      </c>
      <c r="Q822" s="895">
        <v>0</v>
      </c>
      <c r="R822" s="883"/>
      <c r="S822" s="883"/>
      <c r="T822" s="891"/>
      <c r="U822" s="896"/>
      <c r="V822" s="891"/>
      <c r="W822" s="270"/>
      <c r="X822" s="270"/>
      <c r="Y822" s="270"/>
      <c r="Z822" s="270"/>
      <c r="AA822" s="270"/>
      <c r="AC822" s="85"/>
      <c r="AD822" s="85"/>
    </row>
    <row r="823" spans="3:30" x14ac:dyDescent="0.3">
      <c r="C823" s="450"/>
      <c r="D823" s="182"/>
      <c r="E823" s="182"/>
      <c r="F823" s="182"/>
      <c r="G823" s="450" t="str">
        <f t="shared" si="38"/>
        <v>--</v>
      </c>
      <c r="H823" s="182"/>
      <c r="I823" s="892"/>
      <c r="J823" s="288"/>
      <c r="K823" s="182"/>
      <c r="L823" s="1387"/>
      <c r="M823" s="1388"/>
      <c r="N823" s="1388"/>
      <c r="O823" s="1389"/>
      <c r="P823" s="254" t="s">
        <v>160</v>
      </c>
      <c r="Q823" s="895">
        <v>0</v>
      </c>
      <c r="R823" s="891"/>
      <c r="S823" s="891"/>
      <c r="T823" s="891"/>
      <c r="U823" s="896"/>
      <c r="V823" s="891"/>
      <c r="W823" s="270"/>
      <c r="X823" s="270"/>
      <c r="Y823" s="270"/>
      <c r="Z823" s="270"/>
      <c r="AA823" s="270"/>
      <c r="AC823" s="85"/>
      <c r="AD823" s="85"/>
    </row>
    <row r="824" spans="3:30" x14ac:dyDescent="0.3">
      <c r="C824" s="450"/>
      <c r="D824" s="182"/>
      <c r="E824" s="182"/>
      <c r="F824" s="182"/>
      <c r="G824" s="450" t="str">
        <f t="shared" si="38"/>
        <v>--</v>
      </c>
      <c r="H824" s="182"/>
      <c r="I824" s="892"/>
      <c r="J824" s="288"/>
      <c r="K824" s="182"/>
      <c r="L824" s="1387"/>
      <c r="M824" s="1388"/>
      <c r="N824" s="1388"/>
      <c r="O824" s="1389"/>
      <c r="P824" s="256" t="s">
        <v>162</v>
      </c>
      <c r="Q824" s="895">
        <v>0</v>
      </c>
      <c r="R824" s="891"/>
      <c r="S824" s="891"/>
      <c r="T824" s="891"/>
      <c r="U824" s="896"/>
      <c r="V824" s="891"/>
      <c r="W824" s="270"/>
      <c r="X824" s="270"/>
      <c r="Y824" s="270"/>
      <c r="Z824" s="270"/>
      <c r="AA824" s="270"/>
      <c r="AC824" s="85"/>
      <c r="AD824" s="85"/>
    </row>
    <row r="825" spans="3:30" ht="15" thickBot="1" x14ac:dyDescent="0.35">
      <c r="C825" s="450"/>
      <c r="D825" s="182"/>
      <c r="E825" s="182"/>
      <c r="F825" s="182"/>
      <c r="G825" s="450" t="str">
        <f t="shared" si="38"/>
        <v>--</v>
      </c>
      <c r="H825" s="182"/>
      <c r="I825" s="892"/>
      <c r="J825" s="288"/>
      <c r="K825" s="182"/>
      <c r="L825" s="1390"/>
      <c r="M825" s="1391"/>
      <c r="N825" s="1391"/>
      <c r="O825" s="1392"/>
      <c r="P825" s="258" t="s">
        <v>164</v>
      </c>
      <c r="Q825" s="895">
        <v>0</v>
      </c>
      <c r="R825" s="114"/>
      <c r="S825" s="891"/>
      <c r="T825" s="114"/>
      <c r="U825" s="884"/>
      <c r="V825" s="114"/>
      <c r="W825" s="270"/>
      <c r="X825" s="270"/>
      <c r="Y825" s="270"/>
      <c r="Z825" s="270"/>
      <c r="AA825" s="270"/>
      <c r="AC825" s="85"/>
      <c r="AD825" s="85"/>
    </row>
    <row r="826" spans="3:30" x14ac:dyDescent="0.3">
      <c r="C826" s="450"/>
      <c r="D826" s="182"/>
      <c r="E826" s="182"/>
      <c r="F826" s="182"/>
      <c r="G826" s="450" t="str">
        <f t="shared" si="38"/>
        <v>--</v>
      </c>
      <c r="H826" s="182"/>
      <c r="I826" s="892"/>
      <c r="J826" s="288"/>
      <c r="K826" s="182"/>
      <c r="L826" s="181"/>
      <c r="M826" s="181"/>
      <c r="N826" s="892"/>
      <c r="O826" s="892"/>
      <c r="P826" s="258" t="s">
        <v>187</v>
      </c>
      <c r="Q826" s="895">
        <v>0</v>
      </c>
      <c r="R826" s="114"/>
      <c r="S826" s="891"/>
      <c r="T826" s="114"/>
      <c r="U826" s="884"/>
      <c r="V826" s="114"/>
      <c r="W826" s="270"/>
      <c r="X826" s="270"/>
      <c r="Y826" s="270"/>
      <c r="Z826" s="270"/>
      <c r="AA826" s="270"/>
      <c r="AC826" s="85"/>
      <c r="AD826" s="85"/>
    </row>
    <row r="827" spans="3:30" x14ac:dyDescent="0.3">
      <c r="C827" s="450"/>
      <c r="D827" s="182"/>
      <c r="E827" s="182"/>
      <c r="F827" s="182"/>
      <c r="G827" s="450" t="str">
        <f t="shared" si="38"/>
        <v>--</v>
      </c>
      <c r="H827" s="182"/>
      <c r="I827" s="892"/>
      <c r="J827" s="288"/>
      <c r="K827" s="182"/>
      <c r="L827" s="181"/>
      <c r="M827" s="181"/>
      <c r="N827" s="892"/>
      <c r="O827" s="892"/>
      <c r="P827" s="263" t="s">
        <v>46</v>
      </c>
      <c r="Q827" s="897">
        <f>SUM(Q817:Q826)</f>
        <v>1</v>
      </c>
      <c r="R827" s="898"/>
      <c r="S827" s="898"/>
      <c r="T827" s="899"/>
      <c r="U827" s="900"/>
      <c r="V827" s="114"/>
      <c r="W827" s="270"/>
      <c r="X827" s="270"/>
      <c r="Y827" s="270"/>
      <c r="Z827" s="270"/>
      <c r="AA827" s="270"/>
      <c r="AC827" s="85"/>
      <c r="AD827" s="85"/>
    </row>
    <row r="828" spans="3:30" x14ac:dyDescent="0.3">
      <c r="C828" s="450"/>
      <c r="D828" s="182"/>
      <c r="E828" s="182"/>
      <c r="F828" s="182"/>
      <c r="G828" s="450" t="str">
        <f t="shared" si="38"/>
        <v>--</v>
      </c>
      <c r="H828" s="182"/>
      <c r="I828" s="892"/>
      <c r="J828" s="288"/>
      <c r="K828" s="182"/>
      <c r="L828" s="181"/>
      <c r="M828" s="181"/>
      <c r="N828" s="892"/>
      <c r="O828" s="892"/>
      <c r="P828" s="114"/>
      <c r="Q828" s="114"/>
      <c r="R828" s="891"/>
      <c r="S828" s="891"/>
      <c r="T828" s="114"/>
      <c r="U828" s="114"/>
      <c r="V828" s="114"/>
      <c r="W828" s="270"/>
      <c r="X828" s="270"/>
      <c r="Y828" s="270"/>
      <c r="Z828" s="270"/>
      <c r="AA828" s="270"/>
      <c r="AC828" s="85"/>
      <c r="AD828" s="85"/>
    </row>
    <row r="829" spans="3:30" ht="15" thickBot="1" x14ac:dyDescent="0.35">
      <c r="C829" s="450"/>
      <c r="D829" s="182"/>
      <c r="E829" s="182"/>
      <c r="F829" s="182"/>
      <c r="G829" s="450" t="str">
        <f t="shared" si="38"/>
        <v>--</v>
      </c>
      <c r="H829" s="182"/>
      <c r="I829" s="892"/>
      <c r="J829" s="892"/>
      <c r="K829" s="182"/>
      <c r="L829" s="182"/>
      <c r="M829" s="901" t="s">
        <v>155</v>
      </c>
      <c r="N829" s="870" t="s">
        <v>188</v>
      </c>
      <c r="O829" s="870"/>
      <c r="P829" s="252" t="s">
        <v>175</v>
      </c>
      <c r="Q829" s="871" t="s">
        <v>155</v>
      </c>
      <c r="R829" s="872" t="s">
        <v>168</v>
      </c>
      <c r="S829" s="872" t="s">
        <v>169</v>
      </c>
      <c r="T829" s="902"/>
      <c r="U829" s="903"/>
      <c r="V829" s="270"/>
      <c r="W829" s="270"/>
      <c r="X829" s="270"/>
      <c r="Y829" s="270"/>
      <c r="Z829" s="270"/>
      <c r="AA829" s="270"/>
      <c r="AC829" s="85"/>
      <c r="AD829" s="85"/>
    </row>
    <row r="830" spans="3:30" ht="15" thickBot="1" x14ac:dyDescent="0.35">
      <c r="C830" s="566" t="s">
        <v>386</v>
      </c>
      <c r="D830" s="875" t="str">
        <f>VLOOKUP(C830,'Airport Mapping'!$C$5:$D$39,2,FALSE)</f>
        <v xml:space="preserve"> </v>
      </c>
      <c r="E830" s="567" t="s">
        <v>37</v>
      </c>
      <c r="F830" s="567" t="s">
        <v>4</v>
      </c>
      <c r="G830" s="450" t="str">
        <f t="shared" si="38"/>
        <v>Office Building D-Restrooms-Urinals</v>
      </c>
      <c r="H830" s="567" t="s">
        <v>6</v>
      </c>
      <c r="I830" s="877" t="s">
        <v>64</v>
      </c>
      <c r="J830" s="878">
        <f>SUMIFS('Level of Efficiency Assumptions'!J:J,'Level of Efficiency Assumptions'!D:D,E830,'Level of Efficiency Assumptions'!F:F,F830,'Level of Efficiency Assumptions'!I:I,I830)</f>
        <v>2</v>
      </c>
      <c r="K830" s="383" t="s">
        <v>68</v>
      </c>
      <c r="L830" s="253" t="s">
        <v>64</v>
      </c>
      <c r="M830" s="879">
        <f>Q830+Q831</f>
        <v>0</v>
      </c>
      <c r="N830" s="880">
        <f>IFERROR(M830/M833,"-")</f>
        <v>0</v>
      </c>
      <c r="O830" s="881">
        <f>SUMIFS('Data Entry'!R:R,'Data Entry'!K:K,G830)</f>
        <v>0</v>
      </c>
      <c r="P830" s="254" t="s">
        <v>177</v>
      </c>
      <c r="Q830" s="882">
        <v>0</v>
      </c>
      <c r="R830" s="883"/>
      <c r="S830" s="883"/>
      <c r="T830" s="114"/>
      <c r="U830" s="904"/>
      <c r="V830" s="270"/>
      <c r="W830" s="270"/>
      <c r="X830" s="270"/>
      <c r="Y830" s="270"/>
      <c r="Z830" s="270"/>
      <c r="AA830" s="270"/>
      <c r="AC830" s="85"/>
      <c r="AD830" s="85"/>
    </row>
    <row r="831" spans="3:30" ht="15" thickBot="1" x14ac:dyDescent="0.35">
      <c r="C831" s="494" t="s">
        <v>386</v>
      </c>
      <c r="D831" s="577"/>
      <c r="E831" s="577" t="s">
        <v>37</v>
      </c>
      <c r="F831" s="577" t="s">
        <v>4</v>
      </c>
      <c r="G831" s="450" t="str">
        <f t="shared" si="38"/>
        <v>Office Building D-Restrooms-Urinals</v>
      </c>
      <c r="H831" s="577"/>
      <c r="I831" s="887" t="s">
        <v>65</v>
      </c>
      <c r="J831" s="878">
        <f>SUMIFS('Level of Efficiency Assumptions'!J:J,'Level of Efficiency Assumptions'!D:D,E831,'Level of Efficiency Assumptions'!F:F,F831,'Level of Efficiency Assumptions'!I:I,I831)</f>
        <v>1</v>
      </c>
      <c r="K831" s="383" t="s">
        <v>68</v>
      </c>
      <c r="L831" s="255" t="s">
        <v>65</v>
      </c>
      <c r="M831" s="879">
        <f>Q832+Q833</f>
        <v>1</v>
      </c>
      <c r="N831" s="880">
        <f>IFERROR(M831/M833,"-")</f>
        <v>1</v>
      </c>
      <c r="O831" s="881">
        <f>SUMIFS('Data Entry'!S:S,'Data Entry'!K:K,G831)</f>
        <v>0</v>
      </c>
      <c r="P831" s="254" t="s">
        <v>179</v>
      </c>
      <c r="Q831" s="882">
        <v>0</v>
      </c>
      <c r="R831" s="883"/>
      <c r="S831" s="883"/>
      <c r="T831" s="114"/>
      <c r="U831" s="904"/>
      <c r="V831" s="270"/>
      <c r="W831" s="270"/>
      <c r="X831" s="270"/>
      <c r="Y831" s="270"/>
      <c r="Z831" s="270"/>
      <c r="AA831" s="270"/>
      <c r="AC831" s="85"/>
      <c r="AD831" s="85"/>
    </row>
    <row r="832" spans="3:30" ht="15" thickBot="1" x14ac:dyDescent="0.35">
      <c r="C832" s="501" t="s">
        <v>386</v>
      </c>
      <c r="D832" s="116"/>
      <c r="E832" s="116" t="s">
        <v>37</v>
      </c>
      <c r="F832" s="116" t="s">
        <v>4</v>
      </c>
      <c r="G832" s="450" t="str">
        <f t="shared" si="38"/>
        <v>Office Building D-Restrooms-Urinals</v>
      </c>
      <c r="H832" s="116"/>
      <c r="I832" s="889" t="s">
        <v>66</v>
      </c>
      <c r="J832" s="890">
        <f>SUMIFS('Level of Efficiency Assumptions'!J:J,'Level of Efficiency Assumptions'!D:D,E832,'Level of Efficiency Assumptions'!F:F,F832,'Level of Efficiency Assumptions'!I:I,I832)</f>
        <v>0.125</v>
      </c>
      <c r="K832" s="383" t="s">
        <v>68</v>
      </c>
      <c r="L832" s="257" t="s">
        <v>66</v>
      </c>
      <c r="M832" s="879">
        <f>Q834+Q835</f>
        <v>0</v>
      </c>
      <c r="N832" s="880">
        <f>IFERROR(M832/M833,"-")</f>
        <v>0</v>
      </c>
      <c r="O832" s="881">
        <f>SUMIFS('Data Entry'!T:T,'Data Entry'!K:K,G832)</f>
        <v>0</v>
      </c>
      <c r="P832" s="256" t="s">
        <v>189</v>
      </c>
      <c r="Q832" s="882">
        <v>0</v>
      </c>
      <c r="R832" s="883"/>
      <c r="S832" s="883"/>
      <c r="T832" s="114"/>
      <c r="U832" s="904"/>
      <c r="V832" s="270"/>
      <c r="W832" s="270"/>
      <c r="X832" s="270"/>
      <c r="Y832" s="270"/>
      <c r="Z832" s="270"/>
      <c r="AA832" s="270"/>
      <c r="AC832" s="85"/>
      <c r="AD832" s="85"/>
    </row>
    <row r="833" spans="3:30" x14ac:dyDescent="0.3">
      <c r="C833" s="450"/>
      <c r="D833" s="182"/>
      <c r="E833" s="182"/>
      <c r="F833" s="182"/>
      <c r="G833" s="450" t="str">
        <f t="shared" si="38"/>
        <v>--</v>
      </c>
      <c r="H833" s="182"/>
      <c r="I833" s="440"/>
      <c r="J833" s="892"/>
      <c r="K833" s="259"/>
      <c r="L833" s="259" t="s">
        <v>46</v>
      </c>
      <c r="M833" s="893">
        <f>SUM(M830:M832)</f>
        <v>1</v>
      </c>
      <c r="N833" s="894"/>
      <c r="O833" s="894">
        <f>SUM(O830:O832)</f>
        <v>0</v>
      </c>
      <c r="P833" s="256" t="s">
        <v>181</v>
      </c>
      <c r="Q833" s="882">
        <v>1</v>
      </c>
      <c r="R833" s="883"/>
      <c r="S833" s="883"/>
      <c r="T833" s="114"/>
      <c r="U833" s="264"/>
      <c r="V833" s="270"/>
      <c r="W833" s="270"/>
      <c r="X833" s="270"/>
      <c r="Y833" s="270"/>
      <c r="Z833" s="270"/>
      <c r="AA833" s="270"/>
      <c r="AC833" s="85"/>
      <c r="AD833" s="85"/>
    </row>
    <row r="834" spans="3:30" x14ac:dyDescent="0.3">
      <c r="C834" s="450"/>
      <c r="D834" s="182"/>
      <c r="E834" s="182"/>
      <c r="F834" s="182"/>
      <c r="G834" s="450" t="str">
        <f t="shared" si="38"/>
        <v>--</v>
      </c>
      <c r="H834" s="182"/>
      <c r="I834" s="892"/>
      <c r="J834" s="288"/>
      <c r="K834" s="182"/>
      <c r="L834" s="181"/>
      <c r="M834" s="181"/>
      <c r="N834" s="892"/>
      <c r="O834" s="892"/>
      <c r="P834" s="258" t="s">
        <v>183</v>
      </c>
      <c r="Q834" s="882">
        <v>0</v>
      </c>
      <c r="R834" s="883"/>
      <c r="S834" s="883"/>
      <c r="T834" s="114"/>
      <c r="U834" s="884"/>
      <c r="V834" s="114"/>
      <c r="W834" s="270"/>
      <c r="X834" s="270"/>
      <c r="Y834" s="270"/>
      <c r="Z834" s="270"/>
      <c r="AA834" s="270"/>
      <c r="AC834" s="85"/>
      <c r="AD834" s="85"/>
    </row>
    <row r="835" spans="3:30" x14ac:dyDescent="0.3">
      <c r="C835" s="450"/>
      <c r="D835" s="182"/>
      <c r="E835" s="182"/>
      <c r="F835" s="182"/>
      <c r="G835" s="450" t="str">
        <f t="shared" si="38"/>
        <v>--</v>
      </c>
      <c r="H835" s="182"/>
      <c r="I835" s="892"/>
      <c r="J835" s="288"/>
      <c r="K835" s="182"/>
      <c r="L835" s="181"/>
      <c r="M835" s="181"/>
      <c r="N835" s="892"/>
      <c r="O835" s="892"/>
      <c r="P835" s="258" t="s">
        <v>190</v>
      </c>
      <c r="Q835" s="882">
        <v>0</v>
      </c>
      <c r="R835" s="114"/>
      <c r="S835" s="114"/>
      <c r="T835" s="114"/>
      <c r="U835" s="884"/>
      <c r="V835" s="114"/>
      <c r="W835" s="270"/>
      <c r="X835" s="270"/>
      <c r="Y835" s="270"/>
      <c r="Z835" s="270"/>
      <c r="AA835" s="270"/>
      <c r="AC835" s="85"/>
      <c r="AD835" s="85"/>
    </row>
    <row r="836" spans="3:30" x14ac:dyDescent="0.3">
      <c r="C836" s="450"/>
      <c r="D836" s="182"/>
      <c r="E836" s="182"/>
      <c r="F836" s="182"/>
      <c r="G836" s="450" t="str">
        <f t="shared" si="38"/>
        <v>--</v>
      </c>
      <c r="H836" s="182"/>
      <c r="I836" s="892"/>
      <c r="J836" s="288"/>
      <c r="K836" s="182"/>
      <c r="L836" s="181"/>
      <c r="M836" s="181"/>
      <c r="N836" s="892"/>
      <c r="O836" s="892"/>
      <c r="P836" s="263" t="s">
        <v>46</v>
      </c>
      <c r="Q836" s="897">
        <f>SUM(Q830:Q835)</f>
        <v>1</v>
      </c>
      <c r="R836" s="899"/>
      <c r="S836" s="899"/>
      <c r="T836" s="899"/>
      <c r="U836" s="900"/>
      <c r="V836" s="114"/>
      <c r="W836" s="270"/>
      <c r="X836" s="270"/>
      <c r="Y836" s="270"/>
      <c r="Z836" s="270"/>
      <c r="AA836" s="270"/>
      <c r="AC836" s="85"/>
      <c r="AD836" s="85"/>
    </row>
    <row r="837" spans="3:30" x14ac:dyDescent="0.3">
      <c r="C837" s="450"/>
      <c r="D837" s="182"/>
      <c r="E837" s="182"/>
      <c r="F837" s="182"/>
      <c r="G837" s="450" t="str">
        <f t="shared" si="38"/>
        <v>--</v>
      </c>
      <c r="H837" s="182"/>
      <c r="I837" s="892"/>
      <c r="J837" s="288"/>
      <c r="K837" s="182"/>
      <c r="L837" s="181"/>
      <c r="M837" s="181"/>
      <c r="N837" s="892"/>
      <c r="O837" s="892"/>
      <c r="P837" s="262"/>
      <c r="Q837" s="114"/>
      <c r="R837" s="114"/>
      <c r="S837" s="114"/>
      <c r="T837" s="114"/>
      <c r="U837" s="114"/>
      <c r="V837" s="114"/>
      <c r="W837" s="270"/>
      <c r="X837" s="270"/>
      <c r="Y837" s="270"/>
      <c r="Z837" s="270"/>
      <c r="AA837" s="270"/>
      <c r="AC837" s="85"/>
      <c r="AD837" s="85"/>
    </row>
    <row r="838" spans="3:30" ht="15" thickBot="1" x14ac:dyDescent="0.35">
      <c r="C838" s="450"/>
      <c r="D838" s="182"/>
      <c r="E838" s="182"/>
      <c r="F838" s="182"/>
      <c r="G838" s="450" t="str">
        <f t="shared" si="38"/>
        <v>--</v>
      </c>
      <c r="H838" s="182"/>
      <c r="I838" s="892"/>
      <c r="J838" s="892"/>
      <c r="K838" s="182"/>
      <c r="L838" s="182"/>
      <c r="M838" s="901" t="s">
        <v>155</v>
      </c>
      <c r="N838" s="870" t="s">
        <v>188</v>
      </c>
      <c r="O838" s="870"/>
      <c r="P838" s="265" t="s">
        <v>33</v>
      </c>
      <c r="Q838" s="871" t="s">
        <v>155</v>
      </c>
      <c r="R838" s="872" t="s">
        <v>168</v>
      </c>
      <c r="S838" s="872" t="s">
        <v>169</v>
      </c>
      <c r="T838" s="872" t="s">
        <v>170</v>
      </c>
      <c r="U838" s="872" t="s">
        <v>171</v>
      </c>
      <c r="V838" s="902"/>
      <c r="W838" s="902"/>
      <c r="X838" s="874"/>
      <c r="Y838" s="270"/>
      <c r="Z838" s="270"/>
      <c r="AA838" s="270"/>
      <c r="AC838" s="85"/>
      <c r="AD838" s="85"/>
    </row>
    <row r="839" spans="3:30" ht="15" thickBot="1" x14ac:dyDescent="0.35">
      <c r="C839" s="566" t="s">
        <v>386</v>
      </c>
      <c r="D839" s="875" t="str">
        <f>VLOOKUP(C839,'Airport Mapping'!$C$5:$D$39,2,FALSE)</f>
        <v xml:space="preserve"> </v>
      </c>
      <c r="E839" s="567" t="s">
        <v>37</v>
      </c>
      <c r="F839" s="567" t="s">
        <v>33</v>
      </c>
      <c r="G839" s="450" t="str">
        <f t="shared" si="38"/>
        <v>Office Building D-Restrooms-Faucets</v>
      </c>
      <c r="H839" s="567" t="s">
        <v>6</v>
      </c>
      <c r="I839" s="877" t="s">
        <v>64</v>
      </c>
      <c r="J839" s="878">
        <f>SUMIFS('Level of Efficiency Assumptions'!J:J,'Level of Efficiency Assumptions'!D:D,E839,'Level of Efficiency Assumptions'!F:F,F839,'Level of Efficiency Assumptions'!I:I,I839)</f>
        <v>2</v>
      </c>
      <c r="K839" s="383" t="s">
        <v>78</v>
      </c>
      <c r="L839" s="253" t="s">
        <v>64</v>
      </c>
      <c r="M839" s="879">
        <f>Q839+Q840</f>
        <v>0</v>
      </c>
      <c r="N839" s="880">
        <f>IFERROR(M839/M842,"-")</f>
        <v>0</v>
      </c>
      <c r="O839" s="881">
        <f>SUMIFS('Data Entry'!R:R,'Data Entry'!K:K,G839)</f>
        <v>0</v>
      </c>
      <c r="P839" s="266" t="s">
        <v>180</v>
      </c>
      <c r="Q839" s="895">
        <v>0</v>
      </c>
      <c r="R839" s="883"/>
      <c r="S839" s="883"/>
      <c r="T839" s="883"/>
      <c r="U839" s="883"/>
      <c r="V839" s="114" t="s">
        <v>182</v>
      </c>
      <c r="W839" s="114"/>
      <c r="X839" s="884"/>
      <c r="Y839" s="270"/>
      <c r="Z839" s="270"/>
      <c r="AA839" s="270"/>
      <c r="AC839" s="85"/>
      <c r="AD839" s="85"/>
    </row>
    <row r="840" spans="3:30" ht="15" thickBot="1" x14ac:dyDescent="0.35">
      <c r="C840" s="494" t="s">
        <v>386</v>
      </c>
      <c r="D840" s="577"/>
      <c r="E840" s="577" t="s">
        <v>37</v>
      </c>
      <c r="F840" s="577" t="s">
        <v>33</v>
      </c>
      <c r="G840" s="450" t="str">
        <f t="shared" si="38"/>
        <v>Office Building D-Restrooms-Faucets</v>
      </c>
      <c r="H840" s="577"/>
      <c r="I840" s="887" t="s">
        <v>65</v>
      </c>
      <c r="J840" s="878">
        <f>SUMIFS('Level of Efficiency Assumptions'!J:J,'Level of Efficiency Assumptions'!D:D,E840,'Level of Efficiency Assumptions'!F:F,F840,'Level of Efficiency Assumptions'!I:I,I840)</f>
        <v>1</v>
      </c>
      <c r="K840" s="383" t="s">
        <v>78</v>
      </c>
      <c r="L840" s="255" t="s">
        <v>65</v>
      </c>
      <c r="M840" s="879">
        <f>Q841+Q842</f>
        <v>1</v>
      </c>
      <c r="N840" s="880">
        <f>IFERROR(M840/M842,"-")</f>
        <v>1</v>
      </c>
      <c r="O840" s="881">
        <f>SUMIFS('Data Entry'!S:S,'Data Entry'!K:K,G840)</f>
        <v>0</v>
      </c>
      <c r="P840" s="266" t="s">
        <v>178</v>
      </c>
      <c r="Q840" s="895">
        <v>0</v>
      </c>
      <c r="R840" s="883"/>
      <c r="S840" s="883"/>
      <c r="T840" s="883"/>
      <c r="U840" s="883"/>
      <c r="V840" s="114" t="s">
        <v>184</v>
      </c>
      <c r="W840" s="114"/>
      <c r="X840" s="884"/>
      <c r="Y840" s="270"/>
      <c r="Z840" s="270"/>
      <c r="AA840" s="270"/>
      <c r="AC840" s="85"/>
      <c r="AD840" s="85"/>
    </row>
    <row r="841" spans="3:30" ht="15" thickBot="1" x14ac:dyDescent="0.35">
      <c r="C841" s="501" t="s">
        <v>386</v>
      </c>
      <c r="D841" s="116"/>
      <c r="E841" s="116" t="s">
        <v>37</v>
      </c>
      <c r="F841" s="116" t="s">
        <v>33</v>
      </c>
      <c r="G841" s="450" t="str">
        <f t="shared" si="38"/>
        <v>Office Building D-Restrooms-Faucets</v>
      </c>
      <c r="H841" s="116"/>
      <c r="I841" s="889" t="s">
        <v>66</v>
      </c>
      <c r="J841" s="890">
        <f>SUMIFS('Level of Efficiency Assumptions'!J:J,'Level of Efficiency Assumptions'!D:D,E841,'Level of Efficiency Assumptions'!F:F,F841,'Level of Efficiency Assumptions'!I:I,I841)</f>
        <v>0.5</v>
      </c>
      <c r="K841" s="383" t="s">
        <v>78</v>
      </c>
      <c r="L841" s="257" t="s">
        <v>66</v>
      </c>
      <c r="M841" s="879">
        <f>Q843</f>
        <v>0</v>
      </c>
      <c r="N841" s="880">
        <f>IFERROR(M841/M842,"-")</f>
        <v>0</v>
      </c>
      <c r="O841" s="881">
        <f>SUMIFS('Data Entry'!T:T,'Data Entry'!K:K,G841)</f>
        <v>0</v>
      </c>
      <c r="P841" s="267" t="s">
        <v>176</v>
      </c>
      <c r="Q841" s="895">
        <v>1</v>
      </c>
      <c r="R841" s="883"/>
      <c r="S841" s="883"/>
      <c r="T841" s="883"/>
      <c r="U841" s="883"/>
      <c r="V841" s="114" t="s">
        <v>185</v>
      </c>
      <c r="W841" s="114"/>
      <c r="X841" s="884"/>
      <c r="Y841" s="270"/>
      <c r="Z841" s="270"/>
      <c r="AA841" s="270"/>
      <c r="AC841" s="85"/>
      <c r="AD841" s="85"/>
    </row>
    <row r="842" spans="3:30" x14ac:dyDescent="0.3">
      <c r="C842" s="450"/>
      <c r="D842" s="182"/>
      <c r="E842" s="182"/>
      <c r="F842" s="182"/>
      <c r="G842" s="450" t="str">
        <f t="shared" si="38"/>
        <v>--</v>
      </c>
      <c r="H842" s="182"/>
      <c r="I842" s="440"/>
      <c r="J842" s="892"/>
      <c r="K842" s="259"/>
      <c r="L842" s="259" t="s">
        <v>46</v>
      </c>
      <c r="M842" s="893">
        <f>SUM(M839:M841)</f>
        <v>1</v>
      </c>
      <c r="N842" s="894"/>
      <c r="O842" s="894">
        <f>SUM(O839:O841)</f>
        <v>0</v>
      </c>
      <c r="P842" s="256" t="s">
        <v>173</v>
      </c>
      <c r="Q842" s="895">
        <v>0</v>
      </c>
      <c r="R842" s="883"/>
      <c r="S842" s="883"/>
      <c r="T842" s="883"/>
      <c r="U842" s="883"/>
      <c r="V842" s="114" t="s">
        <v>186</v>
      </c>
      <c r="W842" s="114"/>
      <c r="X842" s="884"/>
      <c r="Y842" s="270"/>
      <c r="Z842" s="270"/>
      <c r="AA842" s="270"/>
      <c r="AC842" s="85"/>
      <c r="AD842" s="85"/>
    </row>
    <row r="843" spans="3:30" x14ac:dyDescent="0.3">
      <c r="C843" s="450"/>
      <c r="D843" s="182"/>
      <c r="E843" s="182"/>
      <c r="F843" s="182"/>
      <c r="G843" s="450" t="str">
        <f t="shared" si="38"/>
        <v>--</v>
      </c>
      <c r="H843" s="182"/>
      <c r="I843" s="892"/>
      <c r="J843" s="288"/>
      <c r="K843" s="182"/>
      <c r="L843" s="114"/>
      <c r="M843" s="114"/>
      <c r="N843" s="905"/>
      <c r="O843" s="905"/>
      <c r="P843" s="258" t="s">
        <v>172</v>
      </c>
      <c r="Q843" s="895">
        <v>0</v>
      </c>
      <c r="R843" s="883"/>
      <c r="S843" s="883"/>
      <c r="T843" s="883"/>
      <c r="U843" s="883"/>
      <c r="V843" s="114"/>
      <c r="W843" s="114"/>
      <c r="X843" s="884"/>
      <c r="Y843" s="270"/>
      <c r="Z843" s="270"/>
      <c r="AA843" s="270"/>
      <c r="AC843" s="85"/>
      <c r="AD843" s="85"/>
    </row>
    <row r="844" spans="3:30" x14ac:dyDescent="0.3">
      <c r="C844" s="450"/>
      <c r="D844" s="182"/>
      <c r="E844" s="182"/>
      <c r="F844" s="182"/>
      <c r="G844" s="450" t="str">
        <f t="shared" si="38"/>
        <v>--</v>
      </c>
      <c r="H844" s="182"/>
      <c r="I844" s="892"/>
      <c r="J844" s="288"/>
      <c r="K844" s="182"/>
      <c r="L844" s="181"/>
      <c r="M844" s="181"/>
      <c r="N844" s="892"/>
      <c r="O844" s="892"/>
      <c r="P844" s="263" t="s">
        <v>46</v>
      </c>
      <c r="Q844" s="897">
        <f>SUM(Q838:Q843)</f>
        <v>1</v>
      </c>
      <c r="R844" s="899"/>
      <c r="S844" s="899"/>
      <c r="T844" s="899"/>
      <c r="U844" s="899"/>
      <c r="V844" s="899"/>
      <c r="W844" s="899"/>
      <c r="X844" s="900"/>
      <c r="Y844" s="270"/>
      <c r="Z844" s="270"/>
      <c r="AA844" s="270"/>
      <c r="AC844" s="85"/>
      <c r="AD844" s="85"/>
    </row>
    <row r="845" spans="3:30" x14ac:dyDescent="0.3">
      <c r="C845" s="450"/>
      <c r="D845" s="182"/>
      <c r="E845" s="182"/>
      <c r="F845" s="182"/>
      <c r="G845" s="450" t="str">
        <f t="shared" si="38"/>
        <v>--</v>
      </c>
      <c r="H845" s="182"/>
      <c r="I845" s="892"/>
      <c r="J845" s="288"/>
      <c r="K845" s="182"/>
      <c r="L845" s="181"/>
      <c r="M845" s="181"/>
      <c r="N845" s="892"/>
      <c r="O845" s="892"/>
      <c r="P845" s="262"/>
      <c r="Q845" s="114"/>
      <c r="R845" s="114"/>
      <c r="S845" s="114"/>
      <c r="T845" s="114"/>
      <c r="U845" s="114"/>
      <c r="V845" s="114"/>
      <c r="W845" s="270"/>
      <c r="X845" s="270"/>
      <c r="Y845" s="270"/>
      <c r="Z845" s="270"/>
      <c r="AA845" s="270"/>
      <c r="AC845" s="85"/>
      <c r="AD845" s="85"/>
    </row>
    <row r="846" spans="3:30" ht="15" thickBot="1" x14ac:dyDescent="0.35">
      <c r="C846" s="450"/>
      <c r="D846" s="182"/>
      <c r="E846" s="182"/>
      <c r="F846" s="182"/>
      <c r="G846" s="450" t="str">
        <f t="shared" si="38"/>
        <v>--</v>
      </c>
      <c r="H846" s="182"/>
      <c r="I846" s="892"/>
      <c r="J846" s="892"/>
      <c r="K846" s="182"/>
      <c r="L846" s="182"/>
      <c r="M846" s="901" t="s">
        <v>155</v>
      </c>
      <c r="N846" s="870" t="s">
        <v>188</v>
      </c>
      <c r="O846" s="870"/>
      <c r="P846" s="265" t="s">
        <v>33</v>
      </c>
      <c r="Q846" s="871" t="s">
        <v>155</v>
      </c>
      <c r="R846" s="872" t="s">
        <v>168</v>
      </c>
      <c r="S846" s="872" t="s">
        <v>169</v>
      </c>
      <c r="T846" s="872" t="s">
        <v>170</v>
      </c>
      <c r="U846" s="872" t="s">
        <v>171</v>
      </c>
      <c r="V846" s="902"/>
      <c r="W846" s="902"/>
      <c r="X846" s="874"/>
      <c r="Y846" s="270"/>
      <c r="Z846" s="270"/>
      <c r="AA846" s="270"/>
      <c r="AC846" s="85"/>
      <c r="AD846" s="85"/>
    </row>
    <row r="847" spans="3:30" ht="15" thickBot="1" x14ac:dyDescent="0.35">
      <c r="C847" s="566" t="s">
        <v>386</v>
      </c>
      <c r="D847" s="875" t="str">
        <f>VLOOKUP(C847,'Airport Mapping'!$C$5:$D$39,2,FALSE)</f>
        <v xml:space="preserve"> </v>
      </c>
      <c r="E847" s="567" t="s">
        <v>5</v>
      </c>
      <c r="F847" s="567" t="s">
        <v>33</v>
      </c>
      <c r="G847" s="450" t="str">
        <f t="shared" si="38"/>
        <v>Office Building D-Break rooms-Faucets</v>
      </c>
      <c r="H847" s="567" t="s">
        <v>6</v>
      </c>
      <c r="I847" s="877" t="s">
        <v>64</v>
      </c>
      <c r="J847" s="878">
        <f>SUMIFS('Level of Efficiency Assumptions'!J:J,'Level of Efficiency Assumptions'!D:D,E847,'Level of Efficiency Assumptions'!F:F,F847,'Level of Efficiency Assumptions'!I:I,I847)</f>
        <v>2</v>
      </c>
      <c r="K847" s="383" t="s">
        <v>78</v>
      </c>
      <c r="L847" s="253" t="s">
        <v>64</v>
      </c>
      <c r="M847" s="879">
        <f>Q847+Q848</f>
        <v>0</v>
      </c>
      <c r="N847" s="880">
        <f>IFERROR(M847/M850,"-")</f>
        <v>0</v>
      </c>
      <c r="O847" s="881">
        <f>SUMIFS('Data Entry'!R:R,'Data Entry'!K:K,G847)</f>
        <v>0</v>
      </c>
      <c r="P847" s="266" t="s">
        <v>180</v>
      </c>
      <c r="Q847" s="895">
        <v>0</v>
      </c>
      <c r="R847" s="883"/>
      <c r="S847" s="883"/>
      <c r="T847" s="883"/>
      <c r="U847" s="883"/>
      <c r="V847" s="114" t="s">
        <v>182</v>
      </c>
      <c r="W847" s="114"/>
      <c r="X847" s="884"/>
      <c r="Y847" s="270"/>
      <c r="Z847" s="270"/>
      <c r="AA847" s="270"/>
      <c r="AC847" s="85"/>
      <c r="AD847" s="85"/>
    </row>
    <row r="848" spans="3:30" ht="15" thickBot="1" x14ac:dyDescent="0.35">
      <c r="C848" s="494" t="s">
        <v>386</v>
      </c>
      <c r="D848" s="577"/>
      <c r="E848" s="577" t="s">
        <v>5</v>
      </c>
      <c r="F848" s="577" t="s">
        <v>33</v>
      </c>
      <c r="G848" s="450" t="str">
        <f t="shared" si="38"/>
        <v>Office Building D-Break rooms-Faucets</v>
      </c>
      <c r="H848" s="577"/>
      <c r="I848" s="887" t="s">
        <v>65</v>
      </c>
      <c r="J848" s="878">
        <f>SUMIFS('Level of Efficiency Assumptions'!J:J,'Level of Efficiency Assumptions'!D:D,E848,'Level of Efficiency Assumptions'!F:F,F848,'Level of Efficiency Assumptions'!I:I,I848)</f>
        <v>1</v>
      </c>
      <c r="K848" s="383" t="s">
        <v>78</v>
      </c>
      <c r="L848" s="255" t="s">
        <v>65</v>
      </c>
      <c r="M848" s="879">
        <f>Q849+Q850</f>
        <v>1</v>
      </c>
      <c r="N848" s="880">
        <f>IFERROR(M848/M850,"-")</f>
        <v>1</v>
      </c>
      <c r="O848" s="881">
        <f>SUMIFS('Data Entry'!S:S,'Data Entry'!K:K,G848)</f>
        <v>0</v>
      </c>
      <c r="P848" s="266" t="s">
        <v>178</v>
      </c>
      <c r="Q848" s="895">
        <v>0</v>
      </c>
      <c r="R848" s="883"/>
      <c r="S848" s="883"/>
      <c r="T848" s="883"/>
      <c r="U848" s="883"/>
      <c r="V848" s="114" t="s">
        <v>184</v>
      </c>
      <c r="W848" s="114"/>
      <c r="X848" s="884"/>
      <c r="Y848" s="270"/>
      <c r="Z848" s="270"/>
      <c r="AA848" s="270"/>
      <c r="AC848" s="85"/>
      <c r="AD848" s="85"/>
    </row>
    <row r="849" spans="3:30" ht="15" thickBot="1" x14ac:dyDescent="0.35">
      <c r="C849" s="501" t="s">
        <v>386</v>
      </c>
      <c r="D849" s="116"/>
      <c r="E849" s="116" t="s">
        <v>5</v>
      </c>
      <c r="F849" s="116" t="s">
        <v>33</v>
      </c>
      <c r="G849" s="450" t="str">
        <f t="shared" si="38"/>
        <v>Office Building D-Break rooms-Faucets</v>
      </c>
      <c r="H849" s="116"/>
      <c r="I849" s="889" t="s">
        <v>66</v>
      </c>
      <c r="J849" s="890">
        <f>SUMIFS('Level of Efficiency Assumptions'!J:J,'Level of Efficiency Assumptions'!D:D,E849,'Level of Efficiency Assumptions'!F:F,F849,'Level of Efficiency Assumptions'!I:I,I849)</f>
        <v>0.5</v>
      </c>
      <c r="K849" s="383" t="s">
        <v>78</v>
      </c>
      <c r="L849" s="257" t="s">
        <v>66</v>
      </c>
      <c r="M849" s="879">
        <f>Q851</f>
        <v>0</v>
      </c>
      <c r="N849" s="880">
        <f>IFERROR(M849/M850,"-")</f>
        <v>0</v>
      </c>
      <c r="O849" s="881">
        <f>SUMIFS('Data Entry'!T:T,'Data Entry'!K:K,G849)</f>
        <v>0</v>
      </c>
      <c r="P849" s="267" t="s">
        <v>176</v>
      </c>
      <c r="Q849" s="895">
        <v>1</v>
      </c>
      <c r="R849" s="883"/>
      <c r="S849" s="883"/>
      <c r="T849" s="883"/>
      <c r="U849" s="883"/>
      <c r="V849" s="114" t="s">
        <v>185</v>
      </c>
      <c r="W849" s="114"/>
      <c r="X849" s="884"/>
      <c r="Y849" s="270"/>
      <c r="Z849" s="270"/>
      <c r="AA849" s="270"/>
      <c r="AC849" s="85"/>
      <c r="AD849" s="85"/>
    </row>
    <row r="850" spans="3:30" x14ac:dyDescent="0.3">
      <c r="C850" s="450"/>
      <c r="D850" s="182"/>
      <c r="E850" s="182"/>
      <c r="F850" s="182"/>
      <c r="G850" s="450" t="str">
        <f t="shared" si="38"/>
        <v>--</v>
      </c>
      <c r="H850" s="182"/>
      <c r="I850" s="440"/>
      <c r="J850" s="892"/>
      <c r="K850" s="259"/>
      <c r="L850" s="259" t="s">
        <v>46</v>
      </c>
      <c r="M850" s="893">
        <f>SUM(M847:M849)</f>
        <v>1</v>
      </c>
      <c r="N850" s="894"/>
      <c r="O850" s="894">
        <f>SUM(O847:O849)</f>
        <v>0</v>
      </c>
      <c r="P850" s="256" t="s">
        <v>173</v>
      </c>
      <c r="Q850" s="895">
        <v>0</v>
      </c>
      <c r="R850" s="883"/>
      <c r="S850" s="883"/>
      <c r="T850" s="883"/>
      <c r="U850" s="883"/>
      <c r="V850" s="114" t="s">
        <v>186</v>
      </c>
      <c r="W850" s="114"/>
      <c r="X850" s="884"/>
      <c r="Y850" s="270"/>
      <c r="Z850" s="270"/>
      <c r="AA850" s="270"/>
      <c r="AC850" s="85"/>
      <c r="AD850" s="85"/>
    </row>
    <row r="851" spans="3:30" x14ac:dyDescent="0.3">
      <c r="C851" s="450"/>
      <c r="D851" s="182"/>
      <c r="E851" s="182"/>
      <c r="F851" s="182"/>
      <c r="G851" s="450" t="str">
        <f t="shared" si="38"/>
        <v>--</v>
      </c>
      <c r="H851" s="182"/>
      <c r="I851" s="892"/>
      <c r="J851" s="288"/>
      <c r="K851" s="182"/>
      <c r="L851" s="182"/>
      <c r="M851" s="270"/>
      <c r="N851" s="892"/>
      <c r="O851" s="892"/>
      <c r="P851" s="258" t="s">
        <v>172</v>
      </c>
      <c r="Q851" s="895">
        <v>0</v>
      </c>
      <c r="R851" s="883"/>
      <c r="S851" s="883"/>
      <c r="T851" s="883"/>
      <c r="U851" s="883"/>
      <c r="V851" s="114"/>
      <c r="W851" s="114"/>
      <c r="X851" s="884"/>
      <c r="Y851" s="270"/>
      <c r="Z851" s="270"/>
      <c r="AA851" s="270"/>
      <c r="AC851" s="85"/>
      <c r="AD851" s="85"/>
    </row>
    <row r="852" spans="3:30" x14ac:dyDescent="0.3">
      <c r="C852" s="450"/>
      <c r="D852" s="182"/>
      <c r="E852" s="182"/>
      <c r="F852" s="182"/>
      <c r="G852" s="450" t="str">
        <f t="shared" si="38"/>
        <v>--</v>
      </c>
      <c r="H852" s="182"/>
      <c r="I852" s="892"/>
      <c r="J852" s="288"/>
      <c r="K852" s="182"/>
      <c r="L852" s="182"/>
      <c r="M852" s="270"/>
      <c r="N852" s="892"/>
      <c r="O852" s="892"/>
      <c r="P852" s="263" t="s">
        <v>46</v>
      </c>
      <c r="Q852" s="897">
        <f>SUM(Q846:Q851)</f>
        <v>1</v>
      </c>
      <c r="R852" s="899"/>
      <c r="S852" s="899"/>
      <c r="T852" s="899"/>
      <c r="U852" s="899"/>
      <c r="V852" s="899"/>
      <c r="W852" s="899"/>
      <c r="X852" s="900"/>
      <c r="Y852" s="270"/>
      <c r="Z852" s="270"/>
      <c r="AA852" s="270"/>
      <c r="AC852" s="85"/>
      <c r="AD852" s="85"/>
    </row>
    <row r="853" spans="3:30" x14ac:dyDescent="0.3">
      <c r="C853" s="450"/>
      <c r="D853" s="182"/>
      <c r="E853" s="182"/>
      <c r="F853" s="182"/>
      <c r="G853" s="450" t="str">
        <f t="shared" si="38"/>
        <v>--</v>
      </c>
      <c r="H853" s="182"/>
      <c r="I853" s="892"/>
      <c r="J853" s="288"/>
      <c r="K853" s="182"/>
      <c r="L853" s="182"/>
      <c r="M853" s="270"/>
      <c r="N853" s="892"/>
      <c r="O853" s="892"/>
      <c r="P853" s="259"/>
      <c r="Q853" s="114"/>
      <c r="R853" s="114"/>
      <c r="S853" s="114"/>
      <c r="T853" s="114"/>
      <c r="U853" s="114"/>
      <c r="V853" s="114"/>
      <c r="W853" s="270"/>
      <c r="X853" s="270"/>
      <c r="Y853" s="270"/>
      <c r="Z853" s="270"/>
      <c r="AA853" s="270"/>
      <c r="AC853" s="85"/>
      <c r="AD853" s="85"/>
    </row>
    <row r="854" spans="3:30" x14ac:dyDescent="0.3">
      <c r="C854" s="450"/>
      <c r="D854" s="182"/>
      <c r="E854" s="182"/>
      <c r="F854" s="182"/>
      <c r="G854" s="450" t="str">
        <f t="shared" si="38"/>
        <v>--</v>
      </c>
      <c r="H854" s="182"/>
      <c r="I854" s="892"/>
      <c r="J854" s="288"/>
      <c r="K854" s="182"/>
      <c r="L854" s="182"/>
      <c r="M854" s="270"/>
      <c r="N854" s="892"/>
      <c r="O854" s="892"/>
      <c r="P854" s="276" t="s">
        <v>42</v>
      </c>
      <c r="Q854" s="902"/>
      <c r="R854" s="902"/>
      <c r="S854" s="902"/>
      <c r="T854" s="271"/>
      <c r="U854" s="114"/>
      <c r="V854" s="114"/>
      <c r="W854" s="270"/>
      <c r="X854" s="270"/>
      <c r="Y854" s="270"/>
      <c r="Z854" s="270"/>
      <c r="AA854" s="270"/>
      <c r="AC854" s="85"/>
      <c r="AD854" s="85"/>
    </row>
    <row r="855" spans="3:30" ht="15" thickBot="1" x14ac:dyDescent="0.35">
      <c r="C855" s="450"/>
      <c r="D855" s="182"/>
      <c r="E855" s="182"/>
      <c r="F855" s="182"/>
      <c r="G855" s="450" t="str">
        <f t="shared" si="38"/>
        <v>--</v>
      </c>
      <c r="H855" s="182"/>
      <c r="I855" s="892"/>
      <c r="J855" s="892"/>
      <c r="K855" s="182"/>
      <c r="L855" s="182"/>
      <c r="M855" s="901" t="s">
        <v>155</v>
      </c>
      <c r="N855" s="870" t="s">
        <v>188</v>
      </c>
      <c r="O855" s="870"/>
      <c r="P855" s="277" t="s">
        <v>818</v>
      </c>
      <c r="Q855" s="871" t="s">
        <v>155</v>
      </c>
      <c r="R855" s="114"/>
      <c r="S855" s="114"/>
      <c r="T855" s="271"/>
      <c r="U855" s="114"/>
      <c r="V855" s="114"/>
      <c r="W855" s="270"/>
      <c r="X855" s="270"/>
      <c r="Y855" s="270"/>
      <c r="Z855" s="270"/>
      <c r="AA855" s="270"/>
      <c r="AC855" s="85"/>
      <c r="AD855" s="85"/>
    </row>
    <row r="856" spans="3:30" ht="15" thickBot="1" x14ac:dyDescent="0.35">
      <c r="C856" s="566" t="s">
        <v>386</v>
      </c>
      <c r="D856" s="875" t="str">
        <f>VLOOKUP(C856,'Airport Mapping'!$C$5:$D$39,2,FALSE)</f>
        <v xml:space="preserve"> </v>
      </c>
      <c r="E856" s="567" t="s">
        <v>39</v>
      </c>
      <c r="F856" s="567" t="s">
        <v>42</v>
      </c>
      <c r="G856" s="450" t="str">
        <f t="shared" si="38"/>
        <v>Office Building D-Landscaping-Outdoor irrigation</v>
      </c>
      <c r="H856" s="567" t="s">
        <v>32</v>
      </c>
      <c r="I856" s="877" t="s">
        <v>64</v>
      </c>
      <c r="J856" s="878">
        <f>SUMIFS('Level of Efficiency Assumptions'!J:J,'Level of Efficiency Assumptions'!D:D,E856,'Level of Efficiency Assumptions'!F:F,F856,'Level of Efficiency Assumptions'!I:I,I856)</f>
        <v>28.6</v>
      </c>
      <c r="K856" s="383" t="s">
        <v>816</v>
      </c>
      <c r="L856" s="253" t="s">
        <v>64</v>
      </c>
      <c r="M856" s="879">
        <f>SUM(Q856:Q857)</f>
        <v>0</v>
      </c>
      <c r="N856" s="880">
        <f>IFERROR(M856/M859,"-")</f>
        <v>0</v>
      </c>
      <c r="O856" s="881">
        <f>SUMIFS('Data Entry'!R:R,'Data Entry'!K:K,G856)</f>
        <v>0</v>
      </c>
      <c r="P856" s="272" t="s">
        <v>237</v>
      </c>
      <c r="Q856" s="895">
        <v>0</v>
      </c>
      <c r="R856" s="114"/>
      <c r="S856" s="114"/>
      <c r="T856" s="271"/>
      <c r="U856" s="114"/>
      <c r="V856" s="114"/>
      <c r="W856" s="270"/>
      <c r="X856" s="270"/>
      <c r="Y856" s="270"/>
      <c r="Z856" s="270"/>
      <c r="AA856" s="270"/>
      <c r="AC856" s="85"/>
      <c r="AD856" s="85"/>
    </row>
    <row r="857" spans="3:30" ht="15" thickBot="1" x14ac:dyDescent="0.35">
      <c r="C857" s="494" t="s">
        <v>386</v>
      </c>
      <c r="D857" s="577"/>
      <c r="E857" s="577" t="s">
        <v>39</v>
      </c>
      <c r="F857" s="577" t="s">
        <v>42</v>
      </c>
      <c r="G857" s="450" t="str">
        <f t="shared" si="38"/>
        <v>Office Building D-Landscaping-Outdoor irrigation</v>
      </c>
      <c r="H857" s="577"/>
      <c r="I857" s="887" t="s">
        <v>65</v>
      </c>
      <c r="J857" s="878">
        <f>SUMIFS('Level of Efficiency Assumptions'!J:J,'Level of Efficiency Assumptions'!D:D,E857,'Level of Efficiency Assumptions'!F:F,F857,'Level of Efficiency Assumptions'!I:I,I857)</f>
        <v>13.980821518350929</v>
      </c>
      <c r="K857" s="383" t="s">
        <v>816</v>
      </c>
      <c r="L857" s="255" t="s">
        <v>65</v>
      </c>
      <c r="M857" s="879">
        <f>Q858+Q859</f>
        <v>1</v>
      </c>
      <c r="N857" s="880">
        <f>IFERROR(M857/M859,"-")</f>
        <v>1</v>
      </c>
      <c r="O857" s="881">
        <f>SUMIFS('Data Entry'!S:S,'Data Entry'!K:K,G857)</f>
        <v>0</v>
      </c>
      <c r="P857" s="272" t="s">
        <v>232</v>
      </c>
      <c r="Q857" s="895">
        <v>0</v>
      </c>
      <c r="R857" s="114"/>
      <c r="S857" s="114"/>
      <c r="T857" s="271"/>
      <c r="U857" s="114"/>
      <c r="V857" s="114"/>
      <c r="W857" s="270"/>
      <c r="X857" s="270"/>
      <c r="Y857" s="270"/>
      <c r="Z857" s="270"/>
      <c r="AA857" s="270"/>
      <c r="AC857" s="85"/>
      <c r="AD857" s="85"/>
    </row>
    <row r="858" spans="3:30" ht="15" thickBot="1" x14ac:dyDescent="0.35">
      <c r="C858" s="501" t="s">
        <v>386</v>
      </c>
      <c r="D858" s="116"/>
      <c r="E858" s="116" t="s">
        <v>39</v>
      </c>
      <c r="F858" s="116" t="s">
        <v>42</v>
      </c>
      <c r="G858" s="450" t="str">
        <f t="shared" si="38"/>
        <v>Office Building D-Landscaping-Outdoor irrigation</v>
      </c>
      <c r="H858" s="116"/>
      <c r="I858" s="889" t="s">
        <v>66</v>
      </c>
      <c r="J858" s="890">
        <f>SUMIFS('Level of Efficiency Assumptions'!J:J,'Level of Efficiency Assumptions'!D:D,E858,'Level of Efficiency Assumptions'!F:F,F858,'Level of Efficiency Assumptions'!I:I,I858)</f>
        <v>0.59137254901960778</v>
      </c>
      <c r="K858" s="383" t="s">
        <v>816</v>
      </c>
      <c r="L858" s="257" t="s">
        <v>66</v>
      </c>
      <c r="M858" s="879">
        <f>Q860+Q861</f>
        <v>0</v>
      </c>
      <c r="N858" s="880">
        <f>IFERROR(M858/M859,"-")</f>
        <v>0</v>
      </c>
      <c r="O858" s="881">
        <f>SUMIFS('Data Entry'!T:T,'Data Entry'!K:K,G858)</f>
        <v>0</v>
      </c>
      <c r="P858" s="274" t="s">
        <v>231</v>
      </c>
      <c r="Q858" s="895">
        <v>1</v>
      </c>
      <c r="R858" s="114"/>
      <c r="S858" s="114"/>
      <c r="T858" s="271"/>
      <c r="U858" s="114"/>
      <c r="V858" s="114"/>
      <c r="W858" s="270"/>
      <c r="X858" s="270"/>
      <c r="Y858" s="270"/>
      <c r="Z858" s="270"/>
      <c r="AA858" s="270"/>
      <c r="AC858" s="85"/>
      <c r="AD858" s="85"/>
    </row>
    <row r="859" spans="3:30" x14ac:dyDescent="0.3">
      <c r="C859" s="450"/>
      <c r="D859" s="182"/>
      <c r="E859" s="182"/>
      <c r="F859" s="182"/>
      <c r="G859" s="450" t="str">
        <f t="shared" si="38"/>
        <v>--</v>
      </c>
      <c r="H859" s="182"/>
      <c r="I859" s="440"/>
      <c r="J859" s="892"/>
      <c r="K859" s="259"/>
      <c r="L859" s="259" t="s">
        <v>46</v>
      </c>
      <c r="M859" s="893">
        <f>SUM(M856:M858)</f>
        <v>1</v>
      </c>
      <c r="N859" s="894"/>
      <c r="O859" s="894">
        <f>SUM(O856:O858)</f>
        <v>0</v>
      </c>
      <c r="P859" s="274" t="s">
        <v>230</v>
      </c>
      <c r="Q859" s="895">
        <v>0</v>
      </c>
      <c r="R859" s="114"/>
      <c r="S859" s="114"/>
      <c r="T859" s="271"/>
      <c r="U859" s="114"/>
      <c r="V859" s="114"/>
      <c r="W859" s="270"/>
      <c r="X859" s="270"/>
      <c r="Y859" s="270"/>
      <c r="Z859" s="270"/>
      <c r="AA859" s="270"/>
      <c r="AC859" s="85"/>
      <c r="AD859" s="85"/>
    </row>
    <row r="860" spans="3:30" x14ac:dyDescent="0.3">
      <c r="C860" s="450"/>
      <c r="D860" s="182"/>
      <c r="E860" s="182"/>
      <c r="F860" s="182"/>
      <c r="G860" s="450" t="str">
        <f t="shared" si="38"/>
        <v>--</v>
      </c>
      <c r="H860" s="182"/>
      <c r="I860" s="892"/>
      <c r="J860" s="288"/>
      <c r="K860" s="182"/>
      <c r="L860" s="182"/>
      <c r="M860" s="270"/>
      <c r="N860" s="892"/>
      <c r="O860" s="892"/>
      <c r="P860" s="275" t="s">
        <v>229</v>
      </c>
      <c r="Q860" s="895">
        <v>0</v>
      </c>
      <c r="R860" s="114"/>
      <c r="S860" s="114"/>
      <c r="T860" s="271"/>
      <c r="U860" s="114"/>
      <c r="V860" s="114"/>
      <c r="W860" s="270"/>
      <c r="X860" s="270"/>
      <c r="Y860" s="270"/>
      <c r="Z860" s="270"/>
      <c r="AA860" s="270"/>
      <c r="AC860" s="85"/>
      <c r="AD860" s="85"/>
    </row>
    <row r="861" spans="3:30" x14ac:dyDescent="0.3">
      <c r="C861" s="450"/>
      <c r="D861" s="182"/>
      <c r="E861" s="182"/>
      <c r="F861" s="182"/>
      <c r="G861" s="450" t="str">
        <f t="shared" si="38"/>
        <v>--</v>
      </c>
      <c r="H861" s="182"/>
      <c r="I861" s="892"/>
      <c r="J861" s="288"/>
      <c r="K861" s="182"/>
      <c r="L861" s="182"/>
      <c r="M861" s="270"/>
      <c r="N861" s="892"/>
      <c r="O861" s="892"/>
      <c r="P861" s="269" t="s">
        <v>225</v>
      </c>
      <c r="Q861" s="895">
        <v>0</v>
      </c>
      <c r="R861" s="114"/>
      <c r="S861" s="114"/>
      <c r="T861" s="271"/>
      <c r="U861" s="114"/>
      <c r="V861" s="114"/>
      <c r="W861" s="270"/>
      <c r="X861" s="270"/>
      <c r="Y861" s="270"/>
      <c r="Z861" s="270"/>
      <c r="AA861" s="270"/>
      <c r="AC861" s="85"/>
      <c r="AD861" s="85"/>
    </row>
    <row r="862" spans="3:30" x14ac:dyDescent="0.3">
      <c r="C862" s="450"/>
      <c r="D862" s="182"/>
      <c r="E862" s="182"/>
      <c r="F862" s="182"/>
      <c r="G862" s="450" t="str">
        <f t="shared" si="38"/>
        <v>--</v>
      </c>
      <c r="H862" s="182"/>
      <c r="I862" s="892"/>
      <c r="J862" s="288"/>
      <c r="K862" s="182"/>
      <c r="L862" s="182"/>
      <c r="M862" s="270"/>
      <c r="N862" s="892"/>
      <c r="O862" s="892"/>
      <c r="P862" s="263" t="s">
        <v>46</v>
      </c>
      <c r="Q862" s="897">
        <f>SUM(Q856:Q861)</f>
        <v>1</v>
      </c>
      <c r="R862" s="899"/>
      <c r="S862" s="899"/>
      <c r="T862" s="271"/>
      <c r="U862" s="114"/>
      <c r="V862" s="114"/>
      <c r="W862" s="270"/>
      <c r="X862" s="270"/>
      <c r="Y862" s="270"/>
      <c r="Z862" s="270"/>
      <c r="AA862" s="270"/>
      <c r="AC862" s="85"/>
      <c r="AD862" s="85"/>
    </row>
    <row r="863" spans="3:30" x14ac:dyDescent="0.3">
      <c r="C863" s="450"/>
      <c r="D863" s="182"/>
      <c r="E863" s="182"/>
      <c r="F863" s="182"/>
      <c r="G863" s="450" t="str">
        <f t="shared" si="38"/>
        <v>--</v>
      </c>
      <c r="H863" s="182"/>
      <c r="I863" s="892"/>
      <c r="J863" s="288"/>
      <c r="K863" s="182"/>
      <c r="L863" s="182"/>
      <c r="M863" s="270"/>
      <c r="N863" s="892"/>
      <c r="O863" s="892"/>
      <c r="P863" s="259"/>
      <c r="Q863" s="114"/>
      <c r="R863" s="270"/>
      <c r="S863" s="270"/>
      <c r="T863" s="270"/>
      <c r="U863" s="270"/>
      <c r="V863" s="270"/>
      <c r="W863" s="270"/>
      <c r="X863" s="270"/>
      <c r="Y863" s="270"/>
      <c r="Z863" s="270"/>
      <c r="AA863" s="270"/>
      <c r="AC863" s="85"/>
      <c r="AD863" s="85"/>
    </row>
    <row r="864" spans="3:30" ht="15" thickBot="1" x14ac:dyDescent="0.35">
      <c r="C864" s="450"/>
      <c r="D864" s="182"/>
      <c r="E864" s="182"/>
      <c r="F864" s="182"/>
      <c r="G864" s="450" t="str">
        <f t="shared" si="38"/>
        <v>--</v>
      </c>
      <c r="H864" s="182"/>
      <c r="I864" s="892"/>
      <c r="J864" s="892"/>
      <c r="K864" s="182"/>
      <c r="L864" s="182"/>
      <c r="M864" s="901" t="s">
        <v>155</v>
      </c>
      <c r="N864" s="870" t="s">
        <v>188</v>
      </c>
      <c r="O864" s="870"/>
      <c r="P864" s="276" t="s">
        <v>111</v>
      </c>
      <c r="Q864" s="871" t="s">
        <v>155</v>
      </c>
      <c r="R864" s="902"/>
      <c r="S864" s="874"/>
      <c r="T864" s="270"/>
      <c r="U864" s="270"/>
      <c r="V864" s="270"/>
      <c r="W864" s="270"/>
      <c r="X864" s="270"/>
      <c r="Y864" s="270"/>
      <c r="Z864" s="270"/>
      <c r="AA864" s="270"/>
      <c r="AC864" s="85"/>
      <c r="AD864" s="85"/>
    </row>
    <row r="865" spans="3:30" ht="15" thickBot="1" x14ac:dyDescent="0.35">
      <c r="C865" s="566" t="s">
        <v>386</v>
      </c>
      <c r="D865" s="875" t="str">
        <f>VLOOKUP(C865,'Airport Mapping'!$C$5:$D$39,2,FALSE)</f>
        <v xml:space="preserve"> </v>
      </c>
      <c r="E865" s="567" t="s">
        <v>43</v>
      </c>
      <c r="F865" s="567" t="s">
        <v>111</v>
      </c>
      <c r="G865" s="450" t="str">
        <f t="shared" si="38"/>
        <v>Office Building D-Maintenance-Boiler</v>
      </c>
      <c r="H865" s="567" t="s">
        <v>424</v>
      </c>
      <c r="I865" s="877" t="s">
        <v>64</v>
      </c>
      <c r="J865" s="878">
        <f>SUMIFS('Level of Efficiency Assumptions'!J:J,'Level of Efficiency Assumptions'!D:D,E865,'Level of Efficiency Assumptions'!F:F,F865,'Level of Efficiency Assumptions'!I:I,I865)</f>
        <v>100</v>
      </c>
      <c r="K865" s="383" t="s">
        <v>585</v>
      </c>
      <c r="L865" s="253" t="s">
        <v>64</v>
      </c>
      <c r="M865" s="879">
        <f>SUM(Q865:Q866)</f>
        <v>0</v>
      </c>
      <c r="N865" s="880">
        <f>IFERROR(M865/M868,"-")</f>
        <v>0</v>
      </c>
      <c r="O865" s="881">
        <f>SUMIFS('Data Entry'!R:R,'Data Entry'!K:K,G865)</f>
        <v>0</v>
      </c>
      <c r="P865" s="272"/>
      <c r="Q865" s="895">
        <v>0</v>
      </c>
      <c r="R865" s="114"/>
      <c r="S865" s="884"/>
      <c r="T865" s="270"/>
      <c r="U865" s="270"/>
      <c r="V865" s="270"/>
      <c r="W865" s="270"/>
      <c r="X865" s="270"/>
      <c r="Y865" s="270"/>
      <c r="Z865" s="270"/>
      <c r="AA865" s="270"/>
      <c r="AC865" s="85"/>
      <c r="AD865" s="85"/>
    </row>
    <row r="866" spans="3:30" ht="15" thickBot="1" x14ac:dyDescent="0.35">
      <c r="C866" s="494" t="s">
        <v>386</v>
      </c>
      <c r="D866" s="577"/>
      <c r="E866" s="577" t="s">
        <v>43</v>
      </c>
      <c r="F866" s="577" t="s">
        <v>111</v>
      </c>
      <c r="G866" s="450" t="str">
        <f t="shared" si="38"/>
        <v>Office Building D-Maintenance-Boiler</v>
      </c>
      <c r="H866" s="577"/>
      <c r="I866" s="887" t="s">
        <v>65</v>
      </c>
      <c r="J866" s="878">
        <f>SUMIFS('Level of Efficiency Assumptions'!J:J,'Level of Efficiency Assumptions'!D:D,E866,'Level of Efficiency Assumptions'!F:F,F866,'Level of Efficiency Assumptions'!I:I,I866)</f>
        <v>75</v>
      </c>
      <c r="K866" s="383" t="s">
        <v>585</v>
      </c>
      <c r="L866" s="255" t="s">
        <v>65</v>
      </c>
      <c r="M866" s="879">
        <f>Q867+Q868</f>
        <v>1</v>
      </c>
      <c r="N866" s="880">
        <f>IFERROR(M866/M868,"-")</f>
        <v>1</v>
      </c>
      <c r="O866" s="881">
        <f>SUMIFS('Data Entry'!S:S,'Data Entry'!K:K,G866)</f>
        <v>0</v>
      </c>
      <c r="P866" s="272"/>
      <c r="Q866" s="895">
        <v>0</v>
      </c>
      <c r="R866" s="114"/>
      <c r="S866" s="884"/>
      <c r="T866" s="270"/>
      <c r="U866" s="270"/>
      <c r="V866" s="270"/>
      <c r="W866" s="270"/>
      <c r="X866" s="270"/>
      <c r="Y866" s="270"/>
      <c r="Z866" s="270"/>
      <c r="AA866" s="270"/>
      <c r="AC866" s="85"/>
      <c r="AD866" s="85"/>
    </row>
    <row r="867" spans="3:30" ht="15" thickBot="1" x14ac:dyDescent="0.35">
      <c r="C867" s="501" t="s">
        <v>386</v>
      </c>
      <c r="D867" s="116"/>
      <c r="E867" s="116" t="s">
        <v>43</v>
      </c>
      <c r="F867" s="116" t="s">
        <v>111</v>
      </c>
      <c r="G867" s="450" t="str">
        <f t="shared" si="38"/>
        <v>Office Building D-Maintenance-Boiler</v>
      </c>
      <c r="H867" s="116"/>
      <c r="I867" s="889" t="s">
        <v>66</v>
      </c>
      <c r="J867" s="890">
        <f>SUMIFS('Level of Efficiency Assumptions'!J:J,'Level of Efficiency Assumptions'!D:D,E867,'Level of Efficiency Assumptions'!F:F,F867,'Level of Efficiency Assumptions'!I:I,I867)</f>
        <v>50</v>
      </c>
      <c r="K867" s="383" t="s">
        <v>585</v>
      </c>
      <c r="L867" s="257" t="s">
        <v>66</v>
      </c>
      <c r="M867" s="879">
        <f>Q869+Q870</f>
        <v>0</v>
      </c>
      <c r="N867" s="880">
        <f>IFERROR(M867/M868,"-")</f>
        <v>0</v>
      </c>
      <c r="O867" s="881">
        <f>SUMIFS('Data Entry'!T:T,'Data Entry'!K:K,G867)</f>
        <v>0</v>
      </c>
      <c r="P867" s="274"/>
      <c r="Q867" s="895">
        <v>1</v>
      </c>
      <c r="R867" s="114"/>
      <c r="S867" s="884"/>
      <c r="T867" s="270"/>
      <c r="U867" s="270"/>
      <c r="V867" s="270"/>
      <c r="W867" s="270"/>
      <c r="X867" s="270"/>
      <c r="Y867" s="270"/>
      <c r="Z867" s="270"/>
      <c r="AA867" s="270"/>
      <c r="AC867" s="85"/>
      <c r="AD867" s="85"/>
    </row>
    <row r="868" spans="3:30" x14ac:dyDescent="0.3">
      <c r="C868" s="450"/>
      <c r="D868" s="182"/>
      <c r="E868" s="182"/>
      <c r="F868" s="182"/>
      <c r="G868" s="450" t="str">
        <f t="shared" si="38"/>
        <v>--</v>
      </c>
      <c r="H868" s="182"/>
      <c r="I868" s="440"/>
      <c r="J868" s="892"/>
      <c r="K868" s="259"/>
      <c r="L868" s="259" t="s">
        <v>46</v>
      </c>
      <c r="M868" s="893">
        <f>SUM(M865:M867)</f>
        <v>1</v>
      </c>
      <c r="N868" s="894"/>
      <c r="O868" s="894">
        <f>SUM(O865:O867)</f>
        <v>0</v>
      </c>
      <c r="P868" s="274"/>
      <c r="Q868" s="895">
        <v>0</v>
      </c>
      <c r="R868" s="114"/>
      <c r="S868" s="884"/>
      <c r="T868" s="270"/>
      <c r="U868" s="270"/>
      <c r="V868" s="270"/>
      <c r="W868" s="270"/>
      <c r="X868" s="270"/>
      <c r="Y868" s="270"/>
      <c r="Z868" s="270"/>
      <c r="AA868" s="270"/>
      <c r="AC868" s="85"/>
      <c r="AD868" s="85"/>
    </row>
    <row r="869" spans="3:30" x14ac:dyDescent="0.3">
      <c r="C869" s="450"/>
      <c r="D869" s="182"/>
      <c r="E869" s="182"/>
      <c r="F869" s="182"/>
      <c r="G869" s="450" t="str">
        <f t="shared" si="38"/>
        <v>--</v>
      </c>
      <c r="H869" s="182"/>
      <c r="I869" s="892"/>
      <c r="J869" s="288"/>
      <c r="K869" s="182"/>
      <c r="L869" s="182"/>
      <c r="M869" s="270"/>
      <c r="N869" s="892"/>
      <c r="O869" s="892"/>
      <c r="P869" s="275"/>
      <c r="Q869" s="895">
        <v>0</v>
      </c>
      <c r="R869" s="114"/>
      <c r="S869" s="884"/>
      <c r="T869" s="270"/>
      <c r="U869" s="270"/>
      <c r="V869" s="270"/>
      <c r="W869" s="270"/>
      <c r="X869" s="270"/>
      <c r="Y869" s="270"/>
      <c r="Z869" s="270"/>
      <c r="AA869" s="270"/>
      <c r="AC869" s="85"/>
      <c r="AD869" s="85"/>
    </row>
    <row r="870" spans="3:30" x14ac:dyDescent="0.3">
      <c r="C870" s="225"/>
      <c r="D870" s="288"/>
      <c r="E870" s="288"/>
      <c r="F870" s="288"/>
      <c r="G870" s="450" t="str">
        <f t="shared" si="38"/>
        <v>--</v>
      </c>
      <c r="H870" s="182"/>
      <c r="I870" s="892"/>
      <c r="J870" s="288"/>
      <c r="K870" s="182"/>
      <c r="L870" s="182"/>
      <c r="M870" s="270"/>
      <c r="N870" s="892"/>
      <c r="O870" s="892"/>
      <c r="P870" s="269"/>
      <c r="Q870" s="895">
        <v>0</v>
      </c>
      <c r="R870" s="114"/>
      <c r="S870" s="884"/>
      <c r="T870" s="270"/>
      <c r="U870" s="270"/>
      <c r="V870" s="270"/>
      <c r="W870" s="270"/>
      <c r="X870" s="270"/>
      <c r="Y870" s="270"/>
      <c r="Z870" s="270"/>
      <c r="AA870" s="270"/>
      <c r="AC870" s="85"/>
      <c r="AD870" s="85"/>
    </row>
    <row r="871" spans="3:30" x14ac:dyDescent="0.3">
      <c r="C871" s="225"/>
      <c r="D871" s="288"/>
      <c r="E871" s="288"/>
      <c r="F871" s="288"/>
      <c r="G871" s="450" t="str">
        <f t="shared" si="38"/>
        <v>--</v>
      </c>
      <c r="H871" s="182"/>
      <c r="I871" s="892"/>
      <c r="J871" s="288"/>
      <c r="K871" s="182"/>
      <c r="L871" s="182"/>
      <c r="M871" s="270"/>
      <c r="N871" s="892"/>
      <c r="O871" s="892"/>
      <c r="P871" s="263" t="s">
        <v>46</v>
      </c>
      <c r="Q871" s="897">
        <f>SUM(Q865:Q870)</f>
        <v>1</v>
      </c>
      <c r="R871" s="899"/>
      <c r="S871" s="900"/>
      <c r="T871" s="270"/>
      <c r="U871" s="270"/>
      <c r="V871" s="270"/>
      <c r="W871" s="270"/>
      <c r="X871" s="270"/>
      <c r="Y871" s="270"/>
      <c r="Z871" s="270"/>
      <c r="AA871" s="270"/>
      <c r="AC871" s="85"/>
      <c r="AD871" s="85"/>
    </row>
    <row r="872" spans="3:30" x14ac:dyDescent="0.3">
      <c r="C872" s="225"/>
      <c r="D872" s="288"/>
      <c r="E872" s="288"/>
      <c r="F872" s="288"/>
      <c r="G872" s="450" t="str">
        <f t="shared" ref="G872:G934" si="40">C872&amp;"-"&amp;E872&amp;"-"&amp;F872</f>
        <v>--</v>
      </c>
      <c r="H872" s="182"/>
      <c r="I872" s="892"/>
      <c r="J872" s="288"/>
      <c r="K872" s="182"/>
      <c r="L872" s="182"/>
      <c r="M872" s="270"/>
      <c r="N872" s="892"/>
      <c r="O872" s="892"/>
      <c r="P872" s="259"/>
      <c r="Q872" s="114"/>
      <c r="R872" s="270"/>
      <c r="S872" s="270"/>
      <c r="T872" s="270"/>
      <c r="U872" s="270"/>
      <c r="V872" s="270"/>
      <c r="W872" s="270"/>
      <c r="X872" s="270"/>
      <c r="Y872" s="270"/>
      <c r="Z872" s="270"/>
      <c r="AA872" s="270"/>
      <c r="AC872" s="85"/>
      <c r="AD872" s="85"/>
    </row>
    <row r="873" spans="3:30" ht="15" thickBot="1" x14ac:dyDescent="0.35">
      <c r="C873" s="225"/>
      <c r="D873" s="182"/>
      <c r="E873" s="182"/>
      <c r="F873" s="182"/>
      <c r="G873" s="450" t="str">
        <f t="shared" si="40"/>
        <v>--</v>
      </c>
      <c r="H873" s="182"/>
      <c r="I873" s="892"/>
      <c r="J873" s="892"/>
      <c r="K873" s="182"/>
      <c r="L873" s="182"/>
      <c r="M873" s="901" t="s">
        <v>155</v>
      </c>
      <c r="N873" s="870" t="s">
        <v>188</v>
      </c>
      <c r="O873" s="870"/>
      <c r="P873" s="276" t="s">
        <v>52</v>
      </c>
      <c r="Q873" s="871" t="s">
        <v>155</v>
      </c>
      <c r="R873" s="902"/>
      <c r="S873" s="874"/>
      <c r="T873" s="270"/>
      <c r="U873" s="270"/>
      <c r="V873" s="270"/>
      <c r="W873" s="270"/>
      <c r="X873" s="270"/>
      <c r="Y873" s="270"/>
      <c r="Z873" s="270"/>
      <c r="AA873" s="270"/>
      <c r="AC873" s="85"/>
      <c r="AD873" s="85"/>
    </row>
    <row r="874" spans="3:30" ht="15" thickBot="1" x14ac:dyDescent="0.35">
      <c r="C874" s="566" t="s">
        <v>386</v>
      </c>
      <c r="D874" s="875" t="str">
        <f>VLOOKUP(C874,'Airport Mapping'!$C$5:$D$39,2,FALSE)</f>
        <v xml:space="preserve"> </v>
      </c>
      <c r="E874" s="567" t="s">
        <v>8</v>
      </c>
      <c r="F874" s="567" t="s">
        <v>52</v>
      </c>
      <c r="G874" s="450" t="str">
        <f t="shared" si="40"/>
        <v>Office Building D-Other-Other 1</v>
      </c>
      <c r="H874" s="567" t="s">
        <v>362</v>
      </c>
      <c r="I874" s="877" t="s">
        <v>64</v>
      </c>
      <c r="J874" s="878">
        <f>SUMIFS('Level of Efficiency Assumptions'!J:J,'Level of Efficiency Assumptions'!D:D,E874,'Level of Efficiency Assumptions'!F:F,F874,'Level of Efficiency Assumptions'!I:I,I874)</f>
        <v>10</v>
      </c>
      <c r="K874" s="383" t="s">
        <v>588</v>
      </c>
      <c r="L874" s="253" t="s">
        <v>64</v>
      </c>
      <c r="M874" s="879">
        <f>SUM(Q874:Q874)</f>
        <v>0</v>
      </c>
      <c r="N874" s="880">
        <f>IFERROR(M874/M877,"-")</f>
        <v>0</v>
      </c>
      <c r="O874" s="881">
        <f>SUMIFS('Data Entry'!R:R,'Data Entry'!K:K,G874)</f>
        <v>0</v>
      </c>
      <c r="P874" s="272" t="s">
        <v>129</v>
      </c>
      <c r="Q874" s="895">
        <v>0</v>
      </c>
      <c r="R874" s="114"/>
      <c r="S874" s="884"/>
      <c r="T874" s="270"/>
      <c r="U874" s="270"/>
      <c r="V874" s="270"/>
      <c r="W874" s="270"/>
      <c r="X874" s="270"/>
      <c r="Y874" s="270"/>
      <c r="Z874" s="270"/>
      <c r="AA874" s="270"/>
      <c r="AC874" s="85"/>
      <c r="AD874" s="85"/>
    </row>
    <row r="875" spans="3:30" ht="15" thickBot="1" x14ac:dyDescent="0.35">
      <c r="C875" s="494" t="s">
        <v>386</v>
      </c>
      <c r="D875" s="577"/>
      <c r="E875" s="577" t="s">
        <v>8</v>
      </c>
      <c r="F875" s="577" t="s">
        <v>52</v>
      </c>
      <c r="G875" s="450" t="str">
        <f t="shared" si="40"/>
        <v>Office Building D-Other-Other 1</v>
      </c>
      <c r="H875" s="577"/>
      <c r="I875" s="887" t="s">
        <v>65</v>
      </c>
      <c r="J875" s="878">
        <f>SUMIFS('Level of Efficiency Assumptions'!J:J,'Level of Efficiency Assumptions'!D:D,E875,'Level of Efficiency Assumptions'!F:F,F875,'Level of Efficiency Assumptions'!I:I,I875)</f>
        <v>7.5</v>
      </c>
      <c r="K875" s="383" t="s">
        <v>588</v>
      </c>
      <c r="L875" s="255" t="s">
        <v>65</v>
      </c>
      <c r="M875" s="879">
        <f t="shared" ref="M875:M876" si="41">SUM(Q875:Q875)</f>
        <v>1</v>
      </c>
      <c r="N875" s="880">
        <f>IFERROR(M875/M877,"-")</f>
        <v>1</v>
      </c>
      <c r="O875" s="881">
        <f>SUMIFS('Data Entry'!S:S,'Data Entry'!K:K,G875)</f>
        <v>0</v>
      </c>
      <c r="P875" s="274" t="s">
        <v>233</v>
      </c>
      <c r="Q875" s="895">
        <v>1</v>
      </c>
      <c r="R875" s="114"/>
      <c r="S875" s="884"/>
      <c r="T875" s="270"/>
      <c r="U875" s="270"/>
      <c r="V875" s="270"/>
      <c r="W875" s="270"/>
      <c r="X875" s="270"/>
      <c r="Y875" s="270"/>
      <c r="Z875" s="270"/>
      <c r="AA875" s="270"/>
      <c r="AC875" s="85"/>
      <c r="AD875" s="85"/>
    </row>
    <row r="876" spans="3:30" ht="15" thickBot="1" x14ac:dyDescent="0.35">
      <c r="C876" s="501" t="s">
        <v>386</v>
      </c>
      <c r="D876" s="116"/>
      <c r="E876" s="116" t="s">
        <v>8</v>
      </c>
      <c r="F876" s="116" t="s">
        <v>52</v>
      </c>
      <c r="G876" s="450" t="str">
        <f t="shared" si="40"/>
        <v>Office Building D-Other-Other 1</v>
      </c>
      <c r="H876" s="116"/>
      <c r="I876" s="889" t="s">
        <v>66</v>
      </c>
      <c r="J876" s="890">
        <f>SUMIFS('Level of Efficiency Assumptions'!J:J,'Level of Efficiency Assumptions'!D:D,E876,'Level of Efficiency Assumptions'!F:F,F876,'Level of Efficiency Assumptions'!I:I,I876)</f>
        <v>5</v>
      </c>
      <c r="K876" s="383" t="s">
        <v>588</v>
      </c>
      <c r="L876" s="257" t="s">
        <v>66</v>
      </c>
      <c r="M876" s="879">
        <f t="shared" si="41"/>
        <v>0</v>
      </c>
      <c r="N876" s="880">
        <f>IFERROR(M876/M877,"-")</f>
        <v>0</v>
      </c>
      <c r="O876" s="881">
        <f>SUMIFS('Data Entry'!T:T,'Data Entry'!K:K,G876)</f>
        <v>0</v>
      </c>
      <c r="P876" s="269" t="s">
        <v>234</v>
      </c>
      <c r="Q876" s="895">
        <v>0</v>
      </c>
      <c r="R876" s="114"/>
      <c r="S876" s="884"/>
      <c r="T876" s="270"/>
      <c r="U876" s="270"/>
      <c r="V876" s="270"/>
      <c r="W876" s="270"/>
      <c r="X876" s="270"/>
      <c r="Y876" s="270"/>
      <c r="Z876" s="270"/>
      <c r="AA876" s="270"/>
      <c r="AC876" s="85"/>
      <c r="AD876" s="85"/>
    </row>
    <row r="877" spans="3:30" x14ac:dyDescent="0.3">
      <c r="C877" s="450"/>
      <c r="D877" s="182"/>
      <c r="E877" s="182"/>
      <c r="F877" s="182"/>
      <c r="G877" s="450" t="str">
        <f t="shared" si="40"/>
        <v>--</v>
      </c>
      <c r="H877" s="182"/>
      <c r="I877" s="440"/>
      <c r="J877" s="892"/>
      <c r="K877" s="259"/>
      <c r="L877" s="259" t="s">
        <v>46</v>
      </c>
      <c r="M877" s="893">
        <f>SUM(M874:M876)</f>
        <v>1</v>
      </c>
      <c r="N877" s="894"/>
      <c r="O877" s="894">
        <f>SUM(O874:O876)</f>
        <v>0</v>
      </c>
      <c r="P877" s="263" t="s">
        <v>46</v>
      </c>
      <c r="Q877" s="897">
        <f>SUM(Q874:Q876)</f>
        <v>1</v>
      </c>
      <c r="R877" s="899"/>
      <c r="S877" s="900"/>
      <c r="T877" s="270"/>
      <c r="U877" s="270"/>
      <c r="V877" s="270"/>
      <c r="W877" s="270"/>
      <c r="X877" s="270"/>
      <c r="Y877" s="270"/>
      <c r="Z877" s="270"/>
      <c r="AA877" s="270"/>
      <c r="AC877" s="85"/>
      <c r="AD877" s="85"/>
    </row>
    <row r="878" spans="3:30" x14ac:dyDescent="0.3">
      <c r="C878" s="450"/>
      <c r="D878" s="182"/>
      <c r="E878" s="182"/>
      <c r="F878" s="182"/>
      <c r="G878" s="450" t="str">
        <f t="shared" si="40"/>
        <v>--</v>
      </c>
      <c r="H878" s="182"/>
      <c r="I878" s="892"/>
      <c r="J878" s="288"/>
      <c r="K878" s="182"/>
      <c r="L878" s="182"/>
      <c r="M878" s="270"/>
      <c r="N878" s="892"/>
      <c r="O878" s="892"/>
      <c r="P878" s="270"/>
      <c r="Q878" s="270"/>
      <c r="R878" s="270"/>
      <c r="S878" s="270"/>
      <c r="T878" s="270"/>
      <c r="U878" s="270"/>
      <c r="V878" s="270"/>
      <c r="W878" s="270"/>
      <c r="X878" s="270"/>
      <c r="Y878" s="270"/>
      <c r="Z878" s="270"/>
      <c r="AA878" s="270"/>
      <c r="AC878" s="85"/>
      <c r="AD878" s="85"/>
    </row>
    <row r="879" spans="3:30" ht="15" thickBot="1" x14ac:dyDescent="0.35">
      <c r="C879" s="450"/>
      <c r="D879" s="182"/>
      <c r="E879" s="182"/>
      <c r="F879" s="182"/>
      <c r="G879" s="450" t="str">
        <f t="shared" si="40"/>
        <v>--</v>
      </c>
      <c r="H879" s="182"/>
      <c r="I879" s="892"/>
      <c r="J879" s="892"/>
      <c r="K879" s="182"/>
      <c r="L879" s="182"/>
      <c r="M879" s="901" t="s">
        <v>155</v>
      </c>
      <c r="N879" s="870" t="s">
        <v>188</v>
      </c>
      <c r="O879" s="870"/>
      <c r="P879" s="276" t="s">
        <v>53</v>
      </c>
      <c r="Q879" s="871" t="s">
        <v>155</v>
      </c>
      <c r="R879" s="902"/>
      <c r="S879" s="874"/>
      <c r="T879" s="270"/>
      <c r="U879" s="270"/>
      <c r="V879" s="270"/>
      <c r="W879" s="270"/>
      <c r="X879" s="270"/>
      <c r="Y879" s="270"/>
      <c r="Z879" s="270"/>
      <c r="AA879" s="270"/>
      <c r="AC879" s="85"/>
      <c r="AD879" s="85"/>
    </row>
    <row r="880" spans="3:30" ht="15" thickBot="1" x14ac:dyDescent="0.35">
      <c r="C880" s="566" t="s">
        <v>386</v>
      </c>
      <c r="D880" s="875" t="str">
        <f>VLOOKUP(C880,'Airport Mapping'!$C$5:$D$39,2,FALSE)</f>
        <v xml:space="preserve"> </v>
      </c>
      <c r="E880" s="567" t="s">
        <v>8</v>
      </c>
      <c r="F880" s="567" t="s">
        <v>53</v>
      </c>
      <c r="G880" s="450" t="str">
        <f t="shared" si="40"/>
        <v>Office Building D-Other-Other 2</v>
      </c>
      <c r="H880" s="567" t="s">
        <v>363</v>
      </c>
      <c r="I880" s="877" t="s">
        <v>64</v>
      </c>
      <c r="J880" s="878">
        <f>SUMIFS('Level of Efficiency Assumptions'!J:J,'Level of Efficiency Assumptions'!D:D,E880,'Level of Efficiency Assumptions'!F:F,F880,'Level of Efficiency Assumptions'!I:I,I880)</f>
        <v>10</v>
      </c>
      <c r="K880" s="383" t="s">
        <v>588</v>
      </c>
      <c r="L880" s="253" t="s">
        <v>64</v>
      </c>
      <c r="M880" s="879">
        <f>SUM(Q880:Q880)</f>
        <v>0</v>
      </c>
      <c r="N880" s="880">
        <f>IFERROR(M880/M883,"-")</f>
        <v>0</v>
      </c>
      <c r="O880" s="881">
        <f>SUMIFS('Data Entry'!R:R,'Data Entry'!K:K,G880)</f>
        <v>0</v>
      </c>
      <c r="P880" s="272" t="s">
        <v>129</v>
      </c>
      <c r="Q880" s="895">
        <v>0</v>
      </c>
      <c r="R880" s="114"/>
      <c r="S880" s="884"/>
      <c r="T880" s="270"/>
      <c r="U880" s="270"/>
      <c r="V880" s="270"/>
      <c r="W880" s="270"/>
      <c r="X880" s="270"/>
      <c r="Y880" s="270"/>
      <c r="Z880" s="270"/>
      <c r="AA880" s="270"/>
      <c r="AC880" s="85"/>
      <c r="AD880" s="85"/>
    </row>
    <row r="881" spans="3:31" ht="15" thickBot="1" x14ac:dyDescent="0.35">
      <c r="C881" s="494" t="s">
        <v>386</v>
      </c>
      <c r="D881" s="577"/>
      <c r="E881" s="577" t="s">
        <v>8</v>
      </c>
      <c r="F881" s="577" t="s">
        <v>53</v>
      </c>
      <c r="G881" s="450" t="str">
        <f t="shared" si="40"/>
        <v>Office Building D-Other-Other 2</v>
      </c>
      <c r="H881" s="577"/>
      <c r="I881" s="887" t="s">
        <v>65</v>
      </c>
      <c r="J881" s="878">
        <f>SUMIFS('Level of Efficiency Assumptions'!J:J,'Level of Efficiency Assumptions'!D:D,E881,'Level of Efficiency Assumptions'!F:F,F881,'Level of Efficiency Assumptions'!I:I,I881)</f>
        <v>7.5</v>
      </c>
      <c r="K881" s="383" t="s">
        <v>588</v>
      </c>
      <c r="L881" s="255" t="s">
        <v>65</v>
      </c>
      <c r="M881" s="879">
        <f t="shared" ref="M881:M882" si="42">SUM(Q881:Q881)</f>
        <v>1</v>
      </c>
      <c r="N881" s="880">
        <f>IFERROR(M881/M883,"-")</f>
        <v>1</v>
      </c>
      <c r="O881" s="881">
        <f>SUMIFS('Data Entry'!S:S,'Data Entry'!K:K,G881)</f>
        <v>0</v>
      </c>
      <c r="P881" s="274" t="s">
        <v>233</v>
      </c>
      <c r="Q881" s="895">
        <v>1</v>
      </c>
      <c r="R881" s="114"/>
      <c r="S881" s="884"/>
      <c r="T881" s="270"/>
      <c r="U881" s="270"/>
      <c r="V881" s="270"/>
      <c r="W881" s="270"/>
      <c r="X881" s="270"/>
      <c r="Y881" s="270"/>
      <c r="Z881" s="270"/>
      <c r="AA881" s="270"/>
      <c r="AC881" s="85"/>
      <c r="AD881" s="85"/>
    </row>
    <row r="882" spans="3:31" ht="15" thickBot="1" x14ac:dyDescent="0.35">
      <c r="C882" s="501" t="s">
        <v>386</v>
      </c>
      <c r="D882" s="116"/>
      <c r="E882" s="116" t="s">
        <v>8</v>
      </c>
      <c r="F882" s="116" t="s">
        <v>53</v>
      </c>
      <c r="G882" s="450" t="str">
        <f t="shared" si="40"/>
        <v>Office Building D-Other-Other 2</v>
      </c>
      <c r="H882" s="116"/>
      <c r="I882" s="889" t="s">
        <v>66</v>
      </c>
      <c r="J882" s="890">
        <f>SUMIFS('Level of Efficiency Assumptions'!J:J,'Level of Efficiency Assumptions'!D:D,E882,'Level of Efficiency Assumptions'!F:F,F882,'Level of Efficiency Assumptions'!I:I,I882)</f>
        <v>5</v>
      </c>
      <c r="K882" s="383" t="s">
        <v>588</v>
      </c>
      <c r="L882" s="257" t="s">
        <v>66</v>
      </c>
      <c r="M882" s="879">
        <f t="shared" si="42"/>
        <v>0</v>
      </c>
      <c r="N882" s="880">
        <f>IFERROR(M882/M883,"-")</f>
        <v>0</v>
      </c>
      <c r="O882" s="881">
        <f>SUMIFS('Data Entry'!T:T,'Data Entry'!K:K,G882)</f>
        <v>0</v>
      </c>
      <c r="P882" s="269" t="s">
        <v>234</v>
      </c>
      <c r="Q882" s="895">
        <v>0</v>
      </c>
      <c r="R882" s="114"/>
      <c r="S882" s="884"/>
      <c r="T882" s="270"/>
      <c r="U882" s="270"/>
      <c r="V882" s="270"/>
      <c r="W882" s="270"/>
      <c r="X882" s="270"/>
      <c r="Y882" s="270"/>
      <c r="Z882" s="270"/>
      <c r="AA882" s="270"/>
      <c r="AC882" s="85"/>
      <c r="AD882" s="85"/>
    </row>
    <row r="883" spans="3:31" x14ac:dyDescent="0.3">
      <c r="C883" s="450"/>
      <c r="D883" s="182"/>
      <c r="E883" s="182"/>
      <c r="F883" s="182"/>
      <c r="G883" s="450" t="str">
        <f t="shared" si="40"/>
        <v>--</v>
      </c>
      <c r="H883" s="182"/>
      <c r="I883" s="440"/>
      <c r="J883" s="892"/>
      <c r="K883" s="259"/>
      <c r="L883" s="259" t="s">
        <v>46</v>
      </c>
      <c r="M883" s="893">
        <f>SUM(M880:M882)</f>
        <v>1</v>
      </c>
      <c r="N883" s="894"/>
      <c r="O883" s="894">
        <f>SUM(O880:O882)</f>
        <v>0</v>
      </c>
      <c r="P883" s="263" t="s">
        <v>46</v>
      </c>
      <c r="Q883" s="897">
        <f>SUM(Q880:Q882)</f>
        <v>1</v>
      </c>
      <c r="R883" s="899"/>
      <c r="S883" s="900"/>
      <c r="T883" s="270"/>
      <c r="U883" s="270"/>
      <c r="V883" s="270"/>
      <c r="W883" s="270"/>
      <c r="X883" s="270"/>
      <c r="Y883" s="270"/>
      <c r="Z883" s="270"/>
      <c r="AA883" s="270"/>
      <c r="AC883" s="85"/>
      <c r="AD883" s="85"/>
    </row>
    <row r="884" spans="3:31" x14ac:dyDescent="0.3">
      <c r="C884" s="450"/>
      <c r="D884" s="182"/>
      <c r="E884" s="182"/>
      <c r="F884" s="182"/>
      <c r="G884" s="450" t="str">
        <f t="shared" si="40"/>
        <v>--</v>
      </c>
      <c r="H884" s="182"/>
      <c r="I884" s="892"/>
      <c r="J884" s="288"/>
      <c r="K884" s="288"/>
      <c r="L884" s="182"/>
      <c r="M884" s="270"/>
      <c r="N884" s="892"/>
      <c r="O884" s="892"/>
      <c r="P884" s="270"/>
      <c r="Q884" s="270"/>
      <c r="R884" s="270"/>
      <c r="S884" s="270"/>
      <c r="T884" s="270"/>
      <c r="U884" s="270"/>
      <c r="V884" s="270"/>
      <c r="W884" s="270"/>
      <c r="X884" s="270"/>
      <c r="Y884" s="270"/>
      <c r="Z884" s="270"/>
      <c r="AA884" s="270"/>
      <c r="AC884" s="85"/>
      <c r="AD884" s="85"/>
    </row>
    <row r="885" spans="3:31" ht="15" thickBot="1" x14ac:dyDescent="0.35">
      <c r="C885" s="450"/>
      <c r="D885" s="182"/>
      <c r="E885" s="182"/>
      <c r="F885" s="182"/>
      <c r="G885" s="450" t="str">
        <f t="shared" si="40"/>
        <v>--</v>
      </c>
      <c r="H885" s="182"/>
      <c r="I885" s="892"/>
      <c r="J885" s="892"/>
      <c r="K885" s="182"/>
      <c r="L885" s="182"/>
      <c r="M885" s="901" t="s">
        <v>155</v>
      </c>
      <c r="N885" s="870" t="s">
        <v>188</v>
      </c>
      <c r="O885" s="870"/>
      <c r="P885" s="276" t="s">
        <v>54</v>
      </c>
      <c r="Q885" s="871" t="s">
        <v>155</v>
      </c>
      <c r="R885" s="902"/>
      <c r="S885" s="874"/>
      <c r="T885" s="270"/>
      <c r="U885" s="270"/>
      <c r="V885" s="270"/>
      <c r="W885" s="270"/>
      <c r="X885" s="270"/>
      <c r="Y885" s="270"/>
      <c r="Z885" s="270"/>
      <c r="AA885" s="270"/>
      <c r="AC885" s="85"/>
      <c r="AD885" s="85"/>
    </row>
    <row r="886" spans="3:31" ht="15" thickBot="1" x14ac:dyDescent="0.35">
      <c r="C886" s="566" t="s">
        <v>386</v>
      </c>
      <c r="D886" s="875" t="str">
        <f>VLOOKUP(C886,'Airport Mapping'!$C$5:$D$39,2,FALSE)</f>
        <v xml:space="preserve"> </v>
      </c>
      <c r="E886" s="567" t="s">
        <v>8</v>
      </c>
      <c r="F886" s="567" t="s">
        <v>54</v>
      </c>
      <c r="G886" s="450" t="str">
        <f t="shared" si="40"/>
        <v>Office Building D-Other-Other 3</v>
      </c>
      <c r="H886" s="567" t="s">
        <v>364</v>
      </c>
      <c r="I886" s="877" t="s">
        <v>64</v>
      </c>
      <c r="J886" s="878">
        <f>SUMIFS('Level of Efficiency Assumptions'!J:J,'Level of Efficiency Assumptions'!D:D,E886,'Level of Efficiency Assumptions'!F:F,F886,'Level of Efficiency Assumptions'!I:I,I886)</f>
        <v>10</v>
      </c>
      <c r="K886" s="383" t="s">
        <v>588</v>
      </c>
      <c r="L886" s="253" t="s">
        <v>64</v>
      </c>
      <c r="M886" s="879">
        <f>SUM(Q886:Q886)</f>
        <v>0</v>
      </c>
      <c r="N886" s="880">
        <f>IFERROR(M886/M889,"-")</f>
        <v>0</v>
      </c>
      <c r="O886" s="881">
        <f>SUMIFS('Data Entry'!R:R,'Data Entry'!K:K,G886)</f>
        <v>0</v>
      </c>
      <c r="P886" s="272" t="s">
        <v>129</v>
      </c>
      <c r="Q886" s="895">
        <v>0</v>
      </c>
      <c r="R886" s="114"/>
      <c r="S886" s="884"/>
      <c r="T886" s="270"/>
      <c r="U886" s="270"/>
      <c r="V886" s="270"/>
      <c r="W886" s="270"/>
      <c r="X886" s="270"/>
      <c r="Y886" s="270"/>
      <c r="Z886" s="270"/>
      <c r="AA886" s="270"/>
      <c r="AC886" s="85"/>
      <c r="AD886" s="85"/>
    </row>
    <row r="887" spans="3:31" ht="15" thickBot="1" x14ac:dyDescent="0.35">
      <c r="C887" s="494" t="s">
        <v>386</v>
      </c>
      <c r="D887" s="577"/>
      <c r="E887" s="577" t="s">
        <v>8</v>
      </c>
      <c r="F887" s="577" t="s">
        <v>54</v>
      </c>
      <c r="G887" s="450" t="str">
        <f t="shared" si="40"/>
        <v>Office Building D-Other-Other 3</v>
      </c>
      <c r="H887" s="577"/>
      <c r="I887" s="887" t="s">
        <v>65</v>
      </c>
      <c r="J887" s="878">
        <f>SUMIFS('Level of Efficiency Assumptions'!J:J,'Level of Efficiency Assumptions'!D:D,E887,'Level of Efficiency Assumptions'!F:F,F887,'Level of Efficiency Assumptions'!I:I,I887)</f>
        <v>7.5</v>
      </c>
      <c r="K887" s="383" t="s">
        <v>588</v>
      </c>
      <c r="L887" s="255" t="s">
        <v>65</v>
      </c>
      <c r="M887" s="879">
        <f t="shared" ref="M887:M888" si="43">SUM(Q887:Q887)</f>
        <v>1</v>
      </c>
      <c r="N887" s="880">
        <f>IFERROR(M887/M889,"-")</f>
        <v>1</v>
      </c>
      <c r="O887" s="881">
        <f>SUMIFS('Data Entry'!S:S,'Data Entry'!K:K,G887)</f>
        <v>0</v>
      </c>
      <c r="P887" s="274" t="s">
        <v>233</v>
      </c>
      <c r="Q887" s="895">
        <v>1</v>
      </c>
      <c r="R887" s="114"/>
      <c r="S887" s="884"/>
      <c r="T887" s="270"/>
      <c r="U887" s="270"/>
      <c r="V887" s="270"/>
      <c r="W887" s="270"/>
      <c r="X887" s="270"/>
      <c r="Y887" s="270"/>
      <c r="Z887" s="270"/>
      <c r="AA887" s="270"/>
      <c r="AC887" s="85"/>
      <c r="AD887" s="85"/>
    </row>
    <row r="888" spans="3:31" ht="15" thickBot="1" x14ac:dyDescent="0.35">
      <c r="C888" s="501" t="s">
        <v>386</v>
      </c>
      <c r="D888" s="116"/>
      <c r="E888" s="116" t="s">
        <v>8</v>
      </c>
      <c r="F888" s="116" t="s">
        <v>54</v>
      </c>
      <c r="G888" s="450" t="str">
        <f t="shared" si="40"/>
        <v>Office Building D-Other-Other 3</v>
      </c>
      <c r="H888" s="116"/>
      <c r="I888" s="889" t="s">
        <v>66</v>
      </c>
      <c r="J888" s="890">
        <f>SUMIFS('Level of Efficiency Assumptions'!J:J,'Level of Efficiency Assumptions'!D:D,E888,'Level of Efficiency Assumptions'!F:F,F888,'Level of Efficiency Assumptions'!I:I,I888)</f>
        <v>5</v>
      </c>
      <c r="K888" s="383" t="s">
        <v>588</v>
      </c>
      <c r="L888" s="257" t="s">
        <v>66</v>
      </c>
      <c r="M888" s="879">
        <f t="shared" si="43"/>
        <v>0</v>
      </c>
      <c r="N888" s="880">
        <f>IFERROR(M888/M889,"-")</f>
        <v>0</v>
      </c>
      <c r="O888" s="881">
        <f>SUMIFS('Data Entry'!T:T,'Data Entry'!K:K,G888)</f>
        <v>0</v>
      </c>
      <c r="P888" s="269" t="s">
        <v>234</v>
      </c>
      <c r="Q888" s="895">
        <v>0</v>
      </c>
      <c r="R888" s="114"/>
      <c r="S888" s="884"/>
      <c r="T888" s="270"/>
      <c r="U888" s="270"/>
      <c r="V888" s="270"/>
      <c r="W888" s="270"/>
      <c r="X888" s="270"/>
      <c r="Y888" s="270"/>
      <c r="Z888" s="270"/>
      <c r="AA888" s="270"/>
      <c r="AC888" s="85"/>
      <c r="AD888" s="85"/>
    </row>
    <row r="889" spans="3:31" x14ac:dyDescent="0.3">
      <c r="C889" s="450"/>
      <c r="D889" s="182"/>
      <c r="E889" s="182"/>
      <c r="F889" s="182"/>
      <c r="G889" s="450" t="str">
        <f t="shared" si="40"/>
        <v>--</v>
      </c>
      <c r="H889" s="182"/>
      <c r="I889" s="440"/>
      <c r="J889" s="892"/>
      <c r="K889" s="259"/>
      <c r="L889" s="259" t="s">
        <v>46</v>
      </c>
      <c r="M889" s="893">
        <f>SUM(M886:M888)</f>
        <v>1</v>
      </c>
      <c r="N889" s="894"/>
      <c r="O889" s="894">
        <f>SUM(O886:O888)</f>
        <v>0</v>
      </c>
      <c r="P889" s="263" t="s">
        <v>46</v>
      </c>
      <c r="Q889" s="897">
        <f>SUM(Q886:Q888)</f>
        <v>1</v>
      </c>
      <c r="R889" s="899"/>
      <c r="S889" s="900"/>
      <c r="T889" s="270"/>
      <c r="U889" s="270"/>
      <c r="V889" s="270"/>
      <c r="W889" s="270"/>
      <c r="X889" s="270"/>
      <c r="Y889" s="270"/>
      <c r="Z889" s="270"/>
      <c r="AA889" s="270"/>
      <c r="AC889" s="85"/>
      <c r="AD889" s="85"/>
    </row>
    <row r="890" spans="3:31" ht="15" thickBot="1" x14ac:dyDescent="0.35">
      <c r="C890" s="451"/>
      <c r="D890" s="184"/>
      <c r="E890" s="184"/>
      <c r="F890" s="184"/>
      <c r="G890" s="450" t="str">
        <f t="shared" si="40"/>
        <v>--</v>
      </c>
      <c r="H890" s="184"/>
      <c r="I890" s="184"/>
      <c r="J890" s="184"/>
      <c r="K890" s="184"/>
      <c r="L890" s="184"/>
      <c r="M890" s="278"/>
      <c r="N890" s="281"/>
      <c r="O890" s="281"/>
      <c r="P890" s="278"/>
      <c r="Q890" s="278"/>
      <c r="R890" s="278"/>
      <c r="S890" s="278"/>
      <c r="T890" s="278"/>
      <c r="U890" s="270"/>
      <c r="V890" s="270"/>
      <c r="W890" s="270"/>
      <c r="X890" s="270"/>
      <c r="Y890" s="270"/>
      <c r="Z890" s="270"/>
      <c r="AA890" s="270"/>
    </row>
    <row r="891" spans="3:31" s="45" customFormat="1" x14ac:dyDescent="0.3">
      <c r="C891" s="450"/>
      <c r="D891" s="182"/>
      <c r="E891" s="182"/>
      <c r="F891" s="182"/>
      <c r="G891" s="450" t="str">
        <f t="shared" si="40"/>
        <v>--</v>
      </c>
      <c r="H891" s="182"/>
      <c r="I891" s="892"/>
      <c r="J891" s="892"/>
      <c r="K891" s="182"/>
      <c r="L891" s="182"/>
      <c r="M891" s="270"/>
      <c r="N891" s="892"/>
      <c r="O891" s="892"/>
      <c r="P891" s="114"/>
      <c r="Q891" s="114"/>
      <c r="R891" s="114"/>
      <c r="S891" s="114"/>
      <c r="T891" s="114"/>
      <c r="U891" s="114"/>
      <c r="V891" s="114"/>
      <c r="W891" s="114"/>
      <c r="X891" s="114"/>
      <c r="Y891" s="114"/>
      <c r="Z891" s="114"/>
      <c r="AA891" s="114"/>
      <c r="AB891" s="85"/>
      <c r="AC891" s="85"/>
      <c r="AD891" s="85"/>
      <c r="AE891" s="85"/>
    </row>
    <row r="892" spans="3:31" s="45" customFormat="1" ht="15" thickBot="1" x14ac:dyDescent="0.35">
      <c r="C892" s="450"/>
      <c r="D892" s="182"/>
      <c r="E892" s="182"/>
      <c r="F892" s="182"/>
      <c r="G892" s="450" t="str">
        <f t="shared" si="40"/>
        <v>--</v>
      </c>
      <c r="H892" s="182"/>
      <c r="I892" s="892"/>
      <c r="J892" s="892"/>
      <c r="K892" s="182"/>
      <c r="L892" s="182"/>
      <c r="M892" s="901" t="s">
        <v>155</v>
      </c>
      <c r="N892" s="870" t="s">
        <v>188</v>
      </c>
      <c r="O892" s="870"/>
      <c r="P892" s="252" t="s">
        <v>158</v>
      </c>
      <c r="Q892" s="871" t="s">
        <v>155</v>
      </c>
      <c r="R892" s="872" t="s">
        <v>168</v>
      </c>
      <c r="S892" s="872" t="s">
        <v>169</v>
      </c>
      <c r="T892" s="873"/>
      <c r="U892" s="874"/>
      <c r="V892" s="270"/>
      <c r="W892" s="270"/>
      <c r="X892" s="270"/>
      <c r="Y892" s="114"/>
      <c r="Z892" s="270"/>
      <c r="AA892" s="270"/>
      <c r="AB892" s="125"/>
      <c r="AC892" s="85"/>
      <c r="AD892" s="85"/>
      <c r="AE892" s="85"/>
    </row>
    <row r="893" spans="3:31" ht="15" thickBot="1" x14ac:dyDescent="0.35">
      <c r="C893" s="566" t="s">
        <v>387</v>
      </c>
      <c r="D893" s="875" t="str">
        <f>VLOOKUP(C893,'Airport Mapping'!$C$5:$D$39,2,FALSE)</f>
        <v xml:space="preserve"> </v>
      </c>
      <c r="E893" s="567" t="s">
        <v>37</v>
      </c>
      <c r="F893" s="567" t="s">
        <v>2</v>
      </c>
      <c r="G893" s="450" t="str">
        <f t="shared" si="40"/>
        <v>Office Building E-Restrooms-Toilets</v>
      </c>
      <c r="H893" s="567" t="s">
        <v>6</v>
      </c>
      <c r="I893" s="877" t="s">
        <v>64</v>
      </c>
      <c r="J893" s="878">
        <f>SUMIFS('Level of Efficiency Assumptions'!J:J,'Level of Efficiency Assumptions'!D:D,E893,'Level of Efficiency Assumptions'!F:F,F893,'Level of Efficiency Assumptions'!I:I,I893)</f>
        <v>3.5</v>
      </c>
      <c r="K893" s="383" t="s">
        <v>68</v>
      </c>
      <c r="L893" s="253" t="s">
        <v>64</v>
      </c>
      <c r="M893" s="879">
        <f>Q893+Q899</f>
        <v>0</v>
      </c>
      <c r="N893" s="880">
        <f>IFERROR(M893/M896,"-")</f>
        <v>0</v>
      </c>
      <c r="O893" s="881">
        <f>SUMIFS('Data Entry'!R:R,'Data Entry'!K:K,G893)</f>
        <v>0</v>
      </c>
      <c r="P893" s="254" t="s">
        <v>159</v>
      </c>
      <c r="Q893" s="882">
        <v>0</v>
      </c>
      <c r="R893" s="883"/>
      <c r="S893" s="883"/>
      <c r="T893" s="114" t="s">
        <v>182</v>
      </c>
      <c r="U893" s="884"/>
      <c r="V893" s="270"/>
      <c r="W893" s="270"/>
      <c r="X893" s="270"/>
      <c r="Y893" s="114"/>
      <c r="Z893" s="270"/>
      <c r="AA893" s="270"/>
      <c r="AC893" s="85"/>
      <c r="AD893" s="85"/>
    </row>
    <row r="894" spans="3:31" ht="15" thickBot="1" x14ac:dyDescent="0.35">
      <c r="C894" s="494" t="s">
        <v>387</v>
      </c>
      <c r="D894" s="577"/>
      <c r="E894" s="577" t="s">
        <v>37</v>
      </c>
      <c r="F894" s="577" t="s">
        <v>2</v>
      </c>
      <c r="G894" s="450" t="str">
        <f t="shared" si="40"/>
        <v>Office Building E-Restrooms-Toilets</v>
      </c>
      <c r="H894" s="577"/>
      <c r="I894" s="887" t="s">
        <v>65</v>
      </c>
      <c r="J894" s="878">
        <f>SUMIFS('Level of Efficiency Assumptions'!J:J,'Level of Efficiency Assumptions'!D:D,E894,'Level of Efficiency Assumptions'!F:F,F894,'Level of Efficiency Assumptions'!I:I,I894)</f>
        <v>1.6</v>
      </c>
      <c r="K894" s="383" t="s">
        <v>68</v>
      </c>
      <c r="L894" s="255" t="s">
        <v>65</v>
      </c>
      <c r="M894" s="879">
        <f>Q894+Q897+Q900</f>
        <v>1</v>
      </c>
      <c r="N894" s="880">
        <f>IFERROR(M894/M896,"-")</f>
        <v>1</v>
      </c>
      <c r="O894" s="881">
        <f>SUMIFS('Data Entry'!S:S,'Data Entry'!K:K,G894)</f>
        <v>0</v>
      </c>
      <c r="P894" s="256" t="s">
        <v>161</v>
      </c>
      <c r="Q894" s="882">
        <v>1</v>
      </c>
      <c r="R894" s="883"/>
      <c r="S894" s="883"/>
      <c r="T894" s="114" t="s">
        <v>184</v>
      </c>
      <c r="U894" s="884"/>
      <c r="V894" s="270"/>
      <c r="W894" s="270"/>
      <c r="X894" s="270"/>
      <c r="Y894" s="114"/>
      <c r="Z894" s="270"/>
      <c r="AA894" s="270"/>
      <c r="AC894" s="85"/>
      <c r="AD894" s="85"/>
    </row>
    <row r="895" spans="3:31" ht="15" thickBot="1" x14ac:dyDescent="0.35">
      <c r="C895" s="501" t="s">
        <v>387</v>
      </c>
      <c r="D895" s="116"/>
      <c r="E895" s="116" t="s">
        <v>37</v>
      </c>
      <c r="F895" s="116" t="s">
        <v>2</v>
      </c>
      <c r="G895" s="450" t="str">
        <f t="shared" si="40"/>
        <v>Office Building E-Restrooms-Toilets</v>
      </c>
      <c r="H895" s="116"/>
      <c r="I895" s="889" t="s">
        <v>66</v>
      </c>
      <c r="J895" s="890">
        <f>SUMIFS('Level of Efficiency Assumptions'!J:J,'Level of Efficiency Assumptions'!D:D,E895,'Level of Efficiency Assumptions'!F:F,F895,'Level of Efficiency Assumptions'!I:I,I895)</f>
        <v>1.28</v>
      </c>
      <c r="K895" s="383" t="s">
        <v>68</v>
      </c>
      <c r="L895" s="257" t="s">
        <v>66</v>
      </c>
      <c r="M895" s="879">
        <f>Q895+Q896+Q898+Q901+Q902</f>
        <v>0</v>
      </c>
      <c r="N895" s="880">
        <f>IFERROR(M895/M896,"-")</f>
        <v>0</v>
      </c>
      <c r="O895" s="881">
        <f>SUMIFS('Data Entry'!T:T,'Data Entry'!K:K,G895)</f>
        <v>0</v>
      </c>
      <c r="P895" s="258" t="s">
        <v>163</v>
      </c>
      <c r="Q895" s="882">
        <v>0</v>
      </c>
      <c r="R895" s="883"/>
      <c r="S895" s="883"/>
      <c r="T895" s="891"/>
      <c r="U895" s="884"/>
      <c r="V895" s="270"/>
      <c r="W895" s="270"/>
      <c r="X895" s="270"/>
      <c r="Y895" s="114"/>
      <c r="Z895" s="270"/>
      <c r="AA895" s="270"/>
      <c r="AC895" s="85"/>
      <c r="AD895" s="85"/>
    </row>
    <row r="896" spans="3:31" x14ac:dyDescent="0.3">
      <c r="C896" s="450"/>
      <c r="D896" s="182"/>
      <c r="E896" s="182"/>
      <c r="F896" s="182"/>
      <c r="G896" s="450" t="str">
        <f t="shared" si="40"/>
        <v>--</v>
      </c>
      <c r="H896" s="182"/>
      <c r="I896" s="440"/>
      <c r="J896" s="892"/>
      <c r="K896" s="259"/>
      <c r="L896" s="259" t="s">
        <v>46</v>
      </c>
      <c r="M896" s="893">
        <f>SUM(M893:M895)</f>
        <v>1</v>
      </c>
      <c r="N896" s="894"/>
      <c r="O896" s="894">
        <f>SUM(O893:O895)</f>
        <v>0</v>
      </c>
      <c r="P896" s="258" t="s">
        <v>165</v>
      </c>
      <c r="Q896" s="882">
        <v>0</v>
      </c>
      <c r="R896" s="883"/>
      <c r="S896" s="883"/>
      <c r="T896" s="891"/>
      <c r="U896" s="884"/>
      <c r="V896" s="270"/>
      <c r="W896" s="270"/>
      <c r="X896" s="270"/>
      <c r="Y896" s="114"/>
      <c r="Z896" s="270"/>
      <c r="AA896" s="270"/>
      <c r="AC896" s="85"/>
      <c r="AD896" s="85"/>
    </row>
    <row r="897" spans="3:30" ht="15" thickBot="1" x14ac:dyDescent="0.35">
      <c r="C897" s="450"/>
      <c r="D897" s="182"/>
      <c r="E897" s="182"/>
      <c r="F897" s="182"/>
      <c r="G897" s="450" t="str">
        <f t="shared" si="40"/>
        <v>--</v>
      </c>
      <c r="H897" s="182"/>
      <c r="I897" s="892"/>
      <c r="J897" s="288"/>
      <c r="K897" s="182"/>
      <c r="L897" s="181"/>
      <c r="M897" s="181"/>
      <c r="N897" s="892"/>
      <c r="O897" s="892"/>
      <c r="P897" s="256" t="s">
        <v>166</v>
      </c>
      <c r="Q897" s="895">
        <v>0</v>
      </c>
      <c r="R897" s="883"/>
      <c r="S897" s="883"/>
      <c r="T897" s="891"/>
      <c r="U897" s="896"/>
      <c r="V897" s="891"/>
      <c r="W897" s="270"/>
      <c r="X897" s="270"/>
      <c r="Y897" s="114"/>
      <c r="Z897" s="270"/>
      <c r="AA897" s="270"/>
      <c r="AC897" s="85"/>
      <c r="AD897" s="85"/>
    </row>
    <row r="898" spans="3:30" x14ac:dyDescent="0.3">
      <c r="C898" s="450"/>
      <c r="D898" s="182"/>
      <c r="E898" s="182"/>
      <c r="F898" s="182"/>
      <c r="G898" s="450" t="str">
        <f t="shared" si="40"/>
        <v>--</v>
      </c>
      <c r="H898" s="182"/>
      <c r="I898" s="892"/>
      <c r="J898" s="288"/>
      <c r="K898" s="182"/>
      <c r="L898" s="1384" t="s">
        <v>377</v>
      </c>
      <c r="M898" s="1385"/>
      <c r="N898" s="1385"/>
      <c r="O898" s="1386"/>
      <c r="P898" s="258" t="s">
        <v>167</v>
      </c>
      <c r="Q898" s="895">
        <v>0</v>
      </c>
      <c r="R898" s="883"/>
      <c r="S898" s="883"/>
      <c r="T898" s="891"/>
      <c r="U898" s="896"/>
      <c r="V898" s="891"/>
      <c r="W898" s="270"/>
      <c r="X898" s="270"/>
      <c r="Y898" s="270"/>
      <c r="Z898" s="270"/>
      <c r="AA898" s="270"/>
      <c r="AC898" s="85"/>
      <c r="AD898" s="85"/>
    </row>
    <row r="899" spans="3:30" x14ac:dyDescent="0.3">
      <c r="C899" s="450"/>
      <c r="D899" s="182"/>
      <c r="E899" s="182"/>
      <c r="F899" s="182"/>
      <c r="G899" s="450" t="str">
        <f t="shared" si="40"/>
        <v>--</v>
      </c>
      <c r="H899" s="182"/>
      <c r="I899" s="892"/>
      <c r="J899" s="288"/>
      <c r="K899" s="182"/>
      <c r="L899" s="1387"/>
      <c r="M899" s="1388"/>
      <c r="N899" s="1388"/>
      <c r="O899" s="1389"/>
      <c r="P899" s="254" t="s">
        <v>160</v>
      </c>
      <c r="Q899" s="895">
        <v>0</v>
      </c>
      <c r="R899" s="891"/>
      <c r="S899" s="891"/>
      <c r="T899" s="891"/>
      <c r="U899" s="896"/>
      <c r="V899" s="891"/>
      <c r="W899" s="270"/>
      <c r="X899" s="270"/>
      <c r="Y899" s="270"/>
      <c r="Z899" s="270"/>
      <c r="AA899" s="270"/>
      <c r="AC899" s="85"/>
      <c r="AD899" s="85"/>
    </row>
    <row r="900" spans="3:30" x14ac:dyDescent="0.3">
      <c r="C900" s="450"/>
      <c r="D900" s="182"/>
      <c r="E900" s="182"/>
      <c r="F900" s="182"/>
      <c r="G900" s="450" t="str">
        <f t="shared" si="40"/>
        <v>--</v>
      </c>
      <c r="H900" s="182"/>
      <c r="I900" s="892"/>
      <c r="J900" s="288"/>
      <c r="K900" s="182"/>
      <c r="L900" s="1387"/>
      <c r="M900" s="1388"/>
      <c r="N900" s="1388"/>
      <c r="O900" s="1389"/>
      <c r="P900" s="256" t="s">
        <v>162</v>
      </c>
      <c r="Q900" s="895">
        <v>0</v>
      </c>
      <c r="R900" s="891"/>
      <c r="S900" s="891"/>
      <c r="T900" s="891"/>
      <c r="U900" s="896"/>
      <c r="V900" s="891"/>
      <c r="W900" s="270"/>
      <c r="X900" s="270"/>
      <c r="Y900" s="270"/>
      <c r="Z900" s="270"/>
      <c r="AA900" s="270"/>
      <c r="AC900" s="85"/>
      <c r="AD900" s="85"/>
    </row>
    <row r="901" spans="3:30" ht="15" thickBot="1" x14ac:dyDescent="0.35">
      <c r="C901" s="450"/>
      <c r="D901" s="182"/>
      <c r="E901" s="182"/>
      <c r="F901" s="182"/>
      <c r="G901" s="450" t="str">
        <f t="shared" si="40"/>
        <v>--</v>
      </c>
      <c r="H901" s="182"/>
      <c r="I901" s="892"/>
      <c r="J901" s="288"/>
      <c r="K901" s="182"/>
      <c r="L901" s="1390"/>
      <c r="M901" s="1391"/>
      <c r="N901" s="1391"/>
      <c r="O901" s="1392"/>
      <c r="P901" s="258" t="s">
        <v>164</v>
      </c>
      <c r="Q901" s="895">
        <v>0</v>
      </c>
      <c r="R901" s="114"/>
      <c r="S901" s="891"/>
      <c r="T901" s="114"/>
      <c r="U901" s="884"/>
      <c r="V901" s="114"/>
      <c r="W901" s="270"/>
      <c r="X901" s="270"/>
      <c r="Y901" s="270"/>
      <c r="Z901" s="270"/>
      <c r="AA901" s="270"/>
      <c r="AC901" s="85"/>
      <c r="AD901" s="85"/>
    </row>
    <row r="902" spans="3:30" x14ac:dyDescent="0.3">
      <c r="C902" s="450"/>
      <c r="D902" s="182"/>
      <c r="E902" s="182"/>
      <c r="F902" s="182"/>
      <c r="G902" s="450" t="str">
        <f t="shared" si="40"/>
        <v>--</v>
      </c>
      <c r="H902" s="182"/>
      <c r="I902" s="892"/>
      <c r="J902" s="288"/>
      <c r="K902" s="182"/>
      <c r="L902" s="181"/>
      <c r="M902" s="181"/>
      <c r="N902" s="892"/>
      <c r="O902" s="892"/>
      <c r="P902" s="258" t="s">
        <v>187</v>
      </c>
      <c r="Q902" s="895">
        <v>0</v>
      </c>
      <c r="R902" s="114"/>
      <c r="S902" s="891"/>
      <c r="T902" s="114"/>
      <c r="U902" s="884"/>
      <c r="V902" s="114"/>
      <c r="W902" s="270"/>
      <c r="X902" s="270"/>
      <c r="Y902" s="270"/>
      <c r="Z902" s="270"/>
      <c r="AA902" s="270"/>
      <c r="AC902" s="85"/>
      <c r="AD902" s="85"/>
    </row>
    <row r="903" spans="3:30" x14ac:dyDescent="0.3">
      <c r="C903" s="450"/>
      <c r="D903" s="182"/>
      <c r="E903" s="182"/>
      <c r="F903" s="182"/>
      <c r="G903" s="450" t="str">
        <f t="shared" si="40"/>
        <v>--</v>
      </c>
      <c r="H903" s="182"/>
      <c r="I903" s="892"/>
      <c r="J903" s="288"/>
      <c r="K903" s="182"/>
      <c r="L903" s="181"/>
      <c r="M903" s="181"/>
      <c r="N903" s="892"/>
      <c r="O903" s="892"/>
      <c r="P903" s="263" t="s">
        <v>46</v>
      </c>
      <c r="Q903" s="897">
        <f>SUM(Q893:Q902)</f>
        <v>1</v>
      </c>
      <c r="R903" s="898"/>
      <c r="S903" s="898"/>
      <c r="T903" s="899"/>
      <c r="U903" s="900"/>
      <c r="V903" s="114"/>
      <c r="W903" s="270"/>
      <c r="X903" s="270"/>
      <c r="Y903" s="270"/>
      <c r="Z903" s="270"/>
      <c r="AA903" s="270"/>
      <c r="AC903" s="85"/>
      <c r="AD903" s="85"/>
    </row>
    <row r="904" spans="3:30" x14ac:dyDescent="0.3">
      <c r="C904" s="450"/>
      <c r="D904" s="182"/>
      <c r="E904" s="182"/>
      <c r="F904" s="182"/>
      <c r="G904" s="450" t="str">
        <f t="shared" si="40"/>
        <v>--</v>
      </c>
      <c r="H904" s="182"/>
      <c r="I904" s="892"/>
      <c r="J904" s="288"/>
      <c r="K904" s="182"/>
      <c r="L904" s="181"/>
      <c r="M904" s="181"/>
      <c r="N904" s="892"/>
      <c r="O904" s="892"/>
      <c r="P904" s="114"/>
      <c r="Q904" s="114"/>
      <c r="R904" s="891"/>
      <c r="S904" s="891"/>
      <c r="T904" s="114"/>
      <c r="U904" s="114"/>
      <c r="V904" s="114"/>
      <c r="W904" s="270"/>
      <c r="X904" s="270"/>
      <c r="Y904" s="270"/>
      <c r="Z904" s="270"/>
      <c r="AA904" s="270"/>
      <c r="AC904" s="85"/>
      <c r="AD904" s="85"/>
    </row>
    <row r="905" spans="3:30" ht="15" thickBot="1" x14ac:dyDescent="0.35">
      <c r="C905" s="450"/>
      <c r="D905" s="182"/>
      <c r="E905" s="182"/>
      <c r="F905" s="182"/>
      <c r="G905" s="450" t="str">
        <f t="shared" si="40"/>
        <v>--</v>
      </c>
      <c r="H905" s="182"/>
      <c r="I905" s="892"/>
      <c r="J905" s="892"/>
      <c r="K905" s="182"/>
      <c r="L905" s="182"/>
      <c r="M905" s="901" t="s">
        <v>155</v>
      </c>
      <c r="N905" s="870" t="s">
        <v>188</v>
      </c>
      <c r="O905" s="870"/>
      <c r="P905" s="252" t="s">
        <v>175</v>
      </c>
      <c r="Q905" s="871" t="s">
        <v>155</v>
      </c>
      <c r="R905" s="872" t="s">
        <v>168</v>
      </c>
      <c r="S905" s="872" t="s">
        <v>169</v>
      </c>
      <c r="T905" s="902"/>
      <c r="U905" s="903"/>
      <c r="V905" s="270"/>
      <c r="W905" s="270"/>
      <c r="X905" s="270"/>
      <c r="Y905" s="270"/>
      <c r="Z905" s="270"/>
      <c r="AA905" s="270"/>
      <c r="AC905" s="85"/>
      <c r="AD905" s="85"/>
    </row>
    <row r="906" spans="3:30" ht="15" thickBot="1" x14ac:dyDescent="0.35">
      <c r="C906" s="566" t="s">
        <v>387</v>
      </c>
      <c r="D906" s="875" t="str">
        <f>VLOOKUP(C906,'Airport Mapping'!$C$5:$D$39,2,FALSE)</f>
        <v xml:space="preserve"> </v>
      </c>
      <c r="E906" s="567" t="s">
        <v>37</v>
      </c>
      <c r="F906" s="567" t="s">
        <v>4</v>
      </c>
      <c r="G906" s="450" t="str">
        <f t="shared" si="40"/>
        <v>Office Building E-Restrooms-Urinals</v>
      </c>
      <c r="H906" s="567" t="s">
        <v>6</v>
      </c>
      <c r="I906" s="877" t="s">
        <v>64</v>
      </c>
      <c r="J906" s="878">
        <f>SUMIFS('Level of Efficiency Assumptions'!J:J,'Level of Efficiency Assumptions'!D:D,E906,'Level of Efficiency Assumptions'!F:F,F906,'Level of Efficiency Assumptions'!I:I,I906)</f>
        <v>2</v>
      </c>
      <c r="K906" s="383" t="s">
        <v>68</v>
      </c>
      <c r="L906" s="253" t="s">
        <v>64</v>
      </c>
      <c r="M906" s="879">
        <f>Q906+Q907</f>
        <v>0</v>
      </c>
      <c r="N906" s="880">
        <f>IFERROR(M906/M909,"-")</f>
        <v>0</v>
      </c>
      <c r="O906" s="881">
        <f>SUMIFS('Data Entry'!R:R,'Data Entry'!K:K,G906)</f>
        <v>0</v>
      </c>
      <c r="P906" s="254" t="s">
        <v>177</v>
      </c>
      <c r="Q906" s="882">
        <v>0</v>
      </c>
      <c r="R906" s="883"/>
      <c r="S906" s="883"/>
      <c r="T906" s="114"/>
      <c r="U906" s="904"/>
      <c r="V906" s="270"/>
      <c r="W906" s="270"/>
      <c r="X906" s="270"/>
      <c r="Y906" s="270"/>
      <c r="Z906" s="270"/>
      <c r="AA906" s="270"/>
      <c r="AC906" s="85"/>
      <c r="AD906" s="85"/>
    </row>
    <row r="907" spans="3:30" ht="15" thickBot="1" x14ac:dyDescent="0.35">
      <c r="C907" s="494" t="s">
        <v>387</v>
      </c>
      <c r="D907" s="577"/>
      <c r="E907" s="577" t="s">
        <v>37</v>
      </c>
      <c r="F907" s="577" t="s">
        <v>4</v>
      </c>
      <c r="G907" s="450" t="str">
        <f t="shared" si="40"/>
        <v>Office Building E-Restrooms-Urinals</v>
      </c>
      <c r="H907" s="577"/>
      <c r="I907" s="887" t="s">
        <v>65</v>
      </c>
      <c r="J907" s="878">
        <f>SUMIFS('Level of Efficiency Assumptions'!J:J,'Level of Efficiency Assumptions'!D:D,E907,'Level of Efficiency Assumptions'!F:F,F907,'Level of Efficiency Assumptions'!I:I,I907)</f>
        <v>1</v>
      </c>
      <c r="K907" s="383" t="s">
        <v>68</v>
      </c>
      <c r="L907" s="255" t="s">
        <v>65</v>
      </c>
      <c r="M907" s="879">
        <f>Q908+Q909</f>
        <v>1</v>
      </c>
      <c r="N907" s="880">
        <f>IFERROR(M907/M909,"-")</f>
        <v>1</v>
      </c>
      <c r="O907" s="881">
        <f>SUMIFS('Data Entry'!S:S,'Data Entry'!K:K,G907)</f>
        <v>0</v>
      </c>
      <c r="P907" s="254" t="s">
        <v>179</v>
      </c>
      <c r="Q907" s="882">
        <v>0</v>
      </c>
      <c r="R907" s="883"/>
      <c r="S907" s="883"/>
      <c r="T907" s="114"/>
      <c r="U907" s="904"/>
      <c r="V907" s="270"/>
      <c r="W907" s="270"/>
      <c r="X907" s="270"/>
      <c r="Y907" s="270"/>
      <c r="Z907" s="270"/>
      <c r="AA907" s="270"/>
      <c r="AC907" s="85"/>
      <c r="AD907" s="85"/>
    </row>
    <row r="908" spans="3:30" ht="15" thickBot="1" x14ac:dyDescent="0.35">
      <c r="C908" s="501" t="s">
        <v>387</v>
      </c>
      <c r="D908" s="116"/>
      <c r="E908" s="116" t="s">
        <v>37</v>
      </c>
      <c r="F908" s="116" t="s">
        <v>4</v>
      </c>
      <c r="G908" s="450" t="str">
        <f t="shared" si="40"/>
        <v>Office Building E-Restrooms-Urinals</v>
      </c>
      <c r="H908" s="116"/>
      <c r="I908" s="889" t="s">
        <v>66</v>
      </c>
      <c r="J908" s="890">
        <f>SUMIFS('Level of Efficiency Assumptions'!J:J,'Level of Efficiency Assumptions'!D:D,E908,'Level of Efficiency Assumptions'!F:F,F908,'Level of Efficiency Assumptions'!I:I,I908)</f>
        <v>0.125</v>
      </c>
      <c r="K908" s="383" t="s">
        <v>68</v>
      </c>
      <c r="L908" s="257" t="s">
        <v>66</v>
      </c>
      <c r="M908" s="879">
        <f>Q910+Q911</f>
        <v>0</v>
      </c>
      <c r="N908" s="880">
        <f>IFERROR(M908/M909,"-")</f>
        <v>0</v>
      </c>
      <c r="O908" s="881">
        <f>SUMIFS('Data Entry'!T:T,'Data Entry'!K:K,G908)</f>
        <v>0</v>
      </c>
      <c r="P908" s="256" t="s">
        <v>189</v>
      </c>
      <c r="Q908" s="882">
        <v>0</v>
      </c>
      <c r="R908" s="883"/>
      <c r="S908" s="883"/>
      <c r="T908" s="114"/>
      <c r="U908" s="904"/>
      <c r="V908" s="270"/>
      <c r="W908" s="270"/>
      <c r="X908" s="270"/>
      <c r="Y908" s="270"/>
      <c r="Z908" s="270"/>
      <c r="AA908" s="270"/>
      <c r="AC908" s="85"/>
      <c r="AD908" s="85"/>
    </row>
    <row r="909" spans="3:30" x14ac:dyDescent="0.3">
      <c r="C909" s="450"/>
      <c r="D909" s="182"/>
      <c r="E909" s="182"/>
      <c r="F909" s="182"/>
      <c r="G909" s="450" t="str">
        <f t="shared" si="40"/>
        <v>--</v>
      </c>
      <c r="H909" s="182"/>
      <c r="I909" s="440"/>
      <c r="J909" s="892"/>
      <c r="K909" s="259"/>
      <c r="L909" s="259" t="s">
        <v>46</v>
      </c>
      <c r="M909" s="893">
        <f>SUM(M906:M908)</f>
        <v>1</v>
      </c>
      <c r="N909" s="894"/>
      <c r="O909" s="894">
        <f>SUM(O906:O908)</f>
        <v>0</v>
      </c>
      <c r="P909" s="256" t="s">
        <v>181</v>
      </c>
      <c r="Q909" s="882">
        <v>1</v>
      </c>
      <c r="R909" s="883"/>
      <c r="S909" s="883"/>
      <c r="T909" s="114"/>
      <c r="U909" s="264"/>
      <c r="V909" s="270"/>
      <c r="W909" s="270"/>
      <c r="X909" s="270"/>
      <c r="Y909" s="270"/>
      <c r="Z909" s="270"/>
      <c r="AA909" s="270"/>
      <c r="AC909" s="85"/>
      <c r="AD909" s="85"/>
    </row>
    <row r="910" spans="3:30" x14ac:dyDescent="0.3">
      <c r="C910" s="450"/>
      <c r="D910" s="182"/>
      <c r="E910" s="182"/>
      <c r="F910" s="182"/>
      <c r="G910" s="450" t="str">
        <f t="shared" si="40"/>
        <v>--</v>
      </c>
      <c r="H910" s="182"/>
      <c r="I910" s="892"/>
      <c r="J910" s="288"/>
      <c r="K910" s="182"/>
      <c r="L910" s="181"/>
      <c r="M910" s="181"/>
      <c r="N910" s="892"/>
      <c r="O910" s="892"/>
      <c r="P910" s="258" t="s">
        <v>183</v>
      </c>
      <c r="Q910" s="882">
        <v>0</v>
      </c>
      <c r="R910" s="883"/>
      <c r="S910" s="883"/>
      <c r="T910" s="114"/>
      <c r="U910" s="884"/>
      <c r="V910" s="114"/>
      <c r="W910" s="270"/>
      <c r="X910" s="270"/>
      <c r="Y910" s="270"/>
      <c r="Z910" s="270"/>
      <c r="AA910" s="270"/>
      <c r="AC910" s="85"/>
      <c r="AD910" s="85"/>
    </row>
    <row r="911" spans="3:30" x14ac:dyDescent="0.3">
      <c r="C911" s="450"/>
      <c r="D911" s="182"/>
      <c r="E911" s="182"/>
      <c r="F911" s="182"/>
      <c r="G911" s="450" t="str">
        <f t="shared" si="40"/>
        <v>--</v>
      </c>
      <c r="H911" s="182"/>
      <c r="I911" s="892"/>
      <c r="J911" s="288"/>
      <c r="K911" s="182"/>
      <c r="L911" s="181"/>
      <c r="M911" s="181"/>
      <c r="N911" s="892"/>
      <c r="O911" s="892"/>
      <c r="P911" s="258" t="s">
        <v>190</v>
      </c>
      <c r="Q911" s="882">
        <v>0</v>
      </c>
      <c r="R911" s="114"/>
      <c r="S911" s="114"/>
      <c r="T911" s="114"/>
      <c r="U911" s="884"/>
      <c r="V911" s="114"/>
      <c r="W911" s="270"/>
      <c r="X911" s="270"/>
      <c r="Y911" s="270"/>
      <c r="Z911" s="270"/>
      <c r="AA911" s="270"/>
      <c r="AC911" s="85"/>
      <c r="AD911" s="85"/>
    </row>
    <row r="912" spans="3:30" x14ac:dyDescent="0.3">
      <c r="C912" s="450"/>
      <c r="D912" s="182"/>
      <c r="E912" s="182"/>
      <c r="F912" s="182"/>
      <c r="G912" s="450" t="str">
        <f t="shared" si="40"/>
        <v>--</v>
      </c>
      <c r="H912" s="182"/>
      <c r="I912" s="892"/>
      <c r="J912" s="288"/>
      <c r="K912" s="182"/>
      <c r="L912" s="181"/>
      <c r="M912" s="181"/>
      <c r="N912" s="892"/>
      <c r="O912" s="892"/>
      <c r="P912" s="263" t="s">
        <v>46</v>
      </c>
      <c r="Q912" s="897">
        <f>SUM(Q906:Q911)</f>
        <v>1</v>
      </c>
      <c r="R912" s="899"/>
      <c r="S912" s="899"/>
      <c r="T912" s="899"/>
      <c r="U912" s="900"/>
      <c r="V912" s="114"/>
      <c r="W912" s="270"/>
      <c r="X912" s="270"/>
      <c r="Y912" s="270"/>
      <c r="Z912" s="270"/>
      <c r="AA912" s="270"/>
      <c r="AC912" s="85"/>
      <c r="AD912" s="85"/>
    </row>
    <row r="913" spans="3:30" x14ac:dyDescent="0.3">
      <c r="C913" s="450"/>
      <c r="D913" s="182"/>
      <c r="E913" s="182"/>
      <c r="F913" s="182"/>
      <c r="G913" s="450" t="str">
        <f t="shared" si="40"/>
        <v>--</v>
      </c>
      <c r="H913" s="182"/>
      <c r="I913" s="892"/>
      <c r="J913" s="288"/>
      <c r="K913" s="182"/>
      <c r="L913" s="181"/>
      <c r="M913" s="181"/>
      <c r="N913" s="892"/>
      <c r="O913" s="892"/>
      <c r="P913" s="262"/>
      <c r="Q913" s="114"/>
      <c r="R913" s="114"/>
      <c r="S913" s="114"/>
      <c r="T913" s="114"/>
      <c r="U913" s="114"/>
      <c r="V913" s="114"/>
      <c r="W913" s="270"/>
      <c r="X913" s="270"/>
      <c r="Y913" s="270"/>
      <c r="Z913" s="270"/>
      <c r="AA913" s="270"/>
      <c r="AC913" s="85"/>
      <c r="AD913" s="85"/>
    </row>
    <row r="914" spans="3:30" ht="15" thickBot="1" x14ac:dyDescent="0.35">
      <c r="C914" s="450"/>
      <c r="D914" s="182"/>
      <c r="E914" s="182"/>
      <c r="F914" s="182"/>
      <c r="G914" s="450" t="str">
        <f t="shared" si="40"/>
        <v>--</v>
      </c>
      <c r="H914" s="182"/>
      <c r="I914" s="892"/>
      <c r="J914" s="892"/>
      <c r="K914" s="182"/>
      <c r="L914" s="182"/>
      <c r="M914" s="901" t="s">
        <v>155</v>
      </c>
      <c r="N914" s="870" t="s">
        <v>188</v>
      </c>
      <c r="O914" s="870"/>
      <c r="P914" s="265" t="s">
        <v>33</v>
      </c>
      <c r="Q914" s="871" t="s">
        <v>155</v>
      </c>
      <c r="R914" s="872" t="s">
        <v>168</v>
      </c>
      <c r="S914" s="872" t="s">
        <v>169</v>
      </c>
      <c r="T914" s="872" t="s">
        <v>170</v>
      </c>
      <c r="U914" s="872" t="s">
        <v>171</v>
      </c>
      <c r="V914" s="902"/>
      <c r="W914" s="902"/>
      <c r="X914" s="874"/>
      <c r="Y914" s="270"/>
      <c r="Z914" s="270"/>
      <c r="AA914" s="270"/>
      <c r="AC914" s="85"/>
      <c r="AD914" s="85"/>
    </row>
    <row r="915" spans="3:30" ht="15" thickBot="1" x14ac:dyDescent="0.35">
      <c r="C915" s="566" t="s">
        <v>387</v>
      </c>
      <c r="D915" s="875" t="str">
        <f>VLOOKUP(C915,'Airport Mapping'!$C$5:$D$39,2,FALSE)</f>
        <v xml:space="preserve"> </v>
      </c>
      <c r="E915" s="567" t="s">
        <v>37</v>
      </c>
      <c r="F915" s="567" t="s">
        <v>33</v>
      </c>
      <c r="G915" s="450" t="str">
        <f t="shared" si="40"/>
        <v>Office Building E-Restrooms-Faucets</v>
      </c>
      <c r="H915" s="567" t="s">
        <v>6</v>
      </c>
      <c r="I915" s="877" t="s">
        <v>64</v>
      </c>
      <c r="J915" s="878">
        <f>SUMIFS('Level of Efficiency Assumptions'!J:J,'Level of Efficiency Assumptions'!D:D,E915,'Level of Efficiency Assumptions'!F:F,F915,'Level of Efficiency Assumptions'!I:I,I915)</f>
        <v>2</v>
      </c>
      <c r="K915" s="383" t="s">
        <v>78</v>
      </c>
      <c r="L915" s="253" t="s">
        <v>64</v>
      </c>
      <c r="M915" s="879">
        <f>Q915+Q916</f>
        <v>0</v>
      </c>
      <c r="N915" s="880">
        <f>IFERROR(M915/M918,"-")</f>
        <v>0</v>
      </c>
      <c r="O915" s="881">
        <f>SUMIFS('Data Entry'!R:R,'Data Entry'!K:K,G915)</f>
        <v>0</v>
      </c>
      <c r="P915" s="266" t="s">
        <v>180</v>
      </c>
      <c r="Q915" s="895">
        <v>0</v>
      </c>
      <c r="R915" s="883"/>
      <c r="S915" s="883"/>
      <c r="T915" s="883"/>
      <c r="U915" s="883"/>
      <c r="V915" s="114" t="s">
        <v>182</v>
      </c>
      <c r="W915" s="114"/>
      <c r="X915" s="884"/>
      <c r="Y915" s="270"/>
      <c r="Z915" s="270"/>
      <c r="AA915" s="270"/>
      <c r="AC915" s="85"/>
      <c r="AD915" s="85"/>
    </row>
    <row r="916" spans="3:30" ht="15" thickBot="1" x14ac:dyDescent="0.35">
      <c r="C916" s="494" t="s">
        <v>387</v>
      </c>
      <c r="D916" s="577"/>
      <c r="E916" s="577" t="s">
        <v>37</v>
      </c>
      <c r="F916" s="577" t="s">
        <v>33</v>
      </c>
      <c r="G916" s="450" t="str">
        <f t="shared" si="40"/>
        <v>Office Building E-Restrooms-Faucets</v>
      </c>
      <c r="H916" s="577"/>
      <c r="I916" s="887" t="s">
        <v>65</v>
      </c>
      <c r="J916" s="878">
        <f>SUMIFS('Level of Efficiency Assumptions'!J:J,'Level of Efficiency Assumptions'!D:D,E916,'Level of Efficiency Assumptions'!F:F,F916,'Level of Efficiency Assumptions'!I:I,I916)</f>
        <v>1</v>
      </c>
      <c r="K916" s="383" t="s">
        <v>78</v>
      </c>
      <c r="L916" s="255" t="s">
        <v>65</v>
      </c>
      <c r="M916" s="879">
        <f>Q917+Q918</f>
        <v>1</v>
      </c>
      <c r="N916" s="880">
        <f>IFERROR(M916/M918,"-")</f>
        <v>1</v>
      </c>
      <c r="O916" s="881">
        <f>SUMIFS('Data Entry'!S:S,'Data Entry'!K:K,G916)</f>
        <v>0</v>
      </c>
      <c r="P916" s="266" t="s">
        <v>178</v>
      </c>
      <c r="Q916" s="895">
        <v>0</v>
      </c>
      <c r="R916" s="883"/>
      <c r="S916" s="883"/>
      <c r="T916" s="883"/>
      <c r="U916" s="883"/>
      <c r="V916" s="114" t="s">
        <v>184</v>
      </c>
      <c r="W916" s="114"/>
      <c r="X916" s="884"/>
      <c r="Y916" s="270"/>
      <c r="Z916" s="270"/>
      <c r="AA916" s="270"/>
      <c r="AC916" s="85"/>
      <c r="AD916" s="85"/>
    </row>
    <row r="917" spans="3:30" ht="15" thickBot="1" x14ac:dyDescent="0.35">
      <c r="C917" s="501" t="s">
        <v>387</v>
      </c>
      <c r="D917" s="116"/>
      <c r="E917" s="116" t="s">
        <v>37</v>
      </c>
      <c r="F917" s="116" t="s">
        <v>33</v>
      </c>
      <c r="G917" s="450" t="str">
        <f t="shared" si="40"/>
        <v>Office Building E-Restrooms-Faucets</v>
      </c>
      <c r="H917" s="116"/>
      <c r="I917" s="889" t="s">
        <v>66</v>
      </c>
      <c r="J917" s="890">
        <f>SUMIFS('Level of Efficiency Assumptions'!J:J,'Level of Efficiency Assumptions'!D:D,E917,'Level of Efficiency Assumptions'!F:F,F917,'Level of Efficiency Assumptions'!I:I,I917)</f>
        <v>0.5</v>
      </c>
      <c r="K917" s="383" t="s">
        <v>78</v>
      </c>
      <c r="L917" s="257" t="s">
        <v>66</v>
      </c>
      <c r="M917" s="879">
        <f>Q919</f>
        <v>0</v>
      </c>
      <c r="N917" s="880">
        <f>IFERROR(M917/M918,"-")</f>
        <v>0</v>
      </c>
      <c r="O917" s="881">
        <f>SUMIFS('Data Entry'!T:T,'Data Entry'!K:K,G917)</f>
        <v>0</v>
      </c>
      <c r="P917" s="267" t="s">
        <v>176</v>
      </c>
      <c r="Q917" s="895">
        <v>1</v>
      </c>
      <c r="R917" s="883"/>
      <c r="S917" s="883"/>
      <c r="T917" s="883"/>
      <c r="U917" s="883"/>
      <c r="V917" s="114" t="s">
        <v>185</v>
      </c>
      <c r="W917" s="114"/>
      <c r="X917" s="884"/>
      <c r="Y917" s="270"/>
      <c r="Z917" s="270"/>
      <c r="AA917" s="270"/>
      <c r="AC917" s="85"/>
      <c r="AD917" s="85"/>
    </row>
    <row r="918" spans="3:30" x14ac:dyDescent="0.3">
      <c r="C918" s="450"/>
      <c r="D918" s="182"/>
      <c r="E918" s="182"/>
      <c r="F918" s="182"/>
      <c r="G918" s="450" t="str">
        <f t="shared" si="40"/>
        <v>--</v>
      </c>
      <c r="H918" s="182"/>
      <c r="I918" s="440"/>
      <c r="J918" s="892"/>
      <c r="K918" s="259"/>
      <c r="L918" s="259" t="s">
        <v>46</v>
      </c>
      <c r="M918" s="893">
        <f>SUM(M915:M917)</f>
        <v>1</v>
      </c>
      <c r="N918" s="894"/>
      <c r="O918" s="894">
        <f>SUM(O915:O917)</f>
        <v>0</v>
      </c>
      <c r="P918" s="256" t="s">
        <v>173</v>
      </c>
      <c r="Q918" s="895">
        <v>0</v>
      </c>
      <c r="R918" s="883"/>
      <c r="S918" s="883"/>
      <c r="T918" s="883"/>
      <c r="U918" s="883"/>
      <c r="V918" s="114" t="s">
        <v>186</v>
      </c>
      <c r="W918" s="114"/>
      <c r="X918" s="884"/>
      <c r="Y918" s="270"/>
      <c r="Z918" s="270"/>
      <c r="AA918" s="270"/>
      <c r="AC918" s="85"/>
      <c r="AD918" s="85"/>
    </row>
    <row r="919" spans="3:30" x14ac:dyDescent="0.3">
      <c r="C919" s="450"/>
      <c r="D919" s="182"/>
      <c r="E919" s="182"/>
      <c r="F919" s="182"/>
      <c r="G919" s="450" t="str">
        <f t="shared" si="40"/>
        <v>--</v>
      </c>
      <c r="H919" s="182"/>
      <c r="I919" s="892"/>
      <c r="J919" s="288"/>
      <c r="K919" s="182"/>
      <c r="L919" s="114"/>
      <c r="M919" s="114"/>
      <c r="N919" s="905"/>
      <c r="O919" s="905"/>
      <c r="P919" s="258" t="s">
        <v>172</v>
      </c>
      <c r="Q919" s="895">
        <v>0</v>
      </c>
      <c r="R919" s="883"/>
      <c r="S919" s="883"/>
      <c r="T919" s="883"/>
      <c r="U919" s="883"/>
      <c r="V919" s="114"/>
      <c r="W919" s="114"/>
      <c r="X919" s="884"/>
      <c r="Y919" s="270"/>
      <c r="Z919" s="270"/>
      <c r="AA919" s="270"/>
      <c r="AC919" s="85"/>
      <c r="AD919" s="85"/>
    </row>
    <row r="920" spans="3:30" x14ac:dyDescent="0.3">
      <c r="C920" s="450"/>
      <c r="D920" s="182"/>
      <c r="E920" s="182"/>
      <c r="F920" s="182"/>
      <c r="G920" s="450" t="str">
        <f t="shared" si="40"/>
        <v>--</v>
      </c>
      <c r="H920" s="182"/>
      <c r="I920" s="892"/>
      <c r="J920" s="288"/>
      <c r="K920" s="182"/>
      <c r="L920" s="181"/>
      <c r="M920" s="181"/>
      <c r="N920" s="892"/>
      <c r="O920" s="892"/>
      <c r="P920" s="263" t="s">
        <v>46</v>
      </c>
      <c r="Q920" s="897">
        <f>SUM(Q914:Q919)</f>
        <v>1</v>
      </c>
      <c r="R920" s="899"/>
      <c r="S920" s="899"/>
      <c r="T920" s="899"/>
      <c r="U920" s="899"/>
      <c r="V920" s="899"/>
      <c r="W920" s="899"/>
      <c r="X920" s="900"/>
      <c r="Y920" s="270"/>
      <c r="Z920" s="270"/>
      <c r="AA920" s="270"/>
      <c r="AC920" s="85"/>
      <c r="AD920" s="85"/>
    </row>
    <row r="921" spans="3:30" x14ac:dyDescent="0.3">
      <c r="C921" s="450"/>
      <c r="D921" s="182"/>
      <c r="E921" s="182"/>
      <c r="F921" s="182"/>
      <c r="G921" s="450" t="str">
        <f t="shared" si="40"/>
        <v>--</v>
      </c>
      <c r="H921" s="182"/>
      <c r="I921" s="892"/>
      <c r="J921" s="288"/>
      <c r="K921" s="182"/>
      <c r="L921" s="181"/>
      <c r="M921" s="181"/>
      <c r="N921" s="892"/>
      <c r="O921" s="892"/>
      <c r="P921" s="262"/>
      <c r="Q921" s="114"/>
      <c r="R921" s="114"/>
      <c r="S921" s="114"/>
      <c r="T921" s="114"/>
      <c r="U921" s="114"/>
      <c r="V921" s="114"/>
      <c r="W921" s="270"/>
      <c r="X921" s="270"/>
      <c r="Y921" s="270"/>
      <c r="Z921" s="270"/>
      <c r="AA921" s="270"/>
      <c r="AC921" s="85"/>
      <c r="AD921" s="85"/>
    </row>
    <row r="922" spans="3:30" ht="15" thickBot="1" x14ac:dyDescent="0.35">
      <c r="C922" s="450"/>
      <c r="D922" s="182"/>
      <c r="E922" s="182"/>
      <c r="F922" s="182"/>
      <c r="G922" s="450" t="str">
        <f t="shared" si="40"/>
        <v>--</v>
      </c>
      <c r="H922" s="182"/>
      <c r="I922" s="892"/>
      <c r="J922" s="892"/>
      <c r="K922" s="182"/>
      <c r="L922" s="182"/>
      <c r="M922" s="901" t="s">
        <v>155</v>
      </c>
      <c r="N922" s="870" t="s">
        <v>188</v>
      </c>
      <c r="O922" s="870"/>
      <c r="P922" s="265" t="s">
        <v>33</v>
      </c>
      <c r="Q922" s="871" t="s">
        <v>155</v>
      </c>
      <c r="R922" s="872" t="s">
        <v>168</v>
      </c>
      <c r="S922" s="872" t="s">
        <v>169</v>
      </c>
      <c r="T922" s="872" t="s">
        <v>170</v>
      </c>
      <c r="U922" s="872" t="s">
        <v>171</v>
      </c>
      <c r="V922" s="902"/>
      <c r="W922" s="902"/>
      <c r="X922" s="874"/>
      <c r="Y922" s="270"/>
      <c r="Z922" s="270"/>
      <c r="AA922" s="270"/>
      <c r="AC922" s="85"/>
      <c r="AD922" s="85"/>
    </row>
    <row r="923" spans="3:30" ht="15" thickBot="1" x14ac:dyDescent="0.35">
      <c r="C923" s="566" t="s">
        <v>387</v>
      </c>
      <c r="D923" s="875" t="str">
        <f>VLOOKUP(C923,'Airport Mapping'!$C$5:$D$39,2,FALSE)</f>
        <v xml:space="preserve"> </v>
      </c>
      <c r="E923" s="567" t="s">
        <v>5</v>
      </c>
      <c r="F923" s="567" t="s">
        <v>33</v>
      </c>
      <c r="G923" s="450" t="str">
        <f t="shared" si="40"/>
        <v>Office Building E-Break rooms-Faucets</v>
      </c>
      <c r="H923" s="567" t="s">
        <v>6</v>
      </c>
      <c r="I923" s="877" t="s">
        <v>64</v>
      </c>
      <c r="J923" s="878">
        <f>SUMIFS('Level of Efficiency Assumptions'!J:J,'Level of Efficiency Assumptions'!D:D,E923,'Level of Efficiency Assumptions'!F:F,F923,'Level of Efficiency Assumptions'!I:I,I923)</f>
        <v>2</v>
      </c>
      <c r="K923" s="383" t="s">
        <v>78</v>
      </c>
      <c r="L923" s="253" t="s">
        <v>64</v>
      </c>
      <c r="M923" s="879">
        <f>Q923+Q924</f>
        <v>0</v>
      </c>
      <c r="N923" s="880">
        <f>IFERROR(M923/M926,"-")</f>
        <v>0</v>
      </c>
      <c r="O923" s="881">
        <f>SUMIFS('Data Entry'!R:R,'Data Entry'!K:K,G923)</f>
        <v>0</v>
      </c>
      <c r="P923" s="266" t="s">
        <v>180</v>
      </c>
      <c r="Q923" s="895">
        <v>0</v>
      </c>
      <c r="R923" s="883"/>
      <c r="S923" s="883"/>
      <c r="T923" s="883"/>
      <c r="U923" s="883"/>
      <c r="V923" s="114" t="s">
        <v>182</v>
      </c>
      <c r="W923" s="114"/>
      <c r="X923" s="884"/>
      <c r="Y923" s="270"/>
      <c r="Z923" s="270"/>
      <c r="AA923" s="270"/>
      <c r="AC923" s="85"/>
      <c r="AD923" s="85"/>
    </row>
    <row r="924" spans="3:30" ht="15" thickBot="1" x14ac:dyDescent="0.35">
      <c r="C924" s="494" t="s">
        <v>387</v>
      </c>
      <c r="D924" s="577"/>
      <c r="E924" s="577" t="s">
        <v>5</v>
      </c>
      <c r="F924" s="577" t="s">
        <v>33</v>
      </c>
      <c r="G924" s="450" t="str">
        <f t="shared" si="40"/>
        <v>Office Building E-Break rooms-Faucets</v>
      </c>
      <c r="H924" s="577"/>
      <c r="I924" s="887" t="s">
        <v>65</v>
      </c>
      <c r="J924" s="878">
        <f>SUMIFS('Level of Efficiency Assumptions'!J:J,'Level of Efficiency Assumptions'!D:D,E924,'Level of Efficiency Assumptions'!F:F,F924,'Level of Efficiency Assumptions'!I:I,I924)</f>
        <v>1</v>
      </c>
      <c r="K924" s="383" t="s">
        <v>78</v>
      </c>
      <c r="L924" s="255" t="s">
        <v>65</v>
      </c>
      <c r="M924" s="879">
        <f>Q925+Q926</f>
        <v>1</v>
      </c>
      <c r="N924" s="880">
        <f>IFERROR(M924/M926,"-")</f>
        <v>1</v>
      </c>
      <c r="O924" s="881">
        <f>SUMIFS('Data Entry'!S:S,'Data Entry'!K:K,G924)</f>
        <v>0</v>
      </c>
      <c r="P924" s="266" t="s">
        <v>178</v>
      </c>
      <c r="Q924" s="895">
        <v>0</v>
      </c>
      <c r="R924" s="883"/>
      <c r="S924" s="883"/>
      <c r="T924" s="883"/>
      <c r="U924" s="883"/>
      <c r="V924" s="114" t="s">
        <v>184</v>
      </c>
      <c r="W924" s="114"/>
      <c r="X924" s="884"/>
      <c r="Y924" s="270"/>
      <c r="Z924" s="270"/>
      <c r="AA924" s="270"/>
      <c r="AC924" s="85"/>
      <c r="AD924" s="85"/>
    </row>
    <row r="925" spans="3:30" ht="15" thickBot="1" x14ac:dyDescent="0.35">
      <c r="C925" s="501" t="s">
        <v>387</v>
      </c>
      <c r="D925" s="116"/>
      <c r="E925" s="116" t="s">
        <v>5</v>
      </c>
      <c r="F925" s="116" t="s">
        <v>33</v>
      </c>
      <c r="G925" s="450" t="str">
        <f t="shared" si="40"/>
        <v>Office Building E-Break rooms-Faucets</v>
      </c>
      <c r="H925" s="116"/>
      <c r="I925" s="889" t="s">
        <v>66</v>
      </c>
      <c r="J925" s="890">
        <f>SUMIFS('Level of Efficiency Assumptions'!J:J,'Level of Efficiency Assumptions'!D:D,E925,'Level of Efficiency Assumptions'!F:F,F925,'Level of Efficiency Assumptions'!I:I,I925)</f>
        <v>0.5</v>
      </c>
      <c r="K925" s="383" t="s">
        <v>78</v>
      </c>
      <c r="L925" s="257" t="s">
        <v>66</v>
      </c>
      <c r="M925" s="879">
        <f>Q927</f>
        <v>0</v>
      </c>
      <c r="N925" s="880">
        <f>IFERROR(M925/M926,"-")</f>
        <v>0</v>
      </c>
      <c r="O925" s="881">
        <f>SUMIFS('Data Entry'!T:T,'Data Entry'!K:K,G925)</f>
        <v>0</v>
      </c>
      <c r="P925" s="267" t="s">
        <v>176</v>
      </c>
      <c r="Q925" s="895">
        <v>1</v>
      </c>
      <c r="R925" s="883"/>
      <c r="S925" s="883"/>
      <c r="T925" s="883"/>
      <c r="U925" s="883"/>
      <c r="V925" s="114" t="s">
        <v>185</v>
      </c>
      <c r="W925" s="114"/>
      <c r="X925" s="884"/>
      <c r="Y925" s="270"/>
      <c r="Z925" s="270"/>
      <c r="AA925" s="270"/>
      <c r="AC925" s="85"/>
      <c r="AD925" s="85"/>
    </row>
    <row r="926" spans="3:30" x14ac:dyDescent="0.3">
      <c r="C926" s="450"/>
      <c r="D926" s="182"/>
      <c r="E926" s="182"/>
      <c r="F926" s="182"/>
      <c r="G926" s="450" t="str">
        <f t="shared" si="40"/>
        <v>--</v>
      </c>
      <c r="H926" s="182"/>
      <c r="I926" s="440"/>
      <c r="J926" s="892"/>
      <c r="K926" s="259"/>
      <c r="L926" s="259" t="s">
        <v>46</v>
      </c>
      <c r="M926" s="893">
        <f>SUM(M923:M925)</f>
        <v>1</v>
      </c>
      <c r="N926" s="894"/>
      <c r="O926" s="894">
        <f>SUM(O923:O925)</f>
        <v>0</v>
      </c>
      <c r="P926" s="256" t="s">
        <v>173</v>
      </c>
      <c r="Q926" s="895">
        <v>0</v>
      </c>
      <c r="R926" s="883"/>
      <c r="S926" s="883"/>
      <c r="T926" s="883"/>
      <c r="U926" s="883"/>
      <c r="V926" s="114" t="s">
        <v>186</v>
      </c>
      <c r="W926" s="114"/>
      <c r="X926" s="884"/>
      <c r="Y926" s="270"/>
      <c r="Z926" s="270"/>
      <c r="AA926" s="270"/>
      <c r="AC926" s="85"/>
      <c r="AD926" s="85"/>
    </row>
    <row r="927" spans="3:30" x14ac:dyDescent="0.3">
      <c r="C927" s="450"/>
      <c r="D927" s="182"/>
      <c r="E927" s="182"/>
      <c r="F927" s="182"/>
      <c r="G927" s="450" t="str">
        <f t="shared" si="40"/>
        <v>--</v>
      </c>
      <c r="H927" s="182"/>
      <c r="I927" s="892"/>
      <c r="J927" s="288"/>
      <c r="K927" s="182"/>
      <c r="L927" s="182"/>
      <c r="M927" s="270"/>
      <c r="N927" s="892"/>
      <c r="O927" s="892"/>
      <c r="P927" s="258" t="s">
        <v>172</v>
      </c>
      <c r="Q927" s="895">
        <v>0</v>
      </c>
      <c r="R927" s="883"/>
      <c r="S927" s="883"/>
      <c r="T927" s="883"/>
      <c r="U927" s="883"/>
      <c r="V927" s="114"/>
      <c r="W927" s="114"/>
      <c r="X927" s="884"/>
      <c r="Y927" s="270"/>
      <c r="Z927" s="270"/>
      <c r="AA927" s="270"/>
      <c r="AC927" s="85"/>
      <c r="AD927" s="85"/>
    </row>
    <row r="928" spans="3:30" x14ac:dyDescent="0.3">
      <c r="C928" s="450"/>
      <c r="D928" s="182"/>
      <c r="E928" s="182"/>
      <c r="F928" s="182"/>
      <c r="G928" s="450" t="str">
        <f t="shared" si="40"/>
        <v>--</v>
      </c>
      <c r="H928" s="182"/>
      <c r="I928" s="892"/>
      <c r="J928" s="288"/>
      <c r="K928" s="182"/>
      <c r="L928" s="182"/>
      <c r="M928" s="270"/>
      <c r="N928" s="892"/>
      <c r="O928" s="892"/>
      <c r="P928" s="263" t="s">
        <v>46</v>
      </c>
      <c r="Q928" s="897">
        <f>SUM(Q922:Q927)</f>
        <v>1</v>
      </c>
      <c r="R928" s="899"/>
      <c r="S928" s="899"/>
      <c r="T928" s="899"/>
      <c r="U928" s="899"/>
      <c r="V928" s="899"/>
      <c r="W928" s="899"/>
      <c r="X928" s="900"/>
      <c r="Y928" s="270"/>
      <c r="Z928" s="270"/>
      <c r="AA928" s="270"/>
      <c r="AC928" s="85"/>
      <c r="AD928" s="85"/>
    </row>
    <row r="929" spans="3:30" x14ac:dyDescent="0.3">
      <c r="C929" s="450"/>
      <c r="D929" s="182"/>
      <c r="E929" s="182"/>
      <c r="F929" s="182"/>
      <c r="G929" s="450" t="str">
        <f t="shared" si="40"/>
        <v>--</v>
      </c>
      <c r="H929" s="182"/>
      <c r="I929" s="892"/>
      <c r="J929" s="288"/>
      <c r="K929" s="182"/>
      <c r="L929" s="182"/>
      <c r="M929" s="270"/>
      <c r="N929" s="892"/>
      <c r="O929" s="892"/>
      <c r="P929" s="259"/>
      <c r="Q929" s="114"/>
      <c r="R929" s="114"/>
      <c r="S929" s="114"/>
      <c r="T929" s="114"/>
      <c r="U929" s="114"/>
      <c r="V929" s="114"/>
      <c r="W929" s="270"/>
      <c r="X929" s="270"/>
      <c r="Y929" s="270"/>
      <c r="Z929" s="270"/>
      <c r="AA929" s="270"/>
      <c r="AC929" s="85"/>
      <c r="AD929" s="85"/>
    </row>
    <row r="930" spans="3:30" x14ac:dyDescent="0.3">
      <c r="C930" s="450"/>
      <c r="D930" s="182"/>
      <c r="E930" s="182"/>
      <c r="F930" s="182"/>
      <c r="G930" s="450" t="str">
        <f t="shared" si="40"/>
        <v>--</v>
      </c>
      <c r="H930" s="182"/>
      <c r="I930" s="892"/>
      <c r="J930" s="288"/>
      <c r="K930" s="182"/>
      <c r="L930" s="182"/>
      <c r="M930" s="270"/>
      <c r="N930" s="892"/>
      <c r="O930" s="892"/>
      <c r="P930" s="276" t="s">
        <v>42</v>
      </c>
      <c r="Q930" s="902"/>
      <c r="R930" s="902"/>
      <c r="S930" s="902"/>
      <c r="T930" s="271"/>
      <c r="U930" s="114"/>
      <c r="V930" s="114"/>
      <c r="W930" s="270"/>
      <c r="X930" s="270"/>
      <c r="Y930" s="270"/>
      <c r="Z930" s="270"/>
      <c r="AA930" s="270"/>
      <c r="AC930" s="85"/>
      <c r="AD930" s="85"/>
    </row>
    <row r="931" spans="3:30" ht="15" thickBot="1" x14ac:dyDescent="0.35">
      <c r="C931" s="450"/>
      <c r="D931" s="182"/>
      <c r="E931" s="182"/>
      <c r="F931" s="182"/>
      <c r="G931" s="450" t="str">
        <f t="shared" si="40"/>
        <v>--</v>
      </c>
      <c r="H931" s="182"/>
      <c r="I931" s="892"/>
      <c r="J931" s="892"/>
      <c r="K931" s="182"/>
      <c r="L931" s="182"/>
      <c r="M931" s="901" t="s">
        <v>155</v>
      </c>
      <c r="N931" s="870" t="s">
        <v>188</v>
      </c>
      <c r="O931" s="870"/>
      <c r="P931" s="277" t="s">
        <v>818</v>
      </c>
      <c r="Q931" s="871" t="s">
        <v>155</v>
      </c>
      <c r="R931" s="114"/>
      <c r="S931" s="114"/>
      <c r="T931" s="271"/>
      <c r="U931" s="114"/>
      <c r="V931" s="114"/>
      <c r="W931" s="270"/>
      <c r="X931" s="270"/>
      <c r="Y931" s="270"/>
      <c r="Z931" s="270"/>
      <c r="AA931" s="270"/>
      <c r="AC931" s="85"/>
      <c r="AD931" s="85"/>
    </row>
    <row r="932" spans="3:30" ht="15" thickBot="1" x14ac:dyDescent="0.35">
      <c r="C932" s="566" t="s">
        <v>387</v>
      </c>
      <c r="D932" s="875" t="str">
        <f>VLOOKUP(C932,'Airport Mapping'!$C$5:$D$39,2,FALSE)</f>
        <v xml:space="preserve"> </v>
      </c>
      <c r="E932" s="567" t="s">
        <v>39</v>
      </c>
      <c r="F932" s="567" t="s">
        <v>42</v>
      </c>
      <c r="G932" s="450" t="str">
        <f t="shared" si="40"/>
        <v>Office Building E-Landscaping-Outdoor irrigation</v>
      </c>
      <c r="H932" s="567" t="s">
        <v>32</v>
      </c>
      <c r="I932" s="877" t="s">
        <v>64</v>
      </c>
      <c r="J932" s="878">
        <f>SUMIFS('Level of Efficiency Assumptions'!J:J,'Level of Efficiency Assumptions'!D:D,E932,'Level of Efficiency Assumptions'!F:F,F932,'Level of Efficiency Assumptions'!I:I,I932)</f>
        <v>28.6</v>
      </c>
      <c r="K932" s="383" t="s">
        <v>816</v>
      </c>
      <c r="L932" s="253" t="s">
        <v>64</v>
      </c>
      <c r="M932" s="879">
        <f>SUM(Q932:Q933)</f>
        <v>0</v>
      </c>
      <c r="N932" s="880">
        <f>IFERROR(M932/M935,"-")</f>
        <v>0</v>
      </c>
      <c r="O932" s="881">
        <f>SUMIFS('Data Entry'!R:R,'Data Entry'!K:K,G932)</f>
        <v>0</v>
      </c>
      <c r="P932" s="272" t="s">
        <v>237</v>
      </c>
      <c r="Q932" s="895">
        <v>0</v>
      </c>
      <c r="R932" s="114"/>
      <c r="S932" s="114"/>
      <c r="T932" s="271"/>
      <c r="U932" s="114"/>
      <c r="V932" s="114"/>
      <c r="W932" s="270"/>
      <c r="X932" s="270"/>
      <c r="Y932" s="270"/>
      <c r="Z932" s="270"/>
      <c r="AA932" s="270"/>
      <c r="AC932" s="85"/>
      <c r="AD932" s="85"/>
    </row>
    <row r="933" spans="3:30" ht="15" thickBot="1" x14ac:dyDescent="0.35">
      <c r="C933" s="494" t="s">
        <v>387</v>
      </c>
      <c r="D933" s="577"/>
      <c r="E933" s="577" t="s">
        <v>39</v>
      </c>
      <c r="F933" s="577" t="s">
        <v>42</v>
      </c>
      <c r="G933" s="450" t="str">
        <f t="shared" si="40"/>
        <v>Office Building E-Landscaping-Outdoor irrigation</v>
      </c>
      <c r="H933" s="577"/>
      <c r="I933" s="887" t="s">
        <v>65</v>
      </c>
      <c r="J933" s="878">
        <f>SUMIFS('Level of Efficiency Assumptions'!J:J,'Level of Efficiency Assumptions'!D:D,E933,'Level of Efficiency Assumptions'!F:F,F933,'Level of Efficiency Assumptions'!I:I,I933)</f>
        <v>13.980821518350929</v>
      </c>
      <c r="K933" s="383" t="s">
        <v>816</v>
      </c>
      <c r="L933" s="255" t="s">
        <v>65</v>
      </c>
      <c r="M933" s="879">
        <f>Q934+Q935</f>
        <v>1</v>
      </c>
      <c r="N933" s="880">
        <f>IFERROR(M933/M935,"-")</f>
        <v>1</v>
      </c>
      <c r="O933" s="881">
        <f>SUMIFS('Data Entry'!S:S,'Data Entry'!K:K,G933)</f>
        <v>0</v>
      </c>
      <c r="P933" s="272" t="s">
        <v>232</v>
      </c>
      <c r="Q933" s="895">
        <v>0</v>
      </c>
      <c r="R933" s="114"/>
      <c r="S933" s="114"/>
      <c r="T933" s="271"/>
      <c r="U933" s="114"/>
      <c r="V933" s="114"/>
      <c r="W933" s="270"/>
      <c r="X933" s="270"/>
      <c r="Y933" s="270"/>
      <c r="Z933" s="270"/>
      <c r="AA933" s="270"/>
      <c r="AC933" s="85"/>
      <c r="AD933" s="85"/>
    </row>
    <row r="934" spans="3:30" ht="15" thickBot="1" x14ac:dyDescent="0.35">
      <c r="C934" s="501" t="s">
        <v>387</v>
      </c>
      <c r="D934" s="116"/>
      <c r="E934" s="116" t="s">
        <v>39</v>
      </c>
      <c r="F934" s="116" t="s">
        <v>42</v>
      </c>
      <c r="G934" s="450" t="str">
        <f t="shared" si="40"/>
        <v>Office Building E-Landscaping-Outdoor irrigation</v>
      </c>
      <c r="H934" s="116"/>
      <c r="I934" s="889" t="s">
        <v>66</v>
      </c>
      <c r="J934" s="890">
        <f>SUMIFS('Level of Efficiency Assumptions'!J:J,'Level of Efficiency Assumptions'!D:D,E934,'Level of Efficiency Assumptions'!F:F,F934,'Level of Efficiency Assumptions'!I:I,I934)</f>
        <v>0.59137254901960778</v>
      </c>
      <c r="K934" s="383" t="s">
        <v>816</v>
      </c>
      <c r="L934" s="257" t="s">
        <v>66</v>
      </c>
      <c r="M934" s="879">
        <f>Q936+Q937</f>
        <v>0</v>
      </c>
      <c r="N934" s="880">
        <f>IFERROR(M934/M935,"-")</f>
        <v>0</v>
      </c>
      <c r="O934" s="881">
        <f>SUMIFS('Data Entry'!T:T,'Data Entry'!K:K,G934)</f>
        <v>0</v>
      </c>
      <c r="P934" s="274" t="s">
        <v>231</v>
      </c>
      <c r="Q934" s="895">
        <v>1</v>
      </c>
      <c r="R934" s="114"/>
      <c r="S934" s="114"/>
      <c r="T934" s="271"/>
      <c r="U934" s="114"/>
      <c r="V934" s="114"/>
      <c r="W934" s="270"/>
      <c r="X934" s="270"/>
      <c r="Y934" s="270"/>
      <c r="Z934" s="270"/>
      <c r="AA934" s="270"/>
      <c r="AC934" s="85"/>
      <c r="AD934" s="85"/>
    </row>
    <row r="935" spans="3:30" x14ac:dyDescent="0.3">
      <c r="C935" s="450"/>
      <c r="D935" s="182"/>
      <c r="E935" s="182"/>
      <c r="F935" s="182"/>
      <c r="G935" s="450" t="str">
        <f t="shared" ref="G935:G1279" si="44">C935&amp;"-"&amp;E935&amp;"-"&amp;F935</f>
        <v>--</v>
      </c>
      <c r="H935" s="182"/>
      <c r="I935" s="440"/>
      <c r="J935" s="892"/>
      <c r="K935" s="259"/>
      <c r="L935" s="259" t="s">
        <v>46</v>
      </c>
      <c r="M935" s="893">
        <f>SUM(M932:M934)</f>
        <v>1</v>
      </c>
      <c r="N935" s="894"/>
      <c r="O935" s="894">
        <f>SUM(O932:O934)</f>
        <v>0</v>
      </c>
      <c r="P935" s="274" t="s">
        <v>230</v>
      </c>
      <c r="Q935" s="895">
        <v>0</v>
      </c>
      <c r="R935" s="114"/>
      <c r="S935" s="114"/>
      <c r="T935" s="271"/>
      <c r="U935" s="114"/>
      <c r="V935" s="114"/>
      <c r="W935" s="270"/>
      <c r="X935" s="270"/>
      <c r="Y935" s="270"/>
      <c r="Z935" s="270"/>
      <c r="AA935" s="270"/>
      <c r="AC935" s="85"/>
      <c r="AD935" s="85"/>
    </row>
    <row r="936" spans="3:30" x14ac:dyDescent="0.3">
      <c r="C936" s="450"/>
      <c r="D936" s="182"/>
      <c r="E936" s="182"/>
      <c r="F936" s="182"/>
      <c r="G936" s="450" t="str">
        <f t="shared" si="44"/>
        <v>--</v>
      </c>
      <c r="H936" s="182"/>
      <c r="I936" s="892"/>
      <c r="J936" s="288"/>
      <c r="K936" s="182"/>
      <c r="L936" s="182"/>
      <c r="M936" s="270"/>
      <c r="N936" s="892"/>
      <c r="O936" s="892"/>
      <c r="P936" s="275" t="s">
        <v>229</v>
      </c>
      <c r="Q936" s="895">
        <v>0</v>
      </c>
      <c r="R936" s="114"/>
      <c r="S936" s="114"/>
      <c r="T936" s="271"/>
      <c r="U936" s="114"/>
      <c r="V936" s="114"/>
      <c r="W936" s="270"/>
      <c r="X936" s="270"/>
      <c r="Y936" s="270"/>
      <c r="Z936" s="270"/>
      <c r="AA936" s="270"/>
      <c r="AC936" s="85"/>
      <c r="AD936" s="85"/>
    </row>
    <row r="937" spans="3:30" x14ac:dyDescent="0.3">
      <c r="C937" s="450"/>
      <c r="D937" s="182"/>
      <c r="E937" s="182"/>
      <c r="F937" s="182"/>
      <c r="G937" s="450" t="str">
        <f t="shared" si="44"/>
        <v>--</v>
      </c>
      <c r="H937" s="182"/>
      <c r="I937" s="892"/>
      <c r="J937" s="288"/>
      <c r="K937" s="182"/>
      <c r="L937" s="182"/>
      <c r="M937" s="270"/>
      <c r="N937" s="892"/>
      <c r="O937" s="892"/>
      <c r="P937" s="269" t="s">
        <v>225</v>
      </c>
      <c r="Q937" s="895">
        <v>0</v>
      </c>
      <c r="R937" s="114"/>
      <c r="S937" s="114"/>
      <c r="T937" s="271"/>
      <c r="U937" s="114"/>
      <c r="V937" s="114"/>
      <c r="W937" s="270"/>
      <c r="X937" s="270"/>
      <c r="Y937" s="270"/>
      <c r="Z937" s="270"/>
      <c r="AA937" s="270"/>
      <c r="AC937" s="85"/>
      <c r="AD937" s="85"/>
    </row>
    <row r="938" spans="3:30" x14ac:dyDescent="0.3">
      <c r="C938" s="450"/>
      <c r="D938" s="182"/>
      <c r="E938" s="182"/>
      <c r="F938" s="182"/>
      <c r="G938" s="450" t="str">
        <f t="shared" si="44"/>
        <v>--</v>
      </c>
      <c r="H938" s="182"/>
      <c r="I938" s="892"/>
      <c r="J938" s="288"/>
      <c r="K938" s="182"/>
      <c r="L938" s="182"/>
      <c r="M938" s="270"/>
      <c r="N938" s="892"/>
      <c r="O938" s="892"/>
      <c r="P938" s="263" t="s">
        <v>46</v>
      </c>
      <c r="Q938" s="897">
        <f>SUM(Q932:Q937)</f>
        <v>1</v>
      </c>
      <c r="R938" s="899"/>
      <c r="S938" s="899"/>
      <c r="T938" s="271"/>
      <c r="U938" s="114"/>
      <c r="V938" s="114"/>
      <c r="W938" s="270"/>
      <c r="X938" s="270"/>
      <c r="Y938" s="270"/>
      <c r="Z938" s="270"/>
      <c r="AA938" s="270"/>
      <c r="AC938" s="85"/>
      <c r="AD938" s="85"/>
    </row>
    <row r="939" spans="3:30" x14ac:dyDescent="0.3">
      <c r="C939" s="450"/>
      <c r="D939" s="182"/>
      <c r="E939" s="182"/>
      <c r="F939" s="182"/>
      <c r="G939" s="450" t="str">
        <f t="shared" si="44"/>
        <v>--</v>
      </c>
      <c r="H939" s="182"/>
      <c r="I939" s="892"/>
      <c r="J939" s="288"/>
      <c r="K939" s="182"/>
      <c r="L939" s="182"/>
      <c r="M939" s="270"/>
      <c r="N939" s="892"/>
      <c r="O939" s="892"/>
      <c r="P939" s="259"/>
      <c r="Q939" s="114"/>
      <c r="R939" s="270"/>
      <c r="S939" s="270"/>
      <c r="T939" s="270"/>
      <c r="U939" s="270"/>
      <c r="V939" s="270"/>
      <c r="W939" s="270"/>
      <c r="X939" s="270"/>
      <c r="Y939" s="270"/>
      <c r="Z939" s="270"/>
      <c r="AA939" s="270"/>
      <c r="AC939" s="85"/>
      <c r="AD939" s="85"/>
    </row>
    <row r="940" spans="3:30" ht="15" thickBot="1" x14ac:dyDescent="0.35">
      <c r="C940" s="450"/>
      <c r="D940" s="182"/>
      <c r="E940" s="182"/>
      <c r="F940" s="182"/>
      <c r="G940" s="450" t="str">
        <f t="shared" si="44"/>
        <v>--</v>
      </c>
      <c r="H940" s="182"/>
      <c r="I940" s="892"/>
      <c r="J940" s="892"/>
      <c r="K940" s="182"/>
      <c r="L940" s="182"/>
      <c r="M940" s="901" t="s">
        <v>155</v>
      </c>
      <c r="N940" s="870" t="s">
        <v>188</v>
      </c>
      <c r="O940" s="870"/>
      <c r="P940" s="276" t="s">
        <v>111</v>
      </c>
      <c r="Q940" s="871" t="s">
        <v>155</v>
      </c>
      <c r="R940" s="902"/>
      <c r="S940" s="874"/>
      <c r="T940" s="270"/>
      <c r="U940" s="270"/>
      <c r="V940" s="270"/>
      <c r="W940" s="270"/>
      <c r="X940" s="270"/>
      <c r="Y940" s="270"/>
      <c r="Z940" s="270"/>
      <c r="AA940" s="270"/>
      <c r="AC940" s="85"/>
      <c r="AD940" s="85"/>
    </row>
    <row r="941" spans="3:30" ht="15" thickBot="1" x14ac:dyDescent="0.35">
      <c r="C941" s="566" t="s">
        <v>387</v>
      </c>
      <c r="D941" s="875" t="str">
        <f>VLOOKUP(C941,'Airport Mapping'!$C$5:$D$39,2,FALSE)</f>
        <v xml:space="preserve"> </v>
      </c>
      <c r="E941" s="567" t="s">
        <v>43</v>
      </c>
      <c r="F941" s="567" t="s">
        <v>111</v>
      </c>
      <c r="G941" s="450" t="str">
        <f t="shared" si="44"/>
        <v>Office Building E-Maintenance-Boiler</v>
      </c>
      <c r="H941" s="567" t="s">
        <v>424</v>
      </c>
      <c r="I941" s="877" t="s">
        <v>64</v>
      </c>
      <c r="J941" s="878">
        <f>SUMIFS('Level of Efficiency Assumptions'!J:J,'Level of Efficiency Assumptions'!D:D,E941,'Level of Efficiency Assumptions'!F:F,F941,'Level of Efficiency Assumptions'!I:I,I941)</f>
        <v>100</v>
      </c>
      <c r="K941" s="383" t="s">
        <v>585</v>
      </c>
      <c r="L941" s="253" t="s">
        <v>64</v>
      </c>
      <c r="M941" s="879">
        <f>SUM(Q941:Q942)</f>
        <v>0</v>
      </c>
      <c r="N941" s="880">
        <f>IFERROR(M941/M944,"-")</f>
        <v>0</v>
      </c>
      <c r="O941" s="881">
        <f>SUMIFS('Data Entry'!R:R,'Data Entry'!K:K,G941)</f>
        <v>0</v>
      </c>
      <c r="P941" s="272"/>
      <c r="Q941" s="895">
        <v>0</v>
      </c>
      <c r="R941" s="114"/>
      <c r="S941" s="884"/>
      <c r="T941" s="270"/>
      <c r="U941" s="270"/>
      <c r="V941" s="270"/>
      <c r="W941" s="270"/>
      <c r="X941" s="270"/>
      <c r="Y941" s="270"/>
      <c r="Z941" s="270"/>
      <c r="AA941" s="270"/>
      <c r="AC941" s="85"/>
      <c r="AD941" s="85"/>
    </row>
    <row r="942" spans="3:30" ht="15" thickBot="1" x14ac:dyDescent="0.35">
      <c r="C942" s="494" t="s">
        <v>387</v>
      </c>
      <c r="D942" s="577"/>
      <c r="E942" s="577" t="s">
        <v>43</v>
      </c>
      <c r="F942" s="577" t="s">
        <v>111</v>
      </c>
      <c r="G942" s="450" t="str">
        <f t="shared" si="44"/>
        <v>Office Building E-Maintenance-Boiler</v>
      </c>
      <c r="H942" s="577"/>
      <c r="I942" s="887" t="s">
        <v>65</v>
      </c>
      <c r="J942" s="878">
        <f>SUMIFS('Level of Efficiency Assumptions'!J:J,'Level of Efficiency Assumptions'!D:D,E942,'Level of Efficiency Assumptions'!F:F,F942,'Level of Efficiency Assumptions'!I:I,I942)</f>
        <v>75</v>
      </c>
      <c r="K942" s="383" t="s">
        <v>585</v>
      </c>
      <c r="L942" s="255" t="s">
        <v>65</v>
      </c>
      <c r="M942" s="879">
        <f>Q943+Q944</f>
        <v>1</v>
      </c>
      <c r="N942" s="880">
        <f>IFERROR(M942/M944,"-")</f>
        <v>1</v>
      </c>
      <c r="O942" s="881">
        <f>SUMIFS('Data Entry'!S:S,'Data Entry'!K:K,G942)</f>
        <v>0</v>
      </c>
      <c r="P942" s="272"/>
      <c r="Q942" s="895">
        <v>0</v>
      </c>
      <c r="R942" s="114"/>
      <c r="S942" s="884"/>
      <c r="T942" s="270"/>
      <c r="U942" s="270"/>
      <c r="V942" s="270"/>
      <c r="W942" s="270"/>
      <c r="X942" s="270"/>
      <c r="Y942" s="270"/>
      <c r="Z942" s="270"/>
      <c r="AA942" s="270"/>
      <c r="AC942" s="85"/>
      <c r="AD942" s="85"/>
    </row>
    <row r="943" spans="3:30" ht="15" thickBot="1" x14ac:dyDescent="0.35">
      <c r="C943" s="501" t="s">
        <v>387</v>
      </c>
      <c r="D943" s="116"/>
      <c r="E943" s="116" t="s">
        <v>43</v>
      </c>
      <c r="F943" s="116" t="s">
        <v>111</v>
      </c>
      <c r="G943" s="450" t="str">
        <f t="shared" si="44"/>
        <v>Office Building E-Maintenance-Boiler</v>
      </c>
      <c r="H943" s="116"/>
      <c r="I943" s="889" t="s">
        <v>66</v>
      </c>
      <c r="J943" s="890">
        <f>SUMIFS('Level of Efficiency Assumptions'!J:J,'Level of Efficiency Assumptions'!D:D,E943,'Level of Efficiency Assumptions'!F:F,F943,'Level of Efficiency Assumptions'!I:I,I943)</f>
        <v>50</v>
      </c>
      <c r="K943" s="383" t="s">
        <v>585</v>
      </c>
      <c r="L943" s="257" t="s">
        <v>66</v>
      </c>
      <c r="M943" s="879">
        <f>Q945+Q946</f>
        <v>0</v>
      </c>
      <c r="N943" s="880">
        <f>IFERROR(M943/M944,"-")</f>
        <v>0</v>
      </c>
      <c r="O943" s="881">
        <f>SUMIFS('Data Entry'!T:T,'Data Entry'!K:K,G943)</f>
        <v>0</v>
      </c>
      <c r="P943" s="274"/>
      <c r="Q943" s="895">
        <v>1</v>
      </c>
      <c r="R943" s="114"/>
      <c r="S943" s="884"/>
      <c r="T943" s="270"/>
      <c r="U943" s="270"/>
      <c r="V943" s="270"/>
      <c r="W943" s="270"/>
      <c r="X943" s="270"/>
      <c r="Y943" s="270"/>
      <c r="Z943" s="270"/>
      <c r="AA943" s="270"/>
      <c r="AC943" s="85"/>
      <c r="AD943" s="85"/>
    </row>
    <row r="944" spans="3:30" x14ac:dyDescent="0.3">
      <c r="C944" s="450"/>
      <c r="D944" s="182"/>
      <c r="E944" s="182"/>
      <c r="F944" s="182"/>
      <c r="G944" s="450" t="str">
        <f t="shared" si="44"/>
        <v>--</v>
      </c>
      <c r="H944" s="182"/>
      <c r="I944" s="440"/>
      <c r="J944" s="892"/>
      <c r="K944" s="259"/>
      <c r="L944" s="259" t="s">
        <v>46</v>
      </c>
      <c r="M944" s="893">
        <f>SUM(M941:M943)</f>
        <v>1</v>
      </c>
      <c r="N944" s="894"/>
      <c r="O944" s="894">
        <f>SUM(O941:O943)</f>
        <v>0</v>
      </c>
      <c r="P944" s="274"/>
      <c r="Q944" s="895">
        <v>0</v>
      </c>
      <c r="R944" s="114"/>
      <c r="S944" s="884"/>
      <c r="T944" s="270"/>
      <c r="U944" s="270"/>
      <c r="V944" s="270"/>
      <c r="W944" s="270"/>
      <c r="X944" s="270"/>
      <c r="Y944" s="270"/>
      <c r="Z944" s="270"/>
      <c r="AA944" s="270"/>
      <c r="AC944" s="85"/>
      <c r="AD944" s="85"/>
    </row>
    <row r="945" spans="3:30" x14ac:dyDescent="0.3">
      <c r="C945" s="450"/>
      <c r="D945" s="182"/>
      <c r="E945" s="182"/>
      <c r="F945" s="182"/>
      <c r="G945" s="450" t="str">
        <f t="shared" si="44"/>
        <v>--</v>
      </c>
      <c r="H945" s="182"/>
      <c r="I945" s="892"/>
      <c r="J945" s="288"/>
      <c r="K945" s="182"/>
      <c r="L945" s="182"/>
      <c r="M945" s="270"/>
      <c r="N945" s="892"/>
      <c r="O945" s="892"/>
      <c r="P945" s="275"/>
      <c r="Q945" s="895">
        <v>0</v>
      </c>
      <c r="R945" s="114"/>
      <c r="S945" s="884"/>
      <c r="T945" s="270"/>
      <c r="U945" s="270"/>
      <c r="V945" s="270"/>
      <c r="W945" s="270"/>
      <c r="X945" s="270"/>
      <c r="Y945" s="270"/>
      <c r="Z945" s="270"/>
      <c r="AA945" s="270"/>
      <c r="AC945" s="85"/>
      <c r="AD945" s="85"/>
    </row>
    <row r="946" spans="3:30" x14ac:dyDescent="0.3">
      <c r="C946" s="225"/>
      <c r="D946" s="288"/>
      <c r="E946" s="288"/>
      <c r="F946" s="288"/>
      <c r="G946" s="450" t="str">
        <f t="shared" si="44"/>
        <v>--</v>
      </c>
      <c r="H946" s="182"/>
      <c r="I946" s="892"/>
      <c r="J946" s="288"/>
      <c r="K946" s="182"/>
      <c r="L946" s="182"/>
      <c r="M946" s="270"/>
      <c r="N946" s="892"/>
      <c r="O946" s="892"/>
      <c r="P946" s="269"/>
      <c r="Q946" s="895">
        <v>0</v>
      </c>
      <c r="R946" s="114"/>
      <c r="S946" s="884"/>
      <c r="T946" s="270"/>
      <c r="U946" s="270"/>
      <c r="V946" s="270"/>
      <c r="W946" s="270"/>
      <c r="X946" s="270"/>
      <c r="Y946" s="270"/>
      <c r="Z946" s="270"/>
      <c r="AA946" s="270"/>
      <c r="AC946" s="85"/>
      <c r="AD946" s="85"/>
    </row>
    <row r="947" spans="3:30" x14ac:dyDescent="0.3">
      <c r="C947" s="225"/>
      <c r="D947" s="288"/>
      <c r="E947" s="288"/>
      <c r="F947" s="288"/>
      <c r="G947" s="450" t="str">
        <f t="shared" si="44"/>
        <v>--</v>
      </c>
      <c r="H947" s="182"/>
      <c r="I947" s="892"/>
      <c r="J947" s="288"/>
      <c r="K947" s="182"/>
      <c r="L947" s="182"/>
      <c r="M947" s="270"/>
      <c r="N947" s="892"/>
      <c r="O947" s="892"/>
      <c r="P947" s="263" t="s">
        <v>46</v>
      </c>
      <c r="Q947" s="897">
        <f>SUM(Q941:Q946)</f>
        <v>1</v>
      </c>
      <c r="R947" s="899"/>
      <c r="S947" s="900"/>
      <c r="T947" s="270"/>
      <c r="U947" s="270"/>
      <c r="V947" s="270"/>
      <c r="W947" s="270"/>
      <c r="X947" s="270"/>
      <c r="Y947" s="270"/>
      <c r="Z947" s="270"/>
      <c r="AA947" s="270"/>
      <c r="AC947" s="85"/>
      <c r="AD947" s="85"/>
    </row>
    <row r="948" spans="3:30" x14ac:dyDescent="0.3">
      <c r="C948" s="225"/>
      <c r="D948" s="288"/>
      <c r="E948" s="288"/>
      <c r="F948" s="288"/>
      <c r="G948" s="450" t="str">
        <f t="shared" si="44"/>
        <v>--</v>
      </c>
      <c r="H948" s="182"/>
      <c r="I948" s="892"/>
      <c r="J948" s="288"/>
      <c r="K948" s="182"/>
      <c r="L948" s="182"/>
      <c r="M948" s="270"/>
      <c r="N948" s="892"/>
      <c r="O948" s="892"/>
      <c r="P948" s="259"/>
      <c r="Q948" s="114"/>
      <c r="R948" s="270"/>
      <c r="S948" s="270"/>
      <c r="T948" s="270"/>
      <c r="U948" s="270"/>
      <c r="V948" s="270"/>
      <c r="W948" s="270"/>
      <c r="X948" s="270"/>
      <c r="Y948" s="270"/>
      <c r="Z948" s="270"/>
      <c r="AA948" s="270"/>
      <c r="AC948" s="85"/>
      <c r="AD948" s="85"/>
    </row>
    <row r="949" spans="3:30" ht="15" thickBot="1" x14ac:dyDescent="0.35">
      <c r="C949" s="225"/>
      <c r="D949" s="182"/>
      <c r="E949" s="182"/>
      <c r="F949" s="182"/>
      <c r="G949" s="450" t="str">
        <f t="shared" si="44"/>
        <v>--</v>
      </c>
      <c r="H949" s="182"/>
      <c r="I949" s="892"/>
      <c r="J949" s="892"/>
      <c r="K949" s="182"/>
      <c r="L949" s="182"/>
      <c r="M949" s="901" t="s">
        <v>155</v>
      </c>
      <c r="N949" s="870" t="s">
        <v>188</v>
      </c>
      <c r="O949" s="870"/>
      <c r="P949" s="276" t="s">
        <v>52</v>
      </c>
      <c r="Q949" s="871" t="s">
        <v>155</v>
      </c>
      <c r="R949" s="902"/>
      <c r="S949" s="874"/>
      <c r="T949" s="270"/>
      <c r="U949" s="270"/>
      <c r="V949" s="270"/>
      <c r="W949" s="270"/>
      <c r="X949" s="270"/>
      <c r="Y949" s="270"/>
      <c r="Z949" s="270"/>
      <c r="AA949" s="270"/>
      <c r="AC949" s="85"/>
      <c r="AD949" s="85"/>
    </row>
    <row r="950" spans="3:30" ht="15" thickBot="1" x14ac:dyDescent="0.35">
      <c r="C950" s="566" t="s">
        <v>387</v>
      </c>
      <c r="D950" s="875" t="str">
        <f>VLOOKUP(C950,'Airport Mapping'!$C$5:$D$39,2,FALSE)</f>
        <v xml:space="preserve"> </v>
      </c>
      <c r="E950" s="567" t="s">
        <v>8</v>
      </c>
      <c r="F950" s="567" t="s">
        <v>52</v>
      </c>
      <c r="G950" s="450" t="str">
        <f t="shared" si="44"/>
        <v>Office Building E-Other-Other 1</v>
      </c>
      <c r="H950" s="567" t="s">
        <v>362</v>
      </c>
      <c r="I950" s="877" t="s">
        <v>64</v>
      </c>
      <c r="J950" s="878">
        <f>SUMIFS('Level of Efficiency Assumptions'!J:J,'Level of Efficiency Assumptions'!D:D,E950,'Level of Efficiency Assumptions'!F:F,F950,'Level of Efficiency Assumptions'!I:I,I950)</f>
        <v>10</v>
      </c>
      <c r="K950" s="383" t="s">
        <v>588</v>
      </c>
      <c r="L950" s="253" t="s">
        <v>64</v>
      </c>
      <c r="M950" s="879">
        <f>SUM(Q950:Q950)</f>
        <v>0</v>
      </c>
      <c r="N950" s="880">
        <f>IFERROR(M950/M953,"-")</f>
        <v>0</v>
      </c>
      <c r="O950" s="881">
        <f>SUMIFS('Data Entry'!R:R,'Data Entry'!K:K,G950)</f>
        <v>0</v>
      </c>
      <c r="P950" s="272" t="s">
        <v>129</v>
      </c>
      <c r="Q950" s="895">
        <v>0</v>
      </c>
      <c r="R950" s="114"/>
      <c r="S950" s="884"/>
      <c r="T950" s="270"/>
      <c r="U950" s="270"/>
      <c r="V950" s="270"/>
      <c r="W950" s="270"/>
      <c r="X950" s="270"/>
      <c r="Y950" s="270"/>
      <c r="Z950" s="270"/>
      <c r="AA950" s="270"/>
      <c r="AC950" s="85"/>
      <c r="AD950" s="85"/>
    </row>
    <row r="951" spans="3:30" ht="15" thickBot="1" x14ac:dyDescent="0.35">
      <c r="C951" s="494" t="s">
        <v>387</v>
      </c>
      <c r="D951" s="577"/>
      <c r="E951" s="577" t="s">
        <v>8</v>
      </c>
      <c r="F951" s="577" t="s">
        <v>52</v>
      </c>
      <c r="G951" s="450" t="str">
        <f t="shared" si="44"/>
        <v>Office Building E-Other-Other 1</v>
      </c>
      <c r="H951" s="577"/>
      <c r="I951" s="887" t="s">
        <v>65</v>
      </c>
      <c r="J951" s="878">
        <f>SUMIFS('Level of Efficiency Assumptions'!J:J,'Level of Efficiency Assumptions'!D:D,E951,'Level of Efficiency Assumptions'!F:F,F951,'Level of Efficiency Assumptions'!I:I,I951)</f>
        <v>7.5</v>
      </c>
      <c r="K951" s="383" t="s">
        <v>588</v>
      </c>
      <c r="L951" s="255" t="s">
        <v>65</v>
      </c>
      <c r="M951" s="879">
        <f t="shared" ref="M951:M952" si="45">SUM(Q951:Q951)</f>
        <v>1</v>
      </c>
      <c r="N951" s="880">
        <f>IFERROR(M951/M953,"-")</f>
        <v>1</v>
      </c>
      <c r="O951" s="881">
        <f>SUMIFS('Data Entry'!S:S,'Data Entry'!K:K,G951)</f>
        <v>0</v>
      </c>
      <c r="P951" s="274" t="s">
        <v>233</v>
      </c>
      <c r="Q951" s="895">
        <v>1</v>
      </c>
      <c r="R951" s="114"/>
      <c r="S951" s="884"/>
      <c r="T951" s="270"/>
      <c r="U951" s="270"/>
      <c r="V951" s="270"/>
      <c r="W951" s="270"/>
      <c r="X951" s="270"/>
      <c r="Y951" s="270"/>
      <c r="Z951" s="270"/>
      <c r="AA951" s="270"/>
      <c r="AC951" s="85"/>
      <c r="AD951" s="85"/>
    </row>
    <row r="952" spans="3:30" ht="15" thickBot="1" x14ac:dyDescent="0.35">
      <c r="C952" s="501" t="s">
        <v>387</v>
      </c>
      <c r="D952" s="116"/>
      <c r="E952" s="116" t="s">
        <v>8</v>
      </c>
      <c r="F952" s="116" t="s">
        <v>52</v>
      </c>
      <c r="G952" s="450" t="str">
        <f t="shared" si="44"/>
        <v>Office Building E-Other-Other 1</v>
      </c>
      <c r="H952" s="116"/>
      <c r="I952" s="889" t="s">
        <v>66</v>
      </c>
      <c r="J952" s="890">
        <f>SUMIFS('Level of Efficiency Assumptions'!J:J,'Level of Efficiency Assumptions'!D:D,E952,'Level of Efficiency Assumptions'!F:F,F952,'Level of Efficiency Assumptions'!I:I,I952)</f>
        <v>5</v>
      </c>
      <c r="K952" s="383" t="s">
        <v>588</v>
      </c>
      <c r="L952" s="257" t="s">
        <v>66</v>
      </c>
      <c r="M952" s="879">
        <f t="shared" si="45"/>
        <v>0</v>
      </c>
      <c r="N952" s="880">
        <f>IFERROR(M952/M953,"-")</f>
        <v>0</v>
      </c>
      <c r="O952" s="881">
        <f>SUMIFS('Data Entry'!T:T,'Data Entry'!K:K,G952)</f>
        <v>0</v>
      </c>
      <c r="P952" s="269" t="s">
        <v>234</v>
      </c>
      <c r="Q952" s="895">
        <v>0</v>
      </c>
      <c r="R952" s="114"/>
      <c r="S952" s="884"/>
      <c r="T952" s="270"/>
      <c r="U952" s="270"/>
      <c r="V952" s="270"/>
      <c r="W952" s="270"/>
      <c r="X952" s="270"/>
      <c r="Y952" s="270"/>
      <c r="Z952" s="270"/>
      <c r="AA952" s="270"/>
      <c r="AC952" s="85"/>
      <c r="AD952" s="85"/>
    </row>
    <row r="953" spans="3:30" x14ac:dyDescent="0.3">
      <c r="C953" s="450"/>
      <c r="D953" s="182"/>
      <c r="E953" s="182"/>
      <c r="F953" s="182"/>
      <c r="G953" s="450" t="str">
        <f t="shared" si="44"/>
        <v>--</v>
      </c>
      <c r="H953" s="182"/>
      <c r="I953" s="440"/>
      <c r="J953" s="892"/>
      <c r="K953" s="259"/>
      <c r="L953" s="259" t="s">
        <v>46</v>
      </c>
      <c r="M953" s="893">
        <f>SUM(M950:M952)</f>
        <v>1</v>
      </c>
      <c r="N953" s="894"/>
      <c r="O953" s="894">
        <f>SUM(O950:O952)</f>
        <v>0</v>
      </c>
      <c r="P953" s="263" t="s">
        <v>46</v>
      </c>
      <c r="Q953" s="897">
        <f>SUM(Q950:Q952)</f>
        <v>1</v>
      </c>
      <c r="R953" s="899"/>
      <c r="S953" s="900"/>
      <c r="T953" s="270"/>
      <c r="U953" s="270"/>
      <c r="V953" s="270"/>
      <c r="W953" s="270"/>
      <c r="X953" s="270"/>
      <c r="Y953" s="270"/>
      <c r="Z953" s="270"/>
      <c r="AA953" s="270"/>
      <c r="AC953" s="85"/>
      <c r="AD953" s="85"/>
    </row>
    <row r="954" spans="3:30" x14ac:dyDescent="0.3">
      <c r="C954" s="450"/>
      <c r="D954" s="182"/>
      <c r="E954" s="182"/>
      <c r="F954" s="182"/>
      <c r="G954" s="450" t="str">
        <f t="shared" si="44"/>
        <v>--</v>
      </c>
      <c r="H954" s="182"/>
      <c r="I954" s="892"/>
      <c r="J954" s="288"/>
      <c r="K954" s="182"/>
      <c r="L954" s="182"/>
      <c r="M954" s="270"/>
      <c r="N954" s="892"/>
      <c r="O954" s="892"/>
      <c r="P954" s="270"/>
      <c r="Q954" s="270"/>
      <c r="R954" s="270"/>
      <c r="S954" s="270"/>
      <c r="T954" s="270"/>
      <c r="U954" s="270"/>
      <c r="V954" s="270"/>
      <c r="W954" s="270"/>
      <c r="X954" s="270"/>
      <c r="Y954" s="270"/>
      <c r="Z954" s="270"/>
      <c r="AA954" s="270"/>
      <c r="AC954" s="85"/>
      <c r="AD954" s="85"/>
    </row>
    <row r="955" spans="3:30" ht="15" thickBot="1" x14ac:dyDescent="0.35">
      <c r="C955" s="450"/>
      <c r="D955" s="182"/>
      <c r="E955" s="182"/>
      <c r="F955" s="182"/>
      <c r="G955" s="450" t="str">
        <f t="shared" si="44"/>
        <v>--</v>
      </c>
      <c r="H955" s="182"/>
      <c r="I955" s="892"/>
      <c r="J955" s="892"/>
      <c r="K955" s="182"/>
      <c r="L955" s="182"/>
      <c r="M955" s="901" t="s">
        <v>155</v>
      </c>
      <c r="N955" s="870" t="s">
        <v>188</v>
      </c>
      <c r="O955" s="870"/>
      <c r="P955" s="276" t="s">
        <v>53</v>
      </c>
      <c r="Q955" s="871" t="s">
        <v>155</v>
      </c>
      <c r="R955" s="902"/>
      <c r="S955" s="874"/>
      <c r="T955" s="270"/>
      <c r="U955" s="270"/>
      <c r="V955" s="270"/>
      <c r="W955" s="270"/>
      <c r="X955" s="270"/>
      <c r="Y955" s="270"/>
      <c r="Z955" s="270"/>
      <c r="AA955" s="270"/>
      <c r="AC955" s="85"/>
      <c r="AD955" s="85"/>
    </row>
    <row r="956" spans="3:30" ht="15" thickBot="1" x14ac:dyDescent="0.35">
      <c r="C956" s="566" t="s">
        <v>387</v>
      </c>
      <c r="D956" s="875" t="str">
        <f>VLOOKUP(C956,'Airport Mapping'!$C$5:$D$39,2,FALSE)</f>
        <v xml:space="preserve"> </v>
      </c>
      <c r="E956" s="567" t="s">
        <v>8</v>
      </c>
      <c r="F956" s="567" t="s">
        <v>53</v>
      </c>
      <c r="G956" s="450" t="str">
        <f t="shared" si="44"/>
        <v>Office Building E-Other-Other 2</v>
      </c>
      <c r="H956" s="567" t="s">
        <v>363</v>
      </c>
      <c r="I956" s="877" t="s">
        <v>64</v>
      </c>
      <c r="J956" s="878">
        <f>SUMIFS('Level of Efficiency Assumptions'!J:J,'Level of Efficiency Assumptions'!D:D,E956,'Level of Efficiency Assumptions'!F:F,F956,'Level of Efficiency Assumptions'!I:I,I956)</f>
        <v>10</v>
      </c>
      <c r="K956" s="383" t="s">
        <v>588</v>
      </c>
      <c r="L956" s="253" t="s">
        <v>64</v>
      </c>
      <c r="M956" s="879">
        <f>SUM(Q956:Q956)</f>
        <v>0</v>
      </c>
      <c r="N956" s="880">
        <f>IFERROR(M956/M959,"-")</f>
        <v>0</v>
      </c>
      <c r="O956" s="881">
        <f>SUMIFS('Data Entry'!R:R,'Data Entry'!K:K,G956)</f>
        <v>0</v>
      </c>
      <c r="P956" s="272" t="s">
        <v>129</v>
      </c>
      <c r="Q956" s="895">
        <v>0</v>
      </c>
      <c r="R956" s="114"/>
      <c r="S956" s="884"/>
      <c r="T956" s="270"/>
      <c r="U956" s="270"/>
      <c r="V956" s="270"/>
      <c r="W956" s="270"/>
      <c r="X956" s="270"/>
      <c r="Y956" s="270"/>
      <c r="Z956" s="270"/>
      <c r="AA956" s="270"/>
      <c r="AC956" s="85"/>
      <c r="AD956" s="85"/>
    </row>
    <row r="957" spans="3:30" ht="15" thickBot="1" x14ac:dyDescent="0.35">
      <c r="C957" s="494" t="s">
        <v>387</v>
      </c>
      <c r="D957" s="577"/>
      <c r="E957" s="577" t="s">
        <v>8</v>
      </c>
      <c r="F957" s="577" t="s">
        <v>53</v>
      </c>
      <c r="G957" s="450" t="str">
        <f t="shared" si="44"/>
        <v>Office Building E-Other-Other 2</v>
      </c>
      <c r="H957" s="577"/>
      <c r="I957" s="887" t="s">
        <v>65</v>
      </c>
      <c r="J957" s="878">
        <f>SUMIFS('Level of Efficiency Assumptions'!J:J,'Level of Efficiency Assumptions'!D:D,E957,'Level of Efficiency Assumptions'!F:F,F957,'Level of Efficiency Assumptions'!I:I,I957)</f>
        <v>7.5</v>
      </c>
      <c r="K957" s="383" t="s">
        <v>588</v>
      </c>
      <c r="L957" s="255" t="s">
        <v>65</v>
      </c>
      <c r="M957" s="879">
        <f t="shared" ref="M957:M958" si="46">SUM(Q957:Q957)</f>
        <v>1</v>
      </c>
      <c r="N957" s="880">
        <f>IFERROR(M957/M959,"-")</f>
        <v>1</v>
      </c>
      <c r="O957" s="881">
        <f>SUMIFS('Data Entry'!S:S,'Data Entry'!K:K,G957)</f>
        <v>0</v>
      </c>
      <c r="P957" s="274" t="s">
        <v>233</v>
      </c>
      <c r="Q957" s="895">
        <v>1</v>
      </c>
      <c r="R957" s="114"/>
      <c r="S957" s="884"/>
      <c r="T957" s="270"/>
      <c r="U957" s="270"/>
      <c r="V957" s="270"/>
      <c r="W957" s="270"/>
      <c r="X957" s="270"/>
      <c r="Y957" s="270"/>
      <c r="Z957" s="270"/>
      <c r="AA957" s="270"/>
      <c r="AC957" s="85"/>
      <c r="AD957" s="85"/>
    </row>
    <row r="958" spans="3:30" ht="15" thickBot="1" x14ac:dyDescent="0.35">
      <c r="C958" s="501" t="s">
        <v>387</v>
      </c>
      <c r="D958" s="116"/>
      <c r="E958" s="116" t="s">
        <v>8</v>
      </c>
      <c r="F958" s="116" t="s">
        <v>53</v>
      </c>
      <c r="G958" s="450" t="str">
        <f t="shared" si="44"/>
        <v>Office Building E-Other-Other 2</v>
      </c>
      <c r="H958" s="116"/>
      <c r="I958" s="889" t="s">
        <v>66</v>
      </c>
      <c r="J958" s="890">
        <f>SUMIFS('Level of Efficiency Assumptions'!J:J,'Level of Efficiency Assumptions'!D:D,E958,'Level of Efficiency Assumptions'!F:F,F958,'Level of Efficiency Assumptions'!I:I,I958)</f>
        <v>5</v>
      </c>
      <c r="K958" s="383" t="s">
        <v>588</v>
      </c>
      <c r="L958" s="257" t="s">
        <v>66</v>
      </c>
      <c r="M958" s="879">
        <f t="shared" si="46"/>
        <v>0</v>
      </c>
      <c r="N958" s="880">
        <f>IFERROR(M958/M959,"-")</f>
        <v>0</v>
      </c>
      <c r="O958" s="881">
        <f>SUMIFS('Data Entry'!T:T,'Data Entry'!K:K,G958)</f>
        <v>0</v>
      </c>
      <c r="P958" s="269" t="s">
        <v>234</v>
      </c>
      <c r="Q958" s="895">
        <v>0</v>
      </c>
      <c r="R958" s="114"/>
      <c r="S958" s="884"/>
      <c r="T958" s="270"/>
      <c r="U958" s="270"/>
      <c r="V958" s="270"/>
      <c r="W958" s="270"/>
      <c r="X958" s="270"/>
      <c r="Y958" s="270"/>
      <c r="Z958" s="270"/>
      <c r="AA958" s="270"/>
      <c r="AC958" s="85"/>
      <c r="AD958" s="85"/>
    </row>
    <row r="959" spans="3:30" x14ac:dyDescent="0.3">
      <c r="C959" s="450"/>
      <c r="D959" s="182"/>
      <c r="E959" s="182"/>
      <c r="F959" s="182"/>
      <c r="G959" s="450" t="str">
        <f t="shared" si="44"/>
        <v>--</v>
      </c>
      <c r="H959" s="182"/>
      <c r="I959" s="440"/>
      <c r="J959" s="892"/>
      <c r="K959" s="259"/>
      <c r="L959" s="259" t="s">
        <v>46</v>
      </c>
      <c r="M959" s="893">
        <f>SUM(M956:M958)</f>
        <v>1</v>
      </c>
      <c r="N959" s="894"/>
      <c r="O959" s="894">
        <f>SUM(O956:O958)</f>
        <v>0</v>
      </c>
      <c r="P959" s="263" t="s">
        <v>46</v>
      </c>
      <c r="Q959" s="897">
        <f>SUM(Q956:Q958)</f>
        <v>1</v>
      </c>
      <c r="R959" s="899"/>
      <c r="S959" s="900"/>
      <c r="T959" s="270"/>
      <c r="U959" s="270"/>
      <c r="V959" s="270"/>
      <c r="W959" s="270"/>
      <c r="X959" s="270"/>
      <c r="Y959" s="270"/>
      <c r="Z959" s="270"/>
      <c r="AA959" s="270"/>
      <c r="AC959" s="85"/>
      <c r="AD959" s="85"/>
    </row>
    <row r="960" spans="3:30" x14ac:dyDescent="0.3">
      <c r="C960" s="450"/>
      <c r="D960" s="182"/>
      <c r="E960" s="182"/>
      <c r="F960" s="182"/>
      <c r="G960" s="450" t="str">
        <f t="shared" si="44"/>
        <v>--</v>
      </c>
      <c r="H960" s="182"/>
      <c r="I960" s="892"/>
      <c r="J960" s="288"/>
      <c r="K960" s="288"/>
      <c r="L960" s="182"/>
      <c r="M960" s="270"/>
      <c r="N960" s="892"/>
      <c r="O960" s="892"/>
      <c r="P960" s="270"/>
      <c r="Q960" s="270"/>
      <c r="R960" s="270"/>
      <c r="S960" s="270"/>
      <c r="T960" s="270"/>
      <c r="U960" s="270"/>
      <c r="V960" s="270"/>
      <c r="W960" s="270"/>
      <c r="X960" s="270"/>
      <c r="Y960" s="270"/>
      <c r="Z960" s="270"/>
      <c r="AA960" s="270"/>
      <c r="AC960" s="85"/>
      <c r="AD960" s="85"/>
    </row>
    <row r="961" spans="3:31" ht="15" thickBot="1" x14ac:dyDescent="0.35">
      <c r="C961" s="450"/>
      <c r="D961" s="182"/>
      <c r="E961" s="182"/>
      <c r="F961" s="182"/>
      <c r="G961" s="450" t="str">
        <f t="shared" si="44"/>
        <v>--</v>
      </c>
      <c r="H961" s="182"/>
      <c r="I961" s="892"/>
      <c r="J961" s="892"/>
      <c r="K961" s="182"/>
      <c r="L961" s="182"/>
      <c r="M961" s="901" t="s">
        <v>155</v>
      </c>
      <c r="N961" s="870" t="s">
        <v>188</v>
      </c>
      <c r="O961" s="870"/>
      <c r="P961" s="276" t="s">
        <v>54</v>
      </c>
      <c r="Q961" s="871" t="s">
        <v>155</v>
      </c>
      <c r="R961" s="902"/>
      <c r="S961" s="874"/>
      <c r="T961" s="270"/>
      <c r="U961" s="270"/>
      <c r="V961" s="270"/>
      <c r="W961" s="270"/>
      <c r="X961" s="270"/>
      <c r="Y961" s="270"/>
      <c r="Z961" s="270"/>
      <c r="AA961" s="270"/>
      <c r="AC961" s="85"/>
      <c r="AD961" s="85"/>
    </row>
    <row r="962" spans="3:31" ht="15" thickBot="1" x14ac:dyDescent="0.35">
      <c r="C962" s="566" t="s">
        <v>387</v>
      </c>
      <c r="D962" s="875" t="str">
        <f>VLOOKUP(C962,'Airport Mapping'!$C$5:$D$39,2,FALSE)</f>
        <v xml:space="preserve"> </v>
      </c>
      <c r="E962" s="567" t="s">
        <v>8</v>
      </c>
      <c r="F962" s="567" t="s">
        <v>54</v>
      </c>
      <c r="G962" s="450" t="str">
        <f t="shared" si="44"/>
        <v>Office Building E-Other-Other 3</v>
      </c>
      <c r="H962" s="567" t="s">
        <v>364</v>
      </c>
      <c r="I962" s="877" t="s">
        <v>64</v>
      </c>
      <c r="J962" s="878">
        <f>SUMIFS('Level of Efficiency Assumptions'!J:J,'Level of Efficiency Assumptions'!D:D,E962,'Level of Efficiency Assumptions'!F:F,F962,'Level of Efficiency Assumptions'!I:I,I962)</f>
        <v>10</v>
      </c>
      <c r="K962" s="383" t="s">
        <v>588</v>
      </c>
      <c r="L962" s="253" t="s">
        <v>64</v>
      </c>
      <c r="M962" s="879">
        <f>SUM(Q962:Q962)</f>
        <v>0</v>
      </c>
      <c r="N962" s="880">
        <f>IFERROR(M962/M965,"-")</f>
        <v>0</v>
      </c>
      <c r="O962" s="881">
        <f>SUMIFS('Data Entry'!R:R,'Data Entry'!K:K,G962)</f>
        <v>0</v>
      </c>
      <c r="P962" s="272" t="s">
        <v>129</v>
      </c>
      <c r="Q962" s="895">
        <v>0</v>
      </c>
      <c r="R962" s="114"/>
      <c r="S962" s="884"/>
      <c r="T962" s="270"/>
      <c r="U962" s="270"/>
      <c r="V962" s="270"/>
      <c r="W962" s="270"/>
      <c r="X962" s="270"/>
      <c r="Y962" s="270"/>
      <c r="Z962" s="270"/>
      <c r="AA962" s="270"/>
      <c r="AC962" s="85"/>
      <c r="AD962" s="85"/>
    </row>
    <row r="963" spans="3:31" ht="15" thickBot="1" x14ac:dyDescent="0.35">
      <c r="C963" s="494" t="s">
        <v>387</v>
      </c>
      <c r="D963" s="577"/>
      <c r="E963" s="577" t="s">
        <v>8</v>
      </c>
      <c r="F963" s="577" t="s">
        <v>54</v>
      </c>
      <c r="G963" s="450" t="str">
        <f t="shared" si="44"/>
        <v>Office Building E-Other-Other 3</v>
      </c>
      <c r="H963" s="577"/>
      <c r="I963" s="887" t="s">
        <v>65</v>
      </c>
      <c r="J963" s="878">
        <f>SUMIFS('Level of Efficiency Assumptions'!J:J,'Level of Efficiency Assumptions'!D:D,E963,'Level of Efficiency Assumptions'!F:F,F963,'Level of Efficiency Assumptions'!I:I,I963)</f>
        <v>7.5</v>
      </c>
      <c r="K963" s="383" t="s">
        <v>588</v>
      </c>
      <c r="L963" s="255" t="s">
        <v>65</v>
      </c>
      <c r="M963" s="879">
        <f t="shared" ref="M963:M964" si="47">SUM(Q963:Q963)</f>
        <v>1</v>
      </c>
      <c r="N963" s="880">
        <f>IFERROR(M963/M965,"-")</f>
        <v>1</v>
      </c>
      <c r="O963" s="881">
        <f>SUMIFS('Data Entry'!S:S,'Data Entry'!K:K,G963)</f>
        <v>0</v>
      </c>
      <c r="P963" s="274" t="s">
        <v>233</v>
      </c>
      <c r="Q963" s="895">
        <v>1</v>
      </c>
      <c r="R963" s="114"/>
      <c r="S963" s="884"/>
      <c r="T963" s="270"/>
      <c r="U963" s="270"/>
      <c r="V963" s="270"/>
      <c r="W963" s="270"/>
      <c r="X963" s="270"/>
      <c r="Y963" s="270"/>
      <c r="Z963" s="270"/>
      <c r="AA963" s="270"/>
      <c r="AC963" s="85"/>
      <c r="AD963" s="85"/>
    </row>
    <row r="964" spans="3:31" ht="15" thickBot="1" x14ac:dyDescent="0.35">
      <c r="C964" s="501" t="s">
        <v>387</v>
      </c>
      <c r="D964" s="116"/>
      <c r="E964" s="116" t="s">
        <v>8</v>
      </c>
      <c r="F964" s="116" t="s">
        <v>54</v>
      </c>
      <c r="G964" s="450" t="str">
        <f t="shared" si="44"/>
        <v>Office Building E-Other-Other 3</v>
      </c>
      <c r="H964" s="116"/>
      <c r="I964" s="889" t="s">
        <v>66</v>
      </c>
      <c r="J964" s="890">
        <f>SUMIFS('Level of Efficiency Assumptions'!J:J,'Level of Efficiency Assumptions'!D:D,E964,'Level of Efficiency Assumptions'!F:F,F964,'Level of Efficiency Assumptions'!I:I,I964)</f>
        <v>5</v>
      </c>
      <c r="K964" s="383" t="s">
        <v>588</v>
      </c>
      <c r="L964" s="257" t="s">
        <v>66</v>
      </c>
      <c r="M964" s="879">
        <f t="shared" si="47"/>
        <v>0</v>
      </c>
      <c r="N964" s="880">
        <f>IFERROR(M964/M965,"-")</f>
        <v>0</v>
      </c>
      <c r="O964" s="881">
        <f>SUMIFS('Data Entry'!T:T,'Data Entry'!K:K,G964)</f>
        <v>0</v>
      </c>
      <c r="P964" s="269" t="s">
        <v>234</v>
      </c>
      <c r="Q964" s="895">
        <v>0</v>
      </c>
      <c r="R964" s="114"/>
      <c r="S964" s="884"/>
      <c r="T964" s="270"/>
      <c r="U964" s="270"/>
      <c r="V964" s="270"/>
      <c r="W964" s="270"/>
      <c r="X964" s="270"/>
      <c r="Y964" s="270"/>
      <c r="Z964" s="270"/>
      <c r="AA964" s="270"/>
      <c r="AC964" s="85"/>
      <c r="AD964" s="85"/>
    </row>
    <row r="965" spans="3:31" s="45" customFormat="1" x14ac:dyDescent="0.3">
      <c r="C965" s="450"/>
      <c r="D965" s="182"/>
      <c r="E965" s="182"/>
      <c r="F965" s="182"/>
      <c r="G965" s="450" t="str">
        <f t="shared" si="44"/>
        <v>--</v>
      </c>
      <c r="H965" s="182"/>
      <c r="I965" s="440"/>
      <c r="J965" s="892"/>
      <c r="K965" s="259"/>
      <c r="L965" s="259" t="s">
        <v>46</v>
      </c>
      <c r="M965" s="893">
        <f>SUM(M962:M964)</f>
        <v>1</v>
      </c>
      <c r="N965" s="894"/>
      <c r="O965" s="894">
        <f>SUM(O962:O964)</f>
        <v>0</v>
      </c>
      <c r="P965" s="263" t="s">
        <v>46</v>
      </c>
      <c r="Q965" s="897">
        <f>SUM(Q962:Q964)</f>
        <v>1</v>
      </c>
      <c r="R965" s="899"/>
      <c r="S965" s="900"/>
      <c r="T965" s="270"/>
      <c r="U965" s="270"/>
      <c r="V965" s="270"/>
      <c r="W965" s="270"/>
      <c r="X965" s="270"/>
      <c r="Y965" s="270"/>
      <c r="Z965" s="270"/>
      <c r="AA965" s="270"/>
      <c r="AB965" s="125"/>
      <c r="AC965" s="85"/>
      <c r="AD965" s="85"/>
      <c r="AE965" s="85"/>
    </row>
    <row r="966" spans="3:31" s="45" customFormat="1" ht="15" thickBot="1" x14ac:dyDescent="0.35">
      <c r="C966" s="451"/>
      <c r="D966" s="184"/>
      <c r="E966" s="184"/>
      <c r="F966" s="184"/>
      <c r="G966" s="450" t="str">
        <f t="shared" si="44"/>
        <v>--</v>
      </c>
      <c r="H966" s="184"/>
      <c r="I966" s="281"/>
      <c r="J966" s="281"/>
      <c r="K966" s="184"/>
      <c r="L966" s="918"/>
      <c r="M966" s="278"/>
      <c r="N966" s="919"/>
      <c r="O966" s="919"/>
      <c r="P966" s="279"/>
      <c r="Q966" s="278"/>
      <c r="R966" s="278"/>
      <c r="S966" s="278"/>
      <c r="T966" s="278"/>
      <c r="U966" s="920"/>
      <c r="V966" s="278"/>
      <c r="W966" s="278"/>
      <c r="X966" s="278"/>
      <c r="Y966" s="114"/>
      <c r="Z966" s="114"/>
      <c r="AA966" s="114"/>
      <c r="AB966" s="85"/>
      <c r="AC966" s="85"/>
      <c r="AD966" s="85"/>
      <c r="AE966" s="85"/>
    </row>
    <row r="967" spans="3:31" s="45" customFormat="1" x14ac:dyDescent="0.3">
      <c r="C967" s="450"/>
      <c r="D967" s="182"/>
      <c r="E967" s="182"/>
      <c r="F967" s="182"/>
      <c r="G967" s="450"/>
      <c r="H967" s="182"/>
      <c r="I967" s="892"/>
      <c r="J967" s="892"/>
      <c r="K967" s="182"/>
      <c r="L967" s="921"/>
      <c r="M967" s="114"/>
      <c r="N967" s="922"/>
      <c r="O967" s="922"/>
      <c r="P967" s="280"/>
      <c r="Q967" s="114"/>
      <c r="R967" s="114"/>
      <c r="S967" s="114"/>
      <c r="T967" s="114"/>
      <c r="U967" s="870"/>
      <c r="V967" s="114"/>
      <c r="W967" s="114"/>
      <c r="X967" s="114"/>
      <c r="Y967" s="114"/>
      <c r="Z967" s="114"/>
      <c r="AA967" s="114"/>
      <c r="AB967" s="85"/>
      <c r="AC967" s="85"/>
      <c r="AD967" s="85"/>
      <c r="AE967" s="85"/>
    </row>
    <row r="968" spans="3:31" ht="15" thickBot="1" x14ac:dyDescent="0.35">
      <c r="C968" s="450"/>
      <c r="D968" s="182"/>
      <c r="E968" s="182"/>
      <c r="F968" s="182"/>
      <c r="G968" s="450" t="str">
        <f t="shared" ref="G968:G1060" si="48">C968&amp;"-"&amp;E968&amp;"-"&amp;F968</f>
        <v>--</v>
      </c>
      <c r="H968" s="182"/>
      <c r="I968" s="892"/>
      <c r="J968" s="892"/>
      <c r="K968" s="182"/>
      <c r="L968" s="182"/>
      <c r="M968" s="901" t="s">
        <v>155</v>
      </c>
      <c r="N968" s="870" t="s">
        <v>188</v>
      </c>
      <c r="O968" s="870"/>
      <c r="P968" s="252" t="s">
        <v>158</v>
      </c>
      <c r="Q968" s="871" t="s">
        <v>155</v>
      </c>
      <c r="R968" s="872" t="s">
        <v>168</v>
      </c>
      <c r="S968" s="872" t="s">
        <v>169</v>
      </c>
      <c r="T968" s="873"/>
      <c r="U968" s="874"/>
      <c r="V968" s="270"/>
      <c r="W968" s="270"/>
      <c r="X968" s="270"/>
      <c r="Y968" s="114"/>
      <c r="Z968" s="270"/>
      <c r="AA968" s="114"/>
      <c r="AB968" s="85"/>
      <c r="AC968" s="85"/>
      <c r="AD968" s="85"/>
      <c r="AE968" s="85"/>
    </row>
    <row r="969" spans="3:31" ht="15" thickBot="1" x14ac:dyDescent="0.35">
      <c r="C969" s="566" t="s">
        <v>89</v>
      </c>
      <c r="D969" s="875" t="str">
        <f>VLOOKUP(C969,'Airport Mapping'!$C$5:$D$39,2,FALSE)</f>
        <v xml:space="preserve"> </v>
      </c>
      <c r="E969" s="567" t="s">
        <v>37</v>
      </c>
      <c r="F969" s="567" t="s">
        <v>2</v>
      </c>
      <c r="G969" s="450" t="str">
        <f t="shared" si="48"/>
        <v>Rental Car Center A-Restrooms-Toilets</v>
      </c>
      <c r="H969" s="567" t="s">
        <v>3</v>
      </c>
      <c r="I969" s="877" t="s">
        <v>64</v>
      </c>
      <c r="J969" s="878">
        <f>SUMIFS('Level of Efficiency Assumptions'!J:J,'Level of Efficiency Assumptions'!D:D,E969,'Level of Efficiency Assumptions'!F:F,F969,'Level of Efficiency Assumptions'!I:I,I969)</f>
        <v>3.5</v>
      </c>
      <c r="K969" s="383" t="s">
        <v>68</v>
      </c>
      <c r="L969" s="253" t="s">
        <v>64</v>
      </c>
      <c r="M969" s="879">
        <f>Q969+Q975</f>
        <v>0</v>
      </c>
      <c r="N969" s="880">
        <f>IFERROR(M969/M972,"-")</f>
        <v>0</v>
      </c>
      <c r="O969" s="881">
        <f>SUMIFS('Data Entry'!R:R,'Data Entry'!K:K,G969)</f>
        <v>0</v>
      </c>
      <c r="P969" s="254" t="s">
        <v>159</v>
      </c>
      <c r="Q969" s="882">
        <v>0</v>
      </c>
      <c r="R969" s="883"/>
      <c r="S969" s="883"/>
      <c r="T969" s="114" t="s">
        <v>182</v>
      </c>
      <c r="U969" s="884"/>
      <c r="V969" s="270"/>
      <c r="W969" s="270"/>
      <c r="X969" s="270"/>
      <c r="Y969" s="114"/>
      <c r="Z969" s="270"/>
      <c r="AA969" s="114"/>
      <c r="AB969" s="85"/>
      <c r="AC969" s="85"/>
      <c r="AD969" s="85"/>
      <c r="AE969" s="85"/>
    </row>
    <row r="970" spans="3:31" ht="15" thickBot="1" x14ac:dyDescent="0.35">
      <c r="C970" s="494" t="s">
        <v>89</v>
      </c>
      <c r="D970" s="577"/>
      <c r="E970" s="577" t="s">
        <v>37</v>
      </c>
      <c r="F970" s="577" t="s">
        <v>2</v>
      </c>
      <c r="G970" s="450" t="str">
        <f t="shared" si="48"/>
        <v>Rental Car Center A-Restrooms-Toilets</v>
      </c>
      <c r="H970" s="577"/>
      <c r="I970" s="887" t="s">
        <v>65</v>
      </c>
      <c r="J970" s="878">
        <f>SUMIFS('Level of Efficiency Assumptions'!J:J,'Level of Efficiency Assumptions'!D:D,E970,'Level of Efficiency Assumptions'!F:F,F970,'Level of Efficiency Assumptions'!I:I,I970)</f>
        <v>1.6</v>
      </c>
      <c r="K970" s="383" t="s">
        <v>68</v>
      </c>
      <c r="L970" s="255" t="s">
        <v>65</v>
      </c>
      <c r="M970" s="879">
        <f>Q970+Q973+Q976</f>
        <v>1</v>
      </c>
      <c r="N970" s="880">
        <f>IFERROR(M970/M972,"-")</f>
        <v>1</v>
      </c>
      <c r="O970" s="881">
        <f>SUMIFS('Data Entry'!S:S,'Data Entry'!K:K,G970)</f>
        <v>0</v>
      </c>
      <c r="P970" s="256" t="s">
        <v>161</v>
      </c>
      <c r="Q970" s="882">
        <v>1</v>
      </c>
      <c r="R970" s="883"/>
      <c r="S970" s="883"/>
      <c r="T970" s="114" t="s">
        <v>184</v>
      </c>
      <c r="U970" s="884"/>
      <c r="V970" s="270"/>
      <c r="W970" s="270"/>
      <c r="X970" s="270"/>
      <c r="Y970" s="114"/>
      <c r="Z970" s="270"/>
      <c r="AA970" s="114"/>
      <c r="AB970" s="85"/>
      <c r="AC970" s="85"/>
      <c r="AD970" s="85"/>
      <c r="AE970" s="85"/>
    </row>
    <row r="971" spans="3:31" ht="15" thickBot="1" x14ac:dyDescent="0.35">
      <c r="C971" s="501" t="s">
        <v>89</v>
      </c>
      <c r="D971" s="116"/>
      <c r="E971" s="116" t="s">
        <v>37</v>
      </c>
      <c r="F971" s="116" t="s">
        <v>2</v>
      </c>
      <c r="G971" s="450" t="str">
        <f t="shared" si="48"/>
        <v>Rental Car Center A-Restrooms-Toilets</v>
      </c>
      <c r="H971" s="116"/>
      <c r="I971" s="889" t="s">
        <v>66</v>
      </c>
      <c r="J971" s="890">
        <f>SUMIFS('Level of Efficiency Assumptions'!J:J,'Level of Efficiency Assumptions'!D:D,E971,'Level of Efficiency Assumptions'!F:F,F971,'Level of Efficiency Assumptions'!I:I,I971)</f>
        <v>1.28</v>
      </c>
      <c r="K971" s="383" t="s">
        <v>68</v>
      </c>
      <c r="L971" s="257" t="s">
        <v>66</v>
      </c>
      <c r="M971" s="879">
        <f>Q971+Q972+Q974+Q977+Q978</f>
        <v>0</v>
      </c>
      <c r="N971" s="880">
        <f>IFERROR(M971/M972,"-")</f>
        <v>0</v>
      </c>
      <c r="O971" s="881">
        <f>SUMIFS('Data Entry'!T:T,'Data Entry'!K:K,G971)</f>
        <v>0</v>
      </c>
      <c r="P971" s="258" t="s">
        <v>163</v>
      </c>
      <c r="Q971" s="882">
        <v>0</v>
      </c>
      <c r="R971" s="883"/>
      <c r="S971" s="883"/>
      <c r="T971" s="891"/>
      <c r="U971" s="884"/>
      <c r="V971" s="270"/>
      <c r="W971" s="270"/>
      <c r="X971" s="270"/>
      <c r="Y971" s="114"/>
      <c r="Z971" s="270"/>
      <c r="AA971" s="114"/>
      <c r="AB971" s="85"/>
      <c r="AC971" s="85"/>
      <c r="AD971" s="85"/>
      <c r="AE971" s="85"/>
    </row>
    <row r="972" spans="3:31" x14ac:dyDescent="0.3">
      <c r="C972" s="450"/>
      <c r="D972" s="182"/>
      <c r="E972" s="182"/>
      <c r="F972" s="182"/>
      <c r="G972" s="450" t="str">
        <f t="shared" si="48"/>
        <v>--</v>
      </c>
      <c r="H972" s="182"/>
      <c r="I972" s="440"/>
      <c r="J972" s="892"/>
      <c r="K972" s="259"/>
      <c r="L972" s="259" t="s">
        <v>46</v>
      </c>
      <c r="M972" s="893">
        <f>SUM(M969:M971)</f>
        <v>1</v>
      </c>
      <c r="N972" s="894"/>
      <c r="O972" s="894">
        <f>SUM(O969:O971)</f>
        <v>0</v>
      </c>
      <c r="P972" s="258" t="s">
        <v>165</v>
      </c>
      <c r="Q972" s="882">
        <v>0</v>
      </c>
      <c r="R972" s="883"/>
      <c r="S972" s="883"/>
      <c r="T972" s="891"/>
      <c r="U972" s="884"/>
      <c r="V972" s="270"/>
      <c r="W972" s="270"/>
      <c r="X972" s="270"/>
      <c r="Y972" s="114"/>
      <c r="Z972" s="270"/>
      <c r="AA972" s="114"/>
      <c r="AB972" s="85"/>
      <c r="AC972" s="85"/>
      <c r="AD972" s="85"/>
      <c r="AE972" s="85"/>
    </row>
    <row r="973" spans="3:31" ht="15" thickBot="1" x14ac:dyDescent="0.35">
      <c r="C973" s="450"/>
      <c r="D973" s="182"/>
      <c r="E973" s="182"/>
      <c r="F973" s="182"/>
      <c r="G973" s="450" t="str">
        <f t="shared" si="48"/>
        <v>--</v>
      </c>
      <c r="H973" s="182"/>
      <c r="I973" s="892"/>
      <c r="J973" s="288"/>
      <c r="K973" s="182"/>
      <c r="L973" s="181"/>
      <c r="M973" s="181"/>
      <c r="N973" s="892"/>
      <c r="O973" s="892"/>
      <c r="P973" s="256" t="s">
        <v>166</v>
      </c>
      <c r="Q973" s="895">
        <v>0</v>
      </c>
      <c r="R973" s="883"/>
      <c r="S973" s="883"/>
      <c r="T973" s="891"/>
      <c r="U973" s="896"/>
      <c r="V973" s="891"/>
      <c r="W973" s="270"/>
      <c r="X973" s="270"/>
      <c r="Y973" s="114"/>
      <c r="Z973" s="270"/>
      <c r="AA973" s="114"/>
      <c r="AB973" s="85"/>
      <c r="AC973" s="85"/>
      <c r="AD973" s="85"/>
      <c r="AE973" s="85"/>
    </row>
    <row r="974" spans="3:31" x14ac:dyDescent="0.3">
      <c r="C974" s="450"/>
      <c r="D974" s="182"/>
      <c r="E974" s="182"/>
      <c r="F974" s="182"/>
      <c r="G974" s="450" t="str">
        <f t="shared" si="48"/>
        <v>--</v>
      </c>
      <c r="H974" s="182"/>
      <c r="I974" s="892"/>
      <c r="J974" s="288"/>
      <c r="K974" s="182"/>
      <c r="L974" s="1384" t="s">
        <v>377</v>
      </c>
      <c r="M974" s="1385"/>
      <c r="N974" s="1385"/>
      <c r="O974" s="1386"/>
      <c r="P974" s="258" t="s">
        <v>167</v>
      </c>
      <c r="Q974" s="895">
        <v>0</v>
      </c>
      <c r="R974" s="883"/>
      <c r="S974" s="883"/>
      <c r="T974" s="891"/>
      <c r="U974" s="896"/>
      <c r="V974" s="891"/>
      <c r="W974" s="270"/>
      <c r="X974" s="270"/>
      <c r="Y974" s="270"/>
      <c r="Z974" s="270"/>
      <c r="AA974" s="114"/>
      <c r="AB974" s="85"/>
      <c r="AC974" s="85"/>
      <c r="AD974" s="85"/>
      <c r="AE974" s="85"/>
    </row>
    <row r="975" spans="3:31" x14ac:dyDescent="0.3">
      <c r="C975" s="450"/>
      <c r="D975" s="182"/>
      <c r="E975" s="182"/>
      <c r="F975" s="182"/>
      <c r="G975" s="450" t="str">
        <f t="shared" si="48"/>
        <v>--</v>
      </c>
      <c r="H975" s="182"/>
      <c r="I975" s="892"/>
      <c r="J975" s="288"/>
      <c r="K975" s="182"/>
      <c r="L975" s="1387"/>
      <c r="M975" s="1388"/>
      <c r="N975" s="1388"/>
      <c r="O975" s="1389"/>
      <c r="P975" s="254" t="s">
        <v>160</v>
      </c>
      <c r="Q975" s="895">
        <v>0</v>
      </c>
      <c r="R975" s="891"/>
      <c r="S975" s="891"/>
      <c r="T975" s="891"/>
      <c r="U975" s="896"/>
      <c r="V975" s="891"/>
      <c r="W975" s="270"/>
      <c r="X975" s="270"/>
      <c r="Y975" s="270"/>
      <c r="Z975" s="270"/>
      <c r="AA975" s="114"/>
      <c r="AB975" s="85"/>
      <c r="AC975" s="85"/>
      <c r="AD975" s="85"/>
      <c r="AE975" s="85"/>
    </row>
    <row r="976" spans="3:31" x14ac:dyDescent="0.3">
      <c r="C976" s="450"/>
      <c r="D976" s="182"/>
      <c r="E976" s="182"/>
      <c r="F976" s="182"/>
      <c r="G976" s="450" t="str">
        <f t="shared" si="48"/>
        <v>--</v>
      </c>
      <c r="H976" s="182"/>
      <c r="I976" s="892"/>
      <c r="J976" s="288"/>
      <c r="K976" s="182"/>
      <c r="L976" s="1387"/>
      <c r="M976" s="1388"/>
      <c r="N976" s="1388"/>
      <c r="O976" s="1389"/>
      <c r="P976" s="256" t="s">
        <v>162</v>
      </c>
      <c r="Q976" s="895">
        <v>0</v>
      </c>
      <c r="R976" s="891"/>
      <c r="S976" s="891"/>
      <c r="T976" s="891"/>
      <c r="U976" s="896"/>
      <c r="V976" s="891"/>
      <c r="W976" s="270"/>
      <c r="X976" s="270"/>
      <c r="Y976" s="270"/>
      <c r="Z976" s="270"/>
      <c r="AA976" s="114"/>
      <c r="AB976" s="85"/>
      <c r="AC976" s="85"/>
      <c r="AD976" s="85"/>
      <c r="AE976" s="85"/>
    </row>
    <row r="977" spans="3:31" ht="15" thickBot="1" x14ac:dyDescent="0.35">
      <c r="C977" s="450"/>
      <c r="D977" s="182"/>
      <c r="E977" s="182"/>
      <c r="F977" s="182"/>
      <c r="G977" s="450" t="str">
        <f t="shared" si="48"/>
        <v>--</v>
      </c>
      <c r="H977" s="182"/>
      <c r="I977" s="892"/>
      <c r="J977" s="288"/>
      <c r="K977" s="182"/>
      <c r="L977" s="1390"/>
      <c r="M977" s="1391"/>
      <c r="N977" s="1391"/>
      <c r="O977" s="1392"/>
      <c r="P977" s="258" t="s">
        <v>164</v>
      </c>
      <c r="Q977" s="895">
        <v>0</v>
      </c>
      <c r="R977" s="114"/>
      <c r="S977" s="891"/>
      <c r="T977" s="114"/>
      <c r="U977" s="884"/>
      <c r="V977" s="114"/>
      <c r="W977" s="270"/>
      <c r="X977" s="270"/>
      <c r="Y977" s="270"/>
      <c r="Z977" s="270"/>
      <c r="AA977" s="114"/>
      <c r="AB977" s="85"/>
      <c r="AC977" s="85"/>
      <c r="AD977" s="85"/>
      <c r="AE977" s="85"/>
    </row>
    <row r="978" spans="3:31" x14ac:dyDescent="0.3">
      <c r="C978" s="450"/>
      <c r="D978" s="182"/>
      <c r="E978" s="182"/>
      <c r="F978" s="182"/>
      <c r="G978" s="450" t="str">
        <f t="shared" si="48"/>
        <v>--</v>
      </c>
      <c r="H978" s="182"/>
      <c r="I978" s="892"/>
      <c r="J978" s="288"/>
      <c r="K978" s="182"/>
      <c r="L978" s="181"/>
      <c r="M978" s="181"/>
      <c r="N978" s="892"/>
      <c r="O978" s="892"/>
      <c r="P978" s="258" t="s">
        <v>187</v>
      </c>
      <c r="Q978" s="895">
        <v>0</v>
      </c>
      <c r="R978" s="114"/>
      <c r="S978" s="891"/>
      <c r="T978" s="114"/>
      <c r="U978" s="884"/>
      <c r="V978" s="114"/>
      <c r="W978" s="270"/>
      <c r="X978" s="270"/>
      <c r="Y978" s="270"/>
      <c r="Z978" s="270"/>
      <c r="AA978" s="114"/>
      <c r="AB978" s="85"/>
      <c r="AC978" s="85"/>
      <c r="AD978" s="85"/>
      <c r="AE978" s="85"/>
    </row>
    <row r="979" spans="3:31" x14ac:dyDescent="0.3">
      <c r="C979" s="450"/>
      <c r="D979" s="182"/>
      <c r="E979" s="182"/>
      <c r="F979" s="182"/>
      <c r="G979" s="450" t="str">
        <f t="shared" si="48"/>
        <v>--</v>
      </c>
      <c r="H979" s="182"/>
      <c r="I979" s="892"/>
      <c r="J979" s="288"/>
      <c r="K979" s="182"/>
      <c r="L979" s="181"/>
      <c r="M979" s="181"/>
      <c r="N979" s="892"/>
      <c r="O979" s="892"/>
      <c r="P979" s="263" t="s">
        <v>46</v>
      </c>
      <c r="Q979" s="897">
        <f>SUM(Q969:Q978)</f>
        <v>1</v>
      </c>
      <c r="R979" s="898"/>
      <c r="S979" s="898"/>
      <c r="T979" s="899"/>
      <c r="U979" s="900"/>
      <c r="V979" s="114"/>
      <c r="W979" s="270"/>
      <c r="X979" s="270"/>
      <c r="Y979" s="270"/>
      <c r="Z979" s="270"/>
      <c r="AA979" s="114"/>
      <c r="AB979" s="85"/>
      <c r="AC979" s="85"/>
      <c r="AD979" s="85"/>
      <c r="AE979" s="85"/>
    </row>
    <row r="980" spans="3:31" x14ac:dyDescent="0.3">
      <c r="C980" s="450"/>
      <c r="D980" s="182"/>
      <c r="E980" s="182"/>
      <c r="F980" s="182"/>
      <c r="G980" s="450" t="str">
        <f t="shared" si="48"/>
        <v>--</v>
      </c>
      <c r="H980" s="182"/>
      <c r="I980" s="892"/>
      <c r="J980" s="288"/>
      <c r="K980" s="182"/>
      <c r="L980" s="181"/>
      <c r="M980" s="181"/>
      <c r="N980" s="892"/>
      <c r="O980" s="892"/>
      <c r="P980" s="114"/>
      <c r="Q980" s="114"/>
      <c r="R980" s="891"/>
      <c r="S980" s="891"/>
      <c r="T980" s="114"/>
      <c r="U980" s="114"/>
      <c r="V980" s="114"/>
      <c r="W980" s="270"/>
      <c r="X980" s="270"/>
      <c r="Y980" s="270"/>
      <c r="Z980" s="270"/>
      <c r="AA980" s="114"/>
      <c r="AB980" s="85"/>
      <c r="AC980" s="85"/>
      <c r="AD980" s="85"/>
      <c r="AE980" s="85"/>
    </row>
    <row r="981" spans="3:31" ht="15" thickBot="1" x14ac:dyDescent="0.35">
      <c r="C981" s="450"/>
      <c r="D981" s="182"/>
      <c r="E981" s="182"/>
      <c r="F981" s="182"/>
      <c r="G981" s="450" t="str">
        <f t="shared" si="48"/>
        <v>--</v>
      </c>
      <c r="H981" s="182"/>
      <c r="I981" s="892"/>
      <c r="J981" s="892"/>
      <c r="K981" s="182"/>
      <c r="L981" s="182"/>
      <c r="M981" s="901" t="s">
        <v>155</v>
      </c>
      <c r="N981" s="870" t="s">
        <v>188</v>
      </c>
      <c r="O981" s="870"/>
      <c r="P981" s="252" t="s">
        <v>175</v>
      </c>
      <c r="Q981" s="871" t="s">
        <v>155</v>
      </c>
      <c r="R981" s="872" t="s">
        <v>168</v>
      </c>
      <c r="S981" s="872" t="s">
        <v>169</v>
      </c>
      <c r="T981" s="902"/>
      <c r="U981" s="903"/>
      <c r="V981" s="270"/>
      <c r="W981" s="270"/>
      <c r="X981" s="270"/>
      <c r="Y981" s="270"/>
      <c r="Z981" s="270"/>
      <c r="AA981" s="114"/>
      <c r="AB981" s="85"/>
      <c r="AC981" s="85"/>
      <c r="AD981" s="85"/>
      <c r="AE981" s="85"/>
    </row>
    <row r="982" spans="3:31" ht="15" thickBot="1" x14ac:dyDescent="0.35">
      <c r="C982" s="566" t="s">
        <v>89</v>
      </c>
      <c r="D982" s="875" t="str">
        <f>VLOOKUP(C982,'Airport Mapping'!$C$5:$D$39,2,FALSE)</f>
        <v xml:space="preserve"> </v>
      </c>
      <c r="E982" s="567" t="s">
        <v>37</v>
      </c>
      <c r="F982" s="567" t="s">
        <v>4</v>
      </c>
      <c r="G982" s="450" t="str">
        <f t="shared" si="48"/>
        <v>Rental Car Center A-Restrooms-Urinals</v>
      </c>
      <c r="H982" s="567" t="s">
        <v>3</v>
      </c>
      <c r="I982" s="877" t="s">
        <v>64</v>
      </c>
      <c r="J982" s="878">
        <f>SUMIFS('Level of Efficiency Assumptions'!J:J,'Level of Efficiency Assumptions'!D:D,E982,'Level of Efficiency Assumptions'!F:F,F982,'Level of Efficiency Assumptions'!I:I,I982)</f>
        <v>2</v>
      </c>
      <c r="K982" s="383" t="s">
        <v>68</v>
      </c>
      <c r="L982" s="253" t="s">
        <v>64</v>
      </c>
      <c r="M982" s="879">
        <f>Q982+Q983</f>
        <v>0</v>
      </c>
      <c r="N982" s="880">
        <f>IFERROR(M982/M985,"-")</f>
        <v>0</v>
      </c>
      <c r="O982" s="881">
        <f>SUMIFS('Data Entry'!R:R,'Data Entry'!K:K,G982)</f>
        <v>0</v>
      </c>
      <c r="P982" s="254" t="s">
        <v>177</v>
      </c>
      <c r="Q982" s="882">
        <v>0</v>
      </c>
      <c r="R982" s="883"/>
      <c r="S982" s="883"/>
      <c r="T982" s="114"/>
      <c r="U982" s="904"/>
      <c r="V982" s="270"/>
      <c r="W982" s="270"/>
      <c r="X982" s="270"/>
      <c r="Y982" s="270"/>
      <c r="Z982" s="270"/>
      <c r="AA982" s="114"/>
      <c r="AB982" s="85"/>
      <c r="AC982" s="85"/>
      <c r="AD982" s="85"/>
      <c r="AE982" s="85"/>
    </row>
    <row r="983" spans="3:31" ht="15" thickBot="1" x14ac:dyDescent="0.35">
      <c r="C983" s="494" t="s">
        <v>89</v>
      </c>
      <c r="D983" s="577"/>
      <c r="E983" s="577" t="s">
        <v>37</v>
      </c>
      <c r="F983" s="577" t="s">
        <v>4</v>
      </c>
      <c r="G983" s="450" t="str">
        <f t="shared" si="48"/>
        <v>Rental Car Center A-Restrooms-Urinals</v>
      </c>
      <c r="H983" s="577"/>
      <c r="I983" s="887" t="s">
        <v>65</v>
      </c>
      <c r="J983" s="878">
        <f>SUMIFS('Level of Efficiency Assumptions'!J:J,'Level of Efficiency Assumptions'!D:D,E983,'Level of Efficiency Assumptions'!F:F,F983,'Level of Efficiency Assumptions'!I:I,I983)</f>
        <v>1</v>
      </c>
      <c r="K983" s="383" t="s">
        <v>68</v>
      </c>
      <c r="L983" s="255" t="s">
        <v>65</v>
      </c>
      <c r="M983" s="879">
        <f>Q984+Q985</f>
        <v>1</v>
      </c>
      <c r="N983" s="880">
        <f>IFERROR(M983/M985,"-")</f>
        <v>1</v>
      </c>
      <c r="O983" s="881">
        <f>SUMIFS('Data Entry'!S:S,'Data Entry'!K:K,G983)</f>
        <v>0</v>
      </c>
      <c r="P983" s="254" t="s">
        <v>179</v>
      </c>
      <c r="Q983" s="882">
        <v>0</v>
      </c>
      <c r="R983" s="883"/>
      <c r="S983" s="883"/>
      <c r="T983" s="114"/>
      <c r="U983" s="904"/>
      <c r="V983" s="270"/>
      <c r="W983" s="270"/>
      <c r="X983" s="270"/>
      <c r="Y983" s="270"/>
      <c r="Z983" s="270"/>
      <c r="AA983" s="114"/>
      <c r="AB983" s="85"/>
      <c r="AC983" s="85"/>
      <c r="AD983" s="85"/>
      <c r="AE983" s="85"/>
    </row>
    <row r="984" spans="3:31" ht="15" thickBot="1" x14ac:dyDescent="0.35">
      <c r="C984" s="501" t="s">
        <v>89</v>
      </c>
      <c r="D984" s="116"/>
      <c r="E984" s="116" t="s">
        <v>37</v>
      </c>
      <c r="F984" s="116" t="s">
        <v>4</v>
      </c>
      <c r="G984" s="450" t="str">
        <f t="shared" si="48"/>
        <v>Rental Car Center A-Restrooms-Urinals</v>
      </c>
      <c r="H984" s="116"/>
      <c r="I984" s="889" t="s">
        <v>66</v>
      </c>
      <c r="J984" s="890">
        <f>SUMIFS('Level of Efficiency Assumptions'!J:J,'Level of Efficiency Assumptions'!D:D,E984,'Level of Efficiency Assumptions'!F:F,F984,'Level of Efficiency Assumptions'!I:I,I984)</f>
        <v>0.125</v>
      </c>
      <c r="K984" s="383" t="s">
        <v>68</v>
      </c>
      <c r="L984" s="257" t="s">
        <v>66</v>
      </c>
      <c r="M984" s="879">
        <f>Q986+Q987</f>
        <v>0</v>
      </c>
      <c r="N984" s="880">
        <f>IFERROR(M984/M985,"-")</f>
        <v>0</v>
      </c>
      <c r="O984" s="881">
        <f>SUMIFS('Data Entry'!T:T,'Data Entry'!K:K,G984)</f>
        <v>0</v>
      </c>
      <c r="P984" s="256" t="s">
        <v>189</v>
      </c>
      <c r="Q984" s="882">
        <v>0</v>
      </c>
      <c r="R984" s="883"/>
      <c r="S984" s="883"/>
      <c r="T984" s="114"/>
      <c r="U984" s="904"/>
      <c r="V984" s="270"/>
      <c r="W984" s="270"/>
      <c r="X984" s="270"/>
      <c r="Y984" s="270"/>
      <c r="Z984" s="270"/>
      <c r="AA984" s="114"/>
      <c r="AB984" s="85"/>
      <c r="AC984" s="85"/>
      <c r="AD984" s="85"/>
      <c r="AE984" s="85"/>
    </row>
    <row r="985" spans="3:31" x14ac:dyDescent="0.3">
      <c r="C985" s="450"/>
      <c r="D985" s="182"/>
      <c r="E985" s="182"/>
      <c r="F985" s="182"/>
      <c r="G985" s="450" t="str">
        <f t="shared" si="48"/>
        <v>--</v>
      </c>
      <c r="H985" s="182"/>
      <c r="I985" s="440"/>
      <c r="J985" s="892"/>
      <c r="K985" s="259"/>
      <c r="L985" s="259" t="s">
        <v>46</v>
      </c>
      <c r="M985" s="893">
        <f>SUM(M982:M984)</f>
        <v>1</v>
      </c>
      <c r="N985" s="894"/>
      <c r="O985" s="894">
        <f>SUM(O982:O984)</f>
        <v>0</v>
      </c>
      <c r="P985" s="256" t="s">
        <v>181</v>
      </c>
      <c r="Q985" s="882">
        <v>1</v>
      </c>
      <c r="R985" s="883"/>
      <c r="S985" s="883"/>
      <c r="T985" s="114"/>
      <c r="U985" s="264"/>
      <c r="V985" s="270"/>
      <c r="W985" s="270"/>
      <c r="X985" s="270"/>
      <c r="Y985" s="270"/>
      <c r="Z985" s="270"/>
      <c r="AA985" s="114"/>
      <c r="AB985" s="85"/>
      <c r="AC985" s="85"/>
      <c r="AD985" s="85"/>
      <c r="AE985" s="85"/>
    </row>
    <row r="986" spans="3:31" x14ac:dyDescent="0.3">
      <c r="C986" s="450"/>
      <c r="D986" s="182"/>
      <c r="E986" s="182"/>
      <c r="F986" s="182"/>
      <c r="G986" s="450" t="str">
        <f t="shared" si="48"/>
        <v>--</v>
      </c>
      <c r="H986" s="182"/>
      <c r="I986" s="892"/>
      <c r="J986" s="288"/>
      <c r="K986" s="182"/>
      <c r="L986" s="181"/>
      <c r="M986" s="181"/>
      <c r="N986" s="892"/>
      <c r="O986" s="892"/>
      <c r="P986" s="258" t="s">
        <v>183</v>
      </c>
      <c r="Q986" s="882">
        <v>0</v>
      </c>
      <c r="R986" s="883"/>
      <c r="S986" s="883"/>
      <c r="T986" s="114"/>
      <c r="U986" s="884"/>
      <c r="V986" s="114"/>
      <c r="W986" s="270"/>
      <c r="X986" s="270"/>
      <c r="Y986" s="270"/>
      <c r="Z986" s="270"/>
      <c r="AA986" s="114"/>
      <c r="AB986" s="85"/>
      <c r="AC986" s="85"/>
      <c r="AD986" s="85"/>
      <c r="AE986" s="85"/>
    </row>
    <row r="987" spans="3:31" x14ac:dyDescent="0.3">
      <c r="C987" s="450"/>
      <c r="D987" s="182"/>
      <c r="E987" s="182"/>
      <c r="F987" s="182"/>
      <c r="G987" s="450" t="str">
        <f t="shared" si="48"/>
        <v>--</v>
      </c>
      <c r="H987" s="182"/>
      <c r="I987" s="892"/>
      <c r="J987" s="288"/>
      <c r="K987" s="182"/>
      <c r="L987" s="181"/>
      <c r="M987" s="181"/>
      <c r="N987" s="892"/>
      <c r="O987" s="892"/>
      <c r="P987" s="258" t="s">
        <v>190</v>
      </c>
      <c r="Q987" s="882">
        <v>0</v>
      </c>
      <c r="R987" s="114"/>
      <c r="S987" s="114"/>
      <c r="T987" s="114"/>
      <c r="U987" s="884"/>
      <c r="V987" s="114"/>
      <c r="W987" s="270"/>
      <c r="X987" s="270"/>
      <c r="Y987" s="270"/>
      <c r="Z987" s="270"/>
      <c r="AA987" s="114"/>
      <c r="AB987" s="85"/>
      <c r="AC987" s="85"/>
      <c r="AD987" s="85"/>
      <c r="AE987" s="85"/>
    </row>
    <row r="988" spans="3:31" x14ac:dyDescent="0.3">
      <c r="C988" s="450"/>
      <c r="D988" s="182"/>
      <c r="E988" s="182"/>
      <c r="F988" s="182"/>
      <c r="G988" s="450" t="str">
        <f t="shared" si="48"/>
        <v>--</v>
      </c>
      <c r="H988" s="182"/>
      <c r="I988" s="892"/>
      <c r="J988" s="288"/>
      <c r="K988" s="182"/>
      <c r="L988" s="181"/>
      <c r="M988" s="181"/>
      <c r="N988" s="892"/>
      <c r="O988" s="892"/>
      <c r="P988" s="263" t="s">
        <v>46</v>
      </c>
      <c r="Q988" s="897">
        <f>SUM(Q982:Q987)</f>
        <v>1</v>
      </c>
      <c r="R988" s="899"/>
      <c r="S988" s="899"/>
      <c r="T988" s="899"/>
      <c r="U988" s="900"/>
      <c r="V988" s="114"/>
      <c r="W988" s="270"/>
      <c r="X988" s="270"/>
      <c r="Y988" s="270"/>
      <c r="Z988" s="270"/>
      <c r="AA988" s="114"/>
      <c r="AB988" s="85"/>
      <c r="AC988" s="85"/>
      <c r="AD988" s="85"/>
      <c r="AE988" s="85"/>
    </row>
    <row r="989" spans="3:31" x14ac:dyDescent="0.3">
      <c r="C989" s="450"/>
      <c r="D989" s="182"/>
      <c r="E989" s="182"/>
      <c r="F989" s="182"/>
      <c r="G989" s="450" t="str">
        <f t="shared" si="48"/>
        <v>--</v>
      </c>
      <c r="H989" s="182"/>
      <c r="I989" s="892"/>
      <c r="J989" s="288"/>
      <c r="K989" s="182"/>
      <c r="L989" s="181"/>
      <c r="M989" s="181"/>
      <c r="N989" s="892"/>
      <c r="O989" s="892"/>
      <c r="P989" s="262"/>
      <c r="Q989" s="114"/>
      <c r="R989" s="114"/>
      <c r="S989" s="114"/>
      <c r="T989" s="114"/>
      <c r="U989" s="114"/>
      <c r="V989" s="114"/>
      <c r="W989" s="270"/>
      <c r="X989" s="270"/>
      <c r="Y989" s="270"/>
      <c r="Z989" s="270"/>
      <c r="AA989" s="114"/>
      <c r="AB989" s="85"/>
      <c r="AC989" s="85"/>
      <c r="AD989" s="85"/>
      <c r="AE989" s="85"/>
    </row>
    <row r="990" spans="3:31" ht="15" thickBot="1" x14ac:dyDescent="0.35">
      <c r="C990" s="450"/>
      <c r="D990" s="182"/>
      <c r="E990" s="182"/>
      <c r="F990" s="182"/>
      <c r="G990" s="450" t="str">
        <f t="shared" si="48"/>
        <v>--</v>
      </c>
      <c r="H990" s="182"/>
      <c r="I990" s="892"/>
      <c r="J990" s="892"/>
      <c r="K990" s="182"/>
      <c r="L990" s="182"/>
      <c r="M990" s="901" t="s">
        <v>155</v>
      </c>
      <c r="N990" s="870" t="s">
        <v>188</v>
      </c>
      <c r="O990" s="870"/>
      <c r="P990" s="265" t="s">
        <v>33</v>
      </c>
      <c r="Q990" s="871" t="s">
        <v>155</v>
      </c>
      <c r="R990" s="872" t="s">
        <v>168</v>
      </c>
      <c r="S990" s="872" t="s">
        <v>169</v>
      </c>
      <c r="T990" s="872" t="s">
        <v>170</v>
      </c>
      <c r="U990" s="872" t="s">
        <v>171</v>
      </c>
      <c r="V990" s="902"/>
      <c r="W990" s="902"/>
      <c r="X990" s="874"/>
      <c r="Y990" s="270"/>
      <c r="Z990" s="270"/>
      <c r="AA990" s="114"/>
      <c r="AB990" s="85"/>
      <c r="AC990" s="85"/>
      <c r="AD990" s="85"/>
      <c r="AE990" s="85"/>
    </row>
    <row r="991" spans="3:31" ht="15" thickBot="1" x14ac:dyDescent="0.35">
      <c r="C991" s="566" t="s">
        <v>89</v>
      </c>
      <c r="D991" s="875" t="str">
        <f>VLOOKUP(C991,'Airport Mapping'!$C$5:$D$39,2,FALSE)</f>
        <v xml:space="preserve"> </v>
      </c>
      <c r="E991" s="567" t="s">
        <v>37</v>
      </c>
      <c r="F991" s="567" t="s">
        <v>33</v>
      </c>
      <c r="G991" s="450" t="str">
        <f t="shared" si="48"/>
        <v>Rental Car Center A-Restrooms-Faucets</v>
      </c>
      <c r="H991" s="567" t="s">
        <v>3</v>
      </c>
      <c r="I991" s="877" t="s">
        <v>64</v>
      </c>
      <c r="J991" s="878">
        <f>SUMIFS('Level of Efficiency Assumptions'!J:J,'Level of Efficiency Assumptions'!D:D,E991,'Level of Efficiency Assumptions'!F:F,F991,'Level of Efficiency Assumptions'!I:I,I991)</f>
        <v>2</v>
      </c>
      <c r="K991" s="383" t="s">
        <v>78</v>
      </c>
      <c r="L991" s="253" t="s">
        <v>64</v>
      </c>
      <c r="M991" s="879">
        <f>Q991+Q992</f>
        <v>0</v>
      </c>
      <c r="N991" s="880">
        <f>IFERROR(M991/M994,"-")</f>
        <v>0</v>
      </c>
      <c r="O991" s="881">
        <f>SUMIFS('Data Entry'!R:R,'Data Entry'!K:K,G991)</f>
        <v>0</v>
      </c>
      <c r="P991" s="266" t="s">
        <v>180</v>
      </c>
      <c r="Q991" s="895">
        <v>0</v>
      </c>
      <c r="R991" s="883"/>
      <c r="S991" s="883"/>
      <c r="T991" s="883"/>
      <c r="U991" s="883"/>
      <c r="V991" s="114" t="s">
        <v>182</v>
      </c>
      <c r="W991" s="114"/>
      <c r="X991" s="884"/>
      <c r="Y991" s="270"/>
      <c r="Z991" s="270"/>
      <c r="AA991" s="114"/>
      <c r="AB991" s="85"/>
      <c r="AC991" s="85"/>
      <c r="AD991" s="85"/>
      <c r="AE991" s="85"/>
    </row>
    <row r="992" spans="3:31" ht="15" thickBot="1" x14ac:dyDescent="0.35">
      <c r="C992" s="494" t="s">
        <v>89</v>
      </c>
      <c r="D992" s="577"/>
      <c r="E992" s="577" t="s">
        <v>37</v>
      </c>
      <c r="F992" s="577" t="s">
        <v>33</v>
      </c>
      <c r="G992" s="450" t="str">
        <f t="shared" si="48"/>
        <v>Rental Car Center A-Restrooms-Faucets</v>
      </c>
      <c r="H992" s="577"/>
      <c r="I992" s="887" t="s">
        <v>65</v>
      </c>
      <c r="J992" s="878">
        <f>SUMIFS('Level of Efficiency Assumptions'!J:J,'Level of Efficiency Assumptions'!D:D,E992,'Level of Efficiency Assumptions'!F:F,F992,'Level of Efficiency Assumptions'!I:I,I992)</f>
        <v>1</v>
      </c>
      <c r="K992" s="383" t="s">
        <v>78</v>
      </c>
      <c r="L992" s="255" t="s">
        <v>65</v>
      </c>
      <c r="M992" s="879">
        <f>Q993+Q994</f>
        <v>1</v>
      </c>
      <c r="N992" s="880">
        <f>IFERROR(M992/M994,"-")</f>
        <v>1</v>
      </c>
      <c r="O992" s="881">
        <f>SUMIFS('Data Entry'!S:S,'Data Entry'!K:K,G992)</f>
        <v>0</v>
      </c>
      <c r="P992" s="266" t="s">
        <v>178</v>
      </c>
      <c r="Q992" s="895">
        <v>0</v>
      </c>
      <c r="R992" s="883"/>
      <c r="S992" s="883"/>
      <c r="T992" s="883"/>
      <c r="U992" s="883"/>
      <c r="V992" s="114" t="s">
        <v>184</v>
      </c>
      <c r="W992" s="114"/>
      <c r="X992" s="884"/>
      <c r="Y992" s="270"/>
      <c r="Z992" s="270"/>
      <c r="AA992" s="114"/>
      <c r="AB992" s="85"/>
      <c r="AC992" s="85"/>
      <c r="AD992" s="85"/>
      <c r="AE992" s="85"/>
    </row>
    <row r="993" spans="3:31" ht="15" thickBot="1" x14ac:dyDescent="0.35">
      <c r="C993" s="501" t="s">
        <v>89</v>
      </c>
      <c r="D993" s="116"/>
      <c r="E993" s="116" t="s">
        <v>37</v>
      </c>
      <c r="F993" s="116" t="s">
        <v>33</v>
      </c>
      <c r="G993" s="450" t="str">
        <f t="shared" si="48"/>
        <v>Rental Car Center A-Restrooms-Faucets</v>
      </c>
      <c r="H993" s="116"/>
      <c r="I993" s="889" t="s">
        <v>66</v>
      </c>
      <c r="J993" s="890">
        <f>SUMIFS('Level of Efficiency Assumptions'!J:J,'Level of Efficiency Assumptions'!D:D,E993,'Level of Efficiency Assumptions'!F:F,F993,'Level of Efficiency Assumptions'!I:I,I993)</f>
        <v>0.5</v>
      </c>
      <c r="K993" s="383" t="s">
        <v>78</v>
      </c>
      <c r="L993" s="257" t="s">
        <v>66</v>
      </c>
      <c r="M993" s="879">
        <f>Q995</f>
        <v>0</v>
      </c>
      <c r="N993" s="880">
        <f>IFERROR(M993/M994,"-")</f>
        <v>0</v>
      </c>
      <c r="O993" s="881">
        <f>SUMIFS('Data Entry'!T:T,'Data Entry'!K:K,G993)</f>
        <v>0</v>
      </c>
      <c r="P993" s="267" t="s">
        <v>176</v>
      </c>
      <c r="Q993" s="895">
        <v>1</v>
      </c>
      <c r="R993" s="883"/>
      <c r="S993" s="883"/>
      <c r="T993" s="883"/>
      <c r="U993" s="883"/>
      <c r="V993" s="114" t="s">
        <v>185</v>
      </c>
      <c r="W993" s="114"/>
      <c r="X993" s="884"/>
      <c r="Y993" s="270"/>
      <c r="Z993" s="270"/>
      <c r="AA993" s="114"/>
      <c r="AB993" s="85"/>
      <c r="AC993" s="85"/>
      <c r="AD993" s="85"/>
      <c r="AE993" s="85"/>
    </row>
    <row r="994" spans="3:31" x14ac:dyDescent="0.3">
      <c r="C994" s="450"/>
      <c r="D994" s="182"/>
      <c r="E994" s="182"/>
      <c r="F994" s="182"/>
      <c r="G994" s="450" t="str">
        <f t="shared" si="48"/>
        <v>--</v>
      </c>
      <c r="H994" s="182"/>
      <c r="I994" s="440"/>
      <c r="J994" s="892"/>
      <c r="K994" s="259"/>
      <c r="L994" s="259" t="s">
        <v>46</v>
      </c>
      <c r="M994" s="893">
        <f>SUM(M991:M993)</f>
        <v>1</v>
      </c>
      <c r="N994" s="894"/>
      <c r="O994" s="894">
        <f>SUM(O991:O993)</f>
        <v>0</v>
      </c>
      <c r="P994" s="256" t="s">
        <v>173</v>
      </c>
      <c r="Q994" s="895">
        <v>0</v>
      </c>
      <c r="R994" s="883"/>
      <c r="S994" s="883"/>
      <c r="T994" s="883"/>
      <c r="U994" s="883"/>
      <c r="V994" s="114" t="s">
        <v>186</v>
      </c>
      <c r="W994" s="114"/>
      <c r="X994" s="884"/>
      <c r="Y994" s="270"/>
      <c r="Z994" s="270"/>
      <c r="AA994" s="114"/>
      <c r="AB994" s="85"/>
      <c r="AC994" s="85"/>
      <c r="AD994" s="85"/>
      <c r="AE994" s="85"/>
    </row>
    <row r="995" spans="3:31" x14ac:dyDescent="0.3">
      <c r="C995" s="450"/>
      <c r="D995" s="182"/>
      <c r="E995" s="182"/>
      <c r="F995" s="182"/>
      <c r="G995" s="450" t="str">
        <f t="shared" si="48"/>
        <v>--</v>
      </c>
      <c r="H995" s="182"/>
      <c r="I995" s="892"/>
      <c r="J995" s="288"/>
      <c r="K995" s="182"/>
      <c r="L995" s="114"/>
      <c r="M995" s="114"/>
      <c r="N995" s="905"/>
      <c r="O995" s="905"/>
      <c r="P995" s="258" t="s">
        <v>172</v>
      </c>
      <c r="Q995" s="895">
        <v>0</v>
      </c>
      <c r="R995" s="883"/>
      <c r="S995" s="883"/>
      <c r="T995" s="883"/>
      <c r="U995" s="883"/>
      <c r="V995" s="114"/>
      <c r="W995" s="114"/>
      <c r="X995" s="884"/>
      <c r="Y995" s="270"/>
      <c r="Z995" s="270"/>
      <c r="AA995" s="114"/>
      <c r="AB995" s="85"/>
      <c r="AC995" s="85"/>
      <c r="AD995" s="85"/>
      <c r="AE995" s="85"/>
    </row>
    <row r="996" spans="3:31" x14ac:dyDescent="0.3">
      <c r="C996" s="450"/>
      <c r="D996" s="182"/>
      <c r="E996" s="182"/>
      <c r="F996" s="182"/>
      <c r="G996" s="450" t="str">
        <f t="shared" si="48"/>
        <v>--</v>
      </c>
      <c r="H996" s="182"/>
      <c r="I996" s="892"/>
      <c r="J996" s="288"/>
      <c r="K996" s="182"/>
      <c r="L996" s="181"/>
      <c r="M996" s="181"/>
      <c r="N996" s="892"/>
      <c r="O996" s="892"/>
      <c r="P996" s="263" t="s">
        <v>46</v>
      </c>
      <c r="Q996" s="897">
        <f>SUM(Q990:Q995)</f>
        <v>1</v>
      </c>
      <c r="R996" s="899"/>
      <c r="S996" s="899"/>
      <c r="T996" s="899"/>
      <c r="U996" s="899"/>
      <c r="V996" s="899"/>
      <c r="W996" s="899"/>
      <c r="X996" s="900"/>
      <c r="Y996" s="270"/>
      <c r="Z996" s="270"/>
      <c r="AA996" s="114"/>
      <c r="AB996" s="85"/>
      <c r="AC996" s="85"/>
      <c r="AD996" s="85"/>
      <c r="AE996" s="85"/>
    </row>
    <row r="997" spans="3:31" x14ac:dyDescent="0.3">
      <c r="C997" s="450"/>
      <c r="D997" s="182"/>
      <c r="E997" s="182"/>
      <c r="F997" s="182"/>
      <c r="G997" s="450" t="str">
        <f t="shared" si="48"/>
        <v>--</v>
      </c>
      <c r="H997" s="182"/>
      <c r="I997" s="892"/>
      <c r="J997" s="288"/>
      <c r="K997" s="182"/>
      <c r="L997" s="181"/>
      <c r="M997" s="181"/>
      <c r="N997" s="892"/>
      <c r="O997" s="892"/>
      <c r="P997" s="262"/>
      <c r="Q997" s="114"/>
      <c r="R997" s="114"/>
      <c r="S997" s="114"/>
      <c r="T997" s="114"/>
      <c r="U997" s="114"/>
      <c r="V997" s="114"/>
      <c r="W997" s="270"/>
      <c r="X997" s="270"/>
      <c r="Y997" s="270"/>
      <c r="Z997" s="270"/>
      <c r="AA997" s="114"/>
      <c r="AB997" s="85"/>
      <c r="AC997" s="85"/>
      <c r="AD997" s="85"/>
      <c r="AE997" s="85"/>
    </row>
    <row r="998" spans="3:31" ht="15" thickBot="1" x14ac:dyDescent="0.35">
      <c r="C998" s="450"/>
      <c r="D998" s="182"/>
      <c r="E998" s="182"/>
      <c r="F998" s="182"/>
      <c r="G998" s="450" t="str">
        <f t="shared" si="48"/>
        <v>--</v>
      </c>
      <c r="H998" s="182"/>
      <c r="I998" s="892"/>
      <c r="J998" s="892"/>
      <c r="K998" s="182"/>
      <c r="L998" s="182"/>
      <c r="M998" s="901" t="s">
        <v>155</v>
      </c>
      <c r="N998" s="870" t="s">
        <v>188</v>
      </c>
      <c r="O998" s="870"/>
      <c r="P998" s="265" t="s">
        <v>33</v>
      </c>
      <c r="Q998" s="871" t="s">
        <v>155</v>
      </c>
      <c r="R998" s="872" t="s">
        <v>168</v>
      </c>
      <c r="S998" s="872" t="s">
        <v>169</v>
      </c>
      <c r="T998" s="872" t="s">
        <v>170</v>
      </c>
      <c r="U998" s="872" t="s">
        <v>171</v>
      </c>
      <c r="V998" s="902"/>
      <c r="W998" s="902"/>
      <c r="X998" s="874"/>
      <c r="Y998" s="270"/>
      <c r="Z998" s="270"/>
      <c r="AA998" s="114"/>
      <c r="AB998" s="85"/>
      <c r="AC998" s="85"/>
      <c r="AD998" s="85"/>
      <c r="AE998" s="85"/>
    </row>
    <row r="999" spans="3:31" ht="15" thickBot="1" x14ac:dyDescent="0.35">
      <c r="C999" s="566" t="s">
        <v>89</v>
      </c>
      <c r="D999" s="875" t="str">
        <f>VLOOKUP(C999,'Airport Mapping'!$C$5:$D$39,2,FALSE)</f>
        <v xml:space="preserve"> </v>
      </c>
      <c r="E999" s="567" t="s">
        <v>5</v>
      </c>
      <c r="F999" s="567" t="s">
        <v>33</v>
      </c>
      <c r="G999" s="450" t="str">
        <f t="shared" si="48"/>
        <v>Rental Car Center A-Break rooms-Faucets</v>
      </c>
      <c r="H999" s="567" t="s">
        <v>6</v>
      </c>
      <c r="I999" s="877" t="s">
        <v>64</v>
      </c>
      <c r="J999" s="878">
        <f>SUMIFS('Level of Efficiency Assumptions'!J:J,'Level of Efficiency Assumptions'!D:D,E999,'Level of Efficiency Assumptions'!F:F,F999,'Level of Efficiency Assumptions'!I:I,I999)</f>
        <v>2</v>
      </c>
      <c r="K999" s="383" t="s">
        <v>78</v>
      </c>
      <c r="L999" s="253" t="s">
        <v>64</v>
      </c>
      <c r="M999" s="879">
        <f>Q999+Q1000</f>
        <v>0</v>
      </c>
      <c r="N999" s="880">
        <f>IFERROR(M999/M1002,"-")</f>
        <v>0</v>
      </c>
      <c r="O999" s="881">
        <f>SUMIFS('Data Entry'!R:R,'Data Entry'!K:K,G999)</f>
        <v>0</v>
      </c>
      <c r="P999" s="266" t="s">
        <v>180</v>
      </c>
      <c r="Q999" s="895">
        <v>0</v>
      </c>
      <c r="R999" s="883"/>
      <c r="S999" s="883"/>
      <c r="T999" s="883"/>
      <c r="U999" s="883"/>
      <c r="V999" s="114" t="s">
        <v>182</v>
      </c>
      <c r="W999" s="114"/>
      <c r="X999" s="884"/>
      <c r="Y999" s="270"/>
      <c r="Z999" s="270"/>
      <c r="AA999" s="114"/>
      <c r="AB999" s="85"/>
      <c r="AC999" s="85"/>
      <c r="AD999" s="85"/>
      <c r="AE999" s="85"/>
    </row>
    <row r="1000" spans="3:31" ht="15" thickBot="1" x14ac:dyDescent="0.35">
      <c r="C1000" s="494" t="s">
        <v>89</v>
      </c>
      <c r="D1000" s="577"/>
      <c r="E1000" s="577" t="s">
        <v>5</v>
      </c>
      <c r="F1000" s="577" t="s">
        <v>33</v>
      </c>
      <c r="G1000" s="450" t="str">
        <f t="shared" si="48"/>
        <v>Rental Car Center A-Break rooms-Faucets</v>
      </c>
      <c r="H1000" s="577"/>
      <c r="I1000" s="887" t="s">
        <v>65</v>
      </c>
      <c r="J1000" s="878">
        <f>SUMIFS('Level of Efficiency Assumptions'!J:J,'Level of Efficiency Assumptions'!D:D,E1000,'Level of Efficiency Assumptions'!F:F,F1000,'Level of Efficiency Assumptions'!I:I,I1000)</f>
        <v>1</v>
      </c>
      <c r="K1000" s="383" t="s">
        <v>78</v>
      </c>
      <c r="L1000" s="255" t="s">
        <v>65</v>
      </c>
      <c r="M1000" s="879">
        <f>Q1001+Q1002</f>
        <v>1</v>
      </c>
      <c r="N1000" s="880">
        <f>IFERROR(M1000/M1002,"-")</f>
        <v>1</v>
      </c>
      <c r="O1000" s="881">
        <f>SUMIFS('Data Entry'!S:S,'Data Entry'!K:K,G1000)</f>
        <v>0</v>
      </c>
      <c r="P1000" s="266" t="s">
        <v>178</v>
      </c>
      <c r="Q1000" s="895">
        <v>0</v>
      </c>
      <c r="R1000" s="883"/>
      <c r="S1000" s="883"/>
      <c r="T1000" s="883"/>
      <c r="U1000" s="883"/>
      <c r="V1000" s="114" t="s">
        <v>184</v>
      </c>
      <c r="W1000" s="114"/>
      <c r="X1000" s="884"/>
      <c r="Y1000" s="270"/>
      <c r="Z1000" s="270"/>
      <c r="AA1000" s="114"/>
      <c r="AB1000" s="85"/>
      <c r="AC1000" s="85"/>
      <c r="AD1000" s="85"/>
      <c r="AE1000" s="85"/>
    </row>
    <row r="1001" spans="3:31" ht="15" thickBot="1" x14ac:dyDescent="0.35">
      <c r="C1001" s="501" t="s">
        <v>89</v>
      </c>
      <c r="D1001" s="116"/>
      <c r="E1001" s="116" t="s">
        <v>5</v>
      </c>
      <c r="F1001" s="116" t="s">
        <v>33</v>
      </c>
      <c r="G1001" s="450" t="str">
        <f t="shared" si="48"/>
        <v>Rental Car Center A-Break rooms-Faucets</v>
      </c>
      <c r="H1001" s="116"/>
      <c r="I1001" s="889" t="s">
        <v>66</v>
      </c>
      <c r="J1001" s="890">
        <f>SUMIFS('Level of Efficiency Assumptions'!J:J,'Level of Efficiency Assumptions'!D:D,E1001,'Level of Efficiency Assumptions'!F:F,F1001,'Level of Efficiency Assumptions'!I:I,I1001)</f>
        <v>0.5</v>
      </c>
      <c r="K1001" s="383" t="s">
        <v>78</v>
      </c>
      <c r="L1001" s="257" t="s">
        <v>66</v>
      </c>
      <c r="M1001" s="879">
        <f>Q1003</f>
        <v>0</v>
      </c>
      <c r="N1001" s="880">
        <f>IFERROR(M1001/M1002,"-")</f>
        <v>0</v>
      </c>
      <c r="O1001" s="881">
        <f>SUMIFS('Data Entry'!T:T,'Data Entry'!K:K,G1001)</f>
        <v>0</v>
      </c>
      <c r="P1001" s="267" t="s">
        <v>176</v>
      </c>
      <c r="Q1001" s="895">
        <v>1</v>
      </c>
      <c r="R1001" s="883"/>
      <c r="S1001" s="883"/>
      <c r="T1001" s="883"/>
      <c r="U1001" s="883"/>
      <c r="V1001" s="114" t="s">
        <v>185</v>
      </c>
      <c r="W1001" s="114"/>
      <c r="X1001" s="884"/>
      <c r="Y1001" s="270"/>
      <c r="Z1001" s="270"/>
      <c r="AA1001" s="114"/>
      <c r="AB1001" s="85"/>
      <c r="AC1001" s="85"/>
      <c r="AD1001" s="85"/>
      <c r="AE1001" s="85"/>
    </row>
    <row r="1002" spans="3:31" x14ac:dyDescent="0.3">
      <c r="C1002" s="450"/>
      <c r="D1002" s="182"/>
      <c r="E1002" s="182"/>
      <c r="F1002" s="182"/>
      <c r="G1002" s="450" t="str">
        <f t="shared" si="48"/>
        <v>--</v>
      </c>
      <c r="H1002" s="182"/>
      <c r="I1002" s="440"/>
      <c r="J1002" s="892"/>
      <c r="K1002" s="259"/>
      <c r="L1002" s="259" t="s">
        <v>46</v>
      </c>
      <c r="M1002" s="893">
        <f>SUM(M999:M1001)</f>
        <v>1</v>
      </c>
      <c r="N1002" s="894"/>
      <c r="O1002" s="894">
        <f>SUM(O999:O1001)</f>
        <v>0</v>
      </c>
      <c r="P1002" s="256" t="s">
        <v>173</v>
      </c>
      <c r="Q1002" s="895">
        <v>0</v>
      </c>
      <c r="R1002" s="883"/>
      <c r="S1002" s="883"/>
      <c r="T1002" s="883"/>
      <c r="U1002" s="883"/>
      <c r="V1002" s="114" t="s">
        <v>186</v>
      </c>
      <c r="W1002" s="114"/>
      <c r="X1002" s="884"/>
      <c r="Y1002" s="270"/>
      <c r="Z1002" s="270"/>
      <c r="AA1002" s="114"/>
      <c r="AB1002" s="85"/>
      <c r="AC1002" s="85"/>
      <c r="AD1002" s="85"/>
      <c r="AE1002" s="85"/>
    </row>
    <row r="1003" spans="3:31" x14ac:dyDescent="0.3">
      <c r="C1003" s="450"/>
      <c r="D1003" s="182"/>
      <c r="E1003" s="182"/>
      <c r="F1003" s="182"/>
      <c r="G1003" s="450" t="str">
        <f t="shared" si="48"/>
        <v>--</v>
      </c>
      <c r="H1003" s="182"/>
      <c r="I1003" s="892"/>
      <c r="J1003" s="288"/>
      <c r="K1003" s="288"/>
      <c r="L1003" s="182"/>
      <c r="M1003" s="270"/>
      <c r="N1003" s="892"/>
      <c r="O1003" s="892"/>
      <c r="P1003" s="258" t="s">
        <v>172</v>
      </c>
      <c r="Q1003" s="895">
        <v>0</v>
      </c>
      <c r="R1003" s="883"/>
      <c r="S1003" s="883"/>
      <c r="T1003" s="883"/>
      <c r="U1003" s="883"/>
      <c r="V1003" s="114"/>
      <c r="W1003" s="114"/>
      <c r="X1003" s="884"/>
      <c r="Y1003" s="270"/>
      <c r="Z1003" s="270"/>
      <c r="AA1003" s="114"/>
      <c r="AB1003" s="85"/>
      <c r="AC1003" s="85"/>
      <c r="AD1003" s="85"/>
      <c r="AE1003" s="85"/>
    </row>
    <row r="1004" spans="3:31" x14ac:dyDescent="0.3">
      <c r="C1004" s="450"/>
      <c r="D1004" s="182"/>
      <c r="E1004" s="182"/>
      <c r="F1004" s="182"/>
      <c r="G1004" s="450" t="str">
        <f t="shared" si="48"/>
        <v>--</v>
      </c>
      <c r="H1004" s="182"/>
      <c r="I1004" s="892"/>
      <c r="J1004" s="288"/>
      <c r="K1004" s="288"/>
      <c r="L1004" s="182"/>
      <c r="M1004" s="270"/>
      <c r="N1004" s="892"/>
      <c r="O1004" s="892"/>
      <c r="P1004" s="263" t="s">
        <v>46</v>
      </c>
      <c r="Q1004" s="897">
        <f>SUM(Q998:Q1003)</f>
        <v>1</v>
      </c>
      <c r="R1004" s="899"/>
      <c r="S1004" s="899"/>
      <c r="T1004" s="899"/>
      <c r="U1004" s="899"/>
      <c r="V1004" s="899"/>
      <c r="W1004" s="899"/>
      <c r="X1004" s="900"/>
      <c r="Y1004" s="270"/>
      <c r="Z1004" s="270"/>
      <c r="AA1004" s="114"/>
      <c r="AB1004" s="85"/>
      <c r="AC1004" s="85"/>
      <c r="AD1004" s="85"/>
      <c r="AE1004" s="85"/>
    </row>
    <row r="1005" spans="3:31" x14ac:dyDescent="0.3">
      <c r="C1005" s="450"/>
      <c r="D1005" s="182"/>
      <c r="E1005" s="182"/>
      <c r="F1005" s="182"/>
      <c r="G1005" s="450" t="str">
        <f t="shared" si="48"/>
        <v>--</v>
      </c>
      <c r="H1005" s="182"/>
      <c r="I1005" s="892"/>
      <c r="J1005" s="288"/>
      <c r="K1005" s="288"/>
      <c r="L1005" s="182"/>
      <c r="M1005" s="270"/>
      <c r="N1005" s="892"/>
      <c r="O1005" s="892"/>
      <c r="P1005" s="259"/>
      <c r="Q1005" s="114"/>
      <c r="R1005" s="114"/>
      <c r="S1005" s="114"/>
      <c r="T1005" s="114"/>
      <c r="U1005" s="114"/>
      <c r="V1005" s="114"/>
      <c r="W1005" s="270"/>
      <c r="X1005" s="270"/>
      <c r="Y1005" s="270"/>
      <c r="Z1005" s="270"/>
      <c r="AA1005" s="114"/>
      <c r="AB1005" s="85"/>
      <c r="AC1005" s="85"/>
      <c r="AD1005" s="85"/>
      <c r="AE1005" s="85"/>
    </row>
    <row r="1006" spans="3:31" x14ac:dyDescent="0.3">
      <c r="C1006" s="450"/>
      <c r="D1006" s="182"/>
      <c r="E1006" s="182"/>
      <c r="F1006" s="182"/>
      <c r="G1006" s="450" t="str">
        <f t="shared" si="48"/>
        <v>--</v>
      </c>
      <c r="H1006" s="182"/>
      <c r="I1006" s="892"/>
      <c r="J1006" s="288"/>
      <c r="K1006" s="288"/>
      <c r="L1006" s="182"/>
      <c r="M1006" s="270"/>
      <c r="N1006" s="892"/>
      <c r="O1006" s="892"/>
      <c r="P1006" s="276" t="s">
        <v>42</v>
      </c>
      <c r="Q1006" s="902"/>
      <c r="R1006" s="902"/>
      <c r="S1006" s="902"/>
      <c r="T1006" s="271"/>
      <c r="U1006" s="114"/>
      <c r="V1006" s="114"/>
      <c r="W1006" s="270"/>
      <c r="X1006" s="270"/>
      <c r="Y1006" s="270"/>
      <c r="Z1006" s="270"/>
      <c r="AA1006" s="114"/>
      <c r="AB1006" s="85"/>
      <c r="AC1006" s="85"/>
      <c r="AD1006" s="85"/>
      <c r="AE1006" s="85"/>
    </row>
    <row r="1007" spans="3:31" ht="15" thickBot="1" x14ac:dyDescent="0.35">
      <c r="C1007" s="450"/>
      <c r="D1007" s="182"/>
      <c r="E1007" s="182"/>
      <c r="F1007" s="182"/>
      <c r="G1007" s="450" t="str">
        <f t="shared" si="48"/>
        <v>--</v>
      </c>
      <c r="H1007" s="182"/>
      <c r="I1007" s="892"/>
      <c r="J1007" s="892"/>
      <c r="K1007" s="182"/>
      <c r="L1007" s="182"/>
      <c r="M1007" s="901" t="s">
        <v>155</v>
      </c>
      <c r="N1007" s="870" t="s">
        <v>188</v>
      </c>
      <c r="O1007" s="870"/>
      <c r="P1007" s="277" t="s">
        <v>818</v>
      </c>
      <c r="Q1007" s="871" t="s">
        <v>155</v>
      </c>
      <c r="R1007" s="114"/>
      <c r="S1007" s="114"/>
      <c r="T1007" s="271"/>
      <c r="U1007" s="114"/>
      <c r="V1007" s="114"/>
      <c r="W1007" s="270"/>
      <c r="X1007" s="270"/>
      <c r="Y1007" s="270"/>
      <c r="Z1007" s="270"/>
      <c r="AA1007" s="114"/>
      <c r="AB1007" s="85"/>
      <c r="AC1007" s="85"/>
      <c r="AD1007" s="85"/>
      <c r="AE1007" s="85"/>
    </row>
    <row r="1008" spans="3:31" ht="15" thickBot="1" x14ac:dyDescent="0.35">
      <c r="C1008" s="566" t="s">
        <v>89</v>
      </c>
      <c r="D1008" s="875" t="str">
        <f>VLOOKUP(C1008,'Airport Mapping'!$C$5:$D$39,2,FALSE)</f>
        <v xml:space="preserve"> </v>
      </c>
      <c r="E1008" s="567" t="s">
        <v>39</v>
      </c>
      <c r="F1008" s="567" t="s">
        <v>42</v>
      </c>
      <c r="G1008" s="450" t="str">
        <f t="shared" si="48"/>
        <v>Rental Car Center A-Landscaping-Outdoor irrigation</v>
      </c>
      <c r="H1008" s="567" t="s">
        <v>32</v>
      </c>
      <c r="I1008" s="877" t="s">
        <v>64</v>
      </c>
      <c r="J1008" s="878">
        <f>SUMIFS('Level of Efficiency Assumptions'!J:J,'Level of Efficiency Assumptions'!D:D,E1008,'Level of Efficiency Assumptions'!F:F,F1008,'Level of Efficiency Assumptions'!I:I,I1008)</f>
        <v>28.6</v>
      </c>
      <c r="K1008" s="383" t="s">
        <v>816</v>
      </c>
      <c r="L1008" s="253" t="s">
        <v>64</v>
      </c>
      <c r="M1008" s="879">
        <f>SUM(Q1008:Q1009)</f>
        <v>0</v>
      </c>
      <c r="N1008" s="880">
        <f>IFERROR(M1008/M1011,"-")</f>
        <v>0</v>
      </c>
      <c r="O1008" s="881">
        <f>SUMIFS('Data Entry'!R:R,'Data Entry'!K:K,G1008)</f>
        <v>0</v>
      </c>
      <c r="P1008" s="272" t="s">
        <v>237</v>
      </c>
      <c r="Q1008" s="895">
        <v>0</v>
      </c>
      <c r="R1008" s="114"/>
      <c r="S1008" s="114"/>
      <c r="T1008" s="271"/>
      <c r="U1008" s="114"/>
      <c r="V1008" s="114"/>
      <c r="W1008" s="270"/>
      <c r="X1008" s="270"/>
      <c r="Y1008" s="270"/>
      <c r="Z1008" s="270"/>
      <c r="AA1008" s="114"/>
      <c r="AB1008" s="85"/>
      <c r="AC1008" s="85"/>
      <c r="AD1008" s="85"/>
      <c r="AE1008" s="85"/>
    </row>
    <row r="1009" spans="3:31" ht="15" thickBot="1" x14ac:dyDescent="0.35">
      <c r="C1009" s="494" t="s">
        <v>89</v>
      </c>
      <c r="D1009" s="577"/>
      <c r="E1009" s="577" t="s">
        <v>39</v>
      </c>
      <c r="F1009" s="577" t="s">
        <v>42</v>
      </c>
      <c r="G1009" s="450" t="str">
        <f t="shared" si="48"/>
        <v>Rental Car Center A-Landscaping-Outdoor irrigation</v>
      </c>
      <c r="H1009" s="577"/>
      <c r="I1009" s="887" t="s">
        <v>65</v>
      </c>
      <c r="J1009" s="878">
        <f>SUMIFS('Level of Efficiency Assumptions'!J:J,'Level of Efficiency Assumptions'!D:D,E1009,'Level of Efficiency Assumptions'!F:F,F1009,'Level of Efficiency Assumptions'!I:I,I1009)</f>
        <v>13.980821518350929</v>
      </c>
      <c r="K1009" s="383" t="s">
        <v>816</v>
      </c>
      <c r="L1009" s="255" t="s">
        <v>65</v>
      </c>
      <c r="M1009" s="879">
        <f>Q1010+Q1011</f>
        <v>1</v>
      </c>
      <c r="N1009" s="880">
        <f>IFERROR(M1009/M1011,"-")</f>
        <v>1</v>
      </c>
      <c r="O1009" s="881">
        <f>SUMIFS('Data Entry'!S:S,'Data Entry'!K:K,G1009)</f>
        <v>0</v>
      </c>
      <c r="P1009" s="272" t="s">
        <v>232</v>
      </c>
      <c r="Q1009" s="895">
        <v>0</v>
      </c>
      <c r="R1009" s="114"/>
      <c r="S1009" s="114"/>
      <c r="T1009" s="271"/>
      <c r="U1009" s="114"/>
      <c r="V1009" s="114"/>
      <c r="W1009" s="270"/>
      <c r="X1009" s="270"/>
      <c r="Y1009" s="270"/>
      <c r="Z1009" s="270"/>
      <c r="AA1009" s="114"/>
      <c r="AB1009" s="85"/>
      <c r="AC1009" s="85"/>
      <c r="AD1009" s="85"/>
      <c r="AE1009" s="85"/>
    </row>
    <row r="1010" spans="3:31" ht="15" thickBot="1" x14ac:dyDescent="0.35">
      <c r="C1010" s="501" t="s">
        <v>89</v>
      </c>
      <c r="D1010" s="116"/>
      <c r="E1010" s="116" t="s">
        <v>39</v>
      </c>
      <c r="F1010" s="116" t="s">
        <v>42</v>
      </c>
      <c r="G1010" s="450" t="str">
        <f t="shared" si="48"/>
        <v>Rental Car Center A-Landscaping-Outdoor irrigation</v>
      </c>
      <c r="H1010" s="116"/>
      <c r="I1010" s="889" t="s">
        <v>66</v>
      </c>
      <c r="J1010" s="890">
        <f>SUMIFS('Level of Efficiency Assumptions'!J:J,'Level of Efficiency Assumptions'!D:D,E1010,'Level of Efficiency Assumptions'!F:F,F1010,'Level of Efficiency Assumptions'!I:I,I1010)</f>
        <v>0.59137254901960778</v>
      </c>
      <c r="K1010" s="383" t="s">
        <v>816</v>
      </c>
      <c r="L1010" s="257" t="s">
        <v>66</v>
      </c>
      <c r="M1010" s="879">
        <f>Q1012+Q1013</f>
        <v>0</v>
      </c>
      <c r="N1010" s="880">
        <f>IFERROR(M1010/M1011,"-")</f>
        <v>0</v>
      </c>
      <c r="O1010" s="881">
        <f>SUMIFS('Data Entry'!T:T,'Data Entry'!K:K,G1010)</f>
        <v>0</v>
      </c>
      <c r="P1010" s="274" t="s">
        <v>231</v>
      </c>
      <c r="Q1010" s="895">
        <v>1</v>
      </c>
      <c r="R1010" s="114"/>
      <c r="S1010" s="114"/>
      <c r="T1010" s="271"/>
      <c r="U1010" s="114"/>
      <c r="V1010" s="114"/>
      <c r="W1010" s="270"/>
      <c r="X1010" s="270"/>
      <c r="Y1010" s="270"/>
      <c r="Z1010" s="270"/>
      <c r="AA1010" s="114"/>
      <c r="AB1010" s="85"/>
      <c r="AC1010" s="85"/>
      <c r="AD1010" s="85"/>
      <c r="AE1010" s="85"/>
    </row>
    <row r="1011" spans="3:31" x14ac:dyDescent="0.3">
      <c r="C1011" s="450"/>
      <c r="D1011" s="182"/>
      <c r="E1011" s="182"/>
      <c r="F1011" s="182"/>
      <c r="G1011" s="450" t="str">
        <f t="shared" si="48"/>
        <v>--</v>
      </c>
      <c r="H1011" s="182"/>
      <c r="I1011" s="440"/>
      <c r="J1011" s="892"/>
      <c r="K1011" s="259"/>
      <c r="L1011" s="259" t="s">
        <v>46</v>
      </c>
      <c r="M1011" s="893">
        <f>SUM(M1008:M1010)</f>
        <v>1</v>
      </c>
      <c r="N1011" s="894"/>
      <c r="O1011" s="894">
        <f>SUM(O1008:O1010)</f>
        <v>0</v>
      </c>
      <c r="P1011" s="274" t="s">
        <v>230</v>
      </c>
      <c r="Q1011" s="895">
        <v>0</v>
      </c>
      <c r="R1011" s="114"/>
      <c r="S1011" s="114"/>
      <c r="T1011" s="271"/>
      <c r="U1011" s="114"/>
      <c r="V1011" s="114"/>
      <c r="W1011" s="270"/>
      <c r="X1011" s="270"/>
      <c r="Y1011" s="270"/>
      <c r="Z1011" s="270"/>
      <c r="AA1011" s="114"/>
      <c r="AB1011" s="85"/>
      <c r="AC1011" s="85"/>
      <c r="AD1011" s="85"/>
      <c r="AE1011" s="85"/>
    </row>
    <row r="1012" spans="3:31" x14ac:dyDescent="0.3">
      <c r="C1012" s="450"/>
      <c r="D1012" s="182"/>
      <c r="E1012" s="182"/>
      <c r="F1012" s="182"/>
      <c r="G1012" s="450" t="str">
        <f t="shared" si="48"/>
        <v>--</v>
      </c>
      <c r="H1012" s="182"/>
      <c r="I1012" s="892"/>
      <c r="J1012" s="288"/>
      <c r="K1012" s="288"/>
      <c r="L1012" s="182"/>
      <c r="M1012" s="270"/>
      <c r="N1012" s="892"/>
      <c r="O1012" s="892"/>
      <c r="P1012" s="275" t="s">
        <v>229</v>
      </c>
      <c r="Q1012" s="895">
        <v>0</v>
      </c>
      <c r="R1012" s="114"/>
      <c r="S1012" s="114"/>
      <c r="T1012" s="271"/>
      <c r="U1012" s="114"/>
      <c r="V1012" s="114"/>
      <c r="W1012" s="270"/>
      <c r="X1012" s="270"/>
      <c r="Y1012" s="270"/>
      <c r="Z1012" s="270"/>
      <c r="AA1012" s="114"/>
      <c r="AB1012" s="85"/>
      <c r="AC1012" s="85"/>
      <c r="AD1012" s="85"/>
      <c r="AE1012" s="85"/>
    </row>
    <row r="1013" spans="3:31" x14ac:dyDescent="0.3">
      <c r="C1013" s="450"/>
      <c r="D1013" s="182"/>
      <c r="E1013" s="182"/>
      <c r="F1013" s="182"/>
      <c r="G1013" s="450" t="str">
        <f t="shared" si="48"/>
        <v>--</v>
      </c>
      <c r="H1013" s="182"/>
      <c r="I1013" s="892"/>
      <c r="J1013" s="288"/>
      <c r="K1013" s="288"/>
      <c r="L1013" s="182"/>
      <c r="M1013" s="270"/>
      <c r="N1013" s="892"/>
      <c r="O1013" s="892"/>
      <c r="P1013" s="269" t="s">
        <v>225</v>
      </c>
      <c r="Q1013" s="895">
        <v>0</v>
      </c>
      <c r="R1013" s="114"/>
      <c r="S1013" s="114"/>
      <c r="T1013" s="271"/>
      <c r="U1013" s="114"/>
      <c r="V1013" s="114"/>
      <c r="W1013" s="270"/>
      <c r="X1013" s="270"/>
      <c r="Y1013" s="270"/>
      <c r="Z1013" s="270"/>
      <c r="AA1013" s="114"/>
      <c r="AB1013" s="85"/>
      <c r="AC1013" s="85"/>
      <c r="AD1013" s="85"/>
      <c r="AE1013" s="85"/>
    </row>
    <row r="1014" spans="3:31" x14ac:dyDescent="0.3">
      <c r="C1014" s="450"/>
      <c r="D1014" s="182"/>
      <c r="E1014" s="182"/>
      <c r="F1014" s="182"/>
      <c r="G1014" s="450" t="str">
        <f t="shared" si="48"/>
        <v>--</v>
      </c>
      <c r="H1014" s="182"/>
      <c r="I1014" s="892"/>
      <c r="J1014" s="288"/>
      <c r="K1014" s="288"/>
      <c r="L1014" s="182"/>
      <c r="M1014" s="270"/>
      <c r="N1014" s="892"/>
      <c r="O1014" s="892"/>
      <c r="P1014" s="263" t="s">
        <v>46</v>
      </c>
      <c r="Q1014" s="897">
        <f>SUM(Q1008:Q1013)</f>
        <v>1</v>
      </c>
      <c r="R1014" s="899"/>
      <c r="S1014" s="899"/>
      <c r="T1014" s="271"/>
      <c r="U1014" s="114"/>
      <c r="V1014" s="114"/>
      <c r="W1014" s="270"/>
      <c r="X1014" s="270"/>
      <c r="Y1014" s="270"/>
      <c r="Z1014" s="270"/>
      <c r="AA1014" s="114"/>
      <c r="AB1014" s="85"/>
      <c r="AC1014" s="85"/>
      <c r="AD1014" s="85"/>
      <c r="AE1014" s="85"/>
    </row>
    <row r="1015" spans="3:31" x14ac:dyDescent="0.3">
      <c r="C1015" s="450"/>
      <c r="D1015" s="182"/>
      <c r="E1015" s="182"/>
      <c r="F1015" s="182"/>
      <c r="G1015" s="450" t="str">
        <f t="shared" si="48"/>
        <v>--</v>
      </c>
      <c r="H1015" s="182"/>
      <c r="I1015" s="892"/>
      <c r="J1015" s="288"/>
      <c r="K1015" s="288"/>
      <c r="L1015" s="182"/>
      <c r="M1015" s="270"/>
      <c r="N1015" s="892"/>
      <c r="O1015" s="892"/>
      <c r="P1015" s="259"/>
      <c r="Q1015" s="114"/>
      <c r="R1015" s="270"/>
      <c r="S1015" s="270"/>
      <c r="T1015" s="270"/>
      <c r="U1015" s="270"/>
      <c r="V1015" s="270"/>
      <c r="W1015" s="270"/>
      <c r="X1015" s="270"/>
      <c r="Y1015" s="270"/>
      <c r="Z1015" s="270"/>
      <c r="AA1015" s="114"/>
      <c r="AB1015" s="85"/>
      <c r="AC1015" s="85"/>
      <c r="AD1015" s="85"/>
      <c r="AE1015" s="85"/>
    </row>
    <row r="1016" spans="3:31" ht="15" thickBot="1" x14ac:dyDescent="0.35">
      <c r="C1016" s="450"/>
      <c r="D1016" s="182"/>
      <c r="E1016" s="182"/>
      <c r="F1016" s="182"/>
      <c r="G1016" s="450" t="str">
        <f t="shared" si="48"/>
        <v>--</v>
      </c>
      <c r="H1016" s="182"/>
      <c r="I1016" s="892"/>
      <c r="J1016" s="892"/>
      <c r="K1016" s="182"/>
      <c r="L1016" s="182"/>
      <c r="M1016" s="901" t="s">
        <v>155</v>
      </c>
      <c r="N1016" s="870" t="s">
        <v>188</v>
      </c>
      <c r="O1016" s="870"/>
      <c r="P1016" s="276" t="s">
        <v>111</v>
      </c>
      <c r="Q1016" s="871" t="s">
        <v>155</v>
      </c>
      <c r="R1016" s="902"/>
      <c r="S1016" s="874"/>
      <c r="T1016" s="270"/>
      <c r="U1016" s="270"/>
      <c r="V1016" s="270"/>
      <c r="W1016" s="270"/>
      <c r="X1016" s="270"/>
      <c r="Y1016" s="270"/>
      <c r="Z1016" s="270"/>
      <c r="AA1016" s="114"/>
      <c r="AB1016" s="85"/>
      <c r="AC1016" s="85"/>
      <c r="AD1016" s="85"/>
      <c r="AE1016" s="85"/>
    </row>
    <row r="1017" spans="3:31" ht="15" thickBot="1" x14ac:dyDescent="0.35">
      <c r="C1017" s="566" t="s">
        <v>89</v>
      </c>
      <c r="D1017" s="875" t="str">
        <f>VLOOKUP(C1017,'Airport Mapping'!$C$5:$D$39,2,FALSE)</f>
        <v xml:space="preserve"> </v>
      </c>
      <c r="E1017" s="567" t="s">
        <v>43</v>
      </c>
      <c r="F1017" s="567" t="s">
        <v>111</v>
      </c>
      <c r="G1017" s="450" t="str">
        <f t="shared" si="48"/>
        <v>Rental Car Center A-Maintenance-Boiler</v>
      </c>
      <c r="H1017" s="567" t="s">
        <v>424</v>
      </c>
      <c r="I1017" s="877" t="s">
        <v>64</v>
      </c>
      <c r="J1017" s="878">
        <f>SUMIFS('Level of Efficiency Assumptions'!J:J,'Level of Efficiency Assumptions'!D:D,E1017,'Level of Efficiency Assumptions'!F:F,F1017,'Level of Efficiency Assumptions'!I:I,I1017)</f>
        <v>100</v>
      </c>
      <c r="K1017" s="383" t="s">
        <v>585</v>
      </c>
      <c r="L1017" s="253" t="s">
        <v>64</v>
      </c>
      <c r="M1017" s="879">
        <f>SUM(Q1017:Q1018)</f>
        <v>0</v>
      </c>
      <c r="N1017" s="880">
        <f>IFERROR(M1017/M1020,"-")</f>
        <v>0</v>
      </c>
      <c r="O1017" s="881">
        <f>SUMIFS('Data Entry'!R:R,'Data Entry'!K:K,G1017)</f>
        <v>0</v>
      </c>
      <c r="P1017" s="272"/>
      <c r="Q1017" s="895">
        <v>0</v>
      </c>
      <c r="R1017" s="114"/>
      <c r="S1017" s="884"/>
      <c r="T1017" s="270"/>
      <c r="U1017" s="270"/>
      <c r="V1017" s="270"/>
      <c r="W1017" s="270"/>
      <c r="X1017" s="270"/>
      <c r="Y1017" s="270"/>
      <c r="Z1017" s="270"/>
      <c r="AA1017" s="114"/>
      <c r="AB1017" s="85"/>
      <c r="AC1017" s="85"/>
      <c r="AD1017" s="85"/>
      <c r="AE1017" s="85"/>
    </row>
    <row r="1018" spans="3:31" ht="15" thickBot="1" x14ac:dyDescent="0.35">
      <c r="C1018" s="494" t="s">
        <v>89</v>
      </c>
      <c r="D1018" s="577"/>
      <c r="E1018" s="577" t="s">
        <v>43</v>
      </c>
      <c r="F1018" s="577" t="s">
        <v>111</v>
      </c>
      <c r="G1018" s="450" t="str">
        <f t="shared" si="48"/>
        <v>Rental Car Center A-Maintenance-Boiler</v>
      </c>
      <c r="H1018" s="577"/>
      <c r="I1018" s="887" t="s">
        <v>65</v>
      </c>
      <c r="J1018" s="878">
        <f>SUMIFS('Level of Efficiency Assumptions'!J:J,'Level of Efficiency Assumptions'!D:D,E1018,'Level of Efficiency Assumptions'!F:F,F1018,'Level of Efficiency Assumptions'!I:I,I1018)</f>
        <v>75</v>
      </c>
      <c r="K1018" s="383" t="s">
        <v>585</v>
      </c>
      <c r="L1018" s="255" t="s">
        <v>65</v>
      </c>
      <c r="M1018" s="879">
        <f>Q1019+Q1020</f>
        <v>1</v>
      </c>
      <c r="N1018" s="880">
        <f>IFERROR(M1018/M1020,"-")</f>
        <v>1</v>
      </c>
      <c r="O1018" s="881">
        <f>SUMIFS('Data Entry'!S:S,'Data Entry'!K:K,G1018)</f>
        <v>0</v>
      </c>
      <c r="P1018" s="272"/>
      <c r="Q1018" s="895">
        <v>0</v>
      </c>
      <c r="R1018" s="114"/>
      <c r="S1018" s="884"/>
      <c r="T1018" s="270"/>
      <c r="U1018" s="270"/>
      <c r="V1018" s="270"/>
      <c r="W1018" s="270"/>
      <c r="X1018" s="270"/>
      <c r="Y1018" s="270"/>
      <c r="Z1018" s="270"/>
      <c r="AA1018" s="114"/>
      <c r="AB1018" s="85"/>
      <c r="AC1018" s="85"/>
      <c r="AD1018" s="85"/>
      <c r="AE1018" s="85"/>
    </row>
    <row r="1019" spans="3:31" ht="15" thickBot="1" x14ac:dyDescent="0.35">
      <c r="C1019" s="501" t="s">
        <v>89</v>
      </c>
      <c r="D1019" s="116"/>
      <c r="E1019" s="116" t="s">
        <v>43</v>
      </c>
      <c r="F1019" s="116" t="s">
        <v>111</v>
      </c>
      <c r="G1019" s="450" t="str">
        <f t="shared" si="48"/>
        <v>Rental Car Center A-Maintenance-Boiler</v>
      </c>
      <c r="H1019" s="116"/>
      <c r="I1019" s="889" t="s">
        <v>66</v>
      </c>
      <c r="J1019" s="890">
        <f>SUMIFS('Level of Efficiency Assumptions'!J:J,'Level of Efficiency Assumptions'!D:D,E1019,'Level of Efficiency Assumptions'!F:F,F1019,'Level of Efficiency Assumptions'!I:I,I1019)</f>
        <v>50</v>
      </c>
      <c r="K1019" s="383" t="s">
        <v>585</v>
      </c>
      <c r="L1019" s="257" t="s">
        <v>66</v>
      </c>
      <c r="M1019" s="879">
        <f>Q1021+Q1022</f>
        <v>0</v>
      </c>
      <c r="N1019" s="880">
        <f>IFERROR(M1019/M1020,"-")</f>
        <v>0</v>
      </c>
      <c r="O1019" s="881">
        <f>SUMIFS('Data Entry'!T:T,'Data Entry'!K:K,G1019)</f>
        <v>0</v>
      </c>
      <c r="P1019" s="274"/>
      <c r="Q1019" s="895">
        <v>1</v>
      </c>
      <c r="R1019" s="114"/>
      <c r="S1019" s="884"/>
      <c r="T1019" s="270"/>
      <c r="U1019" s="270"/>
      <c r="V1019" s="270"/>
      <c r="W1019" s="270"/>
      <c r="X1019" s="270"/>
      <c r="Y1019" s="270"/>
      <c r="Z1019" s="270"/>
      <c r="AA1019" s="114"/>
      <c r="AB1019" s="85"/>
      <c r="AC1019" s="85"/>
      <c r="AD1019" s="85"/>
      <c r="AE1019" s="85"/>
    </row>
    <row r="1020" spans="3:31" x14ac:dyDescent="0.3">
      <c r="C1020" s="450"/>
      <c r="D1020" s="182"/>
      <c r="E1020" s="182"/>
      <c r="F1020" s="182"/>
      <c r="G1020" s="450" t="str">
        <f t="shared" si="48"/>
        <v>--</v>
      </c>
      <c r="H1020" s="182"/>
      <c r="I1020" s="440"/>
      <c r="J1020" s="892"/>
      <c r="K1020" s="259"/>
      <c r="L1020" s="259" t="s">
        <v>46</v>
      </c>
      <c r="M1020" s="893">
        <f>SUM(M1017:M1019)</f>
        <v>1</v>
      </c>
      <c r="N1020" s="894"/>
      <c r="O1020" s="894">
        <f>SUM(O1017:O1019)</f>
        <v>0</v>
      </c>
      <c r="P1020" s="274"/>
      <c r="Q1020" s="895">
        <v>0</v>
      </c>
      <c r="R1020" s="114"/>
      <c r="S1020" s="884"/>
      <c r="T1020" s="270"/>
      <c r="U1020" s="270"/>
      <c r="V1020" s="270"/>
      <c r="W1020" s="270"/>
      <c r="X1020" s="270"/>
      <c r="Y1020" s="270"/>
      <c r="Z1020" s="270"/>
      <c r="AA1020" s="114"/>
      <c r="AB1020" s="85"/>
      <c r="AC1020" s="85"/>
      <c r="AD1020" s="85"/>
      <c r="AE1020" s="85"/>
    </row>
    <row r="1021" spans="3:31" x14ac:dyDescent="0.3">
      <c r="C1021" s="450"/>
      <c r="D1021" s="182"/>
      <c r="E1021" s="182"/>
      <c r="F1021" s="182"/>
      <c r="G1021" s="450" t="str">
        <f t="shared" si="48"/>
        <v>--</v>
      </c>
      <c r="H1021" s="182"/>
      <c r="I1021" s="892"/>
      <c r="J1021" s="288"/>
      <c r="K1021" s="288"/>
      <c r="L1021" s="182"/>
      <c r="M1021" s="270"/>
      <c r="N1021" s="892"/>
      <c r="O1021" s="892"/>
      <c r="P1021" s="275"/>
      <c r="Q1021" s="895">
        <v>0</v>
      </c>
      <c r="R1021" s="114"/>
      <c r="S1021" s="884"/>
      <c r="T1021" s="270"/>
      <c r="U1021" s="270"/>
      <c r="V1021" s="270"/>
      <c r="W1021" s="270"/>
      <c r="X1021" s="270"/>
      <c r="Y1021" s="270"/>
      <c r="Z1021" s="270"/>
      <c r="AA1021" s="114"/>
      <c r="AB1021" s="85"/>
      <c r="AC1021" s="85"/>
      <c r="AD1021" s="85"/>
      <c r="AE1021" s="85"/>
    </row>
    <row r="1022" spans="3:31" x14ac:dyDescent="0.3">
      <c r="C1022" s="450"/>
      <c r="D1022" s="182"/>
      <c r="E1022" s="182"/>
      <c r="F1022" s="182"/>
      <c r="G1022" s="450" t="str">
        <f t="shared" si="48"/>
        <v>--</v>
      </c>
      <c r="H1022" s="182"/>
      <c r="I1022" s="892"/>
      <c r="J1022" s="288"/>
      <c r="K1022" s="288"/>
      <c r="L1022" s="182"/>
      <c r="M1022" s="270"/>
      <c r="N1022" s="892"/>
      <c r="O1022" s="892"/>
      <c r="P1022" s="269"/>
      <c r="Q1022" s="895">
        <v>0</v>
      </c>
      <c r="R1022" s="114"/>
      <c r="S1022" s="884"/>
      <c r="T1022" s="270"/>
      <c r="U1022" s="270"/>
      <c r="V1022" s="270"/>
      <c r="W1022" s="270"/>
      <c r="X1022" s="270"/>
      <c r="Y1022" s="270"/>
      <c r="Z1022" s="270"/>
      <c r="AA1022" s="114"/>
      <c r="AB1022" s="85"/>
      <c r="AC1022" s="85"/>
      <c r="AD1022" s="85"/>
      <c r="AE1022" s="85"/>
    </row>
    <row r="1023" spans="3:31" x14ac:dyDescent="0.3">
      <c r="C1023" s="450"/>
      <c r="D1023" s="182"/>
      <c r="E1023" s="182"/>
      <c r="F1023" s="182"/>
      <c r="G1023" s="450" t="str">
        <f t="shared" si="48"/>
        <v>--</v>
      </c>
      <c r="H1023" s="182"/>
      <c r="I1023" s="892"/>
      <c r="J1023" s="288"/>
      <c r="K1023" s="288"/>
      <c r="L1023" s="182"/>
      <c r="M1023" s="270"/>
      <c r="N1023" s="892"/>
      <c r="O1023" s="892"/>
      <c r="P1023" s="263" t="s">
        <v>46</v>
      </c>
      <c r="Q1023" s="897">
        <f>SUM(Q1017:Q1022)</f>
        <v>1</v>
      </c>
      <c r="R1023" s="899"/>
      <c r="S1023" s="900"/>
      <c r="T1023" s="270"/>
      <c r="U1023" s="270"/>
      <c r="V1023" s="270"/>
      <c r="W1023" s="270"/>
      <c r="X1023" s="270"/>
      <c r="Y1023" s="270"/>
      <c r="Z1023" s="270"/>
      <c r="AA1023" s="114"/>
      <c r="AB1023" s="85"/>
      <c r="AC1023" s="85"/>
      <c r="AD1023" s="85"/>
      <c r="AE1023" s="85"/>
    </row>
    <row r="1024" spans="3:31" x14ac:dyDescent="0.3">
      <c r="C1024" s="225"/>
      <c r="D1024" s="288"/>
      <c r="E1024" s="288"/>
      <c r="F1024" s="288"/>
      <c r="G1024" s="450" t="str">
        <f t="shared" si="48"/>
        <v>--</v>
      </c>
      <c r="H1024" s="182"/>
      <c r="I1024" s="892"/>
      <c r="J1024" s="288"/>
      <c r="K1024" s="288"/>
      <c r="L1024" s="182"/>
      <c r="M1024" s="270"/>
      <c r="N1024" s="892"/>
      <c r="O1024" s="892"/>
      <c r="P1024" s="259"/>
      <c r="Q1024" s="114"/>
      <c r="R1024" s="270"/>
      <c r="S1024" s="270"/>
      <c r="T1024" s="270"/>
      <c r="U1024" s="270"/>
      <c r="V1024" s="270"/>
      <c r="W1024" s="270"/>
      <c r="X1024" s="270"/>
      <c r="Y1024" s="270"/>
      <c r="Z1024" s="270"/>
      <c r="AA1024" s="114"/>
      <c r="AB1024" s="85"/>
      <c r="AC1024" s="85"/>
      <c r="AD1024" s="85"/>
      <c r="AE1024" s="85"/>
    </row>
    <row r="1025" spans="3:31" ht="15" thickBot="1" x14ac:dyDescent="0.35">
      <c r="C1025" s="225"/>
      <c r="D1025" s="182"/>
      <c r="E1025" s="182"/>
      <c r="F1025" s="182"/>
      <c r="G1025" s="450" t="str">
        <f t="shared" si="48"/>
        <v>--</v>
      </c>
      <c r="H1025" s="182"/>
      <c r="I1025" s="892"/>
      <c r="J1025" s="892"/>
      <c r="K1025" s="182"/>
      <c r="L1025" s="182"/>
      <c r="M1025" s="901" t="s">
        <v>155</v>
      </c>
      <c r="N1025" s="870" t="s">
        <v>188</v>
      </c>
      <c r="O1025" s="870"/>
      <c r="P1025" s="276" t="s">
        <v>9</v>
      </c>
      <c r="Q1025" s="871" t="s">
        <v>155</v>
      </c>
      <c r="R1025" s="902"/>
      <c r="S1025" s="874"/>
      <c r="T1025" s="270"/>
      <c r="U1025" s="270"/>
      <c r="V1025" s="270"/>
      <c r="W1025" s="270"/>
      <c r="X1025" s="270"/>
      <c r="Y1025" s="270"/>
      <c r="Z1025" s="270"/>
      <c r="AA1025" s="114"/>
      <c r="AB1025" s="85"/>
      <c r="AC1025" s="85"/>
      <c r="AD1025" s="85"/>
      <c r="AE1025" s="85"/>
    </row>
    <row r="1026" spans="3:31" ht="15" thickBot="1" x14ac:dyDescent="0.35">
      <c r="C1026" s="566" t="s">
        <v>89</v>
      </c>
      <c r="D1026" s="875" t="str">
        <f>VLOOKUP(C1026,'Airport Mapping'!$C$5:$D$39,2,FALSE)</f>
        <v xml:space="preserve"> </v>
      </c>
      <c r="E1026" s="567" t="s">
        <v>43</v>
      </c>
      <c r="F1026" s="567" t="s">
        <v>9</v>
      </c>
      <c r="G1026" s="450" t="str">
        <f t="shared" si="48"/>
        <v>Rental Car Center A-Maintenance-Vehicle washing</v>
      </c>
      <c r="H1026" s="567" t="s">
        <v>12</v>
      </c>
      <c r="I1026" s="877" t="s">
        <v>64</v>
      </c>
      <c r="J1026" s="878">
        <f>SUMIFS('Level of Efficiency Assumptions'!J:J,'Level of Efficiency Assumptions'!D:D,E1026,'Level of Efficiency Assumptions'!F:F,F1026,'Level of Efficiency Assumptions'!I:I,I1026)</f>
        <v>80</v>
      </c>
      <c r="K1026" s="383" t="s">
        <v>588</v>
      </c>
      <c r="L1026" s="253" t="s">
        <v>64</v>
      </c>
      <c r="M1026" s="879">
        <f>SUM(Q1026:Q1027)</f>
        <v>0</v>
      </c>
      <c r="N1026" s="880">
        <f>IFERROR(M1026/M1029,"-")</f>
        <v>0</v>
      </c>
      <c r="O1026" s="881">
        <f>SUMIFS('Data Entry'!R:R,'Data Entry'!K:K,G1026)</f>
        <v>0</v>
      </c>
      <c r="P1026" s="272"/>
      <c r="Q1026" s="895">
        <v>0</v>
      </c>
      <c r="R1026" s="114"/>
      <c r="S1026" s="884"/>
      <c r="T1026" s="270"/>
      <c r="U1026" s="270"/>
      <c r="V1026" s="270"/>
      <c r="W1026" s="270"/>
      <c r="X1026" s="270"/>
      <c r="Y1026" s="270"/>
      <c r="Z1026" s="270"/>
      <c r="AA1026" s="114"/>
      <c r="AB1026" s="85"/>
      <c r="AC1026" s="85"/>
      <c r="AD1026" s="85"/>
      <c r="AE1026" s="85"/>
    </row>
    <row r="1027" spans="3:31" ht="15" thickBot="1" x14ac:dyDescent="0.35">
      <c r="C1027" s="494" t="s">
        <v>89</v>
      </c>
      <c r="D1027" s="577"/>
      <c r="E1027" s="577" t="s">
        <v>43</v>
      </c>
      <c r="F1027" s="577" t="s">
        <v>9</v>
      </c>
      <c r="G1027" s="450" t="str">
        <f t="shared" si="48"/>
        <v>Rental Car Center A-Maintenance-Vehicle washing</v>
      </c>
      <c r="H1027" s="577"/>
      <c r="I1027" s="887" t="s">
        <v>65</v>
      </c>
      <c r="J1027" s="878">
        <f>SUMIFS('Level of Efficiency Assumptions'!J:J,'Level of Efficiency Assumptions'!D:D,E1027,'Level of Efficiency Assumptions'!F:F,F1027,'Level of Efficiency Assumptions'!I:I,I1027)</f>
        <v>40</v>
      </c>
      <c r="K1027" s="383" t="s">
        <v>588</v>
      </c>
      <c r="L1027" s="255" t="s">
        <v>65</v>
      </c>
      <c r="M1027" s="879">
        <f>Q1028+Q1029</f>
        <v>1</v>
      </c>
      <c r="N1027" s="880">
        <f>IFERROR(M1027/M1029,"-")</f>
        <v>1</v>
      </c>
      <c r="O1027" s="881">
        <f>SUMIFS('Data Entry'!S:S,'Data Entry'!K:K,G1027)</f>
        <v>0</v>
      </c>
      <c r="P1027" s="272"/>
      <c r="Q1027" s="895">
        <v>0</v>
      </c>
      <c r="R1027" s="114"/>
      <c r="S1027" s="884"/>
      <c r="T1027" s="270"/>
      <c r="U1027" s="270"/>
      <c r="V1027" s="270"/>
      <c r="W1027" s="270"/>
      <c r="X1027" s="270"/>
      <c r="Y1027" s="270"/>
      <c r="Z1027" s="270"/>
      <c r="AA1027" s="114"/>
      <c r="AB1027" s="85"/>
      <c r="AC1027" s="85"/>
      <c r="AD1027" s="85"/>
      <c r="AE1027" s="85"/>
    </row>
    <row r="1028" spans="3:31" ht="15" thickBot="1" x14ac:dyDescent="0.35">
      <c r="C1028" s="501" t="s">
        <v>89</v>
      </c>
      <c r="D1028" s="116"/>
      <c r="E1028" s="116" t="s">
        <v>43</v>
      </c>
      <c r="F1028" s="116" t="s">
        <v>9</v>
      </c>
      <c r="G1028" s="450" t="str">
        <f t="shared" si="48"/>
        <v>Rental Car Center A-Maintenance-Vehicle washing</v>
      </c>
      <c r="H1028" s="116"/>
      <c r="I1028" s="889" t="s">
        <v>66</v>
      </c>
      <c r="J1028" s="890">
        <f>SUMIFS('Level of Efficiency Assumptions'!J:J,'Level of Efficiency Assumptions'!D:D,E1028,'Level of Efficiency Assumptions'!F:F,F1028,'Level of Efficiency Assumptions'!I:I,I1028)</f>
        <v>30</v>
      </c>
      <c r="K1028" s="383" t="s">
        <v>588</v>
      </c>
      <c r="L1028" s="257" t="s">
        <v>66</v>
      </c>
      <c r="M1028" s="879">
        <f>Q1030+Q1031</f>
        <v>0</v>
      </c>
      <c r="N1028" s="880">
        <f>IFERROR(M1028/M1029,"-")</f>
        <v>0</v>
      </c>
      <c r="O1028" s="881">
        <f>SUMIFS('Data Entry'!T:T,'Data Entry'!K:K,G1028)</f>
        <v>0</v>
      </c>
      <c r="P1028" s="274"/>
      <c r="Q1028" s="895">
        <v>1</v>
      </c>
      <c r="R1028" s="114"/>
      <c r="S1028" s="884"/>
      <c r="T1028" s="270"/>
      <c r="U1028" s="270"/>
      <c r="V1028" s="270"/>
      <c r="W1028" s="270"/>
      <c r="X1028" s="270"/>
      <c r="Y1028" s="270"/>
      <c r="Z1028" s="270"/>
      <c r="AA1028" s="114"/>
      <c r="AB1028" s="85"/>
      <c r="AC1028" s="85"/>
      <c r="AD1028" s="85"/>
      <c r="AE1028" s="85"/>
    </row>
    <row r="1029" spans="3:31" x14ac:dyDescent="0.3">
      <c r="C1029" s="450"/>
      <c r="D1029" s="182"/>
      <c r="E1029" s="182"/>
      <c r="F1029" s="182"/>
      <c r="G1029" s="450" t="str">
        <f t="shared" si="48"/>
        <v>--</v>
      </c>
      <c r="H1029" s="182"/>
      <c r="I1029" s="440"/>
      <c r="J1029" s="892"/>
      <c r="K1029" s="259"/>
      <c r="L1029" s="259" t="s">
        <v>46</v>
      </c>
      <c r="M1029" s="893">
        <f>SUM(M1026:M1028)</f>
        <v>1</v>
      </c>
      <c r="N1029" s="894"/>
      <c r="O1029" s="894">
        <f>SUM(O1026:O1028)</f>
        <v>0</v>
      </c>
      <c r="P1029" s="274"/>
      <c r="Q1029" s="895">
        <v>0</v>
      </c>
      <c r="R1029" s="114"/>
      <c r="S1029" s="884"/>
      <c r="T1029" s="270"/>
      <c r="U1029" s="270"/>
      <c r="V1029" s="270"/>
      <c r="W1029" s="270"/>
      <c r="X1029" s="270"/>
      <c r="Y1029" s="270"/>
      <c r="Z1029" s="270"/>
      <c r="AA1029" s="114"/>
      <c r="AB1029" s="85"/>
      <c r="AC1029" s="85"/>
      <c r="AD1029" s="85"/>
      <c r="AE1029" s="85"/>
    </row>
    <row r="1030" spans="3:31" x14ac:dyDescent="0.3">
      <c r="C1030" s="450"/>
      <c r="D1030" s="182"/>
      <c r="E1030" s="182"/>
      <c r="F1030" s="182"/>
      <c r="G1030" s="450" t="str">
        <f t="shared" si="48"/>
        <v>--</v>
      </c>
      <c r="H1030" s="182"/>
      <c r="I1030" s="892"/>
      <c r="J1030" s="288"/>
      <c r="K1030" s="288"/>
      <c r="L1030" s="182"/>
      <c r="M1030" s="270"/>
      <c r="N1030" s="892"/>
      <c r="O1030" s="892"/>
      <c r="P1030" s="275"/>
      <c r="Q1030" s="895">
        <v>0</v>
      </c>
      <c r="R1030" s="114"/>
      <c r="S1030" s="884"/>
      <c r="T1030" s="270"/>
      <c r="U1030" s="270"/>
      <c r="V1030" s="270"/>
      <c r="W1030" s="270"/>
      <c r="X1030" s="270"/>
      <c r="Y1030" s="270"/>
      <c r="Z1030" s="270"/>
      <c r="AA1030" s="114"/>
      <c r="AB1030" s="85"/>
      <c r="AC1030" s="85"/>
      <c r="AD1030" s="85"/>
      <c r="AE1030" s="85"/>
    </row>
    <row r="1031" spans="3:31" x14ac:dyDescent="0.3">
      <c r="C1031" s="450"/>
      <c r="D1031" s="182"/>
      <c r="E1031" s="182"/>
      <c r="F1031" s="182"/>
      <c r="G1031" s="450" t="str">
        <f t="shared" si="48"/>
        <v>--</v>
      </c>
      <c r="H1031" s="182"/>
      <c r="I1031" s="892"/>
      <c r="J1031" s="288"/>
      <c r="K1031" s="288"/>
      <c r="L1031" s="182"/>
      <c r="M1031" s="270"/>
      <c r="N1031" s="892"/>
      <c r="O1031" s="892"/>
      <c r="P1031" s="269"/>
      <c r="Q1031" s="895">
        <v>0</v>
      </c>
      <c r="R1031" s="114"/>
      <c r="S1031" s="884"/>
      <c r="T1031" s="270"/>
      <c r="U1031" s="270"/>
      <c r="V1031" s="270"/>
      <c r="W1031" s="270"/>
      <c r="X1031" s="270"/>
      <c r="Y1031" s="270"/>
      <c r="Z1031" s="270"/>
      <c r="AA1031" s="114"/>
      <c r="AB1031" s="85"/>
      <c r="AC1031" s="85"/>
      <c r="AD1031" s="85"/>
      <c r="AE1031" s="85"/>
    </row>
    <row r="1032" spans="3:31" x14ac:dyDescent="0.3">
      <c r="C1032" s="450"/>
      <c r="D1032" s="182"/>
      <c r="E1032" s="182"/>
      <c r="F1032" s="182"/>
      <c r="G1032" s="450" t="str">
        <f t="shared" si="48"/>
        <v>--</v>
      </c>
      <c r="H1032" s="182"/>
      <c r="I1032" s="892"/>
      <c r="J1032" s="288"/>
      <c r="K1032" s="288"/>
      <c r="L1032" s="182"/>
      <c r="M1032" s="270"/>
      <c r="N1032" s="892"/>
      <c r="O1032" s="892"/>
      <c r="P1032" s="263" t="s">
        <v>46</v>
      </c>
      <c r="Q1032" s="897">
        <f>SUM(Q1026:Q1031)</f>
        <v>1</v>
      </c>
      <c r="R1032" s="899"/>
      <c r="S1032" s="900"/>
      <c r="T1032" s="270"/>
      <c r="U1032" s="270"/>
      <c r="V1032" s="270"/>
      <c r="W1032" s="270"/>
      <c r="X1032" s="270"/>
      <c r="Y1032" s="270"/>
      <c r="Z1032" s="270"/>
      <c r="AA1032" s="114"/>
      <c r="AB1032" s="85"/>
      <c r="AC1032" s="85"/>
      <c r="AD1032" s="85"/>
      <c r="AE1032" s="85"/>
    </row>
    <row r="1033" spans="3:31" x14ac:dyDescent="0.3">
      <c r="C1033" s="450"/>
      <c r="D1033" s="182"/>
      <c r="E1033" s="182"/>
      <c r="F1033" s="182"/>
      <c r="G1033" s="450" t="str">
        <f t="shared" si="48"/>
        <v>--</v>
      </c>
      <c r="H1033" s="182"/>
      <c r="I1033" s="892"/>
      <c r="J1033" s="288"/>
      <c r="K1033" s="288"/>
      <c r="L1033" s="182"/>
      <c r="M1033" s="270"/>
      <c r="N1033" s="892"/>
      <c r="O1033" s="892"/>
      <c r="P1033" s="259"/>
      <c r="Q1033" s="114"/>
      <c r="R1033" s="114"/>
      <c r="S1033" s="114"/>
      <c r="T1033" s="270"/>
      <c r="U1033" s="270"/>
      <c r="V1033" s="270"/>
      <c r="W1033" s="270"/>
      <c r="X1033" s="270"/>
      <c r="Y1033" s="270"/>
      <c r="Z1033" s="270"/>
      <c r="AA1033" s="114"/>
      <c r="AB1033" s="85"/>
      <c r="AC1033" s="85"/>
      <c r="AD1033" s="85"/>
      <c r="AE1033" s="85"/>
    </row>
    <row r="1034" spans="3:31" ht="15" thickBot="1" x14ac:dyDescent="0.35">
      <c r="C1034" s="450"/>
      <c r="D1034" s="182"/>
      <c r="E1034" s="182"/>
      <c r="F1034" s="182"/>
      <c r="G1034" s="450" t="str">
        <f t="shared" si="48"/>
        <v>--</v>
      </c>
      <c r="H1034" s="182"/>
      <c r="I1034" s="892"/>
      <c r="J1034" s="892"/>
      <c r="K1034" s="182"/>
      <c r="L1034" s="182"/>
      <c r="M1034" s="901" t="s">
        <v>155</v>
      </c>
      <c r="N1034" s="870" t="s">
        <v>188</v>
      </c>
      <c r="O1034" s="870"/>
      <c r="P1034" s="276" t="s">
        <v>426</v>
      </c>
      <c r="Q1034" s="871" t="s">
        <v>155</v>
      </c>
      <c r="R1034" s="902"/>
      <c r="S1034" s="874"/>
      <c r="T1034" s="270"/>
      <c r="U1034" s="270"/>
      <c r="V1034" s="270"/>
      <c r="W1034" s="270"/>
      <c r="X1034" s="270"/>
      <c r="Y1034" s="270"/>
      <c r="Z1034" s="270"/>
      <c r="AA1034" s="114"/>
      <c r="AB1034" s="85"/>
      <c r="AC1034" s="85"/>
      <c r="AD1034" s="85"/>
      <c r="AE1034" s="85"/>
    </row>
    <row r="1035" spans="3:31" ht="15" thickBot="1" x14ac:dyDescent="0.35">
      <c r="C1035" s="566" t="s">
        <v>89</v>
      </c>
      <c r="D1035" s="875" t="str">
        <f>VLOOKUP(C1035,'Airport Mapping'!$C$5:$D$39,2,FALSE)</f>
        <v xml:space="preserve"> </v>
      </c>
      <c r="E1035" s="567" t="s">
        <v>43</v>
      </c>
      <c r="F1035" s="567" t="s">
        <v>426</v>
      </c>
      <c r="G1035" s="450" t="str">
        <f t="shared" si="48"/>
        <v>Rental Car Center A-Maintenance-Pavement cleaning</v>
      </c>
      <c r="H1035" s="567" t="s">
        <v>12</v>
      </c>
      <c r="I1035" s="877" t="s">
        <v>64</v>
      </c>
      <c r="J1035" s="878">
        <f>SUMIFS('Level of Efficiency Assumptions'!J:J,'Level of Efficiency Assumptions'!D:D,E1035,'Level of Efficiency Assumptions'!F:F,F1035,'Level of Efficiency Assumptions'!I:I,I1035)</f>
        <v>10</v>
      </c>
      <c r="K1035" s="383" t="s">
        <v>588</v>
      </c>
      <c r="L1035" s="253" t="s">
        <v>64</v>
      </c>
      <c r="M1035" s="879">
        <f>SUM(Q1035:Q1036)</f>
        <v>0</v>
      </c>
      <c r="N1035" s="880">
        <f>IFERROR(M1035/M1038,"-")</f>
        <v>0</v>
      </c>
      <c r="O1035" s="881">
        <f>SUMIFS('Data Entry'!R:R,'Data Entry'!K:K,G1035)</f>
        <v>0</v>
      </c>
      <c r="P1035" s="272"/>
      <c r="Q1035" s="895">
        <v>0</v>
      </c>
      <c r="R1035" s="114"/>
      <c r="S1035" s="884"/>
      <c r="T1035" s="270"/>
      <c r="U1035" s="270"/>
      <c r="V1035" s="270"/>
      <c r="W1035" s="270"/>
      <c r="X1035" s="270"/>
      <c r="Y1035" s="270"/>
      <c r="Z1035" s="270"/>
      <c r="AA1035" s="114"/>
      <c r="AB1035" s="85"/>
      <c r="AC1035" s="85"/>
      <c r="AD1035" s="85"/>
      <c r="AE1035" s="85"/>
    </row>
    <row r="1036" spans="3:31" ht="15" thickBot="1" x14ac:dyDescent="0.35">
      <c r="C1036" s="494" t="s">
        <v>89</v>
      </c>
      <c r="D1036" s="577"/>
      <c r="E1036" s="577" t="s">
        <v>43</v>
      </c>
      <c r="F1036" s="577" t="s">
        <v>426</v>
      </c>
      <c r="G1036" s="450" t="str">
        <f t="shared" si="48"/>
        <v>Rental Car Center A-Maintenance-Pavement cleaning</v>
      </c>
      <c r="H1036" s="577"/>
      <c r="I1036" s="887" t="s">
        <v>65</v>
      </c>
      <c r="J1036" s="878">
        <f>SUMIFS('Level of Efficiency Assumptions'!J:J,'Level of Efficiency Assumptions'!D:D,E1036,'Level of Efficiency Assumptions'!F:F,F1036,'Level of Efficiency Assumptions'!I:I,I1036)</f>
        <v>7.5</v>
      </c>
      <c r="K1036" s="383" t="s">
        <v>588</v>
      </c>
      <c r="L1036" s="255" t="s">
        <v>65</v>
      </c>
      <c r="M1036" s="879">
        <f>Q1037+Q1038</f>
        <v>1</v>
      </c>
      <c r="N1036" s="880">
        <f>IFERROR(M1036/M1038,"-")</f>
        <v>1</v>
      </c>
      <c r="O1036" s="881">
        <f>SUMIFS('Data Entry'!S:S,'Data Entry'!K:K,G1036)</f>
        <v>0</v>
      </c>
      <c r="P1036" s="272"/>
      <c r="Q1036" s="895">
        <v>0</v>
      </c>
      <c r="R1036" s="114"/>
      <c r="S1036" s="884"/>
      <c r="T1036" s="270"/>
      <c r="U1036" s="270"/>
      <c r="V1036" s="270"/>
      <c r="W1036" s="270"/>
      <c r="X1036" s="270"/>
      <c r="Y1036" s="270"/>
      <c r="Z1036" s="270"/>
      <c r="AA1036" s="114"/>
      <c r="AB1036" s="85"/>
      <c r="AC1036" s="85"/>
      <c r="AD1036" s="85"/>
      <c r="AE1036" s="85"/>
    </row>
    <row r="1037" spans="3:31" ht="15" thickBot="1" x14ac:dyDescent="0.35">
      <c r="C1037" s="501" t="s">
        <v>89</v>
      </c>
      <c r="D1037" s="116"/>
      <c r="E1037" s="116" t="s">
        <v>43</v>
      </c>
      <c r="F1037" s="116" t="s">
        <v>426</v>
      </c>
      <c r="G1037" s="450" t="str">
        <f t="shared" si="48"/>
        <v>Rental Car Center A-Maintenance-Pavement cleaning</v>
      </c>
      <c r="H1037" s="116"/>
      <c r="I1037" s="889" t="s">
        <v>66</v>
      </c>
      <c r="J1037" s="890">
        <f>SUMIFS('Level of Efficiency Assumptions'!J:J,'Level of Efficiency Assumptions'!D:D,E1037,'Level of Efficiency Assumptions'!F:F,F1037,'Level of Efficiency Assumptions'!I:I,I1037)</f>
        <v>5</v>
      </c>
      <c r="K1037" s="383" t="s">
        <v>588</v>
      </c>
      <c r="L1037" s="257" t="s">
        <v>66</v>
      </c>
      <c r="M1037" s="879">
        <f>Q1039+Q1040</f>
        <v>0</v>
      </c>
      <c r="N1037" s="880">
        <f>IFERROR(M1037/M1038,"-")</f>
        <v>0</v>
      </c>
      <c r="O1037" s="881">
        <f>SUMIFS('Data Entry'!T:T,'Data Entry'!K:K,G1037)</f>
        <v>0</v>
      </c>
      <c r="P1037" s="274"/>
      <c r="Q1037" s="895">
        <v>1</v>
      </c>
      <c r="R1037" s="114"/>
      <c r="S1037" s="884"/>
      <c r="T1037" s="270"/>
      <c r="U1037" s="270"/>
      <c r="V1037" s="270"/>
      <c r="W1037" s="270"/>
      <c r="X1037" s="270"/>
      <c r="Y1037" s="270"/>
      <c r="Z1037" s="270"/>
      <c r="AA1037" s="114"/>
      <c r="AB1037" s="85"/>
      <c r="AC1037" s="85"/>
      <c r="AD1037" s="85"/>
      <c r="AE1037" s="85"/>
    </row>
    <row r="1038" spans="3:31" x14ac:dyDescent="0.3">
      <c r="C1038" s="450"/>
      <c r="D1038" s="182"/>
      <c r="E1038" s="182"/>
      <c r="F1038" s="182"/>
      <c r="G1038" s="450" t="str">
        <f t="shared" si="48"/>
        <v>--</v>
      </c>
      <c r="H1038" s="182"/>
      <c r="I1038" s="440"/>
      <c r="J1038" s="892"/>
      <c r="K1038" s="259"/>
      <c r="L1038" s="259" t="s">
        <v>46</v>
      </c>
      <c r="M1038" s="893">
        <f>SUM(M1035:M1037)</f>
        <v>1</v>
      </c>
      <c r="N1038" s="894"/>
      <c r="O1038" s="894">
        <f>SUM(O1035:O1037)</f>
        <v>0</v>
      </c>
      <c r="P1038" s="274"/>
      <c r="Q1038" s="895">
        <v>0</v>
      </c>
      <c r="R1038" s="114"/>
      <c r="S1038" s="884"/>
      <c r="T1038" s="270"/>
      <c r="U1038" s="270"/>
      <c r="V1038" s="270"/>
      <c r="W1038" s="270"/>
      <c r="X1038" s="270"/>
      <c r="Y1038" s="270"/>
      <c r="Z1038" s="270"/>
      <c r="AA1038" s="114"/>
      <c r="AB1038" s="85"/>
      <c r="AC1038" s="85"/>
      <c r="AD1038" s="85"/>
      <c r="AE1038" s="85"/>
    </row>
    <row r="1039" spans="3:31" x14ac:dyDescent="0.3">
      <c r="C1039" s="450"/>
      <c r="D1039" s="182"/>
      <c r="E1039" s="182"/>
      <c r="F1039" s="182"/>
      <c r="G1039" s="450" t="str">
        <f t="shared" si="48"/>
        <v>--</v>
      </c>
      <c r="H1039" s="182"/>
      <c r="I1039" s="892"/>
      <c r="J1039" s="288"/>
      <c r="K1039" s="288"/>
      <c r="L1039" s="182"/>
      <c r="M1039" s="270"/>
      <c r="N1039" s="892"/>
      <c r="O1039" s="892"/>
      <c r="P1039" s="275"/>
      <c r="Q1039" s="895">
        <v>0</v>
      </c>
      <c r="R1039" s="114"/>
      <c r="S1039" s="884"/>
      <c r="T1039" s="270"/>
      <c r="U1039" s="270"/>
      <c r="V1039" s="270"/>
      <c r="W1039" s="270"/>
      <c r="X1039" s="270"/>
      <c r="Y1039" s="270"/>
      <c r="Z1039" s="270"/>
      <c r="AA1039" s="114"/>
      <c r="AB1039" s="85"/>
      <c r="AC1039" s="85"/>
      <c r="AD1039" s="85"/>
      <c r="AE1039" s="85"/>
    </row>
    <row r="1040" spans="3:31" x14ac:dyDescent="0.3">
      <c r="C1040" s="450"/>
      <c r="D1040" s="182"/>
      <c r="E1040" s="182"/>
      <c r="F1040" s="182"/>
      <c r="G1040" s="450" t="str">
        <f t="shared" si="48"/>
        <v>--</v>
      </c>
      <c r="H1040" s="182"/>
      <c r="I1040" s="892"/>
      <c r="J1040" s="288"/>
      <c r="K1040" s="288"/>
      <c r="L1040" s="182"/>
      <c r="M1040" s="270"/>
      <c r="N1040" s="892"/>
      <c r="O1040" s="892"/>
      <c r="P1040" s="269"/>
      <c r="Q1040" s="895">
        <v>0</v>
      </c>
      <c r="R1040" s="114"/>
      <c r="S1040" s="884"/>
      <c r="T1040" s="270"/>
      <c r="U1040" s="114"/>
      <c r="V1040" s="114"/>
      <c r="W1040" s="114"/>
      <c r="X1040" s="114"/>
      <c r="Y1040" s="114"/>
      <c r="Z1040" s="114"/>
      <c r="AA1040" s="114"/>
      <c r="AB1040" s="85"/>
      <c r="AC1040" s="85"/>
      <c r="AD1040" s="85"/>
      <c r="AE1040" s="85"/>
    </row>
    <row r="1041" spans="3:31" x14ac:dyDescent="0.3">
      <c r="C1041" s="450"/>
      <c r="D1041" s="182"/>
      <c r="E1041" s="182"/>
      <c r="F1041" s="182"/>
      <c r="G1041" s="450" t="str">
        <f t="shared" si="48"/>
        <v>--</v>
      </c>
      <c r="H1041" s="182"/>
      <c r="I1041" s="892"/>
      <c r="J1041" s="288"/>
      <c r="K1041" s="288"/>
      <c r="L1041" s="182"/>
      <c r="M1041" s="270"/>
      <c r="N1041" s="892"/>
      <c r="O1041" s="892"/>
      <c r="P1041" s="263" t="s">
        <v>46</v>
      </c>
      <c r="Q1041" s="897">
        <f>SUM(Q1035:Q1040)</f>
        <v>1</v>
      </c>
      <c r="R1041" s="899"/>
      <c r="S1041" s="900"/>
      <c r="T1041" s="270"/>
      <c r="U1041" s="114"/>
      <c r="V1041" s="114"/>
      <c r="W1041" s="114"/>
      <c r="X1041" s="114"/>
      <c r="Y1041" s="114"/>
      <c r="Z1041" s="114"/>
      <c r="AA1041" s="114"/>
      <c r="AB1041" s="85"/>
      <c r="AC1041" s="85"/>
      <c r="AD1041" s="85"/>
      <c r="AE1041" s="85"/>
    </row>
    <row r="1042" spans="3:31" x14ac:dyDescent="0.3">
      <c r="C1042" s="450"/>
      <c r="D1042" s="182"/>
      <c r="E1042" s="182"/>
      <c r="F1042" s="182"/>
      <c r="G1042" s="450" t="str">
        <f t="shared" si="48"/>
        <v>--</v>
      </c>
      <c r="H1042" s="182"/>
      <c r="I1042" s="892"/>
      <c r="J1042" s="288"/>
      <c r="K1042" s="288"/>
      <c r="L1042" s="270"/>
      <c r="M1042" s="270"/>
      <c r="N1042" s="923"/>
      <c r="O1042" s="923"/>
      <c r="P1042" s="270"/>
      <c r="Q1042" s="270"/>
      <c r="R1042" s="270"/>
      <c r="S1042" s="270"/>
      <c r="T1042" s="270"/>
      <c r="U1042" s="114"/>
      <c r="V1042" s="114"/>
      <c r="W1042" s="114"/>
      <c r="X1042" s="114"/>
      <c r="Y1042" s="114"/>
      <c r="Z1042" s="114"/>
      <c r="AA1042" s="114"/>
      <c r="AB1042" s="85"/>
      <c r="AC1042" s="85"/>
      <c r="AD1042" s="85"/>
      <c r="AE1042" s="85"/>
    </row>
    <row r="1043" spans="3:31" ht="15" thickBot="1" x14ac:dyDescent="0.35">
      <c r="C1043" s="450"/>
      <c r="D1043" s="182"/>
      <c r="E1043" s="182"/>
      <c r="F1043" s="182"/>
      <c r="G1043" s="450" t="str">
        <f t="shared" si="48"/>
        <v>--</v>
      </c>
      <c r="H1043" s="182"/>
      <c r="I1043" s="892"/>
      <c r="J1043" s="892"/>
      <c r="K1043" s="182"/>
      <c r="L1043" s="182"/>
      <c r="M1043" s="901" t="s">
        <v>155</v>
      </c>
      <c r="N1043" s="870" t="s">
        <v>188</v>
      </c>
      <c r="O1043" s="870"/>
      <c r="P1043" s="276" t="s">
        <v>52</v>
      </c>
      <c r="Q1043" s="871" t="s">
        <v>155</v>
      </c>
      <c r="R1043" s="902"/>
      <c r="S1043" s="874"/>
      <c r="T1043" s="270"/>
      <c r="U1043" s="114"/>
      <c r="V1043" s="114"/>
      <c r="W1043" s="114"/>
      <c r="X1043" s="114"/>
      <c r="Y1043" s="114"/>
      <c r="Z1043" s="114"/>
      <c r="AA1043" s="114"/>
      <c r="AB1043" s="85"/>
      <c r="AC1043" s="85"/>
      <c r="AD1043" s="85"/>
      <c r="AE1043" s="85"/>
    </row>
    <row r="1044" spans="3:31" ht="15" thickBot="1" x14ac:dyDescent="0.35">
      <c r="C1044" s="566" t="s">
        <v>89</v>
      </c>
      <c r="D1044" s="875" t="str">
        <f>VLOOKUP(C1044,'Airport Mapping'!$C$5:$D$39,2,FALSE)</f>
        <v xml:space="preserve"> </v>
      </c>
      <c r="E1044" s="567" t="s">
        <v>8</v>
      </c>
      <c r="F1044" s="567" t="s">
        <v>52</v>
      </c>
      <c r="G1044" s="450" t="str">
        <f t="shared" si="48"/>
        <v>Rental Car Center A-Other-Other 1</v>
      </c>
      <c r="H1044" s="567" t="s">
        <v>362</v>
      </c>
      <c r="I1044" s="877" t="s">
        <v>64</v>
      </c>
      <c r="J1044" s="878">
        <f>SUMIFS('Level of Efficiency Assumptions'!J:J,'Level of Efficiency Assumptions'!D:D,E1044,'Level of Efficiency Assumptions'!F:F,F1044,'Level of Efficiency Assumptions'!I:I,I1044)</f>
        <v>10</v>
      </c>
      <c r="K1044" s="383" t="s">
        <v>588</v>
      </c>
      <c r="L1044" s="253" t="s">
        <v>64</v>
      </c>
      <c r="M1044" s="879">
        <f>SUM(Q1044:Q1044)</f>
        <v>0</v>
      </c>
      <c r="N1044" s="880">
        <f>IFERROR(M1044/M1047,"-")</f>
        <v>0</v>
      </c>
      <c r="O1044" s="881">
        <f>SUMIFS('Data Entry'!R:R,'Data Entry'!K:K,G1044)</f>
        <v>0</v>
      </c>
      <c r="P1044" s="272" t="s">
        <v>129</v>
      </c>
      <c r="Q1044" s="895">
        <v>0</v>
      </c>
      <c r="R1044" s="114"/>
      <c r="S1044" s="884"/>
      <c r="T1044" s="270"/>
      <c r="U1044" s="114"/>
      <c r="V1044" s="114"/>
      <c r="W1044" s="114"/>
      <c r="X1044" s="114"/>
      <c r="Y1044" s="114"/>
      <c r="Z1044" s="114"/>
      <c r="AA1044" s="114"/>
      <c r="AB1044" s="85"/>
      <c r="AC1044" s="85"/>
      <c r="AD1044" s="85"/>
      <c r="AE1044" s="85"/>
    </row>
    <row r="1045" spans="3:31" ht="15" thickBot="1" x14ac:dyDescent="0.35">
      <c r="C1045" s="494" t="s">
        <v>89</v>
      </c>
      <c r="D1045" s="577"/>
      <c r="E1045" s="577" t="s">
        <v>8</v>
      </c>
      <c r="F1045" s="577" t="s">
        <v>52</v>
      </c>
      <c r="G1045" s="450" t="str">
        <f t="shared" si="48"/>
        <v>Rental Car Center A-Other-Other 1</v>
      </c>
      <c r="H1045" s="577"/>
      <c r="I1045" s="887" t="s">
        <v>65</v>
      </c>
      <c r="J1045" s="878">
        <f>SUMIFS('Level of Efficiency Assumptions'!J:J,'Level of Efficiency Assumptions'!D:D,E1045,'Level of Efficiency Assumptions'!F:F,F1045,'Level of Efficiency Assumptions'!I:I,I1045)</f>
        <v>7.5</v>
      </c>
      <c r="K1045" s="383" t="s">
        <v>588</v>
      </c>
      <c r="L1045" s="255" t="s">
        <v>65</v>
      </c>
      <c r="M1045" s="879">
        <f t="shared" ref="M1045:M1046" si="49">SUM(Q1045:Q1045)</f>
        <v>1</v>
      </c>
      <c r="N1045" s="880">
        <f>IFERROR(M1045/M1047,"-")</f>
        <v>1</v>
      </c>
      <c r="O1045" s="881">
        <f>SUMIFS('Data Entry'!S:S,'Data Entry'!K:K,G1045)</f>
        <v>0</v>
      </c>
      <c r="P1045" s="274" t="s">
        <v>233</v>
      </c>
      <c r="Q1045" s="895">
        <v>1</v>
      </c>
      <c r="R1045" s="114"/>
      <c r="S1045" s="884"/>
      <c r="T1045" s="270"/>
      <c r="U1045" s="114"/>
      <c r="V1045" s="114"/>
      <c r="W1045" s="114"/>
      <c r="X1045" s="114"/>
      <c r="Y1045" s="114"/>
      <c r="Z1045" s="114"/>
      <c r="AA1045" s="114"/>
      <c r="AB1045" s="85"/>
      <c r="AC1045" s="85"/>
      <c r="AD1045" s="85"/>
      <c r="AE1045" s="85"/>
    </row>
    <row r="1046" spans="3:31" ht="15" thickBot="1" x14ac:dyDescent="0.35">
      <c r="C1046" s="501" t="s">
        <v>89</v>
      </c>
      <c r="D1046" s="116"/>
      <c r="E1046" s="116" t="s">
        <v>8</v>
      </c>
      <c r="F1046" s="116" t="s">
        <v>52</v>
      </c>
      <c r="G1046" s="450" t="str">
        <f t="shared" si="48"/>
        <v>Rental Car Center A-Other-Other 1</v>
      </c>
      <c r="H1046" s="116"/>
      <c r="I1046" s="889" t="s">
        <v>66</v>
      </c>
      <c r="J1046" s="890">
        <f>SUMIFS('Level of Efficiency Assumptions'!J:J,'Level of Efficiency Assumptions'!D:D,E1046,'Level of Efficiency Assumptions'!F:F,F1046,'Level of Efficiency Assumptions'!I:I,I1046)</f>
        <v>5</v>
      </c>
      <c r="K1046" s="383" t="s">
        <v>588</v>
      </c>
      <c r="L1046" s="257" t="s">
        <v>66</v>
      </c>
      <c r="M1046" s="879">
        <f t="shared" si="49"/>
        <v>0</v>
      </c>
      <c r="N1046" s="880">
        <f>IFERROR(M1046/M1047,"-")</f>
        <v>0</v>
      </c>
      <c r="O1046" s="881">
        <f>SUMIFS('Data Entry'!T:T,'Data Entry'!K:K,G1046)</f>
        <v>0</v>
      </c>
      <c r="P1046" s="269" t="s">
        <v>234</v>
      </c>
      <c r="Q1046" s="895">
        <v>0</v>
      </c>
      <c r="R1046" s="114"/>
      <c r="S1046" s="884"/>
      <c r="T1046" s="270"/>
      <c r="U1046" s="114"/>
      <c r="V1046" s="114"/>
      <c r="W1046" s="114"/>
      <c r="X1046" s="114"/>
      <c r="Y1046" s="114"/>
      <c r="Z1046" s="114"/>
      <c r="AA1046" s="114"/>
      <c r="AB1046" s="85"/>
      <c r="AC1046" s="85"/>
      <c r="AD1046" s="85"/>
      <c r="AE1046" s="85"/>
    </row>
    <row r="1047" spans="3:31" x14ac:dyDescent="0.3">
      <c r="C1047" s="450"/>
      <c r="D1047" s="182"/>
      <c r="E1047" s="182"/>
      <c r="F1047" s="182"/>
      <c r="G1047" s="450" t="str">
        <f t="shared" si="48"/>
        <v>--</v>
      </c>
      <c r="H1047" s="182"/>
      <c r="I1047" s="440"/>
      <c r="J1047" s="892"/>
      <c r="K1047" s="259"/>
      <c r="L1047" s="259" t="s">
        <v>46</v>
      </c>
      <c r="M1047" s="893">
        <f>SUM(M1044:M1046)</f>
        <v>1</v>
      </c>
      <c r="N1047" s="894"/>
      <c r="O1047" s="894">
        <f>SUM(O1044:O1046)</f>
        <v>0</v>
      </c>
      <c r="P1047" s="263" t="s">
        <v>46</v>
      </c>
      <c r="Q1047" s="897">
        <f>SUM(Q1044:Q1046)</f>
        <v>1</v>
      </c>
      <c r="R1047" s="899"/>
      <c r="S1047" s="900"/>
      <c r="T1047" s="270"/>
      <c r="U1047" s="114"/>
      <c r="V1047" s="114"/>
      <c r="W1047" s="114"/>
      <c r="X1047" s="114"/>
      <c r="Y1047" s="114"/>
      <c r="Z1047" s="114"/>
      <c r="AA1047" s="114"/>
      <c r="AB1047" s="85"/>
      <c r="AC1047" s="85"/>
      <c r="AD1047" s="85"/>
      <c r="AE1047" s="85"/>
    </row>
    <row r="1048" spans="3:31" x14ac:dyDescent="0.3">
      <c r="C1048" s="450"/>
      <c r="D1048" s="182"/>
      <c r="E1048" s="182"/>
      <c r="F1048" s="182"/>
      <c r="G1048" s="450" t="str">
        <f t="shared" si="48"/>
        <v>--</v>
      </c>
      <c r="H1048" s="182"/>
      <c r="I1048" s="892"/>
      <c r="J1048" s="288"/>
      <c r="K1048" s="182"/>
      <c r="L1048" s="182"/>
      <c r="M1048" s="270"/>
      <c r="N1048" s="892"/>
      <c r="O1048" s="892"/>
      <c r="P1048" s="270"/>
      <c r="Q1048" s="270"/>
      <c r="R1048" s="270"/>
      <c r="S1048" s="270"/>
      <c r="T1048" s="270"/>
      <c r="U1048" s="114"/>
      <c r="V1048" s="114"/>
      <c r="W1048" s="114"/>
      <c r="X1048" s="114"/>
      <c r="Y1048" s="114"/>
      <c r="Z1048" s="114"/>
      <c r="AA1048" s="114"/>
      <c r="AB1048" s="85"/>
      <c r="AC1048" s="85"/>
      <c r="AD1048" s="85"/>
      <c r="AE1048" s="85"/>
    </row>
    <row r="1049" spans="3:31" ht="15" thickBot="1" x14ac:dyDescent="0.35">
      <c r="C1049" s="450"/>
      <c r="D1049" s="182"/>
      <c r="E1049" s="182"/>
      <c r="F1049" s="182"/>
      <c r="G1049" s="450" t="str">
        <f t="shared" si="48"/>
        <v>--</v>
      </c>
      <c r="H1049" s="182"/>
      <c r="I1049" s="892"/>
      <c r="J1049" s="892"/>
      <c r="K1049" s="182"/>
      <c r="L1049" s="182"/>
      <c r="M1049" s="901" t="s">
        <v>155</v>
      </c>
      <c r="N1049" s="870" t="s">
        <v>188</v>
      </c>
      <c r="O1049" s="870"/>
      <c r="P1049" s="276" t="s">
        <v>53</v>
      </c>
      <c r="Q1049" s="871" t="s">
        <v>155</v>
      </c>
      <c r="R1049" s="902"/>
      <c r="S1049" s="874"/>
      <c r="T1049" s="270"/>
      <c r="U1049" s="114"/>
      <c r="V1049" s="114"/>
      <c r="W1049" s="114"/>
      <c r="X1049" s="114"/>
      <c r="Y1049" s="114"/>
      <c r="Z1049" s="114"/>
      <c r="AA1049" s="114"/>
      <c r="AB1049" s="85"/>
      <c r="AC1049" s="85"/>
      <c r="AD1049" s="85"/>
      <c r="AE1049" s="85"/>
    </row>
    <row r="1050" spans="3:31" ht="15" thickBot="1" x14ac:dyDescent="0.35">
      <c r="C1050" s="566" t="s">
        <v>89</v>
      </c>
      <c r="D1050" s="875" t="str">
        <f>VLOOKUP(C1050,'Airport Mapping'!$C$5:$D$39,2,FALSE)</f>
        <v xml:space="preserve"> </v>
      </c>
      <c r="E1050" s="567" t="s">
        <v>8</v>
      </c>
      <c r="F1050" s="567" t="s">
        <v>53</v>
      </c>
      <c r="G1050" s="450" t="str">
        <f t="shared" si="48"/>
        <v>Rental Car Center A-Other-Other 2</v>
      </c>
      <c r="H1050" s="567" t="s">
        <v>363</v>
      </c>
      <c r="I1050" s="877" t="s">
        <v>64</v>
      </c>
      <c r="J1050" s="878">
        <f>SUMIFS('Level of Efficiency Assumptions'!J:J,'Level of Efficiency Assumptions'!D:D,E1050,'Level of Efficiency Assumptions'!F:F,F1050,'Level of Efficiency Assumptions'!I:I,I1050)</f>
        <v>10</v>
      </c>
      <c r="K1050" s="383" t="s">
        <v>588</v>
      </c>
      <c r="L1050" s="253" t="s">
        <v>64</v>
      </c>
      <c r="M1050" s="879">
        <f>SUM(Q1050:Q1050)</f>
        <v>0</v>
      </c>
      <c r="N1050" s="880">
        <f>IFERROR(M1050/M1053,"-")</f>
        <v>0</v>
      </c>
      <c r="O1050" s="881">
        <f>SUMIFS('Data Entry'!R:R,'Data Entry'!K:K,G1050)</f>
        <v>0</v>
      </c>
      <c r="P1050" s="272" t="s">
        <v>129</v>
      </c>
      <c r="Q1050" s="895">
        <v>0</v>
      </c>
      <c r="R1050" s="114"/>
      <c r="S1050" s="884"/>
      <c r="T1050" s="270"/>
      <c r="U1050" s="114"/>
      <c r="V1050" s="114"/>
      <c r="W1050" s="114"/>
      <c r="X1050" s="114"/>
      <c r="Y1050" s="114"/>
      <c r="Z1050" s="114"/>
      <c r="AA1050" s="114"/>
      <c r="AB1050" s="85"/>
      <c r="AC1050" s="85"/>
      <c r="AD1050" s="85"/>
      <c r="AE1050" s="85"/>
    </row>
    <row r="1051" spans="3:31" ht="15" thickBot="1" x14ac:dyDescent="0.35">
      <c r="C1051" s="494" t="s">
        <v>89</v>
      </c>
      <c r="D1051" s="577"/>
      <c r="E1051" s="577" t="s">
        <v>8</v>
      </c>
      <c r="F1051" s="577" t="s">
        <v>53</v>
      </c>
      <c r="G1051" s="450" t="str">
        <f t="shared" si="48"/>
        <v>Rental Car Center A-Other-Other 2</v>
      </c>
      <c r="H1051" s="577"/>
      <c r="I1051" s="887" t="s">
        <v>65</v>
      </c>
      <c r="J1051" s="878">
        <f>SUMIFS('Level of Efficiency Assumptions'!J:J,'Level of Efficiency Assumptions'!D:D,E1051,'Level of Efficiency Assumptions'!F:F,F1051,'Level of Efficiency Assumptions'!I:I,I1051)</f>
        <v>7.5</v>
      </c>
      <c r="K1051" s="383" t="s">
        <v>588</v>
      </c>
      <c r="L1051" s="255" t="s">
        <v>65</v>
      </c>
      <c r="M1051" s="879">
        <f t="shared" ref="M1051:M1052" si="50">SUM(Q1051:Q1051)</f>
        <v>1</v>
      </c>
      <c r="N1051" s="880">
        <f>IFERROR(M1051/M1053,"-")</f>
        <v>1</v>
      </c>
      <c r="O1051" s="881">
        <f>SUMIFS('Data Entry'!S:S,'Data Entry'!K:K,G1051)</f>
        <v>0</v>
      </c>
      <c r="P1051" s="274" t="s">
        <v>233</v>
      </c>
      <c r="Q1051" s="895">
        <v>1</v>
      </c>
      <c r="R1051" s="114"/>
      <c r="S1051" s="884"/>
      <c r="T1051" s="270"/>
      <c r="U1051" s="114"/>
      <c r="V1051" s="114"/>
      <c r="W1051" s="114"/>
      <c r="X1051" s="114"/>
      <c r="Y1051" s="114"/>
      <c r="Z1051" s="114"/>
      <c r="AA1051" s="114"/>
      <c r="AB1051" s="85"/>
      <c r="AC1051" s="85"/>
      <c r="AD1051" s="85"/>
      <c r="AE1051" s="85"/>
    </row>
    <row r="1052" spans="3:31" ht="15" thickBot="1" x14ac:dyDescent="0.35">
      <c r="C1052" s="501" t="s">
        <v>89</v>
      </c>
      <c r="D1052" s="116"/>
      <c r="E1052" s="116" t="s">
        <v>8</v>
      </c>
      <c r="F1052" s="116" t="s">
        <v>53</v>
      </c>
      <c r="G1052" s="450" t="str">
        <f t="shared" si="48"/>
        <v>Rental Car Center A-Other-Other 2</v>
      </c>
      <c r="H1052" s="116"/>
      <c r="I1052" s="889" t="s">
        <v>66</v>
      </c>
      <c r="J1052" s="890">
        <f>SUMIFS('Level of Efficiency Assumptions'!J:J,'Level of Efficiency Assumptions'!D:D,E1052,'Level of Efficiency Assumptions'!F:F,F1052,'Level of Efficiency Assumptions'!I:I,I1052)</f>
        <v>5</v>
      </c>
      <c r="K1052" s="383" t="s">
        <v>588</v>
      </c>
      <c r="L1052" s="257" t="s">
        <v>66</v>
      </c>
      <c r="M1052" s="879">
        <f t="shared" si="50"/>
        <v>0</v>
      </c>
      <c r="N1052" s="880">
        <f>IFERROR(M1052/M1053,"-")</f>
        <v>0</v>
      </c>
      <c r="O1052" s="881">
        <f>SUMIFS('Data Entry'!T:T,'Data Entry'!K:K,G1052)</f>
        <v>0</v>
      </c>
      <c r="P1052" s="269" t="s">
        <v>234</v>
      </c>
      <c r="Q1052" s="895">
        <v>0</v>
      </c>
      <c r="R1052" s="114"/>
      <c r="S1052" s="884"/>
      <c r="T1052" s="270"/>
      <c r="U1052" s="114"/>
      <c r="V1052" s="114"/>
      <c r="W1052" s="114"/>
      <c r="X1052" s="114"/>
      <c r="Y1052" s="114"/>
      <c r="Z1052" s="114"/>
      <c r="AA1052" s="114"/>
      <c r="AB1052" s="85"/>
      <c r="AC1052" s="85"/>
      <c r="AD1052" s="85"/>
      <c r="AE1052" s="85"/>
    </row>
    <row r="1053" spans="3:31" x14ac:dyDescent="0.3">
      <c r="C1053" s="450"/>
      <c r="D1053" s="182"/>
      <c r="E1053" s="182"/>
      <c r="F1053" s="182"/>
      <c r="G1053" s="450" t="str">
        <f t="shared" si="48"/>
        <v>--</v>
      </c>
      <c r="H1053" s="182"/>
      <c r="I1053" s="440"/>
      <c r="J1053" s="892"/>
      <c r="K1053" s="259"/>
      <c r="L1053" s="259" t="s">
        <v>46</v>
      </c>
      <c r="M1053" s="893">
        <f>SUM(M1050:M1052)</f>
        <v>1</v>
      </c>
      <c r="N1053" s="894"/>
      <c r="O1053" s="894">
        <f>SUM(O1050:O1052)</f>
        <v>0</v>
      </c>
      <c r="P1053" s="263" t="s">
        <v>46</v>
      </c>
      <c r="Q1053" s="897">
        <f>SUM(Q1050:Q1052)</f>
        <v>1</v>
      </c>
      <c r="R1053" s="899"/>
      <c r="S1053" s="900"/>
      <c r="T1053" s="270"/>
      <c r="U1053" s="114"/>
      <c r="V1053" s="114"/>
      <c r="W1053" s="114"/>
      <c r="X1053" s="114"/>
      <c r="Y1053" s="114"/>
      <c r="Z1053" s="114"/>
      <c r="AA1053" s="114"/>
      <c r="AB1053" s="85"/>
      <c r="AC1053" s="85"/>
      <c r="AD1053" s="85"/>
      <c r="AE1053" s="85"/>
    </row>
    <row r="1054" spans="3:31" x14ac:dyDescent="0.3">
      <c r="C1054" s="450"/>
      <c r="D1054" s="182"/>
      <c r="E1054" s="182"/>
      <c r="F1054" s="182"/>
      <c r="G1054" s="450" t="str">
        <f t="shared" si="48"/>
        <v>--</v>
      </c>
      <c r="H1054" s="182"/>
      <c r="I1054" s="892"/>
      <c r="J1054" s="288"/>
      <c r="K1054" s="182"/>
      <c r="L1054" s="182"/>
      <c r="M1054" s="270"/>
      <c r="N1054" s="892"/>
      <c r="O1054" s="892"/>
      <c r="P1054" s="270"/>
      <c r="Q1054" s="270"/>
      <c r="R1054" s="270"/>
      <c r="S1054" s="270"/>
      <c r="T1054" s="270"/>
      <c r="U1054" s="114"/>
      <c r="V1054" s="114"/>
      <c r="W1054" s="114"/>
      <c r="X1054" s="114"/>
      <c r="Y1054" s="114"/>
      <c r="Z1054" s="114"/>
      <c r="AA1054" s="114"/>
      <c r="AB1054" s="85"/>
      <c r="AC1054" s="85"/>
      <c r="AD1054" s="85"/>
      <c r="AE1054" s="85"/>
    </row>
    <row r="1055" spans="3:31" ht="15" thickBot="1" x14ac:dyDescent="0.35">
      <c r="C1055" s="450"/>
      <c r="D1055" s="182"/>
      <c r="E1055" s="182"/>
      <c r="F1055" s="182"/>
      <c r="G1055" s="450" t="str">
        <f t="shared" si="48"/>
        <v>--</v>
      </c>
      <c r="H1055" s="182"/>
      <c r="I1055" s="892"/>
      <c r="J1055" s="892"/>
      <c r="K1055" s="182"/>
      <c r="L1055" s="182"/>
      <c r="M1055" s="901" t="s">
        <v>155</v>
      </c>
      <c r="N1055" s="870" t="s">
        <v>188</v>
      </c>
      <c r="O1055" s="870"/>
      <c r="P1055" s="276" t="s">
        <v>54</v>
      </c>
      <c r="Q1055" s="871" t="s">
        <v>155</v>
      </c>
      <c r="R1055" s="902"/>
      <c r="S1055" s="874"/>
      <c r="T1055" s="270"/>
      <c r="U1055" s="114"/>
      <c r="V1055" s="114"/>
      <c r="W1055" s="114"/>
      <c r="X1055" s="114"/>
      <c r="Y1055" s="114"/>
      <c r="Z1055" s="114"/>
      <c r="AA1055" s="114"/>
      <c r="AB1055" s="85"/>
      <c r="AC1055" s="85"/>
      <c r="AD1055" s="85"/>
      <c r="AE1055" s="85"/>
    </row>
    <row r="1056" spans="3:31" ht="15" thickBot="1" x14ac:dyDescent="0.35">
      <c r="C1056" s="566" t="s">
        <v>89</v>
      </c>
      <c r="D1056" s="875" t="str">
        <f>VLOOKUP(C1056,'Airport Mapping'!$C$5:$D$39,2,FALSE)</f>
        <v xml:space="preserve"> </v>
      </c>
      <c r="E1056" s="567" t="s">
        <v>8</v>
      </c>
      <c r="F1056" s="567" t="s">
        <v>54</v>
      </c>
      <c r="G1056" s="450" t="str">
        <f t="shared" si="48"/>
        <v>Rental Car Center A-Other-Other 3</v>
      </c>
      <c r="H1056" s="567" t="s">
        <v>364</v>
      </c>
      <c r="I1056" s="877" t="s">
        <v>64</v>
      </c>
      <c r="J1056" s="878">
        <f>SUMIFS('Level of Efficiency Assumptions'!J:J,'Level of Efficiency Assumptions'!D:D,E1056,'Level of Efficiency Assumptions'!F:F,F1056,'Level of Efficiency Assumptions'!I:I,I1056)</f>
        <v>10</v>
      </c>
      <c r="K1056" s="383" t="s">
        <v>588</v>
      </c>
      <c r="L1056" s="253" t="s">
        <v>64</v>
      </c>
      <c r="M1056" s="879">
        <f>SUM(Q1056:Q1056)</f>
        <v>0</v>
      </c>
      <c r="N1056" s="880">
        <f>IFERROR(M1056/M1059,"-")</f>
        <v>0</v>
      </c>
      <c r="O1056" s="881">
        <f>SUMIFS('Data Entry'!R:R,'Data Entry'!K:K,G1056)</f>
        <v>0</v>
      </c>
      <c r="P1056" s="272" t="s">
        <v>129</v>
      </c>
      <c r="Q1056" s="895">
        <v>0</v>
      </c>
      <c r="R1056" s="114"/>
      <c r="S1056" s="884"/>
      <c r="T1056" s="270"/>
      <c r="U1056" s="114"/>
      <c r="V1056" s="114"/>
      <c r="W1056" s="114"/>
      <c r="X1056" s="114"/>
      <c r="Y1056" s="114"/>
      <c r="Z1056" s="114"/>
      <c r="AA1056" s="114"/>
      <c r="AB1056" s="85"/>
      <c r="AC1056" s="85"/>
      <c r="AD1056" s="85"/>
      <c r="AE1056" s="85"/>
    </row>
    <row r="1057" spans="3:31" s="45" customFormat="1" ht="15" thickBot="1" x14ac:dyDescent="0.35">
      <c r="C1057" s="494" t="s">
        <v>89</v>
      </c>
      <c r="D1057" s="577"/>
      <c r="E1057" s="577" t="s">
        <v>8</v>
      </c>
      <c r="F1057" s="577" t="s">
        <v>54</v>
      </c>
      <c r="G1057" s="450" t="str">
        <f t="shared" si="48"/>
        <v>Rental Car Center A-Other-Other 3</v>
      </c>
      <c r="H1057" s="577"/>
      <c r="I1057" s="887" t="s">
        <v>65</v>
      </c>
      <c r="J1057" s="878">
        <f>SUMIFS('Level of Efficiency Assumptions'!J:J,'Level of Efficiency Assumptions'!D:D,E1057,'Level of Efficiency Assumptions'!F:F,F1057,'Level of Efficiency Assumptions'!I:I,I1057)</f>
        <v>7.5</v>
      </c>
      <c r="K1057" s="383" t="s">
        <v>588</v>
      </c>
      <c r="L1057" s="255" t="s">
        <v>65</v>
      </c>
      <c r="M1057" s="879">
        <f t="shared" ref="M1057:M1058" si="51">SUM(Q1057:Q1057)</f>
        <v>1</v>
      </c>
      <c r="N1057" s="880">
        <f>IFERROR(M1057/M1059,"-")</f>
        <v>1</v>
      </c>
      <c r="O1057" s="881">
        <f>SUMIFS('Data Entry'!S:S,'Data Entry'!K:K,G1057)</f>
        <v>0</v>
      </c>
      <c r="P1057" s="274" t="s">
        <v>233</v>
      </c>
      <c r="Q1057" s="895">
        <v>1</v>
      </c>
      <c r="R1057" s="114"/>
      <c r="S1057" s="884"/>
      <c r="T1057" s="270"/>
      <c r="U1057" s="114"/>
      <c r="V1057" s="114"/>
      <c r="W1057" s="114"/>
      <c r="X1057" s="114"/>
      <c r="Y1057" s="114"/>
      <c r="Z1057" s="114"/>
      <c r="AA1057" s="114"/>
      <c r="AB1057" s="85"/>
      <c r="AC1057" s="85"/>
      <c r="AD1057" s="85"/>
      <c r="AE1057" s="85"/>
    </row>
    <row r="1058" spans="3:31" s="45" customFormat="1" ht="15" thickBot="1" x14ac:dyDescent="0.35">
      <c r="C1058" s="501" t="s">
        <v>89</v>
      </c>
      <c r="D1058" s="116"/>
      <c r="E1058" s="116" t="s">
        <v>8</v>
      </c>
      <c r="F1058" s="116" t="s">
        <v>54</v>
      </c>
      <c r="G1058" s="450" t="str">
        <f t="shared" si="48"/>
        <v>Rental Car Center A-Other-Other 3</v>
      </c>
      <c r="H1058" s="116"/>
      <c r="I1058" s="889" t="s">
        <v>66</v>
      </c>
      <c r="J1058" s="890">
        <f>SUMIFS('Level of Efficiency Assumptions'!J:J,'Level of Efficiency Assumptions'!D:D,E1058,'Level of Efficiency Assumptions'!F:F,F1058,'Level of Efficiency Assumptions'!I:I,I1058)</f>
        <v>5</v>
      </c>
      <c r="K1058" s="383" t="s">
        <v>588</v>
      </c>
      <c r="L1058" s="257" t="s">
        <v>66</v>
      </c>
      <c r="M1058" s="879">
        <f t="shared" si="51"/>
        <v>0</v>
      </c>
      <c r="N1058" s="880">
        <f>IFERROR(M1058/M1059,"-")</f>
        <v>0</v>
      </c>
      <c r="O1058" s="881">
        <f>SUMIFS('Data Entry'!T:T,'Data Entry'!K:K,G1058)</f>
        <v>0</v>
      </c>
      <c r="P1058" s="269" t="s">
        <v>234</v>
      </c>
      <c r="Q1058" s="895">
        <v>0</v>
      </c>
      <c r="R1058" s="114"/>
      <c r="S1058" s="884"/>
      <c r="T1058" s="270"/>
      <c r="U1058" s="114"/>
      <c r="V1058" s="114"/>
      <c r="W1058" s="114"/>
      <c r="X1058" s="114"/>
      <c r="Y1058" s="114"/>
      <c r="Z1058" s="114"/>
      <c r="AA1058" s="114"/>
      <c r="AB1058" s="85"/>
      <c r="AC1058" s="85"/>
      <c r="AD1058" s="85"/>
      <c r="AE1058" s="85"/>
    </row>
    <row r="1059" spans="3:31" s="45" customFormat="1" x14ac:dyDescent="0.3">
      <c r="C1059" s="450"/>
      <c r="D1059" s="182"/>
      <c r="E1059" s="182"/>
      <c r="F1059" s="182"/>
      <c r="G1059" s="450" t="str">
        <f t="shared" si="48"/>
        <v>--</v>
      </c>
      <c r="H1059" s="182"/>
      <c r="I1059" s="440"/>
      <c r="J1059" s="892"/>
      <c r="K1059" s="259"/>
      <c r="L1059" s="259" t="s">
        <v>46</v>
      </c>
      <c r="M1059" s="893">
        <f>SUM(M1056:M1058)</f>
        <v>1</v>
      </c>
      <c r="N1059" s="894"/>
      <c r="O1059" s="894">
        <f>SUM(O1056:O1058)</f>
        <v>0</v>
      </c>
      <c r="P1059" s="263" t="s">
        <v>46</v>
      </c>
      <c r="Q1059" s="897">
        <f>SUM(Q1056:Q1058)</f>
        <v>1</v>
      </c>
      <c r="R1059" s="899"/>
      <c r="S1059" s="900"/>
      <c r="T1059" s="270"/>
      <c r="U1059" s="114"/>
      <c r="V1059" s="114"/>
      <c r="W1059" s="114"/>
      <c r="X1059" s="114"/>
      <c r="Y1059" s="114"/>
      <c r="Z1059" s="114"/>
      <c r="AA1059" s="114"/>
      <c r="AB1059" s="85"/>
      <c r="AC1059" s="85"/>
      <c r="AD1059" s="85"/>
      <c r="AE1059" s="85"/>
    </row>
    <row r="1060" spans="3:31" s="45" customFormat="1" ht="15" thickBot="1" x14ac:dyDescent="0.35">
      <c r="C1060" s="451"/>
      <c r="D1060" s="184"/>
      <c r="E1060" s="184"/>
      <c r="F1060" s="184"/>
      <c r="G1060" s="450" t="str">
        <f t="shared" si="48"/>
        <v>--</v>
      </c>
      <c r="H1060" s="184"/>
      <c r="I1060" s="281"/>
      <c r="J1060" s="281"/>
      <c r="K1060" s="184"/>
      <c r="L1060" s="918"/>
      <c r="M1060" s="278"/>
      <c r="N1060" s="919"/>
      <c r="O1060" s="919"/>
      <c r="P1060" s="279"/>
      <c r="Q1060" s="278"/>
      <c r="R1060" s="278"/>
      <c r="S1060" s="278"/>
      <c r="T1060" s="278"/>
      <c r="U1060" s="920"/>
      <c r="V1060" s="278"/>
      <c r="W1060" s="278"/>
      <c r="X1060" s="278"/>
      <c r="Y1060" s="114"/>
      <c r="Z1060" s="114"/>
      <c r="AA1060" s="114"/>
      <c r="AB1060" s="85"/>
      <c r="AC1060" s="85"/>
      <c r="AD1060" s="85"/>
      <c r="AE1060" s="85"/>
    </row>
    <row r="1061" spans="3:31" s="45" customFormat="1" x14ac:dyDescent="0.3">
      <c r="C1061" s="450"/>
      <c r="D1061" s="182"/>
      <c r="E1061" s="182"/>
      <c r="F1061" s="182"/>
      <c r="G1061" s="450"/>
      <c r="H1061" s="182"/>
      <c r="I1061" s="892"/>
      <c r="J1061" s="892"/>
      <c r="K1061" s="182"/>
      <c r="L1061" s="921"/>
      <c r="M1061" s="114"/>
      <c r="N1061" s="922"/>
      <c r="O1061" s="922"/>
      <c r="P1061" s="280"/>
      <c r="Q1061" s="114"/>
      <c r="R1061" s="114"/>
      <c r="S1061" s="114"/>
      <c r="T1061" s="114"/>
      <c r="U1061" s="870"/>
      <c r="V1061" s="114"/>
      <c r="W1061" s="114"/>
      <c r="X1061" s="114"/>
      <c r="Y1061" s="114"/>
      <c r="Z1061" s="114"/>
      <c r="AA1061" s="114"/>
      <c r="AB1061" s="85"/>
      <c r="AC1061" s="85"/>
      <c r="AD1061" s="85"/>
      <c r="AE1061" s="85"/>
    </row>
    <row r="1062" spans="3:31" ht="15" thickBot="1" x14ac:dyDescent="0.35">
      <c r="C1062" s="450"/>
      <c r="D1062" s="182"/>
      <c r="E1062" s="182"/>
      <c r="F1062" s="182"/>
      <c r="G1062" s="450" t="str">
        <f t="shared" ref="G1062:G1154" si="52">C1062&amp;"-"&amp;E1062&amp;"-"&amp;F1062</f>
        <v>--</v>
      </c>
      <c r="H1062" s="182"/>
      <c r="I1062" s="892"/>
      <c r="J1062" s="892"/>
      <c r="K1062" s="182"/>
      <c r="L1062" s="182"/>
      <c r="M1062" s="901" t="s">
        <v>155</v>
      </c>
      <c r="N1062" s="870" t="s">
        <v>188</v>
      </c>
      <c r="O1062" s="870"/>
      <c r="P1062" s="252" t="s">
        <v>158</v>
      </c>
      <c r="Q1062" s="871" t="s">
        <v>155</v>
      </c>
      <c r="R1062" s="872" t="s">
        <v>168</v>
      </c>
      <c r="S1062" s="872" t="s">
        <v>169</v>
      </c>
      <c r="T1062" s="873"/>
      <c r="U1062" s="874"/>
      <c r="V1062" s="270"/>
      <c r="W1062" s="270"/>
      <c r="X1062" s="270"/>
      <c r="Y1062" s="114"/>
      <c r="Z1062" s="270"/>
      <c r="AA1062" s="114"/>
      <c r="AB1062" s="85"/>
      <c r="AC1062" s="85"/>
      <c r="AD1062" s="85"/>
      <c r="AE1062" s="85"/>
    </row>
    <row r="1063" spans="3:31" ht="15" thickBot="1" x14ac:dyDescent="0.35">
      <c r="C1063" s="566" t="s">
        <v>90</v>
      </c>
      <c r="D1063" s="875" t="str">
        <f>VLOOKUP(C1063,'Airport Mapping'!$C$5:$D$39,2,FALSE)</f>
        <v xml:space="preserve"> </v>
      </c>
      <c r="E1063" s="567" t="s">
        <v>37</v>
      </c>
      <c r="F1063" s="567" t="s">
        <v>2</v>
      </c>
      <c r="G1063" s="450" t="str">
        <f t="shared" si="52"/>
        <v>Rental Car Center B-Restrooms-Toilets</v>
      </c>
      <c r="H1063" s="567" t="s">
        <v>3</v>
      </c>
      <c r="I1063" s="877" t="s">
        <v>64</v>
      </c>
      <c r="J1063" s="878">
        <f>SUMIFS('Level of Efficiency Assumptions'!J:J,'Level of Efficiency Assumptions'!D:D,E1063,'Level of Efficiency Assumptions'!F:F,F1063,'Level of Efficiency Assumptions'!I:I,I1063)</f>
        <v>3.5</v>
      </c>
      <c r="K1063" s="383" t="s">
        <v>68</v>
      </c>
      <c r="L1063" s="253" t="s">
        <v>64</v>
      </c>
      <c r="M1063" s="879">
        <f>Q1063+Q1069</f>
        <v>0</v>
      </c>
      <c r="N1063" s="880">
        <f>IFERROR(M1063/M1066,"-")</f>
        <v>0</v>
      </c>
      <c r="O1063" s="881">
        <f>SUMIFS('Data Entry'!R:R,'Data Entry'!K:K,G1063)</f>
        <v>0</v>
      </c>
      <c r="P1063" s="254" t="s">
        <v>159</v>
      </c>
      <c r="Q1063" s="882">
        <v>0</v>
      </c>
      <c r="R1063" s="883"/>
      <c r="S1063" s="883"/>
      <c r="T1063" s="114" t="s">
        <v>182</v>
      </c>
      <c r="U1063" s="884"/>
      <c r="V1063" s="270"/>
      <c r="W1063" s="270"/>
      <c r="X1063" s="270"/>
      <c r="Y1063" s="114"/>
      <c r="Z1063" s="270"/>
      <c r="AA1063" s="114"/>
      <c r="AB1063" s="85"/>
      <c r="AC1063" s="85"/>
      <c r="AD1063" s="85"/>
      <c r="AE1063" s="85"/>
    </row>
    <row r="1064" spans="3:31" ht="15" thickBot="1" x14ac:dyDescent="0.35">
      <c r="C1064" s="494" t="s">
        <v>90</v>
      </c>
      <c r="D1064" s="577"/>
      <c r="E1064" s="577" t="s">
        <v>37</v>
      </c>
      <c r="F1064" s="577" t="s">
        <v>2</v>
      </c>
      <c r="G1064" s="450" t="str">
        <f t="shared" si="52"/>
        <v>Rental Car Center B-Restrooms-Toilets</v>
      </c>
      <c r="H1064" s="577"/>
      <c r="I1064" s="887" t="s">
        <v>65</v>
      </c>
      <c r="J1064" s="878">
        <f>SUMIFS('Level of Efficiency Assumptions'!J:J,'Level of Efficiency Assumptions'!D:D,E1064,'Level of Efficiency Assumptions'!F:F,F1064,'Level of Efficiency Assumptions'!I:I,I1064)</f>
        <v>1.6</v>
      </c>
      <c r="K1064" s="383" t="s">
        <v>68</v>
      </c>
      <c r="L1064" s="255" t="s">
        <v>65</v>
      </c>
      <c r="M1064" s="879">
        <f>Q1064+Q1067+Q1070</f>
        <v>1</v>
      </c>
      <c r="N1064" s="880">
        <f>IFERROR(M1064/M1066,"-")</f>
        <v>1</v>
      </c>
      <c r="O1064" s="881">
        <f>SUMIFS('Data Entry'!S:S,'Data Entry'!K:K,G1064)</f>
        <v>0</v>
      </c>
      <c r="P1064" s="256" t="s">
        <v>161</v>
      </c>
      <c r="Q1064" s="882">
        <v>1</v>
      </c>
      <c r="R1064" s="883"/>
      <c r="S1064" s="883"/>
      <c r="T1064" s="114" t="s">
        <v>184</v>
      </c>
      <c r="U1064" s="884"/>
      <c r="V1064" s="270"/>
      <c r="W1064" s="270"/>
      <c r="X1064" s="270"/>
      <c r="Y1064" s="114"/>
      <c r="Z1064" s="270"/>
      <c r="AA1064" s="114"/>
      <c r="AB1064" s="85"/>
      <c r="AC1064" s="85"/>
      <c r="AD1064" s="85"/>
      <c r="AE1064" s="85"/>
    </row>
    <row r="1065" spans="3:31" ht="15" thickBot="1" x14ac:dyDescent="0.35">
      <c r="C1065" s="501" t="s">
        <v>90</v>
      </c>
      <c r="D1065" s="116"/>
      <c r="E1065" s="116" t="s">
        <v>37</v>
      </c>
      <c r="F1065" s="116" t="s">
        <v>2</v>
      </c>
      <c r="G1065" s="450" t="str">
        <f t="shared" si="52"/>
        <v>Rental Car Center B-Restrooms-Toilets</v>
      </c>
      <c r="H1065" s="116"/>
      <c r="I1065" s="889" t="s">
        <v>66</v>
      </c>
      <c r="J1065" s="890">
        <f>SUMIFS('Level of Efficiency Assumptions'!J:J,'Level of Efficiency Assumptions'!D:D,E1065,'Level of Efficiency Assumptions'!F:F,F1065,'Level of Efficiency Assumptions'!I:I,I1065)</f>
        <v>1.28</v>
      </c>
      <c r="K1065" s="383" t="s">
        <v>68</v>
      </c>
      <c r="L1065" s="257" t="s">
        <v>66</v>
      </c>
      <c r="M1065" s="879">
        <f>Q1065+Q1066+Q1068+Q1071+Q1072</f>
        <v>0</v>
      </c>
      <c r="N1065" s="880">
        <f>IFERROR(M1065/M1066,"-")</f>
        <v>0</v>
      </c>
      <c r="O1065" s="881">
        <f>SUMIFS('Data Entry'!T:T,'Data Entry'!K:K,G1065)</f>
        <v>0</v>
      </c>
      <c r="P1065" s="258" t="s">
        <v>163</v>
      </c>
      <c r="Q1065" s="882">
        <v>0</v>
      </c>
      <c r="R1065" s="883"/>
      <c r="S1065" s="883"/>
      <c r="T1065" s="891"/>
      <c r="U1065" s="884"/>
      <c r="V1065" s="270"/>
      <c r="W1065" s="270"/>
      <c r="X1065" s="270"/>
      <c r="Y1065" s="114"/>
      <c r="Z1065" s="270"/>
      <c r="AA1065" s="114"/>
      <c r="AB1065" s="85"/>
      <c r="AC1065" s="85"/>
      <c r="AD1065" s="85"/>
      <c r="AE1065" s="85"/>
    </row>
    <row r="1066" spans="3:31" x14ac:dyDescent="0.3">
      <c r="C1066" s="450"/>
      <c r="D1066" s="182"/>
      <c r="E1066" s="182"/>
      <c r="F1066" s="182"/>
      <c r="G1066" s="450" t="str">
        <f t="shared" si="52"/>
        <v>--</v>
      </c>
      <c r="H1066" s="182"/>
      <c r="I1066" s="440"/>
      <c r="J1066" s="892"/>
      <c r="K1066" s="259"/>
      <c r="L1066" s="259" t="s">
        <v>46</v>
      </c>
      <c r="M1066" s="893">
        <f>SUM(M1063:M1065)</f>
        <v>1</v>
      </c>
      <c r="N1066" s="894"/>
      <c r="O1066" s="894">
        <f>SUM(O1063:O1065)</f>
        <v>0</v>
      </c>
      <c r="P1066" s="258" t="s">
        <v>165</v>
      </c>
      <c r="Q1066" s="882">
        <v>0</v>
      </c>
      <c r="R1066" s="883"/>
      <c r="S1066" s="883"/>
      <c r="T1066" s="891"/>
      <c r="U1066" s="884"/>
      <c r="V1066" s="270"/>
      <c r="W1066" s="270"/>
      <c r="X1066" s="270"/>
      <c r="Y1066" s="114"/>
      <c r="Z1066" s="270"/>
      <c r="AA1066" s="114"/>
      <c r="AB1066" s="85"/>
      <c r="AC1066" s="85"/>
      <c r="AD1066" s="85"/>
      <c r="AE1066" s="85"/>
    </row>
    <row r="1067" spans="3:31" ht="15" thickBot="1" x14ac:dyDescent="0.35">
      <c r="C1067" s="450"/>
      <c r="D1067" s="182"/>
      <c r="E1067" s="182"/>
      <c r="F1067" s="182"/>
      <c r="G1067" s="450" t="str">
        <f t="shared" si="52"/>
        <v>--</v>
      </c>
      <c r="H1067" s="182"/>
      <c r="I1067" s="892"/>
      <c r="J1067" s="288"/>
      <c r="K1067" s="182"/>
      <c r="L1067" s="181"/>
      <c r="M1067" s="181"/>
      <c r="N1067" s="892"/>
      <c r="O1067" s="892"/>
      <c r="P1067" s="256" t="s">
        <v>166</v>
      </c>
      <c r="Q1067" s="895">
        <v>0</v>
      </c>
      <c r="R1067" s="883"/>
      <c r="S1067" s="883"/>
      <c r="T1067" s="891"/>
      <c r="U1067" s="896"/>
      <c r="V1067" s="891"/>
      <c r="W1067" s="270"/>
      <c r="X1067" s="270"/>
      <c r="Y1067" s="114"/>
      <c r="Z1067" s="270"/>
      <c r="AA1067" s="114"/>
      <c r="AB1067" s="85"/>
      <c r="AC1067" s="85"/>
      <c r="AD1067" s="85"/>
      <c r="AE1067" s="85"/>
    </row>
    <row r="1068" spans="3:31" x14ac:dyDescent="0.3">
      <c r="C1068" s="450"/>
      <c r="D1068" s="182"/>
      <c r="E1068" s="182"/>
      <c r="F1068" s="182"/>
      <c r="G1068" s="450" t="str">
        <f t="shared" si="52"/>
        <v>--</v>
      </c>
      <c r="H1068" s="182"/>
      <c r="I1068" s="892"/>
      <c r="J1068" s="288"/>
      <c r="K1068" s="182"/>
      <c r="L1068" s="1384" t="s">
        <v>377</v>
      </c>
      <c r="M1068" s="1385"/>
      <c r="N1068" s="1385"/>
      <c r="O1068" s="1386"/>
      <c r="P1068" s="258" t="s">
        <v>167</v>
      </c>
      <c r="Q1068" s="895">
        <v>0</v>
      </c>
      <c r="R1068" s="883"/>
      <c r="S1068" s="883"/>
      <c r="T1068" s="891"/>
      <c r="U1068" s="896"/>
      <c r="V1068" s="891"/>
      <c r="W1068" s="270"/>
      <c r="X1068" s="270"/>
      <c r="Y1068" s="270"/>
      <c r="Z1068" s="270"/>
      <c r="AA1068" s="114"/>
      <c r="AB1068" s="85"/>
      <c r="AC1068" s="85"/>
      <c r="AD1068" s="85"/>
      <c r="AE1068" s="85"/>
    </row>
    <row r="1069" spans="3:31" x14ac:dyDescent="0.3">
      <c r="C1069" s="450"/>
      <c r="D1069" s="182"/>
      <c r="E1069" s="182"/>
      <c r="F1069" s="182"/>
      <c r="G1069" s="450" t="str">
        <f t="shared" si="52"/>
        <v>--</v>
      </c>
      <c r="H1069" s="182"/>
      <c r="I1069" s="892"/>
      <c r="J1069" s="288"/>
      <c r="K1069" s="182"/>
      <c r="L1069" s="1387"/>
      <c r="M1069" s="1388"/>
      <c r="N1069" s="1388"/>
      <c r="O1069" s="1389"/>
      <c r="P1069" s="254" t="s">
        <v>160</v>
      </c>
      <c r="Q1069" s="895">
        <v>0</v>
      </c>
      <c r="R1069" s="891"/>
      <c r="S1069" s="891"/>
      <c r="T1069" s="891"/>
      <c r="U1069" s="896"/>
      <c r="V1069" s="891"/>
      <c r="W1069" s="270"/>
      <c r="X1069" s="270"/>
      <c r="Y1069" s="270"/>
      <c r="Z1069" s="270"/>
      <c r="AA1069" s="114"/>
      <c r="AB1069" s="85"/>
      <c r="AC1069" s="85"/>
      <c r="AD1069" s="85"/>
      <c r="AE1069" s="85"/>
    </row>
    <row r="1070" spans="3:31" x14ac:dyDescent="0.3">
      <c r="C1070" s="450"/>
      <c r="D1070" s="182"/>
      <c r="E1070" s="182"/>
      <c r="F1070" s="182"/>
      <c r="G1070" s="450" t="str">
        <f t="shared" si="52"/>
        <v>--</v>
      </c>
      <c r="H1070" s="182"/>
      <c r="I1070" s="892"/>
      <c r="J1070" s="288"/>
      <c r="K1070" s="182"/>
      <c r="L1070" s="1387"/>
      <c r="M1070" s="1388"/>
      <c r="N1070" s="1388"/>
      <c r="O1070" s="1389"/>
      <c r="P1070" s="256" t="s">
        <v>162</v>
      </c>
      <c r="Q1070" s="895">
        <v>0</v>
      </c>
      <c r="R1070" s="891"/>
      <c r="S1070" s="891"/>
      <c r="T1070" s="891"/>
      <c r="U1070" s="896"/>
      <c r="V1070" s="891"/>
      <c r="W1070" s="270"/>
      <c r="X1070" s="270"/>
      <c r="Y1070" s="270"/>
      <c r="Z1070" s="270"/>
      <c r="AA1070" s="114"/>
      <c r="AB1070" s="85"/>
      <c r="AC1070" s="85"/>
      <c r="AD1070" s="85"/>
      <c r="AE1070" s="85"/>
    </row>
    <row r="1071" spans="3:31" ht="15" thickBot="1" x14ac:dyDescent="0.35">
      <c r="C1071" s="450"/>
      <c r="D1071" s="182"/>
      <c r="E1071" s="182"/>
      <c r="F1071" s="182"/>
      <c r="G1071" s="450" t="str">
        <f t="shared" si="52"/>
        <v>--</v>
      </c>
      <c r="H1071" s="182"/>
      <c r="I1071" s="892"/>
      <c r="J1071" s="288"/>
      <c r="K1071" s="182"/>
      <c r="L1071" s="1390"/>
      <c r="M1071" s="1391"/>
      <c r="N1071" s="1391"/>
      <c r="O1071" s="1392"/>
      <c r="P1071" s="258" t="s">
        <v>164</v>
      </c>
      <c r="Q1071" s="895">
        <v>0</v>
      </c>
      <c r="R1071" s="114"/>
      <c r="S1071" s="891"/>
      <c r="T1071" s="114"/>
      <c r="U1071" s="884"/>
      <c r="V1071" s="114"/>
      <c r="W1071" s="270"/>
      <c r="X1071" s="270"/>
      <c r="Y1071" s="270"/>
      <c r="Z1071" s="270"/>
      <c r="AA1071" s="114"/>
      <c r="AB1071" s="85"/>
      <c r="AC1071" s="85"/>
      <c r="AD1071" s="85"/>
      <c r="AE1071" s="85"/>
    </row>
    <row r="1072" spans="3:31" x14ac:dyDescent="0.3">
      <c r="C1072" s="450"/>
      <c r="D1072" s="182"/>
      <c r="E1072" s="182"/>
      <c r="F1072" s="182"/>
      <c r="G1072" s="450" t="str">
        <f t="shared" si="52"/>
        <v>--</v>
      </c>
      <c r="H1072" s="182"/>
      <c r="I1072" s="892"/>
      <c r="J1072" s="288"/>
      <c r="K1072" s="182"/>
      <c r="L1072" s="181"/>
      <c r="M1072" s="181"/>
      <c r="N1072" s="892"/>
      <c r="O1072" s="892"/>
      <c r="P1072" s="258" t="s">
        <v>187</v>
      </c>
      <c r="Q1072" s="895">
        <v>0</v>
      </c>
      <c r="R1072" s="114"/>
      <c r="S1072" s="891"/>
      <c r="T1072" s="114"/>
      <c r="U1072" s="884"/>
      <c r="V1072" s="114"/>
      <c r="W1072" s="270"/>
      <c r="X1072" s="270"/>
      <c r="Y1072" s="270"/>
      <c r="Z1072" s="270"/>
      <c r="AA1072" s="114"/>
      <c r="AB1072" s="85"/>
      <c r="AC1072" s="85"/>
      <c r="AD1072" s="85"/>
      <c r="AE1072" s="85"/>
    </row>
    <row r="1073" spans="3:31" x14ac:dyDescent="0.3">
      <c r="C1073" s="450"/>
      <c r="D1073" s="182"/>
      <c r="E1073" s="182"/>
      <c r="F1073" s="182"/>
      <c r="G1073" s="450" t="str">
        <f t="shared" si="52"/>
        <v>--</v>
      </c>
      <c r="H1073" s="182"/>
      <c r="I1073" s="892"/>
      <c r="J1073" s="288"/>
      <c r="K1073" s="182"/>
      <c r="L1073" s="181"/>
      <c r="M1073" s="181"/>
      <c r="N1073" s="892"/>
      <c r="O1073" s="892"/>
      <c r="P1073" s="263" t="s">
        <v>46</v>
      </c>
      <c r="Q1073" s="897">
        <f>SUM(Q1063:Q1072)</f>
        <v>1</v>
      </c>
      <c r="R1073" s="898"/>
      <c r="S1073" s="898"/>
      <c r="T1073" s="899"/>
      <c r="U1073" s="900"/>
      <c r="V1073" s="114"/>
      <c r="W1073" s="270"/>
      <c r="X1073" s="270"/>
      <c r="Y1073" s="270"/>
      <c r="Z1073" s="270"/>
      <c r="AA1073" s="114"/>
      <c r="AB1073" s="85"/>
      <c r="AC1073" s="85"/>
      <c r="AD1073" s="85"/>
      <c r="AE1073" s="85"/>
    </row>
    <row r="1074" spans="3:31" x14ac:dyDescent="0.3">
      <c r="C1074" s="450"/>
      <c r="D1074" s="182"/>
      <c r="E1074" s="182"/>
      <c r="F1074" s="182"/>
      <c r="G1074" s="450" t="str">
        <f t="shared" si="52"/>
        <v>--</v>
      </c>
      <c r="H1074" s="182"/>
      <c r="I1074" s="892"/>
      <c r="J1074" s="288"/>
      <c r="K1074" s="182"/>
      <c r="L1074" s="181"/>
      <c r="M1074" s="181"/>
      <c r="N1074" s="892"/>
      <c r="O1074" s="892"/>
      <c r="P1074" s="114"/>
      <c r="Q1074" s="114"/>
      <c r="R1074" s="891"/>
      <c r="S1074" s="891"/>
      <c r="T1074" s="114"/>
      <c r="U1074" s="114"/>
      <c r="V1074" s="114"/>
      <c r="W1074" s="270"/>
      <c r="X1074" s="270"/>
      <c r="Y1074" s="270"/>
      <c r="Z1074" s="270"/>
      <c r="AA1074" s="114"/>
      <c r="AB1074" s="85"/>
      <c r="AC1074" s="85"/>
      <c r="AD1074" s="85"/>
      <c r="AE1074" s="85"/>
    </row>
    <row r="1075" spans="3:31" ht="15" thickBot="1" x14ac:dyDescent="0.35">
      <c r="C1075" s="450"/>
      <c r="D1075" s="182"/>
      <c r="E1075" s="182"/>
      <c r="F1075" s="182"/>
      <c r="G1075" s="450" t="str">
        <f t="shared" si="52"/>
        <v>--</v>
      </c>
      <c r="H1075" s="182"/>
      <c r="I1075" s="892"/>
      <c r="J1075" s="892"/>
      <c r="K1075" s="182"/>
      <c r="L1075" s="182"/>
      <c r="M1075" s="901" t="s">
        <v>155</v>
      </c>
      <c r="N1075" s="870" t="s">
        <v>188</v>
      </c>
      <c r="O1075" s="870"/>
      <c r="P1075" s="252" t="s">
        <v>175</v>
      </c>
      <c r="Q1075" s="871" t="s">
        <v>155</v>
      </c>
      <c r="R1075" s="872" t="s">
        <v>168</v>
      </c>
      <c r="S1075" s="872" t="s">
        <v>169</v>
      </c>
      <c r="T1075" s="902"/>
      <c r="U1075" s="903"/>
      <c r="V1075" s="270"/>
      <c r="W1075" s="270"/>
      <c r="X1075" s="270"/>
      <c r="Y1075" s="270"/>
      <c r="Z1075" s="270"/>
      <c r="AA1075" s="114"/>
      <c r="AB1075" s="85"/>
      <c r="AC1075" s="85"/>
      <c r="AD1075" s="85"/>
      <c r="AE1075" s="85"/>
    </row>
    <row r="1076" spans="3:31" ht="15" thickBot="1" x14ac:dyDescent="0.35">
      <c r="C1076" s="566" t="s">
        <v>90</v>
      </c>
      <c r="D1076" s="875" t="str">
        <f>VLOOKUP(C1076,'Airport Mapping'!$C$5:$D$39,2,FALSE)</f>
        <v xml:space="preserve"> </v>
      </c>
      <c r="E1076" s="567" t="s">
        <v>37</v>
      </c>
      <c r="F1076" s="567" t="s">
        <v>4</v>
      </c>
      <c r="G1076" s="450" t="str">
        <f t="shared" si="52"/>
        <v>Rental Car Center B-Restrooms-Urinals</v>
      </c>
      <c r="H1076" s="567" t="s">
        <v>3</v>
      </c>
      <c r="I1076" s="877" t="s">
        <v>64</v>
      </c>
      <c r="J1076" s="878">
        <f>SUMIFS('Level of Efficiency Assumptions'!J:J,'Level of Efficiency Assumptions'!D:D,E1076,'Level of Efficiency Assumptions'!F:F,F1076,'Level of Efficiency Assumptions'!I:I,I1076)</f>
        <v>2</v>
      </c>
      <c r="K1076" s="383" t="s">
        <v>68</v>
      </c>
      <c r="L1076" s="253" t="s">
        <v>64</v>
      </c>
      <c r="M1076" s="879">
        <f>Q1076+Q1077</f>
        <v>0</v>
      </c>
      <c r="N1076" s="880">
        <f>IFERROR(M1076/M1079,"-")</f>
        <v>0</v>
      </c>
      <c r="O1076" s="881">
        <f>SUMIFS('Data Entry'!R:R,'Data Entry'!K:K,G1076)</f>
        <v>0</v>
      </c>
      <c r="P1076" s="254" t="s">
        <v>177</v>
      </c>
      <c r="Q1076" s="882">
        <v>0</v>
      </c>
      <c r="R1076" s="883"/>
      <c r="S1076" s="883"/>
      <c r="T1076" s="114"/>
      <c r="U1076" s="904"/>
      <c r="V1076" s="270"/>
      <c r="W1076" s="270"/>
      <c r="X1076" s="270"/>
      <c r="Y1076" s="270"/>
      <c r="Z1076" s="270"/>
      <c r="AA1076" s="114"/>
      <c r="AB1076" s="85"/>
      <c r="AC1076" s="85"/>
      <c r="AD1076" s="85"/>
      <c r="AE1076" s="85"/>
    </row>
    <row r="1077" spans="3:31" ht="15" thickBot="1" x14ac:dyDescent="0.35">
      <c r="C1077" s="494" t="s">
        <v>90</v>
      </c>
      <c r="D1077" s="577"/>
      <c r="E1077" s="577" t="s">
        <v>37</v>
      </c>
      <c r="F1077" s="577" t="s">
        <v>4</v>
      </c>
      <c r="G1077" s="450" t="str">
        <f t="shared" si="52"/>
        <v>Rental Car Center B-Restrooms-Urinals</v>
      </c>
      <c r="H1077" s="577"/>
      <c r="I1077" s="887" t="s">
        <v>65</v>
      </c>
      <c r="J1077" s="878">
        <f>SUMIFS('Level of Efficiency Assumptions'!J:J,'Level of Efficiency Assumptions'!D:D,E1077,'Level of Efficiency Assumptions'!F:F,F1077,'Level of Efficiency Assumptions'!I:I,I1077)</f>
        <v>1</v>
      </c>
      <c r="K1077" s="383" t="s">
        <v>68</v>
      </c>
      <c r="L1077" s="255" t="s">
        <v>65</v>
      </c>
      <c r="M1077" s="879">
        <f>Q1078+Q1079</f>
        <v>1</v>
      </c>
      <c r="N1077" s="880">
        <f>IFERROR(M1077/M1079,"-")</f>
        <v>1</v>
      </c>
      <c r="O1077" s="881">
        <f>SUMIFS('Data Entry'!S:S,'Data Entry'!K:K,G1077)</f>
        <v>0</v>
      </c>
      <c r="P1077" s="254" t="s">
        <v>179</v>
      </c>
      <c r="Q1077" s="882">
        <v>0</v>
      </c>
      <c r="R1077" s="883"/>
      <c r="S1077" s="883"/>
      <c r="T1077" s="114"/>
      <c r="U1077" s="904"/>
      <c r="V1077" s="270"/>
      <c r="W1077" s="270"/>
      <c r="X1077" s="270"/>
      <c r="Y1077" s="270"/>
      <c r="Z1077" s="270"/>
      <c r="AA1077" s="114"/>
      <c r="AB1077" s="85"/>
      <c r="AC1077" s="85"/>
      <c r="AD1077" s="85"/>
      <c r="AE1077" s="85"/>
    </row>
    <row r="1078" spans="3:31" ht="15" thickBot="1" x14ac:dyDescent="0.35">
      <c r="C1078" s="501" t="s">
        <v>90</v>
      </c>
      <c r="D1078" s="116"/>
      <c r="E1078" s="116" t="s">
        <v>37</v>
      </c>
      <c r="F1078" s="116" t="s">
        <v>4</v>
      </c>
      <c r="G1078" s="450" t="str">
        <f t="shared" si="52"/>
        <v>Rental Car Center B-Restrooms-Urinals</v>
      </c>
      <c r="H1078" s="116"/>
      <c r="I1078" s="889" t="s">
        <v>66</v>
      </c>
      <c r="J1078" s="890">
        <f>SUMIFS('Level of Efficiency Assumptions'!J:J,'Level of Efficiency Assumptions'!D:D,E1078,'Level of Efficiency Assumptions'!F:F,F1078,'Level of Efficiency Assumptions'!I:I,I1078)</f>
        <v>0.125</v>
      </c>
      <c r="K1078" s="383" t="s">
        <v>68</v>
      </c>
      <c r="L1078" s="257" t="s">
        <v>66</v>
      </c>
      <c r="M1078" s="879">
        <f>Q1080+Q1081</f>
        <v>0</v>
      </c>
      <c r="N1078" s="880">
        <f>IFERROR(M1078/M1079,"-")</f>
        <v>0</v>
      </c>
      <c r="O1078" s="881">
        <f>SUMIFS('Data Entry'!T:T,'Data Entry'!K:K,G1078)</f>
        <v>0</v>
      </c>
      <c r="P1078" s="256" t="s">
        <v>189</v>
      </c>
      <c r="Q1078" s="882">
        <v>0</v>
      </c>
      <c r="R1078" s="883"/>
      <c r="S1078" s="883"/>
      <c r="T1078" s="114"/>
      <c r="U1078" s="904"/>
      <c r="V1078" s="270"/>
      <c r="W1078" s="270"/>
      <c r="X1078" s="270"/>
      <c r="Y1078" s="270"/>
      <c r="Z1078" s="270"/>
      <c r="AA1078" s="114"/>
      <c r="AB1078" s="85"/>
      <c r="AC1078" s="85"/>
      <c r="AD1078" s="85"/>
      <c r="AE1078" s="85"/>
    </row>
    <row r="1079" spans="3:31" x14ac:dyDescent="0.3">
      <c r="C1079" s="450"/>
      <c r="D1079" s="182"/>
      <c r="E1079" s="182"/>
      <c r="F1079" s="182"/>
      <c r="G1079" s="450" t="str">
        <f t="shared" si="52"/>
        <v>--</v>
      </c>
      <c r="H1079" s="182"/>
      <c r="I1079" s="440"/>
      <c r="J1079" s="892"/>
      <c r="K1079" s="259"/>
      <c r="L1079" s="259" t="s">
        <v>46</v>
      </c>
      <c r="M1079" s="893">
        <f>SUM(M1076:M1078)</f>
        <v>1</v>
      </c>
      <c r="N1079" s="894"/>
      <c r="O1079" s="894">
        <f>SUM(O1076:O1078)</f>
        <v>0</v>
      </c>
      <c r="P1079" s="256" t="s">
        <v>181</v>
      </c>
      <c r="Q1079" s="882">
        <v>1</v>
      </c>
      <c r="R1079" s="883"/>
      <c r="S1079" s="883"/>
      <c r="T1079" s="114"/>
      <c r="U1079" s="264"/>
      <c r="V1079" s="270"/>
      <c r="W1079" s="270"/>
      <c r="X1079" s="270"/>
      <c r="Y1079" s="270"/>
      <c r="Z1079" s="270"/>
      <c r="AA1079" s="114"/>
      <c r="AB1079" s="85"/>
      <c r="AC1079" s="85"/>
      <c r="AD1079" s="85"/>
      <c r="AE1079" s="85"/>
    </row>
    <row r="1080" spans="3:31" x14ac:dyDescent="0.3">
      <c r="C1080" s="450"/>
      <c r="D1080" s="182"/>
      <c r="E1080" s="182"/>
      <c r="F1080" s="182"/>
      <c r="G1080" s="450" t="str">
        <f t="shared" si="52"/>
        <v>--</v>
      </c>
      <c r="H1080" s="182"/>
      <c r="I1080" s="892"/>
      <c r="J1080" s="288"/>
      <c r="K1080" s="182"/>
      <c r="L1080" s="181"/>
      <c r="M1080" s="181"/>
      <c r="N1080" s="892"/>
      <c r="O1080" s="892"/>
      <c r="P1080" s="258" t="s">
        <v>183</v>
      </c>
      <c r="Q1080" s="882">
        <v>0</v>
      </c>
      <c r="R1080" s="883"/>
      <c r="S1080" s="883"/>
      <c r="T1080" s="114"/>
      <c r="U1080" s="884"/>
      <c r="V1080" s="114"/>
      <c r="W1080" s="270"/>
      <c r="X1080" s="270"/>
      <c r="Y1080" s="270"/>
      <c r="Z1080" s="270"/>
      <c r="AA1080" s="114"/>
      <c r="AB1080" s="85"/>
      <c r="AC1080" s="85"/>
      <c r="AD1080" s="85"/>
      <c r="AE1080" s="85"/>
    </row>
    <row r="1081" spans="3:31" x14ac:dyDescent="0.3">
      <c r="C1081" s="450"/>
      <c r="D1081" s="182"/>
      <c r="E1081" s="182"/>
      <c r="F1081" s="182"/>
      <c r="G1081" s="450" t="str">
        <f t="shared" si="52"/>
        <v>--</v>
      </c>
      <c r="H1081" s="182"/>
      <c r="I1081" s="892"/>
      <c r="J1081" s="288"/>
      <c r="K1081" s="182"/>
      <c r="L1081" s="181"/>
      <c r="M1081" s="181"/>
      <c r="N1081" s="892"/>
      <c r="O1081" s="892"/>
      <c r="P1081" s="258" t="s">
        <v>190</v>
      </c>
      <c r="Q1081" s="882">
        <v>0</v>
      </c>
      <c r="R1081" s="114"/>
      <c r="S1081" s="114"/>
      <c r="T1081" s="114"/>
      <c r="U1081" s="884"/>
      <c r="V1081" s="114"/>
      <c r="W1081" s="270"/>
      <c r="X1081" s="270"/>
      <c r="Y1081" s="270"/>
      <c r="Z1081" s="270"/>
      <c r="AA1081" s="114"/>
      <c r="AB1081" s="85"/>
      <c r="AC1081" s="85"/>
      <c r="AD1081" s="85"/>
      <c r="AE1081" s="85"/>
    </row>
    <row r="1082" spans="3:31" x14ac:dyDescent="0.3">
      <c r="C1082" s="450"/>
      <c r="D1082" s="182"/>
      <c r="E1082" s="182"/>
      <c r="F1082" s="182"/>
      <c r="G1082" s="450" t="str">
        <f t="shared" si="52"/>
        <v>--</v>
      </c>
      <c r="H1082" s="182"/>
      <c r="I1082" s="892"/>
      <c r="J1082" s="288"/>
      <c r="K1082" s="182"/>
      <c r="L1082" s="181"/>
      <c r="M1082" s="181"/>
      <c r="N1082" s="892"/>
      <c r="O1082" s="892"/>
      <c r="P1082" s="263" t="s">
        <v>46</v>
      </c>
      <c r="Q1082" s="897">
        <f>SUM(Q1076:Q1081)</f>
        <v>1</v>
      </c>
      <c r="R1082" s="899"/>
      <c r="S1082" s="899"/>
      <c r="T1082" s="899"/>
      <c r="U1082" s="900"/>
      <c r="V1082" s="114"/>
      <c r="W1082" s="270"/>
      <c r="X1082" s="270"/>
      <c r="Y1082" s="270"/>
      <c r="Z1082" s="270"/>
      <c r="AA1082" s="114"/>
      <c r="AB1082" s="85"/>
      <c r="AC1082" s="85"/>
      <c r="AD1082" s="85"/>
      <c r="AE1082" s="85"/>
    </row>
    <row r="1083" spans="3:31" x14ac:dyDescent="0.3">
      <c r="C1083" s="450"/>
      <c r="D1083" s="182"/>
      <c r="E1083" s="182"/>
      <c r="F1083" s="182"/>
      <c r="G1083" s="450" t="str">
        <f t="shared" si="52"/>
        <v>--</v>
      </c>
      <c r="H1083" s="182"/>
      <c r="I1083" s="892"/>
      <c r="J1083" s="288"/>
      <c r="K1083" s="182"/>
      <c r="L1083" s="181"/>
      <c r="M1083" s="181"/>
      <c r="N1083" s="892"/>
      <c r="O1083" s="892"/>
      <c r="P1083" s="262"/>
      <c r="Q1083" s="114"/>
      <c r="R1083" s="114"/>
      <c r="S1083" s="114"/>
      <c r="T1083" s="114"/>
      <c r="U1083" s="114"/>
      <c r="V1083" s="114"/>
      <c r="W1083" s="270"/>
      <c r="X1083" s="270"/>
      <c r="Y1083" s="270"/>
      <c r="Z1083" s="270"/>
      <c r="AA1083" s="114"/>
      <c r="AB1083" s="85"/>
      <c r="AC1083" s="85"/>
      <c r="AD1083" s="85"/>
      <c r="AE1083" s="85"/>
    </row>
    <row r="1084" spans="3:31" ht="15" thickBot="1" x14ac:dyDescent="0.35">
      <c r="C1084" s="450"/>
      <c r="D1084" s="182"/>
      <c r="E1084" s="182"/>
      <c r="F1084" s="182"/>
      <c r="G1084" s="450" t="str">
        <f t="shared" si="52"/>
        <v>--</v>
      </c>
      <c r="H1084" s="182"/>
      <c r="I1084" s="892"/>
      <c r="J1084" s="892"/>
      <c r="K1084" s="182"/>
      <c r="L1084" s="182"/>
      <c r="M1084" s="901" t="s">
        <v>155</v>
      </c>
      <c r="N1084" s="870" t="s">
        <v>188</v>
      </c>
      <c r="O1084" s="870"/>
      <c r="P1084" s="265" t="s">
        <v>33</v>
      </c>
      <c r="Q1084" s="871" t="s">
        <v>155</v>
      </c>
      <c r="R1084" s="872" t="s">
        <v>168</v>
      </c>
      <c r="S1084" s="872" t="s">
        <v>169</v>
      </c>
      <c r="T1084" s="872" t="s">
        <v>170</v>
      </c>
      <c r="U1084" s="872" t="s">
        <v>171</v>
      </c>
      <c r="V1084" s="902"/>
      <c r="W1084" s="902"/>
      <c r="X1084" s="874"/>
      <c r="Y1084" s="270"/>
      <c r="Z1084" s="270"/>
      <c r="AA1084" s="114"/>
      <c r="AB1084" s="85"/>
      <c r="AC1084" s="85"/>
      <c r="AD1084" s="85"/>
      <c r="AE1084" s="85"/>
    </row>
    <row r="1085" spans="3:31" ht="15" thickBot="1" x14ac:dyDescent="0.35">
      <c r="C1085" s="566" t="s">
        <v>90</v>
      </c>
      <c r="D1085" s="875" t="str">
        <f>VLOOKUP(C1085,'Airport Mapping'!$C$5:$D$39,2,FALSE)</f>
        <v xml:space="preserve"> </v>
      </c>
      <c r="E1085" s="567" t="s">
        <v>37</v>
      </c>
      <c r="F1085" s="567" t="s">
        <v>33</v>
      </c>
      <c r="G1085" s="450" t="str">
        <f t="shared" si="52"/>
        <v>Rental Car Center B-Restrooms-Faucets</v>
      </c>
      <c r="H1085" s="567" t="s">
        <v>3</v>
      </c>
      <c r="I1085" s="877" t="s">
        <v>64</v>
      </c>
      <c r="J1085" s="878">
        <f>SUMIFS('Level of Efficiency Assumptions'!J:J,'Level of Efficiency Assumptions'!D:D,E1085,'Level of Efficiency Assumptions'!F:F,F1085,'Level of Efficiency Assumptions'!I:I,I1085)</f>
        <v>2</v>
      </c>
      <c r="K1085" s="383" t="s">
        <v>78</v>
      </c>
      <c r="L1085" s="253" t="s">
        <v>64</v>
      </c>
      <c r="M1085" s="879">
        <f>Q1085+Q1086</f>
        <v>0</v>
      </c>
      <c r="N1085" s="880">
        <f>IFERROR(M1085/M1088,"-")</f>
        <v>0</v>
      </c>
      <c r="O1085" s="881">
        <f>SUMIFS('Data Entry'!R:R,'Data Entry'!K:K,G1085)</f>
        <v>0</v>
      </c>
      <c r="P1085" s="266" t="s">
        <v>180</v>
      </c>
      <c r="Q1085" s="895">
        <v>0</v>
      </c>
      <c r="R1085" s="883"/>
      <c r="S1085" s="883"/>
      <c r="T1085" s="883"/>
      <c r="U1085" s="883"/>
      <c r="V1085" s="114" t="s">
        <v>182</v>
      </c>
      <c r="W1085" s="114"/>
      <c r="X1085" s="884"/>
      <c r="Y1085" s="270"/>
      <c r="Z1085" s="270"/>
      <c r="AA1085" s="114"/>
      <c r="AB1085" s="85"/>
      <c r="AC1085" s="85"/>
      <c r="AD1085" s="85"/>
      <c r="AE1085" s="85"/>
    </row>
    <row r="1086" spans="3:31" ht="15" thickBot="1" x14ac:dyDescent="0.35">
      <c r="C1086" s="494" t="s">
        <v>90</v>
      </c>
      <c r="D1086" s="577"/>
      <c r="E1086" s="577" t="s">
        <v>37</v>
      </c>
      <c r="F1086" s="577" t="s">
        <v>33</v>
      </c>
      <c r="G1086" s="450" t="str">
        <f t="shared" si="52"/>
        <v>Rental Car Center B-Restrooms-Faucets</v>
      </c>
      <c r="H1086" s="577"/>
      <c r="I1086" s="887" t="s">
        <v>65</v>
      </c>
      <c r="J1086" s="878">
        <f>SUMIFS('Level of Efficiency Assumptions'!J:J,'Level of Efficiency Assumptions'!D:D,E1086,'Level of Efficiency Assumptions'!F:F,F1086,'Level of Efficiency Assumptions'!I:I,I1086)</f>
        <v>1</v>
      </c>
      <c r="K1086" s="383" t="s">
        <v>78</v>
      </c>
      <c r="L1086" s="255" t="s">
        <v>65</v>
      </c>
      <c r="M1086" s="879">
        <f>Q1087+Q1088</f>
        <v>1</v>
      </c>
      <c r="N1086" s="880">
        <f>IFERROR(M1086/M1088,"-")</f>
        <v>1</v>
      </c>
      <c r="O1086" s="881">
        <f>SUMIFS('Data Entry'!S:S,'Data Entry'!K:K,G1086)</f>
        <v>0</v>
      </c>
      <c r="P1086" s="266" t="s">
        <v>178</v>
      </c>
      <c r="Q1086" s="895">
        <v>0</v>
      </c>
      <c r="R1086" s="883"/>
      <c r="S1086" s="883"/>
      <c r="T1086" s="883"/>
      <c r="U1086" s="883"/>
      <c r="V1086" s="114" t="s">
        <v>184</v>
      </c>
      <c r="W1086" s="114"/>
      <c r="X1086" s="884"/>
      <c r="Y1086" s="270"/>
      <c r="Z1086" s="270"/>
      <c r="AA1086" s="114"/>
      <c r="AB1086" s="85"/>
      <c r="AC1086" s="85"/>
      <c r="AD1086" s="85"/>
      <c r="AE1086" s="85"/>
    </row>
    <row r="1087" spans="3:31" ht="15" thickBot="1" x14ac:dyDescent="0.35">
      <c r="C1087" s="501" t="s">
        <v>90</v>
      </c>
      <c r="D1087" s="116"/>
      <c r="E1087" s="116" t="s">
        <v>37</v>
      </c>
      <c r="F1087" s="116" t="s">
        <v>33</v>
      </c>
      <c r="G1087" s="450" t="str">
        <f t="shared" si="52"/>
        <v>Rental Car Center B-Restrooms-Faucets</v>
      </c>
      <c r="H1087" s="116"/>
      <c r="I1087" s="889" t="s">
        <v>66</v>
      </c>
      <c r="J1087" s="890">
        <f>SUMIFS('Level of Efficiency Assumptions'!J:J,'Level of Efficiency Assumptions'!D:D,E1087,'Level of Efficiency Assumptions'!F:F,F1087,'Level of Efficiency Assumptions'!I:I,I1087)</f>
        <v>0.5</v>
      </c>
      <c r="K1087" s="383" t="s">
        <v>78</v>
      </c>
      <c r="L1087" s="257" t="s">
        <v>66</v>
      </c>
      <c r="M1087" s="879">
        <f>Q1089</f>
        <v>0</v>
      </c>
      <c r="N1087" s="880">
        <f>IFERROR(M1087/M1088,"-")</f>
        <v>0</v>
      </c>
      <c r="O1087" s="881">
        <f>SUMIFS('Data Entry'!T:T,'Data Entry'!K:K,G1087)</f>
        <v>0</v>
      </c>
      <c r="P1087" s="267" t="s">
        <v>176</v>
      </c>
      <c r="Q1087" s="895">
        <v>1</v>
      </c>
      <c r="R1087" s="883"/>
      <c r="S1087" s="883"/>
      <c r="T1087" s="883"/>
      <c r="U1087" s="883"/>
      <c r="V1087" s="114" t="s">
        <v>185</v>
      </c>
      <c r="W1087" s="114"/>
      <c r="X1087" s="884"/>
      <c r="Y1087" s="270"/>
      <c r="Z1087" s="270"/>
      <c r="AA1087" s="114"/>
      <c r="AB1087" s="85"/>
      <c r="AC1087" s="85"/>
      <c r="AD1087" s="85"/>
      <c r="AE1087" s="85"/>
    </row>
    <row r="1088" spans="3:31" x14ac:dyDescent="0.3">
      <c r="C1088" s="450"/>
      <c r="D1088" s="182"/>
      <c r="E1088" s="182"/>
      <c r="F1088" s="182"/>
      <c r="G1088" s="450" t="str">
        <f t="shared" si="52"/>
        <v>--</v>
      </c>
      <c r="H1088" s="182"/>
      <c r="I1088" s="440"/>
      <c r="J1088" s="892"/>
      <c r="K1088" s="259"/>
      <c r="L1088" s="259" t="s">
        <v>46</v>
      </c>
      <c r="M1088" s="893">
        <f>SUM(M1085:M1087)</f>
        <v>1</v>
      </c>
      <c r="N1088" s="894"/>
      <c r="O1088" s="894">
        <f>SUM(O1085:O1087)</f>
        <v>0</v>
      </c>
      <c r="P1088" s="256" t="s">
        <v>173</v>
      </c>
      <c r="Q1088" s="895">
        <v>0</v>
      </c>
      <c r="R1088" s="883"/>
      <c r="S1088" s="883"/>
      <c r="T1088" s="883"/>
      <c r="U1088" s="883"/>
      <c r="V1088" s="114" t="s">
        <v>186</v>
      </c>
      <c r="W1088" s="114"/>
      <c r="X1088" s="884"/>
      <c r="Y1088" s="270"/>
      <c r="Z1088" s="270"/>
      <c r="AA1088" s="114"/>
      <c r="AB1088" s="85"/>
      <c r="AC1088" s="85"/>
      <c r="AD1088" s="85"/>
      <c r="AE1088" s="85"/>
    </row>
    <row r="1089" spans="3:31" x14ac:dyDescent="0.3">
      <c r="C1089" s="450"/>
      <c r="D1089" s="182"/>
      <c r="E1089" s="182"/>
      <c r="F1089" s="182"/>
      <c r="G1089" s="450" t="str">
        <f t="shared" si="52"/>
        <v>--</v>
      </c>
      <c r="H1089" s="182"/>
      <c r="I1089" s="892"/>
      <c r="J1089" s="288"/>
      <c r="K1089" s="182"/>
      <c r="L1089" s="114"/>
      <c r="M1089" s="114"/>
      <c r="N1089" s="905"/>
      <c r="O1089" s="905"/>
      <c r="P1089" s="258" t="s">
        <v>172</v>
      </c>
      <c r="Q1089" s="895">
        <v>0</v>
      </c>
      <c r="R1089" s="883"/>
      <c r="S1089" s="883"/>
      <c r="T1089" s="883"/>
      <c r="U1089" s="883"/>
      <c r="V1089" s="114"/>
      <c r="W1089" s="114"/>
      <c r="X1089" s="884"/>
      <c r="Y1089" s="270"/>
      <c r="Z1089" s="270"/>
      <c r="AA1089" s="114"/>
      <c r="AB1089" s="85"/>
      <c r="AC1089" s="85"/>
      <c r="AD1089" s="85"/>
      <c r="AE1089" s="85"/>
    </row>
    <row r="1090" spans="3:31" x14ac:dyDescent="0.3">
      <c r="C1090" s="450"/>
      <c r="D1090" s="182"/>
      <c r="E1090" s="182"/>
      <c r="F1090" s="182"/>
      <c r="G1090" s="450" t="str">
        <f t="shared" si="52"/>
        <v>--</v>
      </c>
      <c r="H1090" s="182"/>
      <c r="I1090" s="892"/>
      <c r="J1090" s="288"/>
      <c r="K1090" s="182"/>
      <c r="L1090" s="181"/>
      <c r="M1090" s="181"/>
      <c r="N1090" s="892"/>
      <c r="O1090" s="892"/>
      <c r="P1090" s="263" t="s">
        <v>46</v>
      </c>
      <c r="Q1090" s="897">
        <f>SUM(Q1084:Q1089)</f>
        <v>1</v>
      </c>
      <c r="R1090" s="899"/>
      <c r="S1090" s="899"/>
      <c r="T1090" s="899"/>
      <c r="U1090" s="899"/>
      <c r="V1090" s="899"/>
      <c r="W1090" s="899"/>
      <c r="X1090" s="900"/>
      <c r="Y1090" s="270"/>
      <c r="Z1090" s="270"/>
      <c r="AA1090" s="114"/>
      <c r="AB1090" s="85"/>
      <c r="AC1090" s="85"/>
      <c r="AD1090" s="85"/>
      <c r="AE1090" s="85"/>
    </row>
    <row r="1091" spans="3:31" x14ac:dyDescent="0.3">
      <c r="C1091" s="450"/>
      <c r="D1091" s="182"/>
      <c r="E1091" s="182"/>
      <c r="F1091" s="182"/>
      <c r="G1091" s="450" t="str">
        <f t="shared" si="52"/>
        <v>--</v>
      </c>
      <c r="H1091" s="182"/>
      <c r="I1091" s="892"/>
      <c r="J1091" s="288"/>
      <c r="K1091" s="182"/>
      <c r="L1091" s="181"/>
      <c r="M1091" s="181"/>
      <c r="N1091" s="892"/>
      <c r="O1091" s="892"/>
      <c r="P1091" s="262"/>
      <c r="Q1091" s="114"/>
      <c r="R1091" s="114"/>
      <c r="S1091" s="114"/>
      <c r="T1091" s="114"/>
      <c r="U1091" s="114"/>
      <c r="V1091" s="114"/>
      <c r="W1091" s="270"/>
      <c r="X1091" s="270"/>
      <c r="Y1091" s="270"/>
      <c r="Z1091" s="270"/>
      <c r="AA1091" s="114"/>
      <c r="AB1091" s="85"/>
      <c r="AC1091" s="85"/>
      <c r="AD1091" s="85"/>
      <c r="AE1091" s="85"/>
    </row>
    <row r="1092" spans="3:31" ht="15" thickBot="1" x14ac:dyDescent="0.35">
      <c r="C1092" s="450"/>
      <c r="D1092" s="182"/>
      <c r="E1092" s="182"/>
      <c r="F1092" s="182"/>
      <c r="G1092" s="450" t="str">
        <f t="shared" si="52"/>
        <v>--</v>
      </c>
      <c r="H1092" s="182"/>
      <c r="I1092" s="892"/>
      <c r="J1092" s="892"/>
      <c r="K1092" s="182"/>
      <c r="L1092" s="182"/>
      <c r="M1092" s="901" t="s">
        <v>155</v>
      </c>
      <c r="N1092" s="870" t="s">
        <v>188</v>
      </c>
      <c r="O1092" s="870"/>
      <c r="P1092" s="265" t="s">
        <v>33</v>
      </c>
      <c r="Q1092" s="871" t="s">
        <v>155</v>
      </c>
      <c r="R1092" s="872" t="s">
        <v>168</v>
      </c>
      <c r="S1092" s="872" t="s">
        <v>169</v>
      </c>
      <c r="T1092" s="872" t="s">
        <v>170</v>
      </c>
      <c r="U1092" s="872" t="s">
        <v>171</v>
      </c>
      <c r="V1092" s="902"/>
      <c r="W1092" s="902"/>
      <c r="X1092" s="874"/>
      <c r="Y1092" s="270"/>
      <c r="Z1092" s="270"/>
      <c r="AA1092" s="114"/>
      <c r="AB1092" s="85"/>
      <c r="AC1092" s="85"/>
      <c r="AD1092" s="85"/>
      <c r="AE1092" s="85"/>
    </row>
    <row r="1093" spans="3:31" ht="15" thickBot="1" x14ac:dyDescent="0.35">
      <c r="C1093" s="566" t="s">
        <v>90</v>
      </c>
      <c r="D1093" s="875" t="str">
        <f>VLOOKUP(C1093,'Airport Mapping'!$C$5:$D$39,2,FALSE)</f>
        <v xml:space="preserve"> </v>
      </c>
      <c r="E1093" s="567" t="s">
        <v>5</v>
      </c>
      <c r="F1093" s="567" t="s">
        <v>33</v>
      </c>
      <c r="G1093" s="450" t="str">
        <f t="shared" si="52"/>
        <v>Rental Car Center B-Break rooms-Faucets</v>
      </c>
      <c r="H1093" s="567" t="s">
        <v>6</v>
      </c>
      <c r="I1093" s="877" t="s">
        <v>64</v>
      </c>
      <c r="J1093" s="878">
        <f>SUMIFS('Level of Efficiency Assumptions'!J:J,'Level of Efficiency Assumptions'!D:D,E1093,'Level of Efficiency Assumptions'!F:F,F1093,'Level of Efficiency Assumptions'!I:I,I1093)</f>
        <v>2</v>
      </c>
      <c r="K1093" s="383" t="s">
        <v>78</v>
      </c>
      <c r="L1093" s="253" t="s">
        <v>64</v>
      </c>
      <c r="M1093" s="879">
        <f>Q1093+Q1094</f>
        <v>0</v>
      </c>
      <c r="N1093" s="880">
        <f>IFERROR(M1093/M1096,"-")</f>
        <v>0</v>
      </c>
      <c r="O1093" s="881">
        <f>SUMIFS('Data Entry'!R:R,'Data Entry'!K:K,G1093)</f>
        <v>0</v>
      </c>
      <c r="P1093" s="266" t="s">
        <v>180</v>
      </c>
      <c r="Q1093" s="895">
        <v>0</v>
      </c>
      <c r="R1093" s="883"/>
      <c r="S1093" s="883"/>
      <c r="T1093" s="883"/>
      <c r="U1093" s="883"/>
      <c r="V1093" s="114" t="s">
        <v>182</v>
      </c>
      <c r="W1093" s="114"/>
      <c r="X1093" s="884"/>
      <c r="Y1093" s="270"/>
      <c r="Z1093" s="270"/>
      <c r="AA1093" s="114"/>
      <c r="AB1093" s="85"/>
      <c r="AC1093" s="85"/>
      <c r="AD1093" s="85"/>
      <c r="AE1093" s="85"/>
    </row>
    <row r="1094" spans="3:31" ht="15" thickBot="1" x14ac:dyDescent="0.35">
      <c r="C1094" s="494" t="s">
        <v>90</v>
      </c>
      <c r="D1094" s="577"/>
      <c r="E1094" s="577" t="s">
        <v>5</v>
      </c>
      <c r="F1094" s="577" t="s">
        <v>33</v>
      </c>
      <c r="G1094" s="450" t="str">
        <f t="shared" si="52"/>
        <v>Rental Car Center B-Break rooms-Faucets</v>
      </c>
      <c r="H1094" s="577"/>
      <c r="I1094" s="887" t="s">
        <v>65</v>
      </c>
      <c r="J1094" s="878">
        <f>SUMIFS('Level of Efficiency Assumptions'!J:J,'Level of Efficiency Assumptions'!D:D,E1094,'Level of Efficiency Assumptions'!F:F,F1094,'Level of Efficiency Assumptions'!I:I,I1094)</f>
        <v>1</v>
      </c>
      <c r="K1094" s="383" t="s">
        <v>78</v>
      </c>
      <c r="L1094" s="255" t="s">
        <v>65</v>
      </c>
      <c r="M1094" s="879">
        <f>Q1095+Q1096</f>
        <v>1</v>
      </c>
      <c r="N1094" s="880">
        <f>IFERROR(M1094/M1096,"-")</f>
        <v>1</v>
      </c>
      <c r="O1094" s="881">
        <f>SUMIFS('Data Entry'!S:S,'Data Entry'!K:K,G1094)</f>
        <v>0</v>
      </c>
      <c r="P1094" s="266" t="s">
        <v>178</v>
      </c>
      <c r="Q1094" s="895">
        <v>0</v>
      </c>
      <c r="R1094" s="883"/>
      <c r="S1094" s="883"/>
      <c r="T1094" s="883"/>
      <c r="U1094" s="883"/>
      <c r="V1094" s="114" t="s">
        <v>184</v>
      </c>
      <c r="W1094" s="114"/>
      <c r="X1094" s="884"/>
      <c r="Y1094" s="270"/>
      <c r="Z1094" s="270"/>
      <c r="AA1094" s="114"/>
      <c r="AB1094" s="85"/>
      <c r="AC1094" s="85"/>
      <c r="AD1094" s="85"/>
      <c r="AE1094" s="85"/>
    </row>
    <row r="1095" spans="3:31" ht="15" thickBot="1" x14ac:dyDescent="0.35">
      <c r="C1095" s="501" t="s">
        <v>90</v>
      </c>
      <c r="D1095" s="116"/>
      <c r="E1095" s="116" t="s">
        <v>5</v>
      </c>
      <c r="F1095" s="116" t="s">
        <v>33</v>
      </c>
      <c r="G1095" s="450" t="str">
        <f t="shared" si="52"/>
        <v>Rental Car Center B-Break rooms-Faucets</v>
      </c>
      <c r="H1095" s="116"/>
      <c r="I1095" s="889" t="s">
        <v>66</v>
      </c>
      <c r="J1095" s="890">
        <f>SUMIFS('Level of Efficiency Assumptions'!J:J,'Level of Efficiency Assumptions'!D:D,E1095,'Level of Efficiency Assumptions'!F:F,F1095,'Level of Efficiency Assumptions'!I:I,I1095)</f>
        <v>0.5</v>
      </c>
      <c r="K1095" s="383" t="s">
        <v>78</v>
      </c>
      <c r="L1095" s="257" t="s">
        <v>66</v>
      </c>
      <c r="M1095" s="879">
        <f>Q1097</f>
        <v>0</v>
      </c>
      <c r="N1095" s="880">
        <f>IFERROR(M1095/M1096,"-")</f>
        <v>0</v>
      </c>
      <c r="O1095" s="881">
        <f>SUMIFS('Data Entry'!T:T,'Data Entry'!K:K,G1095)</f>
        <v>0</v>
      </c>
      <c r="P1095" s="267" t="s">
        <v>176</v>
      </c>
      <c r="Q1095" s="895">
        <v>1</v>
      </c>
      <c r="R1095" s="883"/>
      <c r="S1095" s="883"/>
      <c r="T1095" s="883"/>
      <c r="U1095" s="883"/>
      <c r="V1095" s="114" t="s">
        <v>185</v>
      </c>
      <c r="W1095" s="114"/>
      <c r="X1095" s="884"/>
      <c r="Y1095" s="270"/>
      <c r="Z1095" s="270"/>
      <c r="AA1095" s="114"/>
      <c r="AB1095" s="85"/>
      <c r="AC1095" s="85"/>
      <c r="AD1095" s="85"/>
      <c r="AE1095" s="85"/>
    </row>
    <row r="1096" spans="3:31" x14ac:dyDescent="0.3">
      <c r="C1096" s="450"/>
      <c r="D1096" s="182"/>
      <c r="E1096" s="182"/>
      <c r="F1096" s="182"/>
      <c r="G1096" s="450" t="str">
        <f t="shared" si="52"/>
        <v>--</v>
      </c>
      <c r="H1096" s="182"/>
      <c r="I1096" s="440"/>
      <c r="J1096" s="892"/>
      <c r="K1096" s="259"/>
      <c r="L1096" s="259" t="s">
        <v>46</v>
      </c>
      <c r="M1096" s="893">
        <f>SUM(M1093:M1095)</f>
        <v>1</v>
      </c>
      <c r="N1096" s="894"/>
      <c r="O1096" s="894">
        <f>SUM(O1093:O1095)</f>
        <v>0</v>
      </c>
      <c r="P1096" s="256" t="s">
        <v>173</v>
      </c>
      <c r="Q1096" s="895">
        <v>0</v>
      </c>
      <c r="R1096" s="883"/>
      <c r="S1096" s="883"/>
      <c r="T1096" s="883"/>
      <c r="U1096" s="883"/>
      <c r="V1096" s="114" t="s">
        <v>186</v>
      </c>
      <c r="W1096" s="114"/>
      <c r="X1096" s="884"/>
      <c r="Y1096" s="270"/>
      <c r="Z1096" s="270"/>
      <c r="AA1096" s="114"/>
      <c r="AB1096" s="85"/>
      <c r="AC1096" s="85"/>
      <c r="AD1096" s="85"/>
      <c r="AE1096" s="85"/>
    </row>
    <row r="1097" spans="3:31" x14ac:dyDescent="0.3">
      <c r="C1097" s="450"/>
      <c r="D1097" s="182"/>
      <c r="E1097" s="182"/>
      <c r="F1097" s="182"/>
      <c r="G1097" s="450" t="str">
        <f t="shared" si="52"/>
        <v>--</v>
      </c>
      <c r="H1097" s="182"/>
      <c r="I1097" s="892"/>
      <c r="J1097" s="288"/>
      <c r="K1097" s="288"/>
      <c r="L1097" s="182"/>
      <c r="M1097" s="270"/>
      <c r="N1097" s="892"/>
      <c r="O1097" s="892"/>
      <c r="P1097" s="258" t="s">
        <v>172</v>
      </c>
      <c r="Q1097" s="895">
        <v>0</v>
      </c>
      <c r="R1097" s="883"/>
      <c r="S1097" s="883"/>
      <c r="T1097" s="883"/>
      <c r="U1097" s="883"/>
      <c r="V1097" s="114"/>
      <c r="W1097" s="114"/>
      <c r="X1097" s="884"/>
      <c r="Y1097" s="270"/>
      <c r="Z1097" s="270"/>
      <c r="AA1097" s="114"/>
      <c r="AB1097" s="85"/>
      <c r="AC1097" s="85"/>
      <c r="AD1097" s="85"/>
      <c r="AE1097" s="85"/>
    </row>
    <row r="1098" spans="3:31" x14ac:dyDescent="0.3">
      <c r="C1098" s="450"/>
      <c r="D1098" s="182"/>
      <c r="E1098" s="182"/>
      <c r="F1098" s="182"/>
      <c r="G1098" s="450" t="str">
        <f t="shared" si="52"/>
        <v>--</v>
      </c>
      <c r="H1098" s="182"/>
      <c r="I1098" s="892"/>
      <c r="J1098" s="288"/>
      <c r="K1098" s="288"/>
      <c r="L1098" s="182"/>
      <c r="M1098" s="270"/>
      <c r="N1098" s="892"/>
      <c r="O1098" s="892"/>
      <c r="P1098" s="263" t="s">
        <v>46</v>
      </c>
      <c r="Q1098" s="897">
        <f>SUM(Q1092:Q1097)</f>
        <v>1</v>
      </c>
      <c r="R1098" s="899"/>
      <c r="S1098" s="899"/>
      <c r="T1098" s="899"/>
      <c r="U1098" s="899"/>
      <c r="V1098" s="899"/>
      <c r="W1098" s="899"/>
      <c r="X1098" s="900"/>
      <c r="Y1098" s="270"/>
      <c r="Z1098" s="270"/>
      <c r="AA1098" s="114"/>
      <c r="AB1098" s="85"/>
      <c r="AC1098" s="85"/>
      <c r="AD1098" s="85"/>
      <c r="AE1098" s="85"/>
    </row>
    <row r="1099" spans="3:31" x14ac:dyDescent="0.3">
      <c r="C1099" s="450"/>
      <c r="D1099" s="182"/>
      <c r="E1099" s="182"/>
      <c r="F1099" s="182"/>
      <c r="G1099" s="450" t="str">
        <f t="shared" si="52"/>
        <v>--</v>
      </c>
      <c r="H1099" s="182"/>
      <c r="I1099" s="892"/>
      <c r="J1099" s="288"/>
      <c r="K1099" s="288"/>
      <c r="L1099" s="182"/>
      <c r="M1099" s="270"/>
      <c r="N1099" s="892"/>
      <c r="O1099" s="892"/>
      <c r="P1099" s="259"/>
      <c r="Q1099" s="114"/>
      <c r="R1099" s="114"/>
      <c r="S1099" s="114"/>
      <c r="T1099" s="114"/>
      <c r="U1099" s="114"/>
      <c r="V1099" s="114"/>
      <c r="W1099" s="270"/>
      <c r="X1099" s="270"/>
      <c r="Y1099" s="270"/>
      <c r="Z1099" s="270"/>
      <c r="AA1099" s="114"/>
      <c r="AB1099" s="85"/>
      <c r="AC1099" s="85"/>
      <c r="AD1099" s="85"/>
      <c r="AE1099" s="85"/>
    </row>
    <row r="1100" spans="3:31" x14ac:dyDescent="0.3">
      <c r="C1100" s="450"/>
      <c r="D1100" s="182"/>
      <c r="E1100" s="182"/>
      <c r="F1100" s="182"/>
      <c r="G1100" s="450" t="str">
        <f t="shared" si="52"/>
        <v>--</v>
      </c>
      <c r="H1100" s="182"/>
      <c r="I1100" s="892"/>
      <c r="J1100" s="288"/>
      <c r="K1100" s="288"/>
      <c r="L1100" s="182"/>
      <c r="M1100" s="270"/>
      <c r="N1100" s="892"/>
      <c r="O1100" s="892"/>
      <c r="P1100" s="276" t="s">
        <v>42</v>
      </c>
      <c r="Q1100" s="902"/>
      <c r="R1100" s="902"/>
      <c r="S1100" s="902"/>
      <c r="T1100" s="271"/>
      <c r="U1100" s="114"/>
      <c r="V1100" s="114"/>
      <c r="W1100" s="270"/>
      <c r="X1100" s="270"/>
      <c r="Y1100" s="270"/>
      <c r="Z1100" s="270"/>
      <c r="AA1100" s="114"/>
      <c r="AB1100" s="85"/>
      <c r="AC1100" s="85"/>
      <c r="AD1100" s="85"/>
      <c r="AE1100" s="85"/>
    </row>
    <row r="1101" spans="3:31" ht="15" thickBot="1" x14ac:dyDescent="0.35">
      <c r="C1101" s="450"/>
      <c r="D1101" s="182"/>
      <c r="E1101" s="182"/>
      <c r="F1101" s="182"/>
      <c r="G1101" s="450" t="str">
        <f t="shared" si="52"/>
        <v>--</v>
      </c>
      <c r="H1101" s="182"/>
      <c r="I1101" s="892"/>
      <c r="J1101" s="892"/>
      <c r="K1101" s="182"/>
      <c r="L1101" s="182"/>
      <c r="M1101" s="901" t="s">
        <v>155</v>
      </c>
      <c r="N1101" s="870" t="s">
        <v>188</v>
      </c>
      <c r="O1101" s="870"/>
      <c r="P1101" s="277" t="s">
        <v>818</v>
      </c>
      <c r="Q1101" s="871" t="s">
        <v>155</v>
      </c>
      <c r="R1101" s="114"/>
      <c r="S1101" s="114"/>
      <c r="T1101" s="271"/>
      <c r="U1101" s="114"/>
      <c r="V1101" s="114"/>
      <c r="W1101" s="270"/>
      <c r="X1101" s="270"/>
      <c r="Y1101" s="270"/>
      <c r="Z1101" s="270"/>
      <c r="AA1101" s="114"/>
      <c r="AB1101" s="85"/>
      <c r="AC1101" s="85"/>
      <c r="AD1101" s="85"/>
      <c r="AE1101" s="85"/>
    </row>
    <row r="1102" spans="3:31" ht="15" thickBot="1" x14ac:dyDescent="0.35">
      <c r="C1102" s="566" t="s">
        <v>90</v>
      </c>
      <c r="D1102" s="875" t="str">
        <f>VLOOKUP(C1102,'Airport Mapping'!$C$5:$D$39,2,FALSE)</f>
        <v xml:space="preserve"> </v>
      </c>
      <c r="E1102" s="567" t="s">
        <v>39</v>
      </c>
      <c r="F1102" s="567" t="s">
        <v>42</v>
      </c>
      <c r="G1102" s="450" t="str">
        <f t="shared" si="52"/>
        <v>Rental Car Center B-Landscaping-Outdoor irrigation</v>
      </c>
      <c r="H1102" s="567" t="s">
        <v>32</v>
      </c>
      <c r="I1102" s="877" t="s">
        <v>64</v>
      </c>
      <c r="J1102" s="878">
        <f>SUMIFS('Level of Efficiency Assumptions'!J:J,'Level of Efficiency Assumptions'!D:D,E1102,'Level of Efficiency Assumptions'!F:F,F1102,'Level of Efficiency Assumptions'!I:I,I1102)</f>
        <v>28.6</v>
      </c>
      <c r="K1102" s="383" t="s">
        <v>816</v>
      </c>
      <c r="L1102" s="253" t="s">
        <v>64</v>
      </c>
      <c r="M1102" s="879">
        <f>SUM(Q1102:Q1103)</f>
        <v>0</v>
      </c>
      <c r="N1102" s="880">
        <f>IFERROR(M1102/M1105,"-")</f>
        <v>0</v>
      </c>
      <c r="O1102" s="881">
        <f>SUMIFS('Data Entry'!R:R,'Data Entry'!K:K,G1102)</f>
        <v>0</v>
      </c>
      <c r="P1102" s="272" t="s">
        <v>237</v>
      </c>
      <c r="Q1102" s="895">
        <v>0</v>
      </c>
      <c r="R1102" s="114"/>
      <c r="S1102" s="114"/>
      <c r="T1102" s="271"/>
      <c r="U1102" s="114"/>
      <c r="V1102" s="114"/>
      <c r="W1102" s="270"/>
      <c r="X1102" s="270"/>
      <c r="Y1102" s="270"/>
      <c r="Z1102" s="270"/>
      <c r="AA1102" s="114"/>
      <c r="AB1102" s="85"/>
      <c r="AC1102" s="85"/>
      <c r="AD1102" s="85"/>
      <c r="AE1102" s="85"/>
    </row>
    <row r="1103" spans="3:31" ht="15" thickBot="1" x14ac:dyDescent="0.35">
      <c r="C1103" s="494" t="s">
        <v>90</v>
      </c>
      <c r="D1103" s="577"/>
      <c r="E1103" s="577" t="s">
        <v>39</v>
      </c>
      <c r="F1103" s="577" t="s">
        <v>42</v>
      </c>
      <c r="G1103" s="450" t="str">
        <f t="shared" si="52"/>
        <v>Rental Car Center B-Landscaping-Outdoor irrigation</v>
      </c>
      <c r="H1103" s="577"/>
      <c r="I1103" s="887" t="s">
        <v>65</v>
      </c>
      <c r="J1103" s="878">
        <f>SUMIFS('Level of Efficiency Assumptions'!J:J,'Level of Efficiency Assumptions'!D:D,E1103,'Level of Efficiency Assumptions'!F:F,F1103,'Level of Efficiency Assumptions'!I:I,I1103)</f>
        <v>13.980821518350929</v>
      </c>
      <c r="K1103" s="383" t="s">
        <v>816</v>
      </c>
      <c r="L1103" s="255" t="s">
        <v>65</v>
      </c>
      <c r="M1103" s="879">
        <f>Q1104+Q1105</f>
        <v>1</v>
      </c>
      <c r="N1103" s="880">
        <f>IFERROR(M1103/M1105,"-")</f>
        <v>1</v>
      </c>
      <c r="O1103" s="881">
        <f>SUMIFS('Data Entry'!S:S,'Data Entry'!K:K,G1103)</f>
        <v>0</v>
      </c>
      <c r="P1103" s="272" t="s">
        <v>232</v>
      </c>
      <c r="Q1103" s="895">
        <v>0</v>
      </c>
      <c r="R1103" s="114"/>
      <c r="S1103" s="114"/>
      <c r="T1103" s="271"/>
      <c r="U1103" s="114"/>
      <c r="V1103" s="114"/>
      <c r="W1103" s="270"/>
      <c r="X1103" s="270"/>
      <c r="Y1103" s="270"/>
      <c r="Z1103" s="270"/>
      <c r="AA1103" s="114"/>
      <c r="AB1103" s="85"/>
      <c r="AC1103" s="85"/>
      <c r="AD1103" s="85"/>
      <c r="AE1103" s="85"/>
    </row>
    <row r="1104" spans="3:31" ht="15" thickBot="1" x14ac:dyDescent="0.35">
      <c r="C1104" s="501" t="s">
        <v>90</v>
      </c>
      <c r="D1104" s="116"/>
      <c r="E1104" s="116" t="s">
        <v>39</v>
      </c>
      <c r="F1104" s="116" t="s">
        <v>42</v>
      </c>
      <c r="G1104" s="450" t="str">
        <f t="shared" si="52"/>
        <v>Rental Car Center B-Landscaping-Outdoor irrigation</v>
      </c>
      <c r="H1104" s="116"/>
      <c r="I1104" s="889" t="s">
        <v>66</v>
      </c>
      <c r="J1104" s="890">
        <f>SUMIFS('Level of Efficiency Assumptions'!J:J,'Level of Efficiency Assumptions'!D:D,E1104,'Level of Efficiency Assumptions'!F:F,F1104,'Level of Efficiency Assumptions'!I:I,I1104)</f>
        <v>0.59137254901960778</v>
      </c>
      <c r="K1104" s="383" t="s">
        <v>816</v>
      </c>
      <c r="L1104" s="257" t="s">
        <v>66</v>
      </c>
      <c r="M1104" s="879">
        <f>Q1106+Q1107</f>
        <v>0</v>
      </c>
      <c r="N1104" s="880">
        <f>IFERROR(M1104/M1105,"-")</f>
        <v>0</v>
      </c>
      <c r="O1104" s="881">
        <f>SUMIFS('Data Entry'!T:T,'Data Entry'!K:K,G1104)</f>
        <v>0</v>
      </c>
      <c r="P1104" s="274" t="s">
        <v>231</v>
      </c>
      <c r="Q1104" s="895">
        <v>1</v>
      </c>
      <c r="R1104" s="114"/>
      <c r="S1104" s="114"/>
      <c r="T1104" s="271"/>
      <c r="U1104" s="114"/>
      <c r="V1104" s="114"/>
      <c r="W1104" s="270"/>
      <c r="X1104" s="270"/>
      <c r="Y1104" s="270"/>
      <c r="Z1104" s="270"/>
      <c r="AA1104" s="114"/>
      <c r="AB1104" s="85"/>
      <c r="AC1104" s="85"/>
      <c r="AD1104" s="85"/>
      <c r="AE1104" s="85"/>
    </row>
    <row r="1105" spans="3:31" x14ac:dyDescent="0.3">
      <c r="C1105" s="450"/>
      <c r="D1105" s="182"/>
      <c r="E1105" s="182"/>
      <c r="F1105" s="182"/>
      <c r="G1105" s="450" t="str">
        <f t="shared" si="52"/>
        <v>--</v>
      </c>
      <c r="H1105" s="182"/>
      <c r="I1105" s="440"/>
      <c r="J1105" s="892"/>
      <c r="K1105" s="259"/>
      <c r="L1105" s="259" t="s">
        <v>46</v>
      </c>
      <c r="M1105" s="893">
        <f>SUM(M1102:M1104)</f>
        <v>1</v>
      </c>
      <c r="N1105" s="894"/>
      <c r="O1105" s="894">
        <f>SUM(O1102:O1104)</f>
        <v>0</v>
      </c>
      <c r="P1105" s="274" t="s">
        <v>230</v>
      </c>
      <c r="Q1105" s="895">
        <v>0</v>
      </c>
      <c r="R1105" s="114"/>
      <c r="S1105" s="114"/>
      <c r="T1105" s="271"/>
      <c r="U1105" s="114"/>
      <c r="V1105" s="114"/>
      <c r="W1105" s="270"/>
      <c r="X1105" s="270"/>
      <c r="Y1105" s="270"/>
      <c r="Z1105" s="270"/>
      <c r="AA1105" s="114"/>
      <c r="AB1105" s="85"/>
      <c r="AC1105" s="85"/>
      <c r="AD1105" s="85"/>
      <c r="AE1105" s="85"/>
    </row>
    <row r="1106" spans="3:31" x14ac:dyDescent="0.3">
      <c r="C1106" s="450"/>
      <c r="D1106" s="182"/>
      <c r="E1106" s="182"/>
      <c r="F1106" s="182"/>
      <c r="G1106" s="450" t="str">
        <f t="shared" si="52"/>
        <v>--</v>
      </c>
      <c r="H1106" s="182"/>
      <c r="I1106" s="892"/>
      <c r="J1106" s="288"/>
      <c r="K1106" s="288"/>
      <c r="L1106" s="182"/>
      <c r="M1106" s="270"/>
      <c r="N1106" s="892"/>
      <c r="O1106" s="892"/>
      <c r="P1106" s="275" t="s">
        <v>229</v>
      </c>
      <c r="Q1106" s="895">
        <v>0</v>
      </c>
      <c r="R1106" s="114"/>
      <c r="S1106" s="114"/>
      <c r="T1106" s="271"/>
      <c r="U1106" s="114"/>
      <c r="V1106" s="114"/>
      <c r="W1106" s="270"/>
      <c r="X1106" s="270"/>
      <c r="Y1106" s="270"/>
      <c r="Z1106" s="270"/>
      <c r="AA1106" s="114"/>
      <c r="AB1106" s="85"/>
      <c r="AC1106" s="85"/>
      <c r="AD1106" s="85"/>
      <c r="AE1106" s="85"/>
    </row>
    <row r="1107" spans="3:31" x14ac:dyDescent="0.3">
      <c r="C1107" s="450"/>
      <c r="D1107" s="182"/>
      <c r="E1107" s="182"/>
      <c r="F1107" s="182"/>
      <c r="G1107" s="450" t="str">
        <f t="shared" si="52"/>
        <v>--</v>
      </c>
      <c r="H1107" s="182"/>
      <c r="I1107" s="892"/>
      <c r="J1107" s="288"/>
      <c r="K1107" s="288"/>
      <c r="L1107" s="182"/>
      <c r="M1107" s="270"/>
      <c r="N1107" s="892"/>
      <c r="O1107" s="892"/>
      <c r="P1107" s="269" t="s">
        <v>225</v>
      </c>
      <c r="Q1107" s="895">
        <v>0</v>
      </c>
      <c r="R1107" s="114"/>
      <c r="S1107" s="114"/>
      <c r="T1107" s="271"/>
      <c r="U1107" s="114"/>
      <c r="V1107" s="114"/>
      <c r="W1107" s="270"/>
      <c r="X1107" s="270"/>
      <c r="Y1107" s="270"/>
      <c r="Z1107" s="270"/>
      <c r="AA1107" s="114"/>
      <c r="AB1107" s="85"/>
      <c r="AC1107" s="85"/>
      <c r="AD1107" s="85"/>
      <c r="AE1107" s="85"/>
    </row>
    <row r="1108" spans="3:31" x14ac:dyDescent="0.3">
      <c r="C1108" s="450"/>
      <c r="D1108" s="182"/>
      <c r="E1108" s="182"/>
      <c r="F1108" s="182"/>
      <c r="G1108" s="450" t="str">
        <f t="shared" si="52"/>
        <v>--</v>
      </c>
      <c r="H1108" s="182"/>
      <c r="I1108" s="892"/>
      <c r="J1108" s="288"/>
      <c r="K1108" s="288"/>
      <c r="L1108" s="182"/>
      <c r="M1108" s="270"/>
      <c r="N1108" s="892"/>
      <c r="O1108" s="892"/>
      <c r="P1108" s="263" t="s">
        <v>46</v>
      </c>
      <c r="Q1108" s="897">
        <f>SUM(Q1102:Q1107)</f>
        <v>1</v>
      </c>
      <c r="R1108" s="899"/>
      <c r="S1108" s="899"/>
      <c r="T1108" s="271"/>
      <c r="U1108" s="114"/>
      <c r="V1108" s="114"/>
      <c r="W1108" s="270"/>
      <c r="X1108" s="270"/>
      <c r="Y1108" s="270"/>
      <c r="Z1108" s="270"/>
      <c r="AA1108" s="114"/>
      <c r="AB1108" s="85"/>
      <c r="AC1108" s="85"/>
      <c r="AD1108" s="85"/>
      <c r="AE1108" s="85"/>
    </row>
    <row r="1109" spans="3:31" x14ac:dyDescent="0.3">
      <c r="C1109" s="450"/>
      <c r="D1109" s="182"/>
      <c r="E1109" s="182"/>
      <c r="F1109" s="182"/>
      <c r="G1109" s="450" t="str">
        <f t="shared" si="52"/>
        <v>--</v>
      </c>
      <c r="H1109" s="182"/>
      <c r="I1109" s="892"/>
      <c r="J1109" s="288"/>
      <c r="K1109" s="288"/>
      <c r="L1109" s="182"/>
      <c r="M1109" s="270"/>
      <c r="N1109" s="892"/>
      <c r="O1109" s="892"/>
      <c r="P1109" s="259"/>
      <c r="Q1109" s="114"/>
      <c r="R1109" s="270"/>
      <c r="S1109" s="270"/>
      <c r="T1109" s="270"/>
      <c r="U1109" s="270"/>
      <c r="V1109" s="270"/>
      <c r="W1109" s="270"/>
      <c r="X1109" s="270"/>
      <c r="Y1109" s="270"/>
      <c r="Z1109" s="270"/>
      <c r="AA1109" s="114"/>
      <c r="AB1109" s="85"/>
      <c r="AC1109" s="85"/>
      <c r="AD1109" s="85"/>
      <c r="AE1109" s="85"/>
    </row>
    <row r="1110" spans="3:31" ht="15" thickBot="1" x14ac:dyDescent="0.35">
      <c r="C1110" s="450"/>
      <c r="D1110" s="182"/>
      <c r="E1110" s="182"/>
      <c r="F1110" s="182"/>
      <c r="G1110" s="450" t="str">
        <f t="shared" si="52"/>
        <v>--</v>
      </c>
      <c r="H1110" s="182"/>
      <c r="I1110" s="892"/>
      <c r="J1110" s="892"/>
      <c r="K1110" s="182"/>
      <c r="L1110" s="182"/>
      <c r="M1110" s="901" t="s">
        <v>155</v>
      </c>
      <c r="N1110" s="870" t="s">
        <v>188</v>
      </c>
      <c r="O1110" s="870"/>
      <c r="P1110" s="276" t="s">
        <v>111</v>
      </c>
      <c r="Q1110" s="871" t="s">
        <v>155</v>
      </c>
      <c r="R1110" s="902"/>
      <c r="S1110" s="874"/>
      <c r="T1110" s="270"/>
      <c r="U1110" s="270"/>
      <c r="V1110" s="270"/>
      <c r="W1110" s="270"/>
      <c r="X1110" s="270"/>
      <c r="Y1110" s="270"/>
      <c r="Z1110" s="270"/>
      <c r="AA1110" s="114"/>
      <c r="AB1110" s="85"/>
      <c r="AC1110" s="85"/>
      <c r="AD1110" s="85"/>
      <c r="AE1110" s="85"/>
    </row>
    <row r="1111" spans="3:31" ht="15" thickBot="1" x14ac:dyDescent="0.35">
      <c r="C1111" s="566" t="s">
        <v>90</v>
      </c>
      <c r="D1111" s="875" t="str">
        <f>VLOOKUP(C1111,'Airport Mapping'!$C$5:$D$39,2,FALSE)</f>
        <v xml:space="preserve"> </v>
      </c>
      <c r="E1111" s="567" t="s">
        <v>43</v>
      </c>
      <c r="F1111" s="567" t="s">
        <v>111</v>
      </c>
      <c r="G1111" s="450" t="str">
        <f t="shared" si="52"/>
        <v>Rental Car Center B-Maintenance-Boiler</v>
      </c>
      <c r="H1111" s="567" t="s">
        <v>424</v>
      </c>
      <c r="I1111" s="877" t="s">
        <v>64</v>
      </c>
      <c r="J1111" s="878">
        <f>SUMIFS('Level of Efficiency Assumptions'!J:J,'Level of Efficiency Assumptions'!D:D,E1111,'Level of Efficiency Assumptions'!F:F,F1111,'Level of Efficiency Assumptions'!I:I,I1111)</f>
        <v>100</v>
      </c>
      <c r="K1111" s="383" t="s">
        <v>585</v>
      </c>
      <c r="L1111" s="253" t="s">
        <v>64</v>
      </c>
      <c r="M1111" s="879">
        <f>SUM(Q1111:Q1112)</f>
        <v>0</v>
      </c>
      <c r="N1111" s="880">
        <f>IFERROR(M1111/M1114,"-")</f>
        <v>0</v>
      </c>
      <c r="O1111" s="881">
        <f>SUMIFS('Data Entry'!R:R,'Data Entry'!K:K,G1111)</f>
        <v>0</v>
      </c>
      <c r="P1111" s="272"/>
      <c r="Q1111" s="895">
        <v>0</v>
      </c>
      <c r="R1111" s="114"/>
      <c r="S1111" s="884"/>
      <c r="T1111" s="270"/>
      <c r="U1111" s="270"/>
      <c r="V1111" s="270"/>
      <c r="W1111" s="270"/>
      <c r="X1111" s="270"/>
      <c r="Y1111" s="270"/>
      <c r="Z1111" s="270"/>
      <c r="AA1111" s="114"/>
      <c r="AB1111" s="85"/>
      <c r="AC1111" s="85"/>
      <c r="AD1111" s="85"/>
      <c r="AE1111" s="85"/>
    </row>
    <row r="1112" spans="3:31" ht="15" thickBot="1" x14ac:dyDescent="0.35">
      <c r="C1112" s="494" t="s">
        <v>90</v>
      </c>
      <c r="D1112" s="577"/>
      <c r="E1112" s="577" t="s">
        <v>43</v>
      </c>
      <c r="F1112" s="577" t="s">
        <v>111</v>
      </c>
      <c r="G1112" s="450" t="str">
        <f t="shared" si="52"/>
        <v>Rental Car Center B-Maintenance-Boiler</v>
      </c>
      <c r="H1112" s="577"/>
      <c r="I1112" s="887" t="s">
        <v>65</v>
      </c>
      <c r="J1112" s="878">
        <f>SUMIFS('Level of Efficiency Assumptions'!J:J,'Level of Efficiency Assumptions'!D:D,E1112,'Level of Efficiency Assumptions'!F:F,F1112,'Level of Efficiency Assumptions'!I:I,I1112)</f>
        <v>75</v>
      </c>
      <c r="K1112" s="383" t="s">
        <v>585</v>
      </c>
      <c r="L1112" s="255" t="s">
        <v>65</v>
      </c>
      <c r="M1112" s="879">
        <f>Q1113+Q1114</f>
        <v>1</v>
      </c>
      <c r="N1112" s="880">
        <f>IFERROR(M1112/M1114,"-")</f>
        <v>1</v>
      </c>
      <c r="O1112" s="881">
        <f>SUMIFS('Data Entry'!S:S,'Data Entry'!K:K,G1112)</f>
        <v>0</v>
      </c>
      <c r="P1112" s="272"/>
      <c r="Q1112" s="895">
        <v>0</v>
      </c>
      <c r="R1112" s="114"/>
      <c r="S1112" s="884"/>
      <c r="T1112" s="270"/>
      <c r="U1112" s="270"/>
      <c r="V1112" s="270"/>
      <c r="W1112" s="270"/>
      <c r="X1112" s="270"/>
      <c r="Y1112" s="270"/>
      <c r="Z1112" s="270"/>
      <c r="AA1112" s="114"/>
      <c r="AB1112" s="85"/>
      <c r="AC1112" s="85"/>
      <c r="AD1112" s="85"/>
      <c r="AE1112" s="85"/>
    </row>
    <row r="1113" spans="3:31" ht="15" thickBot="1" x14ac:dyDescent="0.35">
      <c r="C1113" s="501" t="s">
        <v>90</v>
      </c>
      <c r="D1113" s="116"/>
      <c r="E1113" s="116" t="s">
        <v>43</v>
      </c>
      <c r="F1113" s="116" t="s">
        <v>111</v>
      </c>
      <c r="G1113" s="450" t="str">
        <f t="shared" si="52"/>
        <v>Rental Car Center B-Maintenance-Boiler</v>
      </c>
      <c r="H1113" s="116"/>
      <c r="I1113" s="889" t="s">
        <v>66</v>
      </c>
      <c r="J1113" s="890">
        <f>SUMIFS('Level of Efficiency Assumptions'!J:J,'Level of Efficiency Assumptions'!D:D,E1113,'Level of Efficiency Assumptions'!F:F,F1113,'Level of Efficiency Assumptions'!I:I,I1113)</f>
        <v>50</v>
      </c>
      <c r="K1113" s="383" t="s">
        <v>585</v>
      </c>
      <c r="L1113" s="257" t="s">
        <v>66</v>
      </c>
      <c r="M1113" s="879">
        <f>Q1115+Q1116</f>
        <v>0</v>
      </c>
      <c r="N1113" s="880">
        <f>IFERROR(M1113/M1114,"-")</f>
        <v>0</v>
      </c>
      <c r="O1113" s="881">
        <f>SUMIFS('Data Entry'!T:T,'Data Entry'!K:K,G1113)</f>
        <v>0</v>
      </c>
      <c r="P1113" s="274"/>
      <c r="Q1113" s="895">
        <v>1</v>
      </c>
      <c r="R1113" s="114"/>
      <c r="S1113" s="884"/>
      <c r="T1113" s="270"/>
      <c r="U1113" s="270"/>
      <c r="V1113" s="270"/>
      <c r="W1113" s="270"/>
      <c r="X1113" s="270"/>
      <c r="Y1113" s="270"/>
      <c r="Z1113" s="270"/>
      <c r="AA1113" s="114"/>
      <c r="AB1113" s="85"/>
      <c r="AC1113" s="85"/>
      <c r="AD1113" s="85"/>
      <c r="AE1113" s="85"/>
    </row>
    <row r="1114" spans="3:31" x14ac:dyDescent="0.3">
      <c r="C1114" s="450"/>
      <c r="D1114" s="182"/>
      <c r="E1114" s="182"/>
      <c r="F1114" s="182"/>
      <c r="G1114" s="450" t="str">
        <f t="shared" si="52"/>
        <v>--</v>
      </c>
      <c r="H1114" s="182"/>
      <c r="I1114" s="440"/>
      <c r="J1114" s="892"/>
      <c r="K1114" s="259"/>
      <c r="L1114" s="259" t="s">
        <v>46</v>
      </c>
      <c r="M1114" s="893">
        <f>SUM(M1111:M1113)</f>
        <v>1</v>
      </c>
      <c r="N1114" s="894"/>
      <c r="O1114" s="894">
        <f>SUM(O1111:O1113)</f>
        <v>0</v>
      </c>
      <c r="P1114" s="274"/>
      <c r="Q1114" s="895">
        <v>0</v>
      </c>
      <c r="R1114" s="114"/>
      <c r="S1114" s="884"/>
      <c r="T1114" s="270"/>
      <c r="U1114" s="270"/>
      <c r="V1114" s="270"/>
      <c r="W1114" s="270"/>
      <c r="X1114" s="270"/>
      <c r="Y1114" s="270"/>
      <c r="Z1114" s="270"/>
      <c r="AA1114" s="114"/>
      <c r="AB1114" s="85"/>
      <c r="AC1114" s="85"/>
      <c r="AD1114" s="85"/>
      <c r="AE1114" s="85"/>
    </row>
    <row r="1115" spans="3:31" x14ac:dyDescent="0.3">
      <c r="C1115" s="450"/>
      <c r="D1115" s="182"/>
      <c r="E1115" s="182"/>
      <c r="F1115" s="182"/>
      <c r="G1115" s="450" t="str">
        <f t="shared" si="52"/>
        <v>--</v>
      </c>
      <c r="H1115" s="182"/>
      <c r="I1115" s="892"/>
      <c r="J1115" s="288"/>
      <c r="K1115" s="288"/>
      <c r="L1115" s="182"/>
      <c r="M1115" s="270"/>
      <c r="N1115" s="892"/>
      <c r="O1115" s="892"/>
      <c r="P1115" s="275"/>
      <c r="Q1115" s="895">
        <v>0</v>
      </c>
      <c r="R1115" s="114"/>
      <c r="S1115" s="884"/>
      <c r="T1115" s="270"/>
      <c r="U1115" s="270"/>
      <c r="V1115" s="270"/>
      <c r="W1115" s="270"/>
      <c r="X1115" s="270"/>
      <c r="Y1115" s="270"/>
      <c r="Z1115" s="270"/>
      <c r="AA1115" s="114"/>
      <c r="AB1115" s="85"/>
      <c r="AC1115" s="85"/>
      <c r="AD1115" s="85"/>
      <c r="AE1115" s="85"/>
    </row>
    <row r="1116" spans="3:31" x14ac:dyDescent="0.3">
      <c r="C1116" s="450"/>
      <c r="D1116" s="182"/>
      <c r="E1116" s="182"/>
      <c r="F1116" s="182"/>
      <c r="G1116" s="450" t="str">
        <f t="shared" si="52"/>
        <v>--</v>
      </c>
      <c r="H1116" s="182"/>
      <c r="I1116" s="892"/>
      <c r="J1116" s="288"/>
      <c r="K1116" s="288"/>
      <c r="L1116" s="182"/>
      <c r="M1116" s="270"/>
      <c r="N1116" s="892"/>
      <c r="O1116" s="892"/>
      <c r="P1116" s="269"/>
      <c r="Q1116" s="895">
        <v>0</v>
      </c>
      <c r="R1116" s="114"/>
      <c r="S1116" s="884"/>
      <c r="T1116" s="270"/>
      <c r="U1116" s="270"/>
      <c r="V1116" s="270"/>
      <c r="W1116" s="270"/>
      <c r="X1116" s="270"/>
      <c r="Y1116" s="270"/>
      <c r="Z1116" s="270"/>
      <c r="AA1116" s="114"/>
      <c r="AB1116" s="85"/>
      <c r="AC1116" s="85"/>
      <c r="AD1116" s="85"/>
      <c r="AE1116" s="85"/>
    </row>
    <row r="1117" spans="3:31" x14ac:dyDescent="0.3">
      <c r="C1117" s="450"/>
      <c r="D1117" s="182"/>
      <c r="E1117" s="182"/>
      <c r="F1117" s="182"/>
      <c r="G1117" s="450" t="str">
        <f t="shared" si="52"/>
        <v>--</v>
      </c>
      <c r="H1117" s="182"/>
      <c r="I1117" s="892"/>
      <c r="J1117" s="288"/>
      <c r="K1117" s="288"/>
      <c r="L1117" s="182"/>
      <c r="M1117" s="270"/>
      <c r="N1117" s="892"/>
      <c r="O1117" s="892"/>
      <c r="P1117" s="263" t="s">
        <v>46</v>
      </c>
      <c r="Q1117" s="897">
        <f>SUM(Q1111:Q1116)</f>
        <v>1</v>
      </c>
      <c r="R1117" s="899"/>
      <c r="S1117" s="900"/>
      <c r="T1117" s="270"/>
      <c r="U1117" s="270"/>
      <c r="V1117" s="270"/>
      <c r="W1117" s="270"/>
      <c r="X1117" s="270"/>
      <c r="Y1117" s="270"/>
      <c r="Z1117" s="270"/>
      <c r="AA1117" s="114"/>
      <c r="AB1117" s="85"/>
      <c r="AC1117" s="85"/>
      <c r="AD1117" s="85"/>
      <c r="AE1117" s="85"/>
    </row>
    <row r="1118" spans="3:31" x14ac:dyDescent="0.3">
      <c r="C1118" s="225"/>
      <c r="D1118" s="288"/>
      <c r="E1118" s="288"/>
      <c r="F1118" s="288"/>
      <c r="G1118" s="450" t="str">
        <f t="shared" si="52"/>
        <v>--</v>
      </c>
      <c r="H1118" s="182"/>
      <c r="I1118" s="892"/>
      <c r="J1118" s="288"/>
      <c r="K1118" s="288"/>
      <c r="L1118" s="182"/>
      <c r="M1118" s="270"/>
      <c r="N1118" s="892"/>
      <c r="O1118" s="892"/>
      <c r="P1118" s="259"/>
      <c r="Q1118" s="114"/>
      <c r="R1118" s="270"/>
      <c r="S1118" s="270"/>
      <c r="T1118" s="270"/>
      <c r="U1118" s="270"/>
      <c r="V1118" s="270"/>
      <c r="W1118" s="270"/>
      <c r="X1118" s="270"/>
      <c r="Y1118" s="270"/>
      <c r="Z1118" s="270"/>
      <c r="AA1118" s="114"/>
      <c r="AB1118" s="85"/>
      <c r="AC1118" s="85"/>
      <c r="AD1118" s="85"/>
      <c r="AE1118" s="85"/>
    </row>
    <row r="1119" spans="3:31" ht="15" thickBot="1" x14ac:dyDescent="0.35">
      <c r="C1119" s="225"/>
      <c r="D1119" s="182"/>
      <c r="E1119" s="182"/>
      <c r="F1119" s="182"/>
      <c r="G1119" s="450" t="str">
        <f t="shared" si="52"/>
        <v>--</v>
      </c>
      <c r="H1119" s="182"/>
      <c r="I1119" s="892"/>
      <c r="J1119" s="892"/>
      <c r="K1119" s="182"/>
      <c r="L1119" s="182"/>
      <c r="M1119" s="901" t="s">
        <v>155</v>
      </c>
      <c r="N1119" s="870" t="s">
        <v>188</v>
      </c>
      <c r="O1119" s="870"/>
      <c r="P1119" s="276" t="s">
        <v>9</v>
      </c>
      <c r="Q1119" s="871" t="s">
        <v>155</v>
      </c>
      <c r="R1119" s="902"/>
      <c r="S1119" s="874"/>
      <c r="T1119" s="270"/>
      <c r="U1119" s="270"/>
      <c r="V1119" s="270"/>
      <c r="W1119" s="270"/>
      <c r="X1119" s="270"/>
      <c r="Y1119" s="270"/>
      <c r="Z1119" s="270"/>
      <c r="AA1119" s="114"/>
      <c r="AB1119" s="85"/>
      <c r="AC1119" s="85"/>
      <c r="AD1119" s="85"/>
      <c r="AE1119" s="85"/>
    </row>
    <row r="1120" spans="3:31" ht="15" thickBot="1" x14ac:dyDescent="0.35">
      <c r="C1120" s="566" t="s">
        <v>90</v>
      </c>
      <c r="D1120" s="875" t="str">
        <f>VLOOKUP(C1120,'Airport Mapping'!$C$5:$D$39,2,FALSE)</f>
        <v xml:space="preserve"> </v>
      </c>
      <c r="E1120" s="567" t="s">
        <v>43</v>
      </c>
      <c r="F1120" s="567" t="s">
        <v>9</v>
      </c>
      <c r="G1120" s="450" t="str">
        <f t="shared" si="52"/>
        <v>Rental Car Center B-Maintenance-Vehicle washing</v>
      </c>
      <c r="H1120" s="567" t="s">
        <v>12</v>
      </c>
      <c r="I1120" s="877" t="s">
        <v>64</v>
      </c>
      <c r="J1120" s="878">
        <f>SUMIFS('Level of Efficiency Assumptions'!J:J,'Level of Efficiency Assumptions'!D:D,E1120,'Level of Efficiency Assumptions'!F:F,F1120,'Level of Efficiency Assumptions'!I:I,I1120)</f>
        <v>80</v>
      </c>
      <c r="K1120" s="383" t="s">
        <v>588</v>
      </c>
      <c r="L1120" s="253" t="s">
        <v>64</v>
      </c>
      <c r="M1120" s="879">
        <f>SUM(Q1120:Q1121)</f>
        <v>0</v>
      </c>
      <c r="N1120" s="880">
        <f>IFERROR(M1120/M1123,"-")</f>
        <v>0</v>
      </c>
      <c r="O1120" s="881">
        <f>SUMIFS('Data Entry'!R:R,'Data Entry'!K:K,G1120)</f>
        <v>0</v>
      </c>
      <c r="P1120" s="272"/>
      <c r="Q1120" s="895">
        <v>0</v>
      </c>
      <c r="R1120" s="114"/>
      <c r="S1120" s="884"/>
      <c r="T1120" s="270"/>
      <c r="U1120" s="270"/>
      <c r="V1120" s="270"/>
      <c r="W1120" s="270"/>
      <c r="X1120" s="270"/>
      <c r="Y1120" s="270"/>
      <c r="Z1120" s="270"/>
      <c r="AA1120" s="114"/>
      <c r="AB1120" s="85"/>
      <c r="AC1120" s="85"/>
      <c r="AD1120" s="85"/>
      <c r="AE1120" s="85"/>
    </row>
    <row r="1121" spans="3:31" ht="15" thickBot="1" x14ac:dyDescent="0.35">
      <c r="C1121" s="494" t="s">
        <v>90</v>
      </c>
      <c r="D1121" s="577"/>
      <c r="E1121" s="577" t="s">
        <v>43</v>
      </c>
      <c r="F1121" s="577" t="s">
        <v>9</v>
      </c>
      <c r="G1121" s="450" t="str">
        <f t="shared" si="52"/>
        <v>Rental Car Center B-Maintenance-Vehicle washing</v>
      </c>
      <c r="H1121" s="577"/>
      <c r="I1121" s="887" t="s">
        <v>65</v>
      </c>
      <c r="J1121" s="878">
        <f>SUMIFS('Level of Efficiency Assumptions'!J:J,'Level of Efficiency Assumptions'!D:D,E1121,'Level of Efficiency Assumptions'!F:F,F1121,'Level of Efficiency Assumptions'!I:I,I1121)</f>
        <v>40</v>
      </c>
      <c r="K1121" s="383" t="s">
        <v>588</v>
      </c>
      <c r="L1121" s="255" t="s">
        <v>65</v>
      </c>
      <c r="M1121" s="879">
        <f>Q1122+Q1123</f>
        <v>1</v>
      </c>
      <c r="N1121" s="880">
        <f>IFERROR(M1121/M1123,"-")</f>
        <v>1</v>
      </c>
      <c r="O1121" s="881">
        <f>SUMIFS('Data Entry'!S:S,'Data Entry'!K:K,G1121)</f>
        <v>0</v>
      </c>
      <c r="P1121" s="272"/>
      <c r="Q1121" s="895">
        <v>0</v>
      </c>
      <c r="R1121" s="114"/>
      <c r="S1121" s="884"/>
      <c r="T1121" s="270"/>
      <c r="U1121" s="270"/>
      <c r="V1121" s="270"/>
      <c r="W1121" s="270"/>
      <c r="X1121" s="270"/>
      <c r="Y1121" s="270"/>
      <c r="Z1121" s="270"/>
      <c r="AA1121" s="114"/>
      <c r="AB1121" s="85"/>
      <c r="AC1121" s="85"/>
      <c r="AD1121" s="85"/>
      <c r="AE1121" s="85"/>
    </row>
    <row r="1122" spans="3:31" ht="15" thickBot="1" x14ac:dyDescent="0.35">
      <c r="C1122" s="501" t="s">
        <v>90</v>
      </c>
      <c r="D1122" s="116"/>
      <c r="E1122" s="116" t="s">
        <v>43</v>
      </c>
      <c r="F1122" s="116" t="s">
        <v>9</v>
      </c>
      <c r="G1122" s="450" t="str">
        <f t="shared" si="52"/>
        <v>Rental Car Center B-Maintenance-Vehicle washing</v>
      </c>
      <c r="H1122" s="116"/>
      <c r="I1122" s="889" t="s">
        <v>66</v>
      </c>
      <c r="J1122" s="890">
        <f>SUMIFS('Level of Efficiency Assumptions'!J:J,'Level of Efficiency Assumptions'!D:D,E1122,'Level of Efficiency Assumptions'!F:F,F1122,'Level of Efficiency Assumptions'!I:I,I1122)</f>
        <v>30</v>
      </c>
      <c r="K1122" s="383" t="s">
        <v>588</v>
      </c>
      <c r="L1122" s="257" t="s">
        <v>66</v>
      </c>
      <c r="M1122" s="879">
        <f>Q1124+Q1125</f>
        <v>0</v>
      </c>
      <c r="N1122" s="880">
        <f>IFERROR(M1122/M1123,"-")</f>
        <v>0</v>
      </c>
      <c r="O1122" s="881">
        <f>SUMIFS('Data Entry'!T:T,'Data Entry'!K:K,G1122)</f>
        <v>0</v>
      </c>
      <c r="P1122" s="274"/>
      <c r="Q1122" s="895">
        <v>1</v>
      </c>
      <c r="R1122" s="114"/>
      <c r="S1122" s="884"/>
      <c r="T1122" s="270"/>
      <c r="U1122" s="270"/>
      <c r="V1122" s="270"/>
      <c r="W1122" s="270"/>
      <c r="X1122" s="270"/>
      <c r="Y1122" s="270"/>
      <c r="Z1122" s="270"/>
      <c r="AA1122" s="114"/>
      <c r="AB1122" s="85"/>
      <c r="AC1122" s="85"/>
      <c r="AD1122" s="85"/>
      <c r="AE1122" s="85"/>
    </row>
    <row r="1123" spans="3:31" x14ac:dyDescent="0.3">
      <c r="C1123" s="450"/>
      <c r="D1123" s="182"/>
      <c r="E1123" s="182"/>
      <c r="F1123" s="182"/>
      <c r="G1123" s="450" t="str">
        <f t="shared" si="52"/>
        <v>--</v>
      </c>
      <c r="H1123" s="182"/>
      <c r="I1123" s="440"/>
      <c r="J1123" s="892"/>
      <c r="K1123" s="259"/>
      <c r="L1123" s="259" t="s">
        <v>46</v>
      </c>
      <c r="M1123" s="893">
        <f>SUM(M1120:M1122)</f>
        <v>1</v>
      </c>
      <c r="N1123" s="894"/>
      <c r="O1123" s="894">
        <f>SUM(O1120:O1122)</f>
        <v>0</v>
      </c>
      <c r="P1123" s="274"/>
      <c r="Q1123" s="895">
        <v>0</v>
      </c>
      <c r="R1123" s="114"/>
      <c r="S1123" s="884"/>
      <c r="T1123" s="270"/>
      <c r="U1123" s="270"/>
      <c r="V1123" s="270"/>
      <c r="W1123" s="270"/>
      <c r="X1123" s="270"/>
      <c r="Y1123" s="270"/>
      <c r="Z1123" s="270"/>
      <c r="AA1123" s="114"/>
      <c r="AB1123" s="85"/>
      <c r="AC1123" s="85"/>
      <c r="AD1123" s="85"/>
      <c r="AE1123" s="85"/>
    </row>
    <row r="1124" spans="3:31" x14ac:dyDescent="0.3">
      <c r="C1124" s="450"/>
      <c r="D1124" s="182"/>
      <c r="E1124" s="182"/>
      <c r="F1124" s="182"/>
      <c r="G1124" s="450" t="str">
        <f t="shared" si="52"/>
        <v>--</v>
      </c>
      <c r="H1124" s="182"/>
      <c r="I1124" s="892"/>
      <c r="J1124" s="288"/>
      <c r="K1124" s="288"/>
      <c r="L1124" s="182"/>
      <c r="M1124" s="270"/>
      <c r="N1124" s="892"/>
      <c r="O1124" s="892"/>
      <c r="P1124" s="275"/>
      <c r="Q1124" s="895">
        <v>0</v>
      </c>
      <c r="R1124" s="114"/>
      <c r="S1124" s="884"/>
      <c r="T1124" s="270"/>
      <c r="U1124" s="270"/>
      <c r="V1124" s="270"/>
      <c r="W1124" s="270"/>
      <c r="X1124" s="270"/>
      <c r="Y1124" s="270"/>
      <c r="Z1124" s="270"/>
      <c r="AA1124" s="114"/>
      <c r="AB1124" s="85"/>
      <c r="AC1124" s="85"/>
      <c r="AD1124" s="85"/>
      <c r="AE1124" s="85"/>
    </row>
    <row r="1125" spans="3:31" x14ac:dyDescent="0.3">
      <c r="C1125" s="450"/>
      <c r="D1125" s="182"/>
      <c r="E1125" s="182"/>
      <c r="F1125" s="182"/>
      <c r="G1125" s="450" t="str">
        <f t="shared" si="52"/>
        <v>--</v>
      </c>
      <c r="H1125" s="182"/>
      <c r="I1125" s="892"/>
      <c r="J1125" s="288"/>
      <c r="K1125" s="288"/>
      <c r="L1125" s="182"/>
      <c r="M1125" s="270"/>
      <c r="N1125" s="892"/>
      <c r="O1125" s="892"/>
      <c r="P1125" s="269"/>
      <c r="Q1125" s="895">
        <v>0</v>
      </c>
      <c r="R1125" s="114"/>
      <c r="S1125" s="884"/>
      <c r="T1125" s="270"/>
      <c r="U1125" s="270"/>
      <c r="V1125" s="270"/>
      <c r="W1125" s="270"/>
      <c r="X1125" s="270"/>
      <c r="Y1125" s="270"/>
      <c r="Z1125" s="270"/>
      <c r="AA1125" s="114"/>
      <c r="AB1125" s="85"/>
      <c r="AC1125" s="85"/>
      <c r="AD1125" s="85"/>
      <c r="AE1125" s="85"/>
    </row>
    <row r="1126" spans="3:31" x14ac:dyDescent="0.3">
      <c r="C1126" s="450"/>
      <c r="D1126" s="182"/>
      <c r="E1126" s="182"/>
      <c r="F1126" s="182"/>
      <c r="G1126" s="450" t="str">
        <f t="shared" si="52"/>
        <v>--</v>
      </c>
      <c r="H1126" s="182"/>
      <c r="I1126" s="892"/>
      <c r="J1126" s="288"/>
      <c r="K1126" s="288"/>
      <c r="L1126" s="182"/>
      <c r="M1126" s="270"/>
      <c r="N1126" s="892"/>
      <c r="O1126" s="892"/>
      <c r="P1126" s="263" t="s">
        <v>46</v>
      </c>
      <c r="Q1126" s="897">
        <f>SUM(Q1120:Q1125)</f>
        <v>1</v>
      </c>
      <c r="R1126" s="899"/>
      <c r="S1126" s="900"/>
      <c r="T1126" s="270"/>
      <c r="U1126" s="270"/>
      <c r="V1126" s="270"/>
      <c r="W1126" s="270"/>
      <c r="X1126" s="270"/>
      <c r="Y1126" s="270"/>
      <c r="Z1126" s="270"/>
      <c r="AA1126" s="114"/>
      <c r="AB1126" s="85"/>
      <c r="AC1126" s="85"/>
      <c r="AD1126" s="85"/>
      <c r="AE1126" s="85"/>
    </row>
    <row r="1127" spans="3:31" x14ac:dyDescent="0.3">
      <c r="C1127" s="450"/>
      <c r="D1127" s="182"/>
      <c r="E1127" s="182"/>
      <c r="F1127" s="182"/>
      <c r="G1127" s="450" t="str">
        <f t="shared" si="52"/>
        <v>--</v>
      </c>
      <c r="H1127" s="182"/>
      <c r="I1127" s="892"/>
      <c r="J1127" s="288"/>
      <c r="K1127" s="288"/>
      <c r="L1127" s="182"/>
      <c r="M1127" s="270"/>
      <c r="N1127" s="892"/>
      <c r="O1127" s="892"/>
      <c r="P1127" s="259"/>
      <c r="Q1127" s="114"/>
      <c r="R1127" s="114"/>
      <c r="S1127" s="114"/>
      <c r="T1127" s="270"/>
      <c r="U1127" s="270"/>
      <c r="V1127" s="270"/>
      <c r="W1127" s="270"/>
      <c r="X1127" s="270"/>
      <c r="Y1127" s="270"/>
      <c r="Z1127" s="270"/>
      <c r="AA1127" s="114"/>
      <c r="AB1127" s="85"/>
      <c r="AC1127" s="85"/>
      <c r="AD1127" s="85"/>
      <c r="AE1127" s="85"/>
    </row>
    <row r="1128" spans="3:31" ht="15" thickBot="1" x14ac:dyDescent="0.35">
      <c r="C1128" s="450"/>
      <c r="D1128" s="182"/>
      <c r="E1128" s="182"/>
      <c r="F1128" s="182"/>
      <c r="G1128" s="450" t="str">
        <f t="shared" si="52"/>
        <v>--</v>
      </c>
      <c r="H1128" s="182"/>
      <c r="I1128" s="892"/>
      <c r="J1128" s="892"/>
      <c r="K1128" s="182"/>
      <c r="L1128" s="182"/>
      <c r="M1128" s="901" t="s">
        <v>155</v>
      </c>
      <c r="N1128" s="870" t="s">
        <v>188</v>
      </c>
      <c r="O1128" s="870"/>
      <c r="P1128" s="276" t="s">
        <v>426</v>
      </c>
      <c r="Q1128" s="871" t="s">
        <v>155</v>
      </c>
      <c r="R1128" s="902"/>
      <c r="S1128" s="874"/>
      <c r="T1128" s="270"/>
      <c r="U1128" s="270"/>
      <c r="V1128" s="270"/>
      <c r="W1128" s="270"/>
      <c r="X1128" s="270"/>
      <c r="Y1128" s="270"/>
      <c r="Z1128" s="270"/>
      <c r="AA1128" s="114"/>
      <c r="AB1128" s="85"/>
      <c r="AC1128" s="85"/>
      <c r="AD1128" s="85"/>
      <c r="AE1128" s="85"/>
    </row>
    <row r="1129" spans="3:31" ht="15" thickBot="1" x14ac:dyDescent="0.35">
      <c r="C1129" s="566" t="s">
        <v>90</v>
      </c>
      <c r="D1129" s="875" t="str">
        <f>VLOOKUP(C1129,'Airport Mapping'!$C$5:$D$39,2,FALSE)</f>
        <v xml:space="preserve"> </v>
      </c>
      <c r="E1129" s="567" t="s">
        <v>43</v>
      </c>
      <c r="F1129" s="567" t="s">
        <v>426</v>
      </c>
      <c r="G1129" s="450" t="str">
        <f t="shared" si="52"/>
        <v>Rental Car Center B-Maintenance-Pavement cleaning</v>
      </c>
      <c r="H1129" s="567" t="s">
        <v>12</v>
      </c>
      <c r="I1129" s="877" t="s">
        <v>64</v>
      </c>
      <c r="J1129" s="878">
        <f>SUMIFS('Level of Efficiency Assumptions'!J:J,'Level of Efficiency Assumptions'!D:D,E1129,'Level of Efficiency Assumptions'!F:F,F1129,'Level of Efficiency Assumptions'!I:I,I1129)</f>
        <v>10</v>
      </c>
      <c r="K1129" s="383" t="s">
        <v>588</v>
      </c>
      <c r="L1129" s="253" t="s">
        <v>64</v>
      </c>
      <c r="M1129" s="879">
        <f>SUM(Q1129:Q1130)</f>
        <v>0</v>
      </c>
      <c r="N1129" s="880">
        <f>IFERROR(M1129/M1132,"-")</f>
        <v>0</v>
      </c>
      <c r="O1129" s="881">
        <f>SUMIFS('Data Entry'!R:R,'Data Entry'!K:K,G1129)</f>
        <v>0</v>
      </c>
      <c r="P1129" s="272"/>
      <c r="Q1129" s="895">
        <v>0</v>
      </c>
      <c r="R1129" s="114"/>
      <c r="S1129" s="884"/>
      <c r="T1129" s="270"/>
      <c r="U1129" s="270"/>
      <c r="V1129" s="270"/>
      <c r="W1129" s="270"/>
      <c r="X1129" s="270"/>
      <c r="Y1129" s="270"/>
      <c r="Z1129" s="270"/>
      <c r="AA1129" s="114"/>
      <c r="AB1129" s="85"/>
      <c r="AC1129" s="85"/>
      <c r="AD1129" s="85"/>
      <c r="AE1129" s="85"/>
    </row>
    <row r="1130" spans="3:31" ht="15" thickBot="1" x14ac:dyDescent="0.35">
      <c r="C1130" s="494" t="s">
        <v>90</v>
      </c>
      <c r="D1130" s="577"/>
      <c r="E1130" s="577" t="s">
        <v>43</v>
      </c>
      <c r="F1130" s="577" t="s">
        <v>426</v>
      </c>
      <c r="G1130" s="450" t="str">
        <f t="shared" si="52"/>
        <v>Rental Car Center B-Maintenance-Pavement cleaning</v>
      </c>
      <c r="H1130" s="577"/>
      <c r="I1130" s="887" t="s">
        <v>65</v>
      </c>
      <c r="J1130" s="878">
        <f>SUMIFS('Level of Efficiency Assumptions'!J:J,'Level of Efficiency Assumptions'!D:D,E1130,'Level of Efficiency Assumptions'!F:F,F1130,'Level of Efficiency Assumptions'!I:I,I1130)</f>
        <v>7.5</v>
      </c>
      <c r="K1130" s="383" t="s">
        <v>588</v>
      </c>
      <c r="L1130" s="255" t="s">
        <v>65</v>
      </c>
      <c r="M1130" s="879">
        <f>Q1131+Q1132</f>
        <v>1</v>
      </c>
      <c r="N1130" s="880">
        <f>IFERROR(M1130/M1132,"-")</f>
        <v>1</v>
      </c>
      <c r="O1130" s="881">
        <f>SUMIFS('Data Entry'!S:S,'Data Entry'!K:K,G1130)</f>
        <v>0</v>
      </c>
      <c r="P1130" s="272"/>
      <c r="Q1130" s="895">
        <v>0</v>
      </c>
      <c r="R1130" s="114"/>
      <c r="S1130" s="884"/>
      <c r="T1130" s="270"/>
      <c r="U1130" s="270"/>
      <c r="V1130" s="270"/>
      <c r="W1130" s="270"/>
      <c r="X1130" s="270"/>
      <c r="Y1130" s="270"/>
      <c r="Z1130" s="270"/>
      <c r="AA1130" s="114"/>
      <c r="AB1130" s="85"/>
      <c r="AC1130" s="85"/>
      <c r="AD1130" s="85"/>
      <c r="AE1130" s="85"/>
    </row>
    <row r="1131" spans="3:31" ht="15" thickBot="1" x14ac:dyDescent="0.35">
      <c r="C1131" s="501" t="s">
        <v>90</v>
      </c>
      <c r="D1131" s="116"/>
      <c r="E1131" s="116" t="s">
        <v>43</v>
      </c>
      <c r="F1131" s="116" t="s">
        <v>426</v>
      </c>
      <c r="G1131" s="450" t="str">
        <f t="shared" si="52"/>
        <v>Rental Car Center B-Maintenance-Pavement cleaning</v>
      </c>
      <c r="H1131" s="116"/>
      <c r="I1131" s="889" t="s">
        <v>66</v>
      </c>
      <c r="J1131" s="890">
        <f>SUMIFS('Level of Efficiency Assumptions'!J:J,'Level of Efficiency Assumptions'!D:D,E1131,'Level of Efficiency Assumptions'!F:F,F1131,'Level of Efficiency Assumptions'!I:I,I1131)</f>
        <v>5</v>
      </c>
      <c r="K1131" s="383" t="s">
        <v>588</v>
      </c>
      <c r="L1131" s="257" t="s">
        <v>66</v>
      </c>
      <c r="M1131" s="879">
        <f>Q1133+Q1134</f>
        <v>0</v>
      </c>
      <c r="N1131" s="880">
        <f>IFERROR(M1131/M1132,"-")</f>
        <v>0</v>
      </c>
      <c r="O1131" s="881">
        <f>SUMIFS('Data Entry'!T:T,'Data Entry'!K:K,G1131)</f>
        <v>0</v>
      </c>
      <c r="P1131" s="274"/>
      <c r="Q1131" s="895">
        <v>1</v>
      </c>
      <c r="R1131" s="114"/>
      <c r="S1131" s="884"/>
      <c r="T1131" s="270"/>
      <c r="U1131" s="270"/>
      <c r="V1131" s="270"/>
      <c r="W1131" s="270"/>
      <c r="X1131" s="270"/>
      <c r="Y1131" s="270"/>
      <c r="Z1131" s="270"/>
      <c r="AA1131" s="114"/>
      <c r="AB1131" s="85"/>
      <c r="AC1131" s="85"/>
      <c r="AD1131" s="85"/>
      <c r="AE1131" s="85"/>
    </row>
    <row r="1132" spans="3:31" x14ac:dyDescent="0.3">
      <c r="C1132" s="450"/>
      <c r="D1132" s="182"/>
      <c r="E1132" s="182"/>
      <c r="F1132" s="182"/>
      <c r="G1132" s="450" t="str">
        <f t="shared" si="52"/>
        <v>--</v>
      </c>
      <c r="H1132" s="182"/>
      <c r="I1132" s="440"/>
      <c r="J1132" s="892"/>
      <c r="K1132" s="259"/>
      <c r="L1132" s="259" t="s">
        <v>46</v>
      </c>
      <c r="M1132" s="893">
        <f>SUM(M1129:M1131)</f>
        <v>1</v>
      </c>
      <c r="N1132" s="894"/>
      <c r="O1132" s="894">
        <f>SUM(O1129:O1131)</f>
        <v>0</v>
      </c>
      <c r="P1132" s="274"/>
      <c r="Q1132" s="895">
        <v>0</v>
      </c>
      <c r="R1132" s="114"/>
      <c r="S1132" s="884"/>
      <c r="T1132" s="270"/>
      <c r="U1132" s="270"/>
      <c r="V1132" s="270"/>
      <c r="W1132" s="270"/>
      <c r="X1132" s="270"/>
      <c r="Y1132" s="270"/>
      <c r="Z1132" s="270"/>
      <c r="AA1132" s="114"/>
      <c r="AB1132" s="85"/>
      <c r="AC1132" s="85"/>
      <c r="AD1132" s="85"/>
      <c r="AE1132" s="85"/>
    </row>
    <row r="1133" spans="3:31" x14ac:dyDescent="0.3">
      <c r="C1133" s="450"/>
      <c r="D1133" s="182"/>
      <c r="E1133" s="182"/>
      <c r="F1133" s="182"/>
      <c r="G1133" s="450" t="str">
        <f t="shared" si="52"/>
        <v>--</v>
      </c>
      <c r="H1133" s="182"/>
      <c r="I1133" s="892"/>
      <c r="J1133" s="288"/>
      <c r="K1133" s="288"/>
      <c r="L1133" s="182"/>
      <c r="M1133" s="270"/>
      <c r="N1133" s="892"/>
      <c r="O1133" s="892"/>
      <c r="P1133" s="275"/>
      <c r="Q1133" s="895">
        <v>0</v>
      </c>
      <c r="R1133" s="114"/>
      <c r="S1133" s="884"/>
      <c r="T1133" s="270"/>
      <c r="U1133" s="270"/>
      <c r="V1133" s="270"/>
      <c r="W1133" s="270"/>
      <c r="X1133" s="270"/>
      <c r="Y1133" s="270"/>
      <c r="Z1133" s="270"/>
      <c r="AA1133" s="114"/>
      <c r="AB1133" s="85"/>
      <c r="AC1133" s="85"/>
      <c r="AD1133" s="85"/>
      <c r="AE1133" s="85"/>
    </row>
    <row r="1134" spans="3:31" x14ac:dyDescent="0.3">
      <c r="C1134" s="450"/>
      <c r="D1134" s="182"/>
      <c r="E1134" s="182"/>
      <c r="F1134" s="182"/>
      <c r="G1134" s="450" t="str">
        <f t="shared" si="52"/>
        <v>--</v>
      </c>
      <c r="H1134" s="182"/>
      <c r="I1134" s="892"/>
      <c r="J1134" s="288"/>
      <c r="K1134" s="288"/>
      <c r="L1134" s="182"/>
      <c r="M1134" s="270"/>
      <c r="N1134" s="892"/>
      <c r="O1134" s="892"/>
      <c r="P1134" s="269"/>
      <c r="Q1134" s="895">
        <v>0</v>
      </c>
      <c r="R1134" s="114"/>
      <c r="S1134" s="884"/>
      <c r="T1134" s="270"/>
      <c r="U1134" s="114"/>
      <c r="V1134" s="114"/>
      <c r="W1134" s="114"/>
      <c r="X1134" s="114"/>
      <c r="Y1134" s="114"/>
      <c r="Z1134" s="114"/>
      <c r="AA1134" s="114"/>
      <c r="AB1134" s="85"/>
      <c r="AC1134" s="85"/>
      <c r="AD1134" s="85"/>
      <c r="AE1134" s="85"/>
    </row>
    <row r="1135" spans="3:31" x14ac:dyDescent="0.3">
      <c r="C1135" s="450"/>
      <c r="D1135" s="182"/>
      <c r="E1135" s="182"/>
      <c r="F1135" s="182"/>
      <c r="G1135" s="450" t="str">
        <f t="shared" si="52"/>
        <v>--</v>
      </c>
      <c r="H1135" s="182"/>
      <c r="I1135" s="892"/>
      <c r="J1135" s="288"/>
      <c r="K1135" s="288"/>
      <c r="L1135" s="182"/>
      <c r="M1135" s="270"/>
      <c r="N1135" s="892"/>
      <c r="O1135" s="892"/>
      <c r="P1135" s="263" t="s">
        <v>46</v>
      </c>
      <c r="Q1135" s="897">
        <f>SUM(Q1129:Q1134)</f>
        <v>1</v>
      </c>
      <c r="R1135" s="899"/>
      <c r="S1135" s="900"/>
      <c r="T1135" s="270"/>
      <c r="U1135" s="114"/>
      <c r="V1135" s="114"/>
      <c r="W1135" s="114"/>
      <c r="X1135" s="114"/>
      <c r="Y1135" s="114"/>
      <c r="Z1135" s="114"/>
      <c r="AA1135" s="114"/>
      <c r="AB1135" s="85"/>
      <c r="AC1135" s="85"/>
      <c r="AD1135" s="85"/>
      <c r="AE1135" s="85"/>
    </row>
    <row r="1136" spans="3:31" x14ac:dyDescent="0.3">
      <c r="C1136" s="450"/>
      <c r="D1136" s="182"/>
      <c r="E1136" s="182"/>
      <c r="F1136" s="182"/>
      <c r="G1136" s="450" t="str">
        <f t="shared" si="52"/>
        <v>--</v>
      </c>
      <c r="H1136" s="182"/>
      <c r="I1136" s="892"/>
      <c r="J1136" s="288"/>
      <c r="K1136" s="288"/>
      <c r="L1136" s="270"/>
      <c r="M1136" s="270"/>
      <c r="N1136" s="923"/>
      <c r="O1136" s="923"/>
      <c r="P1136" s="270"/>
      <c r="Q1136" s="270"/>
      <c r="R1136" s="270"/>
      <c r="S1136" s="270"/>
      <c r="T1136" s="270"/>
      <c r="U1136" s="114"/>
      <c r="V1136" s="114"/>
      <c r="W1136" s="114"/>
      <c r="X1136" s="114"/>
      <c r="Y1136" s="114"/>
      <c r="Z1136" s="114"/>
      <c r="AA1136" s="114"/>
      <c r="AB1136" s="85"/>
      <c r="AC1136" s="85"/>
      <c r="AD1136" s="85"/>
      <c r="AE1136" s="85"/>
    </row>
    <row r="1137" spans="3:31" ht="15" thickBot="1" x14ac:dyDescent="0.35">
      <c r="C1137" s="450"/>
      <c r="D1137" s="182"/>
      <c r="E1137" s="182"/>
      <c r="F1137" s="182"/>
      <c r="G1137" s="450" t="str">
        <f t="shared" si="52"/>
        <v>--</v>
      </c>
      <c r="H1137" s="182"/>
      <c r="I1137" s="892"/>
      <c r="J1137" s="892"/>
      <c r="K1137" s="182"/>
      <c r="L1137" s="182"/>
      <c r="M1137" s="901" t="s">
        <v>155</v>
      </c>
      <c r="N1137" s="870" t="s">
        <v>188</v>
      </c>
      <c r="O1137" s="870"/>
      <c r="P1137" s="276" t="s">
        <v>52</v>
      </c>
      <c r="Q1137" s="871" t="s">
        <v>155</v>
      </c>
      <c r="R1137" s="902"/>
      <c r="S1137" s="874"/>
      <c r="T1137" s="270"/>
      <c r="U1137" s="114"/>
      <c r="V1137" s="114"/>
      <c r="W1137" s="114"/>
      <c r="X1137" s="114"/>
      <c r="Y1137" s="114"/>
      <c r="Z1137" s="114"/>
      <c r="AA1137" s="114"/>
      <c r="AB1137" s="85"/>
      <c r="AC1137" s="85"/>
      <c r="AD1137" s="85"/>
      <c r="AE1137" s="85"/>
    </row>
    <row r="1138" spans="3:31" ht="15" thickBot="1" x14ac:dyDescent="0.35">
      <c r="C1138" s="566" t="s">
        <v>90</v>
      </c>
      <c r="D1138" s="875" t="str">
        <f>VLOOKUP(C1138,'Airport Mapping'!$C$5:$D$39,2,FALSE)</f>
        <v xml:space="preserve"> </v>
      </c>
      <c r="E1138" s="567" t="s">
        <v>8</v>
      </c>
      <c r="F1138" s="567" t="s">
        <v>52</v>
      </c>
      <c r="G1138" s="450" t="str">
        <f t="shared" si="52"/>
        <v>Rental Car Center B-Other-Other 1</v>
      </c>
      <c r="H1138" s="567" t="s">
        <v>362</v>
      </c>
      <c r="I1138" s="877" t="s">
        <v>64</v>
      </c>
      <c r="J1138" s="878">
        <f>SUMIFS('Level of Efficiency Assumptions'!J:J,'Level of Efficiency Assumptions'!D:D,E1138,'Level of Efficiency Assumptions'!F:F,F1138,'Level of Efficiency Assumptions'!I:I,I1138)</f>
        <v>10</v>
      </c>
      <c r="K1138" s="383" t="s">
        <v>588</v>
      </c>
      <c r="L1138" s="253" t="s">
        <v>64</v>
      </c>
      <c r="M1138" s="879">
        <f>SUM(Q1138:Q1138)</f>
        <v>0</v>
      </c>
      <c r="N1138" s="880">
        <f>IFERROR(M1138/M1141,"-")</f>
        <v>0</v>
      </c>
      <c r="O1138" s="881">
        <f>SUMIFS('Data Entry'!R:R,'Data Entry'!K:K,G1138)</f>
        <v>0</v>
      </c>
      <c r="P1138" s="272" t="s">
        <v>129</v>
      </c>
      <c r="Q1138" s="895">
        <v>0</v>
      </c>
      <c r="R1138" s="114"/>
      <c r="S1138" s="884"/>
      <c r="T1138" s="270"/>
      <c r="U1138" s="114"/>
      <c r="V1138" s="114"/>
      <c r="W1138" s="114"/>
      <c r="X1138" s="114"/>
      <c r="Y1138" s="114"/>
      <c r="Z1138" s="114"/>
      <c r="AA1138" s="114"/>
      <c r="AB1138" s="85"/>
      <c r="AC1138" s="85"/>
      <c r="AD1138" s="85"/>
      <c r="AE1138" s="85"/>
    </row>
    <row r="1139" spans="3:31" ht="15" thickBot="1" x14ac:dyDescent="0.35">
      <c r="C1139" s="494" t="s">
        <v>90</v>
      </c>
      <c r="D1139" s="577"/>
      <c r="E1139" s="577" t="s">
        <v>8</v>
      </c>
      <c r="F1139" s="577" t="s">
        <v>52</v>
      </c>
      <c r="G1139" s="450" t="str">
        <f t="shared" si="52"/>
        <v>Rental Car Center B-Other-Other 1</v>
      </c>
      <c r="H1139" s="577"/>
      <c r="I1139" s="887" t="s">
        <v>65</v>
      </c>
      <c r="J1139" s="878">
        <f>SUMIFS('Level of Efficiency Assumptions'!J:J,'Level of Efficiency Assumptions'!D:D,E1139,'Level of Efficiency Assumptions'!F:F,F1139,'Level of Efficiency Assumptions'!I:I,I1139)</f>
        <v>7.5</v>
      </c>
      <c r="K1139" s="383" t="s">
        <v>588</v>
      </c>
      <c r="L1139" s="255" t="s">
        <v>65</v>
      </c>
      <c r="M1139" s="879">
        <f t="shared" ref="M1139:M1140" si="53">SUM(Q1139:Q1139)</f>
        <v>1</v>
      </c>
      <c r="N1139" s="880">
        <f>IFERROR(M1139/M1141,"-")</f>
        <v>1</v>
      </c>
      <c r="O1139" s="881">
        <f>SUMIFS('Data Entry'!S:S,'Data Entry'!K:K,G1139)</f>
        <v>0</v>
      </c>
      <c r="P1139" s="274" t="s">
        <v>233</v>
      </c>
      <c r="Q1139" s="895">
        <v>1</v>
      </c>
      <c r="R1139" s="114"/>
      <c r="S1139" s="884"/>
      <c r="T1139" s="270"/>
      <c r="U1139" s="114"/>
      <c r="V1139" s="114"/>
      <c r="W1139" s="114"/>
      <c r="X1139" s="114"/>
      <c r="Y1139" s="114"/>
      <c r="Z1139" s="114"/>
      <c r="AA1139" s="114"/>
      <c r="AB1139" s="85"/>
      <c r="AC1139" s="85"/>
      <c r="AD1139" s="85"/>
      <c r="AE1139" s="85"/>
    </row>
    <row r="1140" spans="3:31" ht="15" thickBot="1" x14ac:dyDescent="0.35">
      <c r="C1140" s="501" t="s">
        <v>90</v>
      </c>
      <c r="D1140" s="116"/>
      <c r="E1140" s="116" t="s">
        <v>8</v>
      </c>
      <c r="F1140" s="116" t="s">
        <v>52</v>
      </c>
      <c r="G1140" s="450" t="str">
        <f t="shared" si="52"/>
        <v>Rental Car Center B-Other-Other 1</v>
      </c>
      <c r="H1140" s="116"/>
      <c r="I1140" s="889" t="s">
        <v>66</v>
      </c>
      <c r="J1140" s="890">
        <f>SUMIFS('Level of Efficiency Assumptions'!J:J,'Level of Efficiency Assumptions'!D:D,E1140,'Level of Efficiency Assumptions'!F:F,F1140,'Level of Efficiency Assumptions'!I:I,I1140)</f>
        <v>5</v>
      </c>
      <c r="K1140" s="383" t="s">
        <v>588</v>
      </c>
      <c r="L1140" s="257" t="s">
        <v>66</v>
      </c>
      <c r="M1140" s="879">
        <f t="shared" si="53"/>
        <v>0</v>
      </c>
      <c r="N1140" s="880">
        <f>IFERROR(M1140/M1141,"-")</f>
        <v>0</v>
      </c>
      <c r="O1140" s="881">
        <f>SUMIFS('Data Entry'!T:T,'Data Entry'!K:K,G1140)</f>
        <v>0</v>
      </c>
      <c r="P1140" s="269" t="s">
        <v>234</v>
      </c>
      <c r="Q1140" s="895">
        <v>0</v>
      </c>
      <c r="R1140" s="114"/>
      <c r="S1140" s="884"/>
      <c r="T1140" s="270"/>
      <c r="U1140" s="114"/>
      <c r="V1140" s="114"/>
      <c r="W1140" s="114"/>
      <c r="X1140" s="114"/>
      <c r="Y1140" s="114"/>
      <c r="Z1140" s="114"/>
      <c r="AA1140" s="114"/>
      <c r="AB1140" s="85"/>
      <c r="AC1140" s="85"/>
      <c r="AD1140" s="85"/>
      <c r="AE1140" s="85"/>
    </row>
    <row r="1141" spans="3:31" x14ac:dyDescent="0.3">
      <c r="C1141" s="450"/>
      <c r="D1141" s="182"/>
      <c r="E1141" s="182"/>
      <c r="F1141" s="182"/>
      <c r="G1141" s="450" t="str">
        <f t="shared" si="52"/>
        <v>--</v>
      </c>
      <c r="H1141" s="182"/>
      <c r="I1141" s="440"/>
      <c r="J1141" s="892"/>
      <c r="K1141" s="259"/>
      <c r="L1141" s="259" t="s">
        <v>46</v>
      </c>
      <c r="M1141" s="893">
        <f>SUM(M1138:M1140)</f>
        <v>1</v>
      </c>
      <c r="N1141" s="894"/>
      <c r="O1141" s="894">
        <f>SUM(O1138:O1140)</f>
        <v>0</v>
      </c>
      <c r="P1141" s="263" t="s">
        <v>46</v>
      </c>
      <c r="Q1141" s="897">
        <f>SUM(Q1138:Q1140)</f>
        <v>1</v>
      </c>
      <c r="R1141" s="899"/>
      <c r="S1141" s="900"/>
      <c r="T1141" s="270"/>
      <c r="U1141" s="114"/>
      <c r="V1141" s="114"/>
      <c r="W1141" s="114"/>
      <c r="X1141" s="114"/>
      <c r="Y1141" s="114"/>
      <c r="Z1141" s="114"/>
      <c r="AA1141" s="114"/>
      <c r="AB1141" s="85"/>
      <c r="AC1141" s="85"/>
      <c r="AD1141" s="85"/>
      <c r="AE1141" s="85"/>
    </row>
    <row r="1142" spans="3:31" x14ac:dyDescent="0.3">
      <c r="C1142" s="450"/>
      <c r="D1142" s="182"/>
      <c r="E1142" s="182"/>
      <c r="F1142" s="182"/>
      <c r="G1142" s="450" t="str">
        <f t="shared" si="52"/>
        <v>--</v>
      </c>
      <c r="H1142" s="182"/>
      <c r="I1142" s="892"/>
      <c r="J1142" s="288"/>
      <c r="K1142" s="182"/>
      <c r="L1142" s="182"/>
      <c r="M1142" s="270"/>
      <c r="N1142" s="892"/>
      <c r="O1142" s="892"/>
      <c r="P1142" s="270"/>
      <c r="Q1142" s="270"/>
      <c r="R1142" s="270"/>
      <c r="S1142" s="270"/>
      <c r="T1142" s="270"/>
      <c r="U1142" s="114"/>
      <c r="V1142" s="114"/>
      <c r="W1142" s="114"/>
      <c r="X1142" s="114"/>
      <c r="Y1142" s="114"/>
      <c r="Z1142" s="114"/>
      <c r="AA1142" s="114"/>
      <c r="AB1142" s="85"/>
      <c r="AC1142" s="85"/>
      <c r="AD1142" s="85"/>
      <c r="AE1142" s="85"/>
    </row>
    <row r="1143" spans="3:31" ht="15" thickBot="1" x14ac:dyDescent="0.35">
      <c r="C1143" s="450"/>
      <c r="D1143" s="182"/>
      <c r="E1143" s="182"/>
      <c r="F1143" s="182"/>
      <c r="G1143" s="450" t="str">
        <f t="shared" si="52"/>
        <v>--</v>
      </c>
      <c r="H1143" s="182"/>
      <c r="I1143" s="892"/>
      <c r="J1143" s="892"/>
      <c r="K1143" s="182"/>
      <c r="L1143" s="182"/>
      <c r="M1143" s="901" t="s">
        <v>155</v>
      </c>
      <c r="N1143" s="870" t="s">
        <v>188</v>
      </c>
      <c r="O1143" s="870"/>
      <c r="P1143" s="276" t="s">
        <v>53</v>
      </c>
      <c r="Q1143" s="871" t="s">
        <v>155</v>
      </c>
      <c r="R1143" s="902"/>
      <c r="S1143" s="874"/>
      <c r="T1143" s="270"/>
      <c r="U1143" s="114"/>
      <c r="V1143" s="114"/>
      <c r="W1143" s="114"/>
      <c r="X1143" s="114"/>
      <c r="Y1143" s="114"/>
      <c r="Z1143" s="114"/>
      <c r="AA1143" s="114"/>
      <c r="AB1143" s="85"/>
      <c r="AC1143" s="85"/>
      <c r="AD1143" s="85"/>
      <c r="AE1143" s="85"/>
    </row>
    <row r="1144" spans="3:31" ht="15" thickBot="1" x14ac:dyDescent="0.35">
      <c r="C1144" s="566" t="s">
        <v>90</v>
      </c>
      <c r="D1144" s="875" t="str">
        <f>VLOOKUP(C1144,'Airport Mapping'!$C$5:$D$39,2,FALSE)</f>
        <v xml:space="preserve"> </v>
      </c>
      <c r="E1144" s="567" t="s">
        <v>8</v>
      </c>
      <c r="F1144" s="567" t="s">
        <v>53</v>
      </c>
      <c r="G1144" s="450" t="str">
        <f t="shared" si="52"/>
        <v>Rental Car Center B-Other-Other 2</v>
      </c>
      <c r="H1144" s="567" t="s">
        <v>363</v>
      </c>
      <c r="I1144" s="877" t="s">
        <v>64</v>
      </c>
      <c r="J1144" s="878">
        <f>SUMIFS('Level of Efficiency Assumptions'!J:J,'Level of Efficiency Assumptions'!D:D,E1144,'Level of Efficiency Assumptions'!F:F,F1144,'Level of Efficiency Assumptions'!I:I,I1144)</f>
        <v>10</v>
      </c>
      <c r="K1144" s="383" t="s">
        <v>588</v>
      </c>
      <c r="L1144" s="253" t="s">
        <v>64</v>
      </c>
      <c r="M1144" s="879">
        <f>SUM(Q1144:Q1144)</f>
        <v>0</v>
      </c>
      <c r="N1144" s="880">
        <f>IFERROR(M1144/M1147,"-")</f>
        <v>0</v>
      </c>
      <c r="O1144" s="881">
        <f>SUMIFS('Data Entry'!R:R,'Data Entry'!K:K,G1144)</f>
        <v>0</v>
      </c>
      <c r="P1144" s="272" t="s">
        <v>129</v>
      </c>
      <c r="Q1144" s="895">
        <v>0</v>
      </c>
      <c r="R1144" s="114"/>
      <c r="S1144" s="884"/>
      <c r="T1144" s="270"/>
      <c r="U1144" s="114"/>
      <c r="V1144" s="114"/>
      <c r="W1144" s="114"/>
      <c r="X1144" s="114"/>
      <c r="Y1144" s="114"/>
      <c r="Z1144" s="114"/>
      <c r="AA1144" s="114"/>
      <c r="AB1144" s="85"/>
      <c r="AC1144" s="85"/>
      <c r="AD1144" s="85"/>
      <c r="AE1144" s="85"/>
    </row>
    <row r="1145" spans="3:31" ht="15" thickBot="1" x14ac:dyDescent="0.35">
      <c r="C1145" s="494" t="s">
        <v>90</v>
      </c>
      <c r="D1145" s="577"/>
      <c r="E1145" s="577" t="s">
        <v>8</v>
      </c>
      <c r="F1145" s="577" t="s">
        <v>53</v>
      </c>
      <c r="G1145" s="450" t="str">
        <f t="shared" si="52"/>
        <v>Rental Car Center B-Other-Other 2</v>
      </c>
      <c r="H1145" s="577"/>
      <c r="I1145" s="887" t="s">
        <v>65</v>
      </c>
      <c r="J1145" s="878">
        <f>SUMIFS('Level of Efficiency Assumptions'!J:J,'Level of Efficiency Assumptions'!D:D,E1145,'Level of Efficiency Assumptions'!F:F,F1145,'Level of Efficiency Assumptions'!I:I,I1145)</f>
        <v>7.5</v>
      </c>
      <c r="K1145" s="383" t="s">
        <v>588</v>
      </c>
      <c r="L1145" s="255" t="s">
        <v>65</v>
      </c>
      <c r="M1145" s="879">
        <f t="shared" ref="M1145:M1146" si="54">SUM(Q1145:Q1145)</f>
        <v>1</v>
      </c>
      <c r="N1145" s="880">
        <f>IFERROR(M1145/M1147,"-")</f>
        <v>1</v>
      </c>
      <c r="O1145" s="881">
        <f>SUMIFS('Data Entry'!S:S,'Data Entry'!K:K,G1145)</f>
        <v>0</v>
      </c>
      <c r="P1145" s="274" t="s">
        <v>233</v>
      </c>
      <c r="Q1145" s="895">
        <v>1</v>
      </c>
      <c r="R1145" s="114"/>
      <c r="S1145" s="884"/>
      <c r="T1145" s="270"/>
      <c r="U1145" s="114"/>
      <c r="V1145" s="114"/>
      <c r="W1145" s="114"/>
      <c r="X1145" s="114"/>
      <c r="Y1145" s="114"/>
      <c r="Z1145" s="114"/>
      <c r="AA1145" s="114"/>
      <c r="AB1145" s="85"/>
      <c r="AC1145" s="85"/>
      <c r="AD1145" s="85"/>
      <c r="AE1145" s="85"/>
    </row>
    <row r="1146" spans="3:31" ht="15" thickBot="1" x14ac:dyDescent="0.35">
      <c r="C1146" s="501" t="s">
        <v>90</v>
      </c>
      <c r="D1146" s="116"/>
      <c r="E1146" s="116" t="s">
        <v>8</v>
      </c>
      <c r="F1146" s="116" t="s">
        <v>53</v>
      </c>
      <c r="G1146" s="450" t="str">
        <f t="shared" si="52"/>
        <v>Rental Car Center B-Other-Other 2</v>
      </c>
      <c r="H1146" s="116"/>
      <c r="I1146" s="889" t="s">
        <v>66</v>
      </c>
      <c r="J1146" s="890">
        <f>SUMIFS('Level of Efficiency Assumptions'!J:J,'Level of Efficiency Assumptions'!D:D,E1146,'Level of Efficiency Assumptions'!F:F,F1146,'Level of Efficiency Assumptions'!I:I,I1146)</f>
        <v>5</v>
      </c>
      <c r="K1146" s="383" t="s">
        <v>588</v>
      </c>
      <c r="L1146" s="257" t="s">
        <v>66</v>
      </c>
      <c r="M1146" s="879">
        <f t="shared" si="54"/>
        <v>0</v>
      </c>
      <c r="N1146" s="880">
        <f>IFERROR(M1146/M1147,"-")</f>
        <v>0</v>
      </c>
      <c r="O1146" s="881">
        <f>SUMIFS('Data Entry'!T:T,'Data Entry'!K:K,G1146)</f>
        <v>0</v>
      </c>
      <c r="P1146" s="269" t="s">
        <v>234</v>
      </c>
      <c r="Q1146" s="895">
        <v>0</v>
      </c>
      <c r="R1146" s="114"/>
      <c r="S1146" s="884"/>
      <c r="T1146" s="270"/>
      <c r="U1146" s="114"/>
      <c r="V1146" s="114"/>
      <c r="W1146" s="114"/>
      <c r="X1146" s="114"/>
      <c r="Y1146" s="114"/>
      <c r="Z1146" s="114"/>
      <c r="AA1146" s="114"/>
      <c r="AB1146" s="85"/>
      <c r="AC1146" s="85"/>
      <c r="AD1146" s="85"/>
      <c r="AE1146" s="85"/>
    </row>
    <row r="1147" spans="3:31" x14ac:dyDescent="0.3">
      <c r="C1147" s="450"/>
      <c r="D1147" s="182"/>
      <c r="E1147" s="182"/>
      <c r="F1147" s="182"/>
      <c r="G1147" s="450" t="str">
        <f t="shared" si="52"/>
        <v>--</v>
      </c>
      <c r="H1147" s="182"/>
      <c r="I1147" s="440"/>
      <c r="J1147" s="892"/>
      <c r="K1147" s="259"/>
      <c r="L1147" s="259" t="s">
        <v>46</v>
      </c>
      <c r="M1147" s="893">
        <f>SUM(M1144:M1146)</f>
        <v>1</v>
      </c>
      <c r="N1147" s="894"/>
      <c r="O1147" s="894">
        <f>SUM(O1144:O1146)</f>
        <v>0</v>
      </c>
      <c r="P1147" s="263" t="s">
        <v>46</v>
      </c>
      <c r="Q1147" s="897">
        <f>SUM(Q1144:Q1146)</f>
        <v>1</v>
      </c>
      <c r="R1147" s="899"/>
      <c r="S1147" s="900"/>
      <c r="T1147" s="270"/>
      <c r="U1147" s="114"/>
      <c r="V1147" s="114"/>
      <c r="W1147" s="114"/>
      <c r="X1147" s="114"/>
      <c r="Y1147" s="114"/>
      <c r="Z1147" s="114"/>
      <c r="AA1147" s="114"/>
      <c r="AB1147" s="85"/>
      <c r="AC1147" s="85"/>
      <c r="AD1147" s="85"/>
      <c r="AE1147" s="85"/>
    </row>
    <row r="1148" spans="3:31" x14ac:dyDescent="0.3">
      <c r="C1148" s="450"/>
      <c r="D1148" s="182"/>
      <c r="E1148" s="182"/>
      <c r="F1148" s="182"/>
      <c r="G1148" s="450" t="str">
        <f t="shared" si="52"/>
        <v>--</v>
      </c>
      <c r="H1148" s="182"/>
      <c r="I1148" s="892"/>
      <c r="J1148" s="288"/>
      <c r="K1148" s="182"/>
      <c r="L1148" s="182"/>
      <c r="M1148" s="270"/>
      <c r="N1148" s="892"/>
      <c r="O1148" s="892"/>
      <c r="P1148" s="270"/>
      <c r="Q1148" s="270"/>
      <c r="R1148" s="270"/>
      <c r="S1148" s="270"/>
      <c r="T1148" s="270"/>
      <c r="U1148" s="114"/>
      <c r="V1148" s="114"/>
      <c r="W1148" s="114"/>
      <c r="X1148" s="114"/>
      <c r="Y1148" s="114"/>
      <c r="Z1148" s="114"/>
      <c r="AA1148" s="114"/>
      <c r="AB1148" s="85"/>
      <c r="AC1148" s="85"/>
      <c r="AD1148" s="85"/>
      <c r="AE1148" s="85"/>
    </row>
    <row r="1149" spans="3:31" ht="15" thickBot="1" x14ac:dyDescent="0.35">
      <c r="C1149" s="450"/>
      <c r="D1149" s="182"/>
      <c r="E1149" s="182"/>
      <c r="F1149" s="182"/>
      <c r="G1149" s="450" t="str">
        <f t="shared" si="52"/>
        <v>--</v>
      </c>
      <c r="H1149" s="182"/>
      <c r="I1149" s="892"/>
      <c r="J1149" s="892"/>
      <c r="K1149" s="182"/>
      <c r="L1149" s="182"/>
      <c r="M1149" s="901" t="s">
        <v>155</v>
      </c>
      <c r="N1149" s="870" t="s">
        <v>188</v>
      </c>
      <c r="O1149" s="870"/>
      <c r="P1149" s="276" t="s">
        <v>54</v>
      </c>
      <c r="Q1149" s="871" t="s">
        <v>155</v>
      </c>
      <c r="R1149" s="902"/>
      <c r="S1149" s="874"/>
      <c r="T1149" s="270"/>
      <c r="U1149" s="114"/>
      <c r="V1149" s="114"/>
      <c r="W1149" s="114"/>
      <c r="X1149" s="114"/>
      <c r="Y1149" s="114"/>
      <c r="Z1149" s="114"/>
      <c r="AA1149" s="114"/>
      <c r="AB1149" s="85"/>
      <c r="AC1149" s="85"/>
      <c r="AD1149" s="85"/>
      <c r="AE1149" s="85"/>
    </row>
    <row r="1150" spans="3:31" ht="15" thickBot="1" x14ac:dyDescent="0.35">
      <c r="C1150" s="566" t="s">
        <v>90</v>
      </c>
      <c r="D1150" s="875" t="str">
        <f>VLOOKUP(C1150,'Airport Mapping'!$C$5:$D$39,2,FALSE)</f>
        <v xml:space="preserve"> </v>
      </c>
      <c r="E1150" s="567" t="s">
        <v>8</v>
      </c>
      <c r="F1150" s="567" t="s">
        <v>54</v>
      </c>
      <c r="G1150" s="450" t="str">
        <f t="shared" si="52"/>
        <v>Rental Car Center B-Other-Other 3</v>
      </c>
      <c r="H1150" s="567" t="s">
        <v>364</v>
      </c>
      <c r="I1150" s="877" t="s">
        <v>64</v>
      </c>
      <c r="J1150" s="878">
        <f>SUMIFS('Level of Efficiency Assumptions'!J:J,'Level of Efficiency Assumptions'!D:D,E1150,'Level of Efficiency Assumptions'!F:F,F1150,'Level of Efficiency Assumptions'!I:I,I1150)</f>
        <v>10</v>
      </c>
      <c r="K1150" s="383" t="s">
        <v>588</v>
      </c>
      <c r="L1150" s="253" t="s">
        <v>64</v>
      </c>
      <c r="M1150" s="879">
        <f>SUM(Q1150:Q1150)</f>
        <v>0</v>
      </c>
      <c r="N1150" s="880">
        <f>IFERROR(M1150/M1153,"-")</f>
        <v>0</v>
      </c>
      <c r="O1150" s="881">
        <f>SUMIFS('Data Entry'!R:R,'Data Entry'!K:K,G1150)</f>
        <v>0</v>
      </c>
      <c r="P1150" s="272" t="s">
        <v>129</v>
      </c>
      <c r="Q1150" s="895">
        <v>0</v>
      </c>
      <c r="R1150" s="114"/>
      <c r="S1150" s="884"/>
      <c r="T1150" s="270"/>
      <c r="U1150" s="114"/>
      <c r="V1150" s="114"/>
      <c r="W1150" s="114"/>
      <c r="X1150" s="114"/>
      <c r="Y1150" s="114"/>
      <c r="Z1150" s="114"/>
      <c r="AA1150" s="114"/>
      <c r="AB1150" s="85"/>
      <c r="AC1150" s="85"/>
      <c r="AD1150" s="85"/>
      <c r="AE1150" s="85"/>
    </row>
    <row r="1151" spans="3:31" s="45" customFormat="1" ht="15" thickBot="1" x14ac:dyDescent="0.35">
      <c r="C1151" s="494" t="s">
        <v>90</v>
      </c>
      <c r="D1151" s="577"/>
      <c r="E1151" s="577" t="s">
        <v>8</v>
      </c>
      <c r="F1151" s="577" t="s">
        <v>54</v>
      </c>
      <c r="G1151" s="450" t="str">
        <f t="shared" si="52"/>
        <v>Rental Car Center B-Other-Other 3</v>
      </c>
      <c r="H1151" s="577"/>
      <c r="I1151" s="887" t="s">
        <v>65</v>
      </c>
      <c r="J1151" s="878">
        <f>SUMIFS('Level of Efficiency Assumptions'!J:J,'Level of Efficiency Assumptions'!D:D,E1151,'Level of Efficiency Assumptions'!F:F,F1151,'Level of Efficiency Assumptions'!I:I,I1151)</f>
        <v>7.5</v>
      </c>
      <c r="K1151" s="383" t="s">
        <v>588</v>
      </c>
      <c r="L1151" s="255" t="s">
        <v>65</v>
      </c>
      <c r="M1151" s="879">
        <f t="shared" ref="M1151:M1152" si="55">SUM(Q1151:Q1151)</f>
        <v>1</v>
      </c>
      <c r="N1151" s="880">
        <f>IFERROR(M1151/M1153,"-")</f>
        <v>1</v>
      </c>
      <c r="O1151" s="881">
        <f>SUMIFS('Data Entry'!S:S,'Data Entry'!K:K,G1151)</f>
        <v>0</v>
      </c>
      <c r="P1151" s="274" t="s">
        <v>233</v>
      </c>
      <c r="Q1151" s="895">
        <v>1</v>
      </c>
      <c r="R1151" s="114"/>
      <c r="S1151" s="884"/>
      <c r="T1151" s="270"/>
      <c r="U1151" s="114"/>
      <c r="V1151" s="114"/>
      <c r="W1151" s="114"/>
      <c r="X1151" s="114"/>
      <c r="Y1151" s="114"/>
      <c r="Z1151" s="114"/>
      <c r="AA1151" s="114"/>
      <c r="AB1151" s="85"/>
      <c r="AC1151" s="85"/>
      <c r="AD1151" s="85"/>
      <c r="AE1151" s="85"/>
    </row>
    <row r="1152" spans="3:31" s="45" customFormat="1" ht="15" thickBot="1" x14ac:dyDescent="0.35">
      <c r="C1152" s="501" t="s">
        <v>90</v>
      </c>
      <c r="D1152" s="116"/>
      <c r="E1152" s="116" t="s">
        <v>8</v>
      </c>
      <c r="F1152" s="116" t="s">
        <v>54</v>
      </c>
      <c r="G1152" s="450" t="str">
        <f t="shared" si="52"/>
        <v>Rental Car Center B-Other-Other 3</v>
      </c>
      <c r="H1152" s="116"/>
      <c r="I1152" s="889" t="s">
        <v>66</v>
      </c>
      <c r="J1152" s="890">
        <f>SUMIFS('Level of Efficiency Assumptions'!J:J,'Level of Efficiency Assumptions'!D:D,E1152,'Level of Efficiency Assumptions'!F:F,F1152,'Level of Efficiency Assumptions'!I:I,I1152)</f>
        <v>5</v>
      </c>
      <c r="K1152" s="383" t="s">
        <v>588</v>
      </c>
      <c r="L1152" s="257" t="s">
        <v>66</v>
      </c>
      <c r="M1152" s="879">
        <f t="shared" si="55"/>
        <v>0</v>
      </c>
      <c r="N1152" s="880">
        <f>IFERROR(M1152/M1153,"-")</f>
        <v>0</v>
      </c>
      <c r="O1152" s="881">
        <f>SUMIFS('Data Entry'!T:T,'Data Entry'!K:K,G1152)</f>
        <v>0</v>
      </c>
      <c r="P1152" s="269" t="s">
        <v>234</v>
      </c>
      <c r="Q1152" s="895">
        <v>0</v>
      </c>
      <c r="R1152" s="114"/>
      <c r="S1152" s="884"/>
      <c r="T1152" s="270"/>
      <c r="U1152" s="114"/>
      <c r="V1152" s="114"/>
      <c r="W1152" s="114"/>
      <c r="X1152" s="114"/>
      <c r="Y1152" s="114"/>
      <c r="Z1152" s="114"/>
      <c r="AA1152" s="114"/>
      <c r="AB1152" s="85"/>
      <c r="AC1152" s="85"/>
      <c r="AD1152" s="85"/>
      <c r="AE1152" s="85"/>
    </row>
    <row r="1153" spans="3:31" s="45" customFormat="1" x14ac:dyDescent="0.3">
      <c r="C1153" s="450"/>
      <c r="D1153" s="182"/>
      <c r="E1153" s="182"/>
      <c r="F1153" s="182"/>
      <c r="G1153" s="450" t="str">
        <f t="shared" si="52"/>
        <v>--</v>
      </c>
      <c r="H1153" s="182"/>
      <c r="I1153" s="440"/>
      <c r="J1153" s="892"/>
      <c r="K1153" s="259"/>
      <c r="L1153" s="259" t="s">
        <v>46</v>
      </c>
      <c r="M1153" s="893">
        <f>SUM(M1150:M1152)</f>
        <v>1</v>
      </c>
      <c r="N1153" s="894"/>
      <c r="O1153" s="894">
        <f>SUM(O1150:O1152)</f>
        <v>0</v>
      </c>
      <c r="P1153" s="263" t="s">
        <v>46</v>
      </c>
      <c r="Q1153" s="897">
        <f>SUM(Q1150:Q1152)</f>
        <v>1</v>
      </c>
      <c r="R1153" s="899"/>
      <c r="S1153" s="900"/>
      <c r="T1153" s="270"/>
      <c r="U1153" s="114"/>
      <c r="V1153" s="114"/>
      <c r="W1153" s="114"/>
      <c r="X1153" s="114"/>
      <c r="Y1153" s="114"/>
      <c r="Z1153" s="114"/>
      <c r="AA1153" s="114"/>
      <c r="AB1153" s="85"/>
      <c r="AC1153" s="85"/>
      <c r="AD1153" s="85"/>
      <c r="AE1153" s="85"/>
    </row>
    <row r="1154" spans="3:31" s="45" customFormat="1" ht="15" thickBot="1" x14ac:dyDescent="0.35">
      <c r="C1154" s="451"/>
      <c r="D1154" s="184"/>
      <c r="E1154" s="184"/>
      <c r="F1154" s="184"/>
      <c r="G1154" s="450" t="str">
        <f t="shared" si="52"/>
        <v>--</v>
      </c>
      <c r="H1154" s="184"/>
      <c r="I1154" s="281"/>
      <c r="J1154" s="281"/>
      <c r="K1154" s="184"/>
      <c r="L1154" s="918"/>
      <c r="M1154" s="278"/>
      <c r="N1154" s="919"/>
      <c r="O1154" s="919"/>
      <c r="P1154" s="279"/>
      <c r="Q1154" s="278"/>
      <c r="R1154" s="278"/>
      <c r="S1154" s="278"/>
      <c r="T1154" s="278"/>
      <c r="U1154" s="920"/>
      <c r="V1154" s="278"/>
      <c r="W1154" s="278"/>
      <c r="X1154" s="278"/>
      <c r="Y1154" s="114"/>
      <c r="Z1154" s="114"/>
      <c r="AA1154" s="114"/>
      <c r="AB1154" s="85"/>
      <c r="AC1154" s="85"/>
      <c r="AD1154" s="85"/>
      <c r="AE1154" s="85"/>
    </row>
    <row r="1155" spans="3:31" s="45" customFormat="1" x14ac:dyDescent="0.3">
      <c r="C1155" s="450"/>
      <c r="D1155" s="182"/>
      <c r="E1155" s="182"/>
      <c r="F1155" s="182"/>
      <c r="G1155" s="450"/>
      <c r="H1155" s="182"/>
      <c r="I1155" s="892"/>
      <c r="J1155" s="892"/>
      <c r="K1155" s="182"/>
      <c r="L1155" s="921"/>
      <c r="M1155" s="114"/>
      <c r="N1155" s="922"/>
      <c r="O1155" s="922"/>
      <c r="P1155" s="280"/>
      <c r="Q1155" s="114"/>
      <c r="R1155" s="114"/>
      <c r="S1155" s="114"/>
      <c r="T1155" s="114"/>
      <c r="U1155" s="870"/>
      <c r="V1155" s="114"/>
      <c r="W1155" s="114"/>
      <c r="X1155" s="114"/>
      <c r="Y1155" s="114"/>
      <c r="Z1155" s="114"/>
      <c r="AA1155" s="114"/>
      <c r="AB1155" s="85"/>
      <c r="AC1155" s="85"/>
      <c r="AD1155" s="85"/>
      <c r="AE1155" s="85"/>
    </row>
    <row r="1156" spans="3:31" ht="15" thickBot="1" x14ac:dyDescent="0.35">
      <c r="C1156" s="450"/>
      <c r="D1156" s="182"/>
      <c r="E1156" s="182"/>
      <c r="F1156" s="182"/>
      <c r="G1156" s="450" t="str">
        <f t="shared" ref="G1156:G1248" si="56">C1156&amp;"-"&amp;E1156&amp;"-"&amp;F1156</f>
        <v>--</v>
      </c>
      <c r="H1156" s="182"/>
      <c r="I1156" s="892"/>
      <c r="J1156" s="892"/>
      <c r="K1156" s="182"/>
      <c r="L1156" s="182"/>
      <c r="M1156" s="901" t="s">
        <v>155</v>
      </c>
      <c r="N1156" s="870" t="s">
        <v>188</v>
      </c>
      <c r="O1156" s="870"/>
      <c r="P1156" s="252" t="s">
        <v>158</v>
      </c>
      <c r="Q1156" s="871" t="s">
        <v>155</v>
      </c>
      <c r="R1156" s="872" t="s">
        <v>168</v>
      </c>
      <c r="S1156" s="872" t="s">
        <v>169</v>
      </c>
      <c r="T1156" s="873"/>
      <c r="U1156" s="874"/>
      <c r="V1156" s="270"/>
      <c r="W1156" s="270"/>
      <c r="X1156" s="270"/>
      <c r="Y1156" s="114"/>
      <c r="Z1156" s="270"/>
      <c r="AA1156" s="114"/>
      <c r="AB1156" s="85"/>
      <c r="AC1156" s="85"/>
      <c r="AD1156" s="85"/>
      <c r="AE1156" s="85"/>
    </row>
    <row r="1157" spans="3:31" ht="15" thickBot="1" x14ac:dyDescent="0.35">
      <c r="C1157" s="566" t="s">
        <v>766</v>
      </c>
      <c r="D1157" s="875" t="str">
        <f>VLOOKUP(C1157,'Airport Mapping'!$C$5:$D$39,2,FALSE)</f>
        <v xml:space="preserve"> </v>
      </c>
      <c r="E1157" s="567" t="s">
        <v>37</v>
      </c>
      <c r="F1157" s="567" t="s">
        <v>2</v>
      </c>
      <c r="G1157" s="450" t="str">
        <f t="shared" si="56"/>
        <v>Rental Car Center C-Restrooms-Toilets</v>
      </c>
      <c r="H1157" s="567" t="s">
        <v>3</v>
      </c>
      <c r="I1157" s="877" t="s">
        <v>64</v>
      </c>
      <c r="J1157" s="878">
        <f>SUMIFS('Level of Efficiency Assumptions'!J:J,'Level of Efficiency Assumptions'!D:D,E1157,'Level of Efficiency Assumptions'!F:F,F1157,'Level of Efficiency Assumptions'!I:I,I1157)</f>
        <v>3.5</v>
      </c>
      <c r="K1157" s="383" t="s">
        <v>68</v>
      </c>
      <c r="L1157" s="253" t="s">
        <v>64</v>
      </c>
      <c r="M1157" s="879">
        <f>Q1157+Q1163</f>
        <v>0</v>
      </c>
      <c r="N1157" s="880">
        <f>IFERROR(M1157/M1160,"-")</f>
        <v>0</v>
      </c>
      <c r="O1157" s="881">
        <f>SUMIFS('Data Entry'!R:R,'Data Entry'!K:K,G1157)</f>
        <v>0</v>
      </c>
      <c r="P1157" s="254" t="s">
        <v>159</v>
      </c>
      <c r="Q1157" s="882">
        <v>0</v>
      </c>
      <c r="R1157" s="883"/>
      <c r="S1157" s="883"/>
      <c r="T1157" s="114" t="s">
        <v>182</v>
      </c>
      <c r="U1157" s="884"/>
      <c r="V1157" s="270"/>
      <c r="W1157" s="270"/>
      <c r="X1157" s="270"/>
      <c r="Y1157" s="114"/>
      <c r="Z1157" s="270"/>
      <c r="AA1157" s="114"/>
      <c r="AB1157" s="85"/>
      <c r="AC1157" s="85"/>
      <c r="AD1157" s="85"/>
      <c r="AE1157" s="85"/>
    </row>
    <row r="1158" spans="3:31" ht="15" thickBot="1" x14ac:dyDescent="0.35">
      <c r="C1158" s="494" t="s">
        <v>766</v>
      </c>
      <c r="D1158" s="577"/>
      <c r="E1158" s="577" t="s">
        <v>37</v>
      </c>
      <c r="F1158" s="577" t="s">
        <v>2</v>
      </c>
      <c r="G1158" s="450" t="str">
        <f t="shared" si="56"/>
        <v>Rental Car Center C-Restrooms-Toilets</v>
      </c>
      <c r="H1158" s="577"/>
      <c r="I1158" s="887" t="s">
        <v>65</v>
      </c>
      <c r="J1158" s="878">
        <f>SUMIFS('Level of Efficiency Assumptions'!J:J,'Level of Efficiency Assumptions'!D:D,E1158,'Level of Efficiency Assumptions'!F:F,F1158,'Level of Efficiency Assumptions'!I:I,I1158)</f>
        <v>1.6</v>
      </c>
      <c r="K1158" s="383" t="s">
        <v>68</v>
      </c>
      <c r="L1158" s="255" t="s">
        <v>65</v>
      </c>
      <c r="M1158" s="879">
        <f>Q1158+Q1161+Q1164</f>
        <v>1</v>
      </c>
      <c r="N1158" s="880">
        <f>IFERROR(M1158/M1160,"-")</f>
        <v>1</v>
      </c>
      <c r="O1158" s="881">
        <f>SUMIFS('Data Entry'!S:S,'Data Entry'!K:K,G1158)</f>
        <v>0</v>
      </c>
      <c r="P1158" s="256" t="s">
        <v>161</v>
      </c>
      <c r="Q1158" s="882">
        <v>1</v>
      </c>
      <c r="R1158" s="883"/>
      <c r="S1158" s="883"/>
      <c r="T1158" s="114" t="s">
        <v>184</v>
      </c>
      <c r="U1158" s="884"/>
      <c r="V1158" s="270"/>
      <c r="W1158" s="270"/>
      <c r="X1158" s="270"/>
      <c r="Y1158" s="114"/>
      <c r="Z1158" s="270"/>
      <c r="AA1158" s="114"/>
      <c r="AB1158" s="85"/>
      <c r="AC1158" s="85"/>
      <c r="AD1158" s="85"/>
      <c r="AE1158" s="85"/>
    </row>
    <row r="1159" spans="3:31" ht="15" thickBot="1" x14ac:dyDescent="0.35">
      <c r="C1159" s="501" t="s">
        <v>766</v>
      </c>
      <c r="D1159" s="116"/>
      <c r="E1159" s="116" t="s">
        <v>37</v>
      </c>
      <c r="F1159" s="116" t="s">
        <v>2</v>
      </c>
      <c r="G1159" s="450" t="str">
        <f t="shared" si="56"/>
        <v>Rental Car Center C-Restrooms-Toilets</v>
      </c>
      <c r="H1159" s="116"/>
      <c r="I1159" s="889" t="s">
        <v>66</v>
      </c>
      <c r="J1159" s="890">
        <f>SUMIFS('Level of Efficiency Assumptions'!J:J,'Level of Efficiency Assumptions'!D:D,E1159,'Level of Efficiency Assumptions'!F:F,F1159,'Level of Efficiency Assumptions'!I:I,I1159)</f>
        <v>1.28</v>
      </c>
      <c r="K1159" s="383" t="s">
        <v>68</v>
      </c>
      <c r="L1159" s="257" t="s">
        <v>66</v>
      </c>
      <c r="M1159" s="879">
        <f>Q1159+Q1160+Q1162+Q1165+Q1166</f>
        <v>0</v>
      </c>
      <c r="N1159" s="880">
        <f>IFERROR(M1159/M1160,"-")</f>
        <v>0</v>
      </c>
      <c r="O1159" s="881">
        <f>SUMIFS('Data Entry'!T:T,'Data Entry'!K:K,G1159)</f>
        <v>0</v>
      </c>
      <c r="P1159" s="258" t="s">
        <v>163</v>
      </c>
      <c r="Q1159" s="882">
        <v>0</v>
      </c>
      <c r="R1159" s="883"/>
      <c r="S1159" s="883"/>
      <c r="T1159" s="891"/>
      <c r="U1159" s="884"/>
      <c r="V1159" s="270"/>
      <c r="W1159" s="270"/>
      <c r="X1159" s="270"/>
      <c r="Y1159" s="114"/>
      <c r="Z1159" s="270"/>
      <c r="AA1159" s="114"/>
      <c r="AB1159" s="85"/>
      <c r="AC1159" s="85"/>
      <c r="AD1159" s="85"/>
      <c r="AE1159" s="85"/>
    </row>
    <row r="1160" spans="3:31" x14ac:dyDescent="0.3">
      <c r="C1160" s="450"/>
      <c r="D1160" s="182"/>
      <c r="E1160" s="182"/>
      <c r="F1160" s="182"/>
      <c r="G1160" s="450" t="str">
        <f t="shared" si="56"/>
        <v>--</v>
      </c>
      <c r="H1160" s="182"/>
      <c r="I1160" s="440"/>
      <c r="J1160" s="892"/>
      <c r="K1160" s="259"/>
      <c r="L1160" s="259" t="s">
        <v>46</v>
      </c>
      <c r="M1160" s="893">
        <f>SUM(M1157:M1159)</f>
        <v>1</v>
      </c>
      <c r="N1160" s="894"/>
      <c r="O1160" s="894">
        <f>SUM(O1157:O1159)</f>
        <v>0</v>
      </c>
      <c r="P1160" s="258" t="s">
        <v>165</v>
      </c>
      <c r="Q1160" s="882">
        <v>0</v>
      </c>
      <c r="R1160" s="883"/>
      <c r="S1160" s="883"/>
      <c r="T1160" s="891"/>
      <c r="U1160" s="884"/>
      <c r="V1160" s="270"/>
      <c r="W1160" s="270"/>
      <c r="X1160" s="270"/>
      <c r="Y1160" s="114"/>
      <c r="Z1160" s="270"/>
      <c r="AA1160" s="114"/>
      <c r="AB1160" s="85"/>
      <c r="AC1160" s="85"/>
      <c r="AD1160" s="85"/>
      <c r="AE1160" s="85"/>
    </row>
    <row r="1161" spans="3:31" ht="15" thickBot="1" x14ac:dyDescent="0.35">
      <c r="C1161" s="450"/>
      <c r="D1161" s="182"/>
      <c r="E1161" s="182"/>
      <c r="F1161" s="182"/>
      <c r="G1161" s="450" t="str">
        <f t="shared" si="56"/>
        <v>--</v>
      </c>
      <c r="H1161" s="182"/>
      <c r="I1161" s="892"/>
      <c r="J1161" s="288"/>
      <c r="K1161" s="182"/>
      <c r="L1161" s="181"/>
      <c r="M1161" s="181"/>
      <c r="N1161" s="892"/>
      <c r="O1161" s="892"/>
      <c r="P1161" s="256" t="s">
        <v>166</v>
      </c>
      <c r="Q1161" s="895">
        <v>0</v>
      </c>
      <c r="R1161" s="883"/>
      <c r="S1161" s="883"/>
      <c r="T1161" s="891"/>
      <c r="U1161" s="896"/>
      <c r="V1161" s="891"/>
      <c r="W1161" s="270"/>
      <c r="X1161" s="270"/>
      <c r="Y1161" s="114"/>
      <c r="Z1161" s="270"/>
      <c r="AA1161" s="114"/>
      <c r="AB1161" s="85"/>
      <c r="AC1161" s="85"/>
      <c r="AD1161" s="85"/>
      <c r="AE1161" s="85"/>
    </row>
    <row r="1162" spans="3:31" x14ac:dyDescent="0.3">
      <c r="C1162" s="450"/>
      <c r="D1162" s="182"/>
      <c r="E1162" s="182"/>
      <c r="F1162" s="182"/>
      <c r="G1162" s="450" t="str">
        <f t="shared" si="56"/>
        <v>--</v>
      </c>
      <c r="H1162" s="182"/>
      <c r="I1162" s="892"/>
      <c r="J1162" s="288"/>
      <c r="K1162" s="182"/>
      <c r="L1162" s="1384" t="s">
        <v>377</v>
      </c>
      <c r="M1162" s="1385"/>
      <c r="N1162" s="1385"/>
      <c r="O1162" s="1386"/>
      <c r="P1162" s="258" t="s">
        <v>167</v>
      </c>
      <c r="Q1162" s="895">
        <v>0</v>
      </c>
      <c r="R1162" s="883"/>
      <c r="S1162" s="883"/>
      <c r="T1162" s="891"/>
      <c r="U1162" s="896"/>
      <c r="V1162" s="891"/>
      <c r="W1162" s="270"/>
      <c r="X1162" s="270"/>
      <c r="Y1162" s="270"/>
      <c r="Z1162" s="270"/>
      <c r="AA1162" s="114"/>
      <c r="AB1162" s="85"/>
      <c r="AC1162" s="85"/>
      <c r="AD1162" s="85"/>
      <c r="AE1162" s="85"/>
    </row>
    <row r="1163" spans="3:31" x14ac:dyDescent="0.3">
      <c r="C1163" s="450"/>
      <c r="D1163" s="182"/>
      <c r="E1163" s="182"/>
      <c r="F1163" s="182"/>
      <c r="G1163" s="450" t="str">
        <f t="shared" si="56"/>
        <v>--</v>
      </c>
      <c r="H1163" s="182"/>
      <c r="I1163" s="892"/>
      <c r="J1163" s="288"/>
      <c r="K1163" s="182"/>
      <c r="L1163" s="1387"/>
      <c r="M1163" s="1388"/>
      <c r="N1163" s="1388"/>
      <c r="O1163" s="1389"/>
      <c r="P1163" s="254" t="s">
        <v>160</v>
      </c>
      <c r="Q1163" s="895">
        <v>0</v>
      </c>
      <c r="R1163" s="891"/>
      <c r="S1163" s="891"/>
      <c r="T1163" s="891"/>
      <c r="U1163" s="896"/>
      <c r="V1163" s="891"/>
      <c r="W1163" s="270"/>
      <c r="X1163" s="270"/>
      <c r="Y1163" s="270"/>
      <c r="Z1163" s="270"/>
      <c r="AA1163" s="114"/>
      <c r="AB1163" s="85"/>
      <c r="AC1163" s="85"/>
      <c r="AD1163" s="85"/>
      <c r="AE1163" s="85"/>
    </row>
    <row r="1164" spans="3:31" x14ac:dyDescent="0.3">
      <c r="C1164" s="450"/>
      <c r="D1164" s="182"/>
      <c r="E1164" s="182"/>
      <c r="F1164" s="182"/>
      <c r="G1164" s="450" t="str">
        <f t="shared" si="56"/>
        <v>--</v>
      </c>
      <c r="H1164" s="182"/>
      <c r="I1164" s="892"/>
      <c r="J1164" s="288"/>
      <c r="K1164" s="182"/>
      <c r="L1164" s="1387"/>
      <c r="M1164" s="1388"/>
      <c r="N1164" s="1388"/>
      <c r="O1164" s="1389"/>
      <c r="P1164" s="256" t="s">
        <v>162</v>
      </c>
      <c r="Q1164" s="895">
        <v>0</v>
      </c>
      <c r="R1164" s="891"/>
      <c r="S1164" s="891"/>
      <c r="T1164" s="891"/>
      <c r="U1164" s="896"/>
      <c r="V1164" s="891"/>
      <c r="W1164" s="270"/>
      <c r="X1164" s="270"/>
      <c r="Y1164" s="270"/>
      <c r="Z1164" s="270"/>
      <c r="AA1164" s="114"/>
      <c r="AB1164" s="85"/>
      <c r="AC1164" s="85"/>
      <c r="AD1164" s="85"/>
      <c r="AE1164" s="85"/>
    </row>
    <row r="1165" spans="3:31" ht="15" thickBot="1" x14ac:dyDescent="0.35">
      <c r="C1165" s="450"/>
      <c r="D1165" s="182"/>
      <c r="E1165" s="182"/>
      <c r="F1165" s="182"/>
      <c r="G1165" s="450" t="str">
        <f t="shared" si="56"/>
        <v>--</v>
      </c>
      <c r="H1165" s="182"/>
      <c r="I1165" s="892"/>
      <c r="J1165" s="288"/>
      <c r="K1165" s="182"/>
      <c r="L1165" s="1390"/>
      <c r="M1165" s="1391"/>
      <c r="N1165" s="1391"/>
      <c r="O1165" s="1392"/>
      <c r="P1165" s="258" t="s">
        <v>164</v>
      </c>
      <c r="Q1165" s="895">
        <v>0</v>
      </c>
      <c r="R1165" s="114"/>
      <c r="S1165" s="891"/>
      <c r="T1165" s="114"/>
      <c r="U1165" s="884"/>
      <c r="V1165" s="114"/>
      <c r="W1165" s="270"/>
      <c r="X1165" s="270"/>
      <c r="Y1165" s="270"/>
      <c r="Z1165" s="270"/>
      <c r="AA1165" s="114"/>
      <c r="AB1165" s="85"/>
      <c r="AC1165" s="85"/>
      <c r="AD1165" s="85"/>
      <c r="AE1165" s="85"/>
    </row>
    <row r="1166" spans="3:31" x14ac:dyDescent="0.3">
      <c r="C1166" s="450"/>
      <c r="D1166" s="182"/>
      <c r="E1166" s="182"/>
      <c r="F1166" s="182"/>
      <c r="G1166" s="450" t="str">
        <f t="shared" si="56"/>
        <v>--</v>
      </c>
      <c r="H1166" s="182"/>
      <c r="I1166" s="892"/>
      <c r="J1166" s="288"/>
      <c r="K1166" s="182"/>
      <c r="L1166" s="181"/>
      <c r="M1166" s="181"/>
      <c r="N1166" s="892"/>
      <c r="O1166" s="892"/>
      <c r="P1166" s="258" t="s">
        <v>187</v>
      </c>
      <c r="Q1166" s="895">
        <v>0</v>
      </c>
      <c r="R1166" s="114"/>
      <c r="S1166" s="891"/>
      <c r="T1166" s="114"/>
      <c r="U1166" s="884"/>
      <c r="V1166" s="114"/>
      <c r="W1166" s="270"/>
      <c r="X1166" s="270"/>
      <c r="Y1166" s="270"/>
      <c r="Z1166" s="270"/>
      <c r="AA1166" s="114"/>
      <c r="AB1166" s="85"/>
      <c r="AC1166" s="85"/>
      <c r="AD1166" s="85"/>
      <c r="AE1166" s="85"/>
    </row>
    <row r="1167" spans="3:31" x14ac:dyDescent="0.3">
      <c r="C1167" s="450"/>
      <c r="D1167" s="182"/>
      <c r="E1167" s="182"/>
      <c r="F1167" s="182"/>
      <c r="G1167" s="450" t="str">
        <f t="shared" si="56"/>
        <v>--</v>
      </c>
      <c r="H1167" s="182"/>
      <c r="I1167" s="892"/>
      <c r="J1167" s="288"/>
      <c r="K1167" s="182"/>
      <c r="L1167" s="181"/>
      <c r="M1167" s="181"/>
      <c r="N1167" s="892"/>
      <c r="O1167" s="892"/>
      <c r="P1167" s="263" t="s">
        <v>46</v>
      </c>
      <c r="Q1167" s="897">
        <f>SUM(Q1157:Q1166)</f>
        <v>1</v>
      </c>
      <c r="R1167" s="898"/>
      <c r="S1167" s="898"/>
      <c r="T1167" s="899"/>
      <c r="U1167" s="900"/>
      <c r="V1167" s="114"/>
      <c r="W1167" s="270"/>
      <c r="X1167" s="270"/>
      <c r="Y1167" s="270"/>
      <c r="Z1167" s="270"/>
      <c r="AA1167" s="114"/>
      <c r="AB1167" s="85"/>
      <c r="AC1167" s="85"/>
      <c r="AD1167" s="85"/>
      <c r="AE1167" s="85"/>
    </row>
    <row r="1168" spans="3:31" x14ac:dyDescent="0.3">
      <c r="C1168" s="450"/>
      <c r="D1168" s="182"/>
      <c r="E1168" s="182"/>
      <c r="F1168" s="182"/>
      <c r="G1168" s="450" t="str">
        <f t="shared" si="56"/>
        <v>--</v>
      </c>
      <c r="H1168" s="182"/>
      <c r="I1168" s="892"/>
      <c r="J1168" s="288"/>
      <c r="K1168" s="182"/>
      <c r="L1168" s="181"/>
      <c r="M1168" s="181"/>
      <c r="N1168" s="892"/>
      <c r="O1168" s="892"/>
      <c r="P1168" s="114"/>
      <c r="Q1168" s="114"/>
      <c r="R1168" s="891"/>
      <c r="S1168" s="891"/>
      <c r="T1168" s="114"/>
      <c r="U1168" s="114"/>
      <c r="V1168" s="114"/>
      <c r="W1168" s="270"/>
      <c r="X1168" s="270"/>
      <c r="Y1168" s="270"/>
      <c r="Z1168" s="270"/>
      <c r="AA1168" s="114"/>
      <c r="AB1168" s="85"/>
      <c r="AC1168" s="85"/>
      <c r="AD1168" s="85"/>
      <c r="AE1168" s="85"/>
    </row>
    <row r="1169" spans="3:31" ht="15" thickBot="1" x14ac:dyDescent="0.35">
      <c r="C1169" s="450"/>
      <c r="D1169" s="182"/>
      <c r="E1169" s="182"/>
      <c r="F1169" s="182"/>
      <c r="G1169" s="450" t="str">
        <f t="shared" si="56"/>
        <v>--</v>
      </c>
      <c r="H1169" s="182"/>
      <c r="I1169" s="892"/>
      <c r="J1169" s="892"/>
      <c r="K1169" s="182"/>
      <c r="L1169" s="182"/>
      <c r="M1169" s="901" t="s">
        <v>155</v>
      </c>
      <c r="N1169" s="870" t="s">
        <v>188</v>
      </c>
      <c r="O1169" s="870"/>
      <c r="P1169" s="252" t="s">
        <v>175</v>
      </c>
      <c r="Q1169" s="871" t="s">
        <v>155</v>
      </c>
      <c r="R1169" s="872" t="s">
        <v>168</v>
      </c>
      <c r="S1169" s="872" t="s">
        <v>169</v>
      </c>
      <c r="T1169" s="902"/>
      <c r="U1169" s="903"/>
      <c r="V1169" s="270"/>
      <c r="W1169" s="270"/>
      <c r="X1169" s="270"/>
      <c r="Y1169" s="270"/>
      <c r="Z1169" s="270"/>
      <c r="AA1169" s="114"/>
      <c r="AB1169" s="85"/>
      <c r="AC1169" s="85"/>
      <c r="AD1169" s="85"/>
      <c r="AE1169" s="85"/>
    </row>
    <row r="1170" spans="3:31" ht="15" thickBot="1" x14ac:dyDescent="0.35">
      <c r="C1170" s="566" t="s">
        <v>766</v>
      </c>
      <c r="D1170" s="875" t="str">
        <f>VLOOKUP(C1170,'Airport Mapping'!$C$5:$D$39,2,FALSE)</f>
        <v xml:space="preserve"> </v>
      </c>
      <c r="E1170" s="567" t="s">
        <v>37</v>
      </c>
      <c r="F1170" s="567" t="s">
        <v>4</v>
      </c>
      <c r="G1170" s="450" t="str">
        <f t="shared" si="56"/>
        <v>Rental Car Center C-Restrooms-Urinals</v>
      </c>
      <c r="H1170" s="567" t="s">
        <v>3</v>
      </c>
      <c r="I1170" s="877" t="s">
        <v>64</v>
      </c>
      <c r="J1170" s="878">
        <f>SUMIFS('Level of Efficiency Assumptions'!J:J,'Level of Efficiency Assumptions'!D:D,E1170,'Level of Efficiency Assumptions'!F:F,F1170,'Level of Efficiency Assumptions'!I:I,I1170)</f>
        <v>2</v>
      </c>
      <c r="K1170" s="383" t="s">
        <v>68</v>
      </c>
      <c r="L1170" s="253" t="s">
        <v>64</v>
      </c>
      <c r="M1170" s="879">
        <f>Q1170+Q1171</f>
        <v>0</v>
      </c>
      <c r="N1170" s="880">
        <f>IFERROR(M1170/M1173,"-")</f>
        <v>0</v>
      </c>
      <c r="O1170" s="881">
        <f>SUMIFS('Data Entry'!R:R,'Data Entry'!K:K,G1170)</f>
        <v>0</v>
      </c>
      <c r="P1170" s="254" t="s">
        <v>177</v>
      </c>
      <c r="Q1170" s="882">
        <v>0</v>
      </c>
      <c r="R1170" s="883"/>
      <c r="S1170" s="883"/>
      <c r="T1170" s="114"/>
      <c r="U1170" s="904"/>
      <c r="V1170" s="270"/>
      <c r="W1170" s="270"/>
      <c r="X1170" s="270"/>
      <c r="Y1170" s="270"/>
      <c r="Z1170" s="270"/>
      <c r="AA1170" s="114"/>
      <c r="AB1170" s="85"/>
      <c r="AC1170" s="85"/>
      <c r="AD1170" s="85"/>
      <c r="AE1170" s="85"/>
    </row>
    <row r="1171" spans="3:31" ht="15" thickBot="1" x14ac:dyDescent="0.35">
      <c r="C1171" s="494" t="s">
        <v>766</v>
      </c>
      <c r="D1171" s="577"/>
      <c r="E1171" s="577" t="s">
        <v>37</v>
      </c>
      <c r="F1171" s="577" t="s">
        <v>4</v>
      </c>
      <c r="G1171" s="450" t="str">
        <f t="shared" si="56"/>
        <v>Rental Car Center C-Restrooms-Urinals</v>
      </c>
      <c r="H1171" s="577"/>
      <c r="I1171" s="887" t="s">
        <v>65</v>
      </c>
      <c r="J1171" s="878">
        <f>SUMIFS('Level of Efficiency Assumptions'!J:J,'Level of Efficiency Assumptions'!D:D,E1171,'Level of Efficiency Assumptions'!F:F,F1171,'Level of Efficiency Assumptions'!I:I,I1171)</f>
        <v>1</v>
      </c>
      <c r="K1171" s="383" t="s">
        <v>68</v>
      </c>
      <c r="L1171" s="255" t="s">
        <v>65</v>
      </c>
      <c r="M1171" s="879">
        <f>Q1172+Q1173</f>
        <v>1</v>
      </c>
      <c r="N1171" s="880">
        <f>IFERROR(M1171/M1173,"-")</f>
        <v>1</v>
      </c>
      <c r="O1171" s="881">
        <f>SUMIFS('Data Entry'!S:S,'Data Entry'!K:K,G1171)</f>
        <v>0</v>
      </c>
      <c r="P1171" s="254" t="s">
        <v>179</v>
      </c>
      <c r="Q1171" s="882">
        <v>0</v>
      </c>
      <c r="R1171" s="883"/>
      <c r="S1171" s="883"/>
      <c r="T1171" s="114"/>
      <c r="U1171" s="904"/>
      <c r="V1171" s="270"/>
      <c r="W1171" s="270"/>
      <c r="X1171" s="270"/>
      <c r="Y1171" s="270"/>
      <c r="Z1171" s="270"/>
      <c r="AA1171" s="114"/>
      <c r="AB1171" s="85"/>
      <c r="AC1171" s="85"/>
      <c r="AD1171" s="85"/>
      <c r="AE1171" s="85"/>
    </row>
    <row r="1172" spans="3:31" ht="15" thickBot="1" x14ac:dyDescent="0.35">
      <c r="C1172" s="501" t="s">
        <v>766</v>
      </c>
      <c r="D1172" s="116"/>
      <c r="E1172" s="116" t="s">
        <v>37</v>
      </c>
      <c r="F1172" s="116" t="s">
        <v>4</v>
      </c>
      <c r="G1172" s="450" t="str">
        <f t="shared" si="56"/>
        <v>Rental Car Center C-Restrooms-Urinals</v>
      </c>
      <c r="H1172" s="116"/>
      <c r="I1172" s="889" t="s">
        <v>66</v>
      </c>
      <c r="J1172" s="890">
        <f>SUMIFS('Level of Efficiency Assumptions'!J:J,'Level of Efficiency Assumptions'!D:D,E1172,'Level of Efficiency Assumptions'!F:F,F1172,'Level of Efficiency Assumptions'!I:I,I1172)</f>
        <v>0.125</v>
      </c>
      <c r="K1172" s="383" t="s">
        <v>68</v>
      </c>
      <c r="L1172" s="257" t="s">
        <v>66</v>
      </c>
      <c r="M1172" s="879">
        <f>Q1174+Q1175</f>
        <v>0</v>
      </c>
      <c r="N1172" s="880">
        <f>IFERROR(M1172/M1173,"-")</f>
        <v>0</v>
      </c>
      <c r="O1172" s="881">
        <f>SUMIFS('Data Entry'!T:T,'Data Entry'!K:K,G1172)</f>
        <v>0</v>
      </c>
      <c r="P1172" s="256" t="s">
        <v>189</v>
      </c>
      <c r="Q1172" s="882">
        <v>0</v>
      </c>
      <c r="R1172" s="883"/>
      <c r="S1172" s="883"/>
      <c r="T1172" s="114"/>
      <c r="U1172" s="904"/>
      <c r="V1172" s="270"/>
      <c r="W1172" s="270"/>
      <c r="X1172" s="270"/>
      <c r="Y1172" s="270"/>
      <c r="Z1172" s="270"/>
      <c r="AA1172" s="114"/>
      <c r="AB1172" s="85"/>
      <c r="AC1172" s="85"/>
      <c r="AD1172" s="85"/>
      <c r="AE1172" s="85"/>
    </row>
    <row r="1173" spans="3:31" x14ac:dyDescent="0.3">
      <c r="C1173" s="450"/>
      <c r="D1173" s="182"/>
      <c r="E1173" s="182"/>
      <c r="F1173" s="182"/>
      <c r="G1173" s="450" t="str">
        <f t="shared" si="56"/>
        <v>--</v>
      </c>
      <c r="H1173" s="182"/>
      <c r="I1173" s="440"/>
      <c r="J1173" s="892"/>
      <c r="K1173" s="259"/>
      <c r="L1173" s="259" t="s">
        <v>46</v>
      </c>
      <c r="M1173" s="893">
        <f>SUM(M1170:M1172)</f>
        <v>1</v>
      </c>
      <c r="N1173" s="894"/>
      <c r="O1173" s="894">
        <f>SUM(O1170:O1172)</f>
        <v>0</v>
      </c>
      <c r="P1173" s="256" t="s">
        <v>181</v>
      </c>
      <c r="Q1173" s="882">
        <v>1</v>
      </c>
      <c r="R1173" s="883"/>
      <c r="S1173" s="883"/>
      <c r="T1173" s="114"/>
      <c r="U1173" s="264"/>
      <c r="V1173" s="270"/>
      <c r="W1173" s="270"/>
      <c r="X1173" s="270"/>
      <c r="Y1173" s="270"/>
      <c r="Z1173" s="270"/>
      <c r="AA1173" s="114"/>
      <c r="AB1173" s="85"/>
      <c r="AC1173" s="85"/>
      <c r="AD1173" s="85"/>
      <c r="AE1173" s="85"/>
    </row>
    <row r="1174" spans="3:31" x14ac:dyDescent="0.3">
      <c r="C1174" s="450"/>
      <c r="D1174" s="182"/>
      <c r="E1174" s="182"/>
      <c r="F1174" s="182"/>
      <c r="G1174" s="450" t="str">
        <f t="shared" si="56"/>
        <v>--</v>
      </c>
      <c r="H1174" s="182"/>
      <c r="I1174" s="892"/>
      <c r="J1174" s="288"/>
      <c r="K1174" s="182"/>
      <c r="L1174" s="181"/>
      <c r="M1174" s="181"/>
      <c r="N1174" s="892"/>
      <c r="O1174" s="892"/>
      <c r="P1174" s="258" t="s">
        <v>183</v>
      </c>
      <c r="Q1174" s="882">
        <v>0</v>
      </c>
      <c r="R1174" s="883"/>
      <c r="S1174" s="883"/>
      <c r="T1174" s="114"/>
      <c r="U1174" s="884"/>
      <c r="V1174" s="114"/>
      <c r="W1174" s="270"/>
      <c r="X1174" s="270"/>
      <c r="Y1174" s="270"/>
      <c r="Z1174" s="270"/>
      <c r="AA1174" s="114"/>
      <c r="AB1174" s="85"/>
      <c r="AC1174" s="85"/>
      <c r="AD1174" s="85"/>
      <c r="AE1174" s="85"/>
    </row>
    <row r="1175" spans="3:31" x14ac:dyDescent="0.3">
      <c r="C1175" s="450"/>
      <c r="D1175" s="182"/>
      <c r="E1175" s="182"/>
      <c r="F1175" s="182"/>
      <c r="G1175" s="450" t="str">
        <f t="shared" si="56"/>
        <v>--</v>
      </c>
      <c r="H1175" s="182"/>
      <c r="I1175" s="892"/>
      <c r="J1175" s="288"/>
      <c r="K1175" s="182"/>
      <c r="L1175" s="181"/>
      <c r="M1175" s="181"/>
      <c r="N1175" s="892"/>
      <c r="O1175" s="892"/>
      <c r="P1175" s="258" t="s">
        <v>190</v>
      </c>
      <c r="Q1175" s="882">
        <v>0</v>
      </c>
      <c r="R1175" s="114"/>
      <c r="S1175" s="114"/>
      <c r="T1175" s="114"/>
      <c r="U1175" s="884"/>
      <c r="V1175" s="114"/>
      <c r="W1175" s="270"/>
      <c r="X1175" s="270"/>
      <c r="Y1175" s="270"/>
      <c r="Z1175" s="270"/>
      <c r="AA1175" s="114"/>
      <c r="AB1175" s="85"/>
      <c r="AC1175" s="85"/>
      <c r="AD1175" s="85"/>
      <c r="AE1175" s="85"/>
    </row>
    <row r="1176" spans="3:31" x14ac:dyDescent="0.3">
      <c r="C1176" s="450"/>
      <c r="D1176" s="182"/>
      <c r="E1176" s="182"/>
      <c r="F1176" s="182"/>
      <c r="G1176" s="450" t="str">
        <f t="shared" si="56"/>
        <v>--</v>
      </c>
      <c r="H1176" s="182"/>
      <c r="I1176" s="892"/>
      <c r="J1176" s="288"/>
      <c r="K1176" s="182"/>
      <c r="L1176" s="181"/>
      <c r="M1176" s="181"/>
      <c r="N1176" s="892"/>
      <c r="O1176" s="892"/>
      <c r="P1176" s="263" t="s">
        <v>46</v>
      </c>
      <c r="Q1176" s="897">
        <f>SUM(Q1170:Q1175)</f>
        <v>1</v>
      </c>
      <c r="R1176" s="899"/>
      <c r="S1176" s="899"/>
      <c r="T1176" s="899"/>
      <c r="U1176" s="900"/>
      <c r="V1176" s="114"/>
      <c r="W1176" s="270"/>
      <c r="X1176" s="270"/>
      <c r="Y1176" s="270"/>
      <c r="Z1176" s="270"/>
      <c r="AA1176" s="114"/>
      <c r="AB1176" s="85"/>
      <c r="AC1176" s="85"/>
      <c r="AD1176" s="85"/>
      <c r="AE1176" s="85"/>
    </row>
    <row r="1177" spans="3:31" x14ac:dyDescent="0.3">
      <c r="C1177" s="450"/>
      <c r="D1177" s="182"/>
      <c r="E1177" s="182"/>
      <c r="F1177" s="182"/>
      <c r="G1177" s="450" t="str">
        <f t="shared" si="56"/>
        <v>--</v>
      </c>
      <c r="H1177" s="182"/>
      <c r="I1177" s="892"/>
      <c r="J1177" s="288"/>
      <c r="K1177" s="182"/>
      <c r="L1177" s="181"/>
      <c r="M1177" s="181"/>
      <c r="N1177" s="892"/>
      <c r="O1177" s="892"/>
      <c r="P1177" s="262"/>
      <c r="Q1177" s="114"/>
      <c r="R1177" s="114"/>
      <c r="S1177" s="114"/>
      <c r="T1177" s="114"/>
      <c r="U1177" s="114"/>
      <c r="V1177" s="114"/>
      <c r="W1177" s="270"/>
      <c r="X1177" s="270"/>
      <c r="Y1177" s="270"/>
      <c r="Z1177" s="270"/>
      <c r="AA1177" s="114"/>
      <c r="AB1177" s="85"/>
      <c r="AC1177" s="85"/>
      <c r="AD1177" s="85"/>
      <c r="AE1177" s="85"/>
    </row>
    <row r="1178" spans="3:31" ht="15" thickBot="1" x14ac:dyDescent="0.35">
      <c r="C1178" s="450"/>
      <c r="D1178" s="182"/>
      <c r="E1178" s="182"/>
      <c r="F1178" s="182"/>
      <c r="G1178" s="450" t="str">
        <f t="shared" si="56"/>
        <v>--</v>
      </c>
      <c r="H1178" s="182"/>
      <c r="I1178" s="892"/>
      <c r="J1178" s="892"/>
      <c r="K1178" s="182"/>
      <c r="L1178" s="182"/>
      <c r="M1178" s="901" t="s">
        <v>155</v>
      </c>
      <c r="N1178" s="870" t="s">
        <v>188</v>
      </c>
      <c r="O1178" s="870"/>
      <c r="P1178" s="265" t="s">
        <v>33</v>
      </c>
      <c r="Q1178" s="871" t="s">
        <v>155</v>
      </c>
      <c r="R1178" s="872" t="s">
        <v>168</v>
      </c>
      <c r="S1178" s="872" t="s">
        <v>169</v>
      </c>
      <c r="T1178" s="872" t="s">
        <v>170</v>
      </c>
      <c r="U1178" s="872" t="s">
        <v>171</v>
      </c>
      <c r="V1178" s="902"/>
      <c r="W1178" s="902"/>
      <c r="X1178" s="874"/>
      <c r="Y1178" s="270"/>
      <c r="Z1178" s="270"/>
      <c r="AA1178" s="114"/>
      <c r="AB1178" s="85"/>
      <c r="AC1178" s="85"/>
      <c r="AD1178" s="85"/>
      <c r="AE1178" s="85"/>
    </row>
    <row r="1179" spans="3:31" ht="15" thickBot="1" x14ac:dyDescent="0.35">
      <c r="C1179" s="566" t="s">
        <v>766</v>
      </c>
      <c r="D1179" s="875" t="str">
        <f>VLOOKUP(C1179,'Airport Mapping'!$C$5:$D$39,2,FALSE)</f>
        <v xml:space="preserve"> </v>
      </c>
      <c r="E1179" s="567" t="s">
        <v>37</v>
      </c>
      <c r="F1179" s="567" t="s">
        <v>33</v>
      </c>
      <c r="G1179" s="450" t="str">
        <f t="shared" si="56"/>
        <v>Rental Car Center C-Restrooms-Faucets</v>
      </c>
      <c r="H1179" s="567" t="s">
        <v>3</v>
      </c>
      <c r="I1179" s="877" t="s">
        <v>64</v>
      </c>
      <c r="J1179" s="878">
        <f>SUMIFS('Level of Efficiency Assumptions'!J:J,'Level of Efficiency Assumptions'!D:D,E1179,'Level of Efficiency Assumptions'!F:F,F1179,'Level of Efficiency Assumptions'!I:I,I1179)</f>
        <v>2</v>
      </c>
      <c r="K1179" s="383" t="s">
        <v>78</v>
      </c>
      <c r="L1179" s="253" t="s">
        <v>64</v>
      </c>
      <c r="M1179" s="879">
        <f>Q1179+Q1180</f>
        <v>0</v>
      </c>
      <c r="N1179" s="880">
        <f>IFERROR(M1179/M1182,"-")</f>
        <v>0</v>
      </c>
      <c r="O1179" s="881">
        <f>SUMIFS('Data Entry'!R:R,'Data Entry'!K:K,G1179)</f>
        <v>0</v>
      </c>
      <c r="P1179" s="266" t="s">
        <v>180</v>
      </c>
      <c r="Q1179" s="895">
        <v>0</v>
      </c>
      <c r="R1179" s="883"/>
      <c r="S1179" s="883"/>
      <c r="T1179" s="883"/>
      <c r="U1179" s="883"/>
      <c r="V1179" s="114" t="s">
        <v>182</v>
      </c>
      <c r="W1179" s="114"/>
      <c r="X1179" s="884"/>
      <c r="Y1179" s="270"/>
      <c r="Z1179" s="270"/>
      <c r="AA1179" s="114"/>
      <c r="AB1179" s="85"/>
      <c r="AC1179" s="85"/>
      <c r="AD1179" s="85"/>
      <c r="AE1179" s="85"/>
    </row>
    <row r="1180" spans="3:31" ht="15" thickBot="1" x14ac:dyDescent="0.35">
      <c r="C1180" s="494" t="s">
        <v>766</v>
      </c>
      <c r="D1180" s="577"/>
      <c r="E1180" s="577" t="s">
        <v>37</v>
      </c>
      <c r="F1180" s="577" t="s">
        <v>33</v>
      </c>
      <c r="G1180" s="450" t="str">
        <f t="shared" si="56"/>
        <v>Rental Car Center C-Restrooms-Faucets</v>
      </c>
      <c r="H1180" s="577"/>
      <c r="I1180" s="887" t="s">
        <v>65</v>
      </c>
      <c r="J1180" s="878">
        <f>SUMIFS('Level of Efficiency Assumptions'!J:J,'Level of Efficiency Assumptions'!D:D,E1180,'Level of Efficiency Assumptions'!F:F,F1180,'Level of Efficiency Assumptions'!I:I,I1180)</f>
        <v>1</v>
      </c>
      <c r="K1180" s="383" t="s">
        <v>78</v>
      </c>
      <c r="L1180" s="255" t="s">
        <v>65</v>
      </c>
      <c r="M1180" s="879">
        <f>Q1181+Q1182</f>
        <v>1</v>
      </c>
      <c r="N1180" s="880">
        <f>IFERROR(M1180/M1182,"-")</f>
        <v>1</v>
      </c>
      <c r="O1180" s="881">
        <f>SUMIFS('Data Entry'!S:S,'Data Entry'!K:K,G1180)</f>
        <v>0</v>
      </c>
      <c r="P1180" s="266" t="s">
        <v>178</v>
      </c>
      <c r="Q1180" s="895">
        <v>0</v>
      </c>
      <c r="R1180" s="883"/>
      <c r="S1180" s="883"/>
      <c r="T1180" s="883"/>
      <c r="U1180" s="883"/>
      <c r="V1180" s="114" t="s">
        <v>184</v>
      </c>
      <c r="W1180" s="114"/>
      <c r="X1180" s="884"/>
      <c r="Y1180" s="270"/>
      <c r="Z1180" s="270"/>
      <c r="AA1180" s="114"/>
      <c r="AB1180" s="85"/>
      <c r="AC1180" s="85"/>
      <c r="AD1180" s="85"/>
      <c r="AE1180" s="85"/>
    </row>
    <row r="1181" spans="3:31" ht="15" thickBot="1" x14ac:dyDescent="0.35">
      <c r="C1181" s="501" t="s">
        <v>766</v>
      </c>
      <c r="D1181" s="116"/>
      <c r="E1181" s="116" t="s">
        <v>37</v>
      </c>
      <c r="F1181" s="116" t="s">
        <v>33</v>
      </c>
      <c r="G1181" s="450" t="str">
        <f t="shared" si="56"/>
        <v>Rental Car Center C-Restrooms-Faucets</v>
      </c>
      <c r="H1181" s="116"/>
      <c r="I1181" s="889" t="s">
        <v>66</v>
      </c>
      <c r="J1181" s="890">
        <f>SUMIFS('Level of Efficiency Assumptions'!J:J,'Level of Efficiency Assumptions'!D:D,E1181,'Level of Efficiency Assumptions'!F:F,F1181,'Level of Efficiency Assumptions'!I:I,I1181)</f>
        <v>0.5</v>
      </c>
      <c r="K1181" s="383" t="s">
        <v>78</v>
      </c>
      <c r="L1181" s="257" t="s">
        <v>66</v>
      </c>
      <c r="M1181" s="879">
        <f>Q1183</f>
        <v>0</v>
      </c>
      <c r="N1181" s="880">
        <f>IFERROR(M1181/M1182,"-")</f>
        <v>0</v>
      </c>
      <c r="O1181" s="881">
        <f>SUMIFS('Data Entry'!T:T,'Data Entry'!K:K,G1181)</f>
        <v>0</v>
      </c>
      <c r="P1181" s="267" t="s">
        <v>176</v>
      </c>
      <c r="Q1181" s="895">
        <v>1</v>
      </c>
      <c r="R1181" s="883"/>
      <c r="S1181" s="883"/>
      <c r="T1181" s="883"/>
      <c r="U1181" s="883"/>
      <c r="V1181" s="114" t="s">
        <v>185</v>
      </c>
      <c r="W1181" s="114"/>
      <c r="X1181" s="884"/>
      <c r="Y1181" s="270"/>
      <c r="Z1181" s="270"/>
      <c r="AA1181" s="114"/>
      <c r="AB1181" s="85"/>
      <c r="AC1181" s="85"/>
      <c r="AD1181" s="85"/>
      <c r="AE1181" s="85"/>
    </row>
    <row r="1182" spans="3:31" x14ac:dyDescent="0.3">
      <c r="C1182" s="450"/>
      <c r="D1182" s="182"/>
      <c r="E1182" s="182"/>
      <c r="F1182" s="182"/>
      <c r="G1182" s="450" t="str">
        <f t="shared" si="56"/>
        <v>--</v>
      </c>
      <c r="H1182" s="182"/>
      <c r="I1182" s="440"/>
      <c r="J1182" s="892"/>
      <c r="K1182" s="259"/>
      <c r="L1182" s="259" t="s">
        <v>46</v>
      </c>
      <c r="M1182" s="893">
        <f>SUM(M1179:M1181)</f>
        <v>1</v>
      </c>
      <c r="N1182" s="894"/>
      <c r="O1182" s="894">
        <f>SUM(O1179:O1181)</f>
        <v>0</v>
      </c>
      <c r="P1182" s="256" t="s">
        <v>173</v>
      </c>
      <c r="Q1182" s="895">
        <v>0</v>
      </c>
      <c r="R1182" s="883"/>
      <c r="S1182" s="883"/>
      <c r="T1182" s="883"/>
      <c r="U1182" s="883"/>
      <c r="V1182" s="114" t="s">
        <v>186</v>
      </c>
      <c r="W1182" s="114"/>
      <c r="X1182" s="884"/>
      <c r="Y1182" s="270"/>
      <c r="Z1182" s="270"/>
      <c r="AA1182" s="114"/>
      <c r="AB1182" s="85"/>
      <c r="AC1182" s="85"/>
      <c r="AD1182" s="85"/>
      <c r="AE1182" s="85"/>
    </row>
    <row r="1183" spans="3:31" x14ac:dyDescent="0.3">
      <c r="C1183" s="450"/>
      <c r="D1183" s="182"/>
      <c r="E1183" s="182"/>
      <c r="F1183" s="182"/>
      <c r="G1183" s="450" t="str">
        <f t="shared" si="56"/>
        <v>--</v>
      </c>
      <c r="H1183" s="182"/>
      <c r="I1183" s="892"/>
      <c r="J1183" s="288"/>
      <c r="K1183" s="182"/>
      <c r="L1183" s="114"/>
      <c r="M1183" s="114"/>
      <c r="N1183" s="905"/>
      <c r="O1183" s="905"/>
      <c r="P1183" s="258" t="s">
        <v>172</v>
      </c>
      <c r="Q1183" s="895">
        <v>0</v>
      </c>
      <c r="R1183" s="883"/>
      <c r="S1183" s="883"/>
      <c r="T1183" s="883"/>
      <c r="U1183" s="883"/>
      <c r="V1183" s="114"/>
      <c r="W1183" s="114"/>
      <c r="X1183" s="884"/>
      <c r="Y1183" s="270"/>
      <c r="Z1183" s="270"/>
      <c r="AA1183" s="114"/>
      <c r="AB1183" s="85"/>
      <c r="AC1183" s="85"/>
      <c r="AD1183" s="85"/>
      <c r="AE1183" s="85"/>
    </row>
    <row r="1184" spans="3:31" x14ac:dyDescent="0.3">
      <c r="C1184" s="450"/>
      <c r="D1184" s="182"/>
      <c r="E1184" s="182"/>
      <c r="F1184" s="182"/>
      <c r="G1184" s="450" t="str">
        <f t="shared" si="56"/>
        <v>--</v>
      </c>
      <c r="H1184" s="182"/>
      <c r="I1184" s="892"/>
      <c r="J1184" s="288"/>
      <c r="K1184" s="182"/>
      <c r="L1184" s="181"/>
      <c r="M1184" s="181"/>
      <c r="N1184" s="892"/>
      <c r="O1184" s="892"/>
      <c r="P1184" s="263" t="s">
        <v>46</v>
      </c>
      <c r="Q1184" s="897">
        <f>SUM(Q1178:Q1183)</f>
        <v>1</v>
      </c>
      <c r="R1184" s="899"/>
      <c r="S1184" s="899"/>
      <c r="T1184" s="899"/>
      <c r="U1184" s="899"/>
      <c r="V1184" s="899"/>
      <c r="W1184" s="899"/>
      <c r="X1184" s="900"/>
      <c r="Y1184" s="270"/>
      <c r="Z1184" s="270"/>
      <c r="AA1184" s="114"/>
      <c r="AB1184" s="85"/>
      <c r="AC1184" s="85"/>
      <c r="AD1184" s="85"/>
      <c r="AE1184" s="85"/>
    </row>
    <row r="1185" spans="3:31" x14ac:dyDescent="0.3">
      <c r="C1185" s="450"/>
      <c r="D1185" s="182"/>
      <c r="E1185" s="182"/>
      <c r="F1185" s="182"/>
      <c r="G1185" s="450" t="str">
        <f t="shared" si="56"/>
        <v>--</v>
      </c>
      <c r="H1185" s="182"/>
      <c r="I1185" s="892"/>
      <c r="J1185" s="288"/>
      <c r="K1185" s="182"/>
      <c r="L1185" s="181"/>
      <c r="M1185" s="181"/>
      <c r="N1185" s="892"/>
      <c r="O1185" s="892"/>
      <c r="P1185" s="262"/>
      <c r="Q1185" s="114"/>
      <c r="R1185" s="114"/>
      <c r="S1185" s="114"/>
      <c r="T1185" s="114"/>
      <c r="U1185" s="114"/>
      <c r="V1185" s="114"/>
      <c r="W1185" s="270"/>
      <c r="X1185" s="270"/>
      <c r="Y1185" s="270"/>
      <c r="Z1185" s="270"/>
      <c r="AA1185" s="114"/>
      <c r="AB1185" s="85"/>
      <c r="AC1185" s="85"/>
      <c r="AD1185" s="85"/>
      <c r="AE1185" s="85"/>
    </row>
    <row r="1186" spans="3:31" ht="15" thickBot="1" x14ac:dyDescent="0.35">
      <c r="C1186" s="450"/>
      <c r="D1186" s="182"/>
      <c r="E1186" s="182"/>
      <c r="F1186" s="182"/>
      <c r="G1186" s="450" t="str">
        <f t="shared" si="56"/>
        <v>--</v>
      </c>
      <c r="H1186" s="182"/>
      <c r="I1186" s="892"/>
      <c r="J1186" s="892"/>
      <c r="K1186" s="182"/>
      <c r="L1186" s="182"/>
      <c r="M1186" s="901" t="s">
        <v>155</v>
      </c>
      <c r="N1186" s="870" t="s">
        <v>188</v>
      </c>
      <c r="O1186" s="870"/>
      <c r="P1186" s="265" t="s">
        <v>33</v>
      </c>
      <c r="Q1186" s="871" t="s">
        <v>155</v>
      </c>
      <c r="R1186" s="872" t="s">
        <v>168</v>
      </c>
      <c r="S1186" s="872" t="s">
        <v>169</v>
      </c>
      <c r="T1186" s="872" t="s">
        <v>170</v>
      </c>
      <c r="U1186" s="872" t="s">
        <v>171</v>
      </c>
      <c r="V1186" s="902"/>
      <c r="W1186" s="902"/>
      <c r="X1186" s="874"/>
      <c r="Y1186" s="270"/>
      <c r="Z1186" s="270"/>
      <c r="AA1186" s="114"/>
      <c r="AB1186" s="85"/>
      <c r="AC1186" s="85"/>
      <c r="AD1186" s="85"/>
      <c r="AE1186" s="85"/>
    </row>
    <row r="1187" spans="3:31" ht="15" thickBot="1" x14ac:dyDescent="0.35">
      <c r="C1187" s="566" t="s">
        <v>766</v>
      </c>
      <c r="D1187" s="875" t="str">
        <f>VLOOKUP(C1187,'Airport Mapping'!$C$5:$D$39,2,FALSE)</f>
        <v xml:space="preserve"> </v>
      </c>
      <c r="E1187" s="567" t="s">
        <v>5</v>
      </c>
      <c r="F1187" s="567" t="s">
        <v>33</v>
      </c>
      <c r="G1187" s="450" t="str">
        <f t="shared" si="56"/>
        <v>Rental Car Center C-Break rooms-Faucets</v>
      </c>
      <c r="H1187" s="567" t="s">
        <v>6</v>
      </c>
      <c r="I1187" s="877" t="s">
        <v>64</v>
      </c>
      <c r="J1187" s="878">
        <f>SUMIFS('Level of Efficiency Assumptions'!J:J,'Level of Efficiency Assumptions'!D:D,E1187,'Level of Efficiency Assumptions'!F:F,F1187,'Level of Efficiency Assumptions'!I:I,I1187)</f>
        <v>2</v>
      </c>
      <c r="K1187" s="383" t="s">
        <v>78</v>
      </c>
      <c r="L1187" s="253" t="s">
        <v>64</v>
      </c>
      <c r="M1187" s="879">
        <f>Q1187+Q1188</f>
        <v>0</v>
      </c>
      <c r="N1187" s="880">
        <f>IFERROR(M1187/M1190,"-")</f>
        <v>0</v>
      </c>
      <c r="O1187" s="881">
        <f>SUMIFS('Data Entry'!R:R,'Data Entry'!K:K,G1187)</f>
        <v>0</v>
      </c>
      <c r="P1187" s="266" t="s">
        <v>180</v>
      </c>
      <c r="Q1187" s="895">
        <v>0</v>
      </c>
      <c r="R1187" s="883"/>
      <c r="S1187" s="883"/>
      <c r="T1187" s="883"/>
      <c r="U1187" s="883"/>
      <c r="V1187" s="114" t="s">
        <v>182</v>
      </c>
      <c r="W1187" s="114"/>
      <c r="X1187" s="884"/>
      <c r="Y1187" s="270"/>
      <c r="Z1187" s="270"/>
      <c r="AA1187" s="114"/>
      <c r="AB1187" s="85"/>
      <c r="AC1187" s="85"/>
      <c r="AD1187" s="85"/>
      <c r="AE1187" s="85"/>
    </row>
    <row r="1188" spans="3:31" ht="15" thickBot="1" x14ac:dyDescent="0.35">
      <c r="C1188" s="494" t="s">
        <v>766</v>
      </c>
      <c r="D1188" s="577"/>
      <c r="E1188" s="577" t="s">
        <v>5</v>
      </c>
      <c r="F1188" s="577" t="s">
        <v>33</v>
      </c>
      <c r="G1188" s="450" t="str">
        <f t="shared" si="56"/>
        <v>Rental Car Center C-Break rooms-Faucets</v>
      </c>
      <c r="H1188" s="577"/>
      <c r="I1188" s="887" t="s">
        <v>65</v>
      </c>
      <c r="J1188" s="878">
        <f>SUMIFS('Level of Efficiency Assumptions'!J:J,'Level of Efficiency Assumptions'!D:D,E1188,'Level of Efficiency Assumptions'!F:F,F1188,'Level of Efficiency Assumptions'!I:I,I1188)</f>
        <v>1</v>
      </c>
      <c r="K1188" s="383" t="s">
        <v>78</v>
      </c>
      <c r="L1188" s="255" t="s">
        <v>65</v>
      </c>
      <c r="M1188" s="879">
        <f>Q1189+Q1190</f>
        <v>1</v>
      </c>
      <c r="N1188" s="880">
        <f>IFERROR(M1188/M1190,"-")</f>
        <v>1</v>
      </c>
      <c r="O1188" s="881">
        <f>SUMIFS('Data Entry'!S:S,'Data Entry'!K:K,G1188)</f>
        <v>0</v>
      </c>
      <c r="P1188" s="266" t="s">
        <v>178</v>
      </c>
      <c r="Q1188" s="895">
        <v>0</v>
      </c>
      <c r="R1188" s="883"/>
      <c r="S1188" s="883"/>
      <c r="T1188" s="883"/>
      <c r="U1188" s="883"/>
      <c r="V1188" s="114" t="s">
        <v>184</v>
      </c>
      <c r="W1188" s="114"/>
      <c r="X1188" s="884"/>
      <c r="Y1188" s="270"/>
      <c r="Z1188" s="270"/>
      <c r="AA1188" s="114"/>
      <c r="AB1188" s="85"/>
      <c r="AC1188" s="85"/>
      <c r="AD1188" s="85"/>
      <c r="AE1188" s="85"/>
    </row>
    <row r="1189" spans="3:31" ht="15" thickBot="1" x14ac:dyDescent="0.35">
      <c r="C1189" s="501" t="s">
        <v>766</v>
      </c>
      <c r="D1189" s="116"/>
      <c r="E1189" s="116" t="s">
        <v>5</v>
      </c>
      <c r="F1189" s="116" t="s">
        <v>33</v>
      </c>
      <c r="G1189" s="450" t="str">
        <f t="shared" si="56"/>
        <v>Rental Car Center C-Break rooms-Faucets</v>
      </c>
      <c r="H1189" s="116"/>
      <c r="I1189" s="889" t="s">
        <v>66</v>
      </c>
      <c r="J1189" s="890">
        <f>SUMIFS('Level of Efficiency Assumptions'!J:J,'Level of Efficiency Assumptions'!D:D,E1189,'Level of Efficiency Assumptions'!F:F,F1189,'Level of Efficiency Assumptions'!I:I,I1189)</f>
        <v>0.5</v>
      </c>
      <c r="K1189" s="383" t="s">
        <v>78</v>
      </c>
      <c r="L1189" s="257" t="s">
        <v>66</v>
      </c>
      <c r="M1189" s="879">
        <f>Q1191</f>
        <v>0</v>
      </c>
      <c r="N1189" s="880">
        <f>IFERROR(M1189/M1190,"-")</f>
        <v>0</v>
      </c>
      <c r="O1189" s="881">
        <f>SUMIFS('Data Entry'!T:T,'Data Entry'!K:K,G1189)</f>
        <v>0</v>
      </c>
      <c r="P1189" s="267" t="s">
        <v>176</v>
      </c>
      <c r="Q1189" s="895">
        <v>1</v>
      </c>
      <c r="R1189" s="883"/>
      <c r="S1189" s="883"/>
      <c r="T1189" s="883"/>
      <c r="U1189" s="883"/>
      <c r="V1189" s="114" t="s">
        <v>185</v>
      </c>
      <c r="W1189" s="114"/>
      <c r="X1189" s="884"/>
      <c r="Y1189" s="270"/>
      <c r="Z1189" s="270"/>
      <c r="AA1189" s="114"/>
      <c r="AB1189" s="85"/>
      <c r="AC1189" s="85"/>
      <c r="AD1189" s="85"/>
      <c r="AE1189" s="85"/>
    </row>
    <row r="1190" spans="3:31" x14ac:dyDescent="0.3">
      <c r="C1190" s="450"/>
      <c r="D1190" s="182"/>
      <c r="E1190" s="182"/>
      <c r="F1190" s="182"/>
      <c r="G1190" s="450" t="str">
        <f t="shared" si="56"/>
        <v>--</v>
      </c>
      <c r="H1190" s="182"/>
      <c r="I1190" s="440"/>
      <c r="J1190" s="892"/>
      <c r="K1190" s="259"/>
      <c r="L1190" s="259" t="s">
        <v>46</v>
      </c>
      <c r="M1190" s="893">
        <f>SUM(M1187:M1189)</f>
        <v>1</v>
      </c>
      <c r="N1190" s="894"/>
      <c r="O1190" s="894">
        <f>SUM(O1187:O1189)</f>
        <v>0</v>
      </c>
      <c r="P1190" s="256" t="s">
        <v>173</v>
      </c>
      <c r="Q1190" s="895">
        <v>0</v>
      </c>
      <c r="R1190" s="883"/>
      <c r="S1190" s="883"/>
      <c r="T1190" s="883"/>
      <c r="U1190" s="883"/>
      <c r="V1190" s="114" t="s">
        <v>186</v>
      </c>
      <c r="W1190" s="114"/>
      <c r="X1190" s="884"/>
      <c r="Y1190" s="270"/>
      <c r="Z1190" s="270"/>
      <c r="AA1190" s="114"/>
      <c r="AB1190" s="85"/>
      <c r="AC1190" s="85"/>
      <c r="AD1190" s="85"/>
      <c r="AE1190" s="85"/>
    </row>
    <row r="1191" spans="3:31" x14ac:dyDescent="0.3">
      <c r="C1191" s="450"/>
      <c r="D1191" s="182"/>
      <c r="E1191" s="182"/>
      <c r="F1191" s="182"/>
      <c r="G1191" s="450" t="str">
        <f t="shared" si="56"/>
        <v>--</v>
      </c>
      <c r="H1191" s="182"/>
      <c r="I1191" s="892"/>
      <c r="J1191" s="288"/>
      <c r="K1191" s="288"/>
      <c r="L1191" s="182"/>
      <c r="M1191" s="270"/>
      <c r="N1191" s="892"/>
      <c r="O1191" s="892"/>
      <c r="P1191" s="258" t="s">
        <v>172</v>
      </c>
      <c r="Q1191" s="895">
        <v>0</v>
      </c>
      <c r="R1191" s="883"/>
      <c r="S1191" s="883"/>
      <c r="T1191" s="883"/>
      <c r="U1191" s="883"/>
      <c r="V1191" s="114"/>
      <c r="W1191" s="114"/>
      <c r="X1191" s="884"/>
      <c r="Y1191" s="270"/>
      <c r="Z1191" s="270"/>
      <c r="AA1191" s="114"/>
      <c r="AB1191" s="85"/>
      <c r="AC1191" s="85"/>
      <c r="AD1191" s="85"/>
      <c r="AE1191" s="85"/>
    </row>
    <row r="1192" spans="3:31" x14ac:dyDescent="0.3">
      <c r="C1192" s="450"/>
      <c r="D1192" s="182"/>
      <c r="E1192" s="182"/>
      <c r="F1192" s="182"/>
      <c r="G1192" s="450" t="str">
        <f t="shared" si="56"/>
        <v>--</v>
      </c>
      <c r="H1192" s="182"/>
      <c r="I1192" s="892"/>
      <c r="J1192" s="288"/>
      <c r="K1192" s="288"/>
      <c r="L1192" s="182"/>
      <c r="M1192" s="270"/>
      <c r="N1192" s="892"/>
      <c r="O1192" s="892"/>
      <c r="P1192" s="263" t="s">
        <v>46</v>
      </c>
      <c r="Q1192" s="897">
        <f>SUM(Q1186:Q1191)</f>
        <v>1</v>
      </c>
      <c r="R1192" s="899"/>
      <c r="S1192" s="899"/>
      <c r="T1192" s="899"/>
      <c r="U1192" s="899"/>
      <c r="V1192" s="899"/>
      <c r="W1192" s="899"/>
      <c r="X1192" s="900"/>
      <c r="Y1192" s="270"/>
      <c r="Z1192" s="270"/>
      <c r="AA1192" s="114"/>
      <c r="AB1192" s="85"/>
      <c r="AC1192" s="85"/>
      <c r="AD1192" s="85"/>
      <c r="AE1192" s="85"/>
    </row>
    <row r="1193" spans="3:31" x14ac:dyDescent="0.3">
      <c r="C1193" s="450"/>
      <c r="D1193" s="182"/>
      <c r="E1193" s="182"/>
      <c r="F1193" s="182"/>
      <c r="G1193" s="450" t="str">
        <f t="shared" si="56"/>
        <v>--</v>
      </c>
      <c r="H1193" s="182"/>
      <c r="I1193" s="892"/>
      <c r="J1193" s="288"/>
      <c r="K1193" s="288"/>
      <c r="L1193" s="182"/>
      <c r="M1193" s="270"/>
      <c r="N1193" s="892"/>
      <c r="O1193" s="892"/>
      <c r="P1193" s="259"/>
      <c r="Q1193" s="114"/>
      <c r="R1193" s="114"/>
      <c r="S1193" s="114"/>
      <c r="T1193" s="114"/>
      <c r="U1193" s="114"/>
      <c r="V1193" s="114"/>
      <c r="W1193" s="270"/>
      <c r="X1193" s="270"/>
      <c r="Y1193" s="270"/>
      <c r="Z1193" s="270"/>
      <c r="AA1193" s="114"/>
      <c r="AB1193" s="85"/>
      <c r="AC1193" s="85"/>
      <c r="AD1193" s="85"/>
      <c r="AE1193" s="85"/>
    </row>
    <row r="1194" spans="3:31" x14ac:dyDescent="0.3">
      <c r="C1194" s="450"/>
      <c r="D1194" s="182"/>
      <c r="E1194" s="182"/>
      <c r="F1194" s="182"/>
      <c r="G1194" s="450" t="str">
        <f t="shared" si="56"/>
        <v>--</v>
      </c>
      <c r="H1194" s="182"/>
      <c r="I1194" s="892"/>
      <c r="J1194" s="288"/>
      <c r="K1194" s="288"/>
      <c r="L1194" s="182"/>
      <c r="M1194" s="270"/>
      <c r="N1194" s="892"/>
      <c r="O1194" s="892"/>
      <c r="P1194" s="276" t="s">
        <v>42</v>
      </c>
      <c r="Q1194" s="902"/>
      <c r="R1194" s="902"/>
      <c r="S1194" s="902"/>
      <c r="T1194" s="271"/>
      <c r="U1194" s="114"/>
      <c r="V1194" s="114"/>
      <c r="W1194" s="270"/>
      <c r="X1194" s="270"/>
      <c r="Y1194" s="270"/>
      <c r="Z1194" s="270"/>
      <c r="AA1194" s="114"/>
      <c r="AB1194" s="85"/>
      <c r="AC1194" s="85"/>
      <c r="AD1194" s="85"/>
      <c r="AE1194" s="85"/>
    </row>
    <row r="1195" spans="3:31" ht="15" thickBot="1" x14ac:dyDescent="0.35">
      <c r="C1195" s="450"/>
      <c r="D1195" s="182"/>
      <c r="E1195" s="182"/>
      <c r="F1195" s="182"/>
      <c r="G1195" s="450" t="str">
        <f t="shared" si="56"/>
        <v>--</v>
      </c>
      <c r="H1195" s="182"/>
      <c r="I1195" s="892"/>
      <c r="J1195" s="892"/>
      <c r="K1195" s="182"/>
      <c r="L1195" s="182"/>
      <c r="M1195" s="901" t="s">
        <v>155</v>
      </c>
      <c r="N1195" s="870" t="s">
        <v>188</v>
      </c>
      <c r="O1195" s="870"/>
      <c r="P1195" s="277" t="s">
        <v>818</v>
      </c>
      <c r="Q1195" s="871" t="s">
        <v>155</v>
      </c>
      <c r="R1195" s="114"/>
      <c r="S1195" s="114"/>
      <c r="T1195" s="271"/>
      <c r="U1195" s="114"/>
      <c r="V1195" s="114"/>
      <c r="W1195" s="270"/>
      <c r="X1195" s="270"/>
      <c r="Y1195" s="270"/>
      <c r="Z1195" s="270"/>
      <c r="AA1195" s="114"/>
      <c r="AB1195" s="85"/>
      <c r="AC1195" s="85"/>
      <c r="AD1195" s="85"/>
      <c r="AE1195" s="85"/>
    </row>
    <row r="1196" spans="3:31" ht="15" thickBot="1" x14ac:dyDescent="0.35">
      <c r="C1196" s="566" t="s">
        <v>766</v>
      </c>
      <c r="D1196" s="875" t="str">
        <f>VLOOKUP(C1196,'Airport Mapping'!$C$5:$D$39,2,FALSE)</f>
        <v xml:space="preserve"> </v>
      </c>
      <c r="E1196" s="567" t="s">
        <v>39</v>
      </c>
      <c r="F1196" s="567" t="s">
        <v>42</v>
      </c>
      <c r="G1196" s="450" t="str">
        <f t="shared" si="56"/>
        <v>Rental Car Center C-Landscaping-Outdoor irrigation</v>
      </c>
      <c r="H1196" s="567" t="s">
        <v>32</v>
      </c>
      <c r="I1196" s="877" t="s">
        <v>64</v>
      </c>
      <c r="J1196" s="878">
        <f>SUMIFS('Level of Efficiency Assumptions'!J:J,'Level of Efficiency Assumptions'!D:D,E1196,'Level of Efficiency Assumptions'!F:F,F1196,'Level of Efficiency Assumptions'!I:I,I1196)</f>
        <v>28.6</v>
      </c>
      <c r="K1196" s="383" t="s">
        <v>816</v>
      </c>
      <c r="L1196" s="253" t="s">
        <v>64</v>
      </c>
      <c r="M1196" s="879">
        <f>SUM(Q1196:Q1197)</f>
        <v>0</v>
      </c>
      <c r="N1196" s="880">
        <f>IFERROR(M1196/M1199,"-")</f>
        <v>0</v>
      </c>
      <c r="O1196" s="881">
        <f>SUMIFS('Data Entry'!R:R,'Data Entry'!K:K,G1196)</f>
        <v>0</v>
      </c>
      <c r="P1196" s="272" t="s">
        <v>237</v>
      </c>
      <c r="Q1196" s="895">
        <v>0</v>
      </c>
      <c r="R1196" s="114"/>
      <c r="S1196" s="114"/>
      <c r="T1196" s="271"/>
      <c r="U1196" s="114"/>
      <c r="V1196" s="114"/>
      <c r="W1196" s="270"/>
      <c r="X1196" s="270"/>
      <c r="Y1196" s="270"/>
      <c r="Z1196" s="270"/>
      <c r="AA1196" s="114"/>
      <c r="AB1196" s="85"/>
      <c r="AC1196" s="85"/>
      <c r="AD1196" s="85"/>
      <c r="AE1196" s="85"/>
    </row>
    <row r="1197" spans="3:31" ht="15" thickBot="1" x14ac:dyDescent="0.35">
      <c r="C1197" s="494" t="s">
        <v>766</v>
      </c>
      <c r="D1197" s="577"/>
      <c r="E1197" s="577" t="s">
        <v>39</v>
      </c>
      <c r="F1197" s="577" t="s">
        <v>42</v>
      </c>
      <c r="G1197" s="450" t="str">
        <f t="shared" si="56"/>
        <v>Rental Car Center C-Landscaping-Outdoor irrigation</v>
      </c>
      <c r="H1197" s="577"/>
      <c r="I1197" s="887" t="s">
        <v>65</v>
      </c>
      <c r="J1197" s="878">
        <f>SUMIFS('Level of Efficiency Assumptions'!J:J,'Level of Efficiency Assumptions'!D:D,E1197,'Level of Efficiency Assumptions'!F:F,F1197,'Level of Efficiency Assumptions'!I:I,I1197)</f>
        <v>13.980821518350929</v>
      </c>
      <c r="K1197" s="383" t="s">
        <v>816</v>
      </c>
      <c r="L1197" s="255" t="s">
        <v>65</v>
      </c>
      <c r="M1197" s="879">
        <f>Q1198+Q1199</f>
        <v>1</v>
      </c>
      <c r="N1197" s="880">
        <f>IFERROR(M1197/M1199,"-")</f>
        <v>1</v>
      </c>
      <c r="O1197" s="881">
        <f>SUMIFS('Data Entry'!S:S,'Data Entry'!K:K,G1197)</f>
        <v>0</v>
      </c>
      <c r="P1197" s="272" t="s">
        <v>232</v>
      </c>
      <c r="Q1197" s="895">
        <v>0</v>
      </c>
      <c r="R1197" s="114"/>
      <c r="S1197" s="114"/>
      <c r="T1197" s="271"/>
      <c r="U1197" s="114"/>
      <c r="V1197" s="114"/>
      <c r="W1197" s="270"/>
      <c r="X1197" s="270"/>
      <c r="Y1197" s="270"/>
      <c r="Z1197" s="270"/>
      <c r="AA1197" s="114"/>
      <c r="AB1197" s="85"/>
      <c r="AC1197" s="85"/>
      <c r="AD1197" s="85"/>
      <c r="AE1197" s="85"/>
    </row>
    <row r="1198" spans="3:31" ht="15" thickBot="1" x14ac:dyDescent="0.35">
      <c r="C1198" s="501" t="s">
        <v>766</v>
      </c>
      <c r="D1198" s="116"/>
      <c r="E1198" s="116" t="s">
        <v>39</v>
      </c>
      <c r="F1198" s="116" t="s">
        <v>42</v>
      </c>
      <c r="G1198" s="450" t="str">
        <f t="shared" si="56"/>
        <v>Rental Car Center C-Landscaping-Outdoor irrigation</v>
      </c>
      <c r="H1198" s="116"/>
      <c r="I1198" s="889" t="s">
        <v>66</v>
      </c>
      <c r="J1198" s="890">
        <f>SUMIFS('Level of Efficiency Assumptions'!J:J,'Level of Efficiency Assumptions'!D:D,E1198,'Level of Efficiency Assumptions'!F:F,F1198,'Level of Efficiency Assumptions'!I:I,I1198)</f>
        <v>0.59137254901960778</v>
      </c>
      <c r="K1198" s="383" t="s">
        <v>816</v>
      </c>
      <c r="L1198" s="257" t="s">
        <v>66</v>
      </c>
      <c r="M1198" s="879">
        <f>Q1200+Q1201</f>
        <v>0</v>
      </c>
      <c r="N1198" s="880">
        <f>IFERROR(M1198/M1199,"-")</f>
        <v>0</v>
      </c>
      <c r="O1198" s="881">
        <f>SUMIFS('Data Entry'!T:T,'Data Entry'!K:K,G1198)</f>
        <v>0</v>
      </c>
      <c r="P1198" s="274" t="s">
        <v>231</v>
      </c>
      <c r="Q1198" s="895">
        <v>1</v>
      </c>
      <c r="R1198" s="114"/>
      <c r="S1198" s="114"/>
      <c r="T1198" s="271"/>
      <c r="U1198" s="114"/>
      <c r="V1198" s="114"/>
      <c r="W1198" s="270"/>
      <c r="X1198" s="270"/>
      <c r="Y1198" s="270"/>
      <c r="Z1198" s="270"/>
      <c r="AA1198" s="114"/>
      <c r="AB1198" s="85"/>
      <c r="AC1198" s="85"/>
      <c r="AD1198" s="85"/>
      <c r="AE1198" s="85"/>
    </row>
    <row r="1199" spans="3:31" x14ac:dyDescent="0.3">
      <c r="C1199" s="450"/>
      <c r="D1199" s="182"/>
      <c r="E1199" s="182"/>
      <c r="F1199" s="182"/>
      <c r="G1199" s="450" t="str">
        <f t="shared" si="56"/>
        <v>--</v>
      </c>
      <c r="H1199" s="182"/>
      <c r="I1199" s="440"/>
      <c r="J1199" s="892"/>
      <c r="K1199" s="259"/>
      <c r="L1199" s="259" t="s">
        <v>46</v>
      </c>
      <c r="M1199" s="893">
        <f>SUM(M1196:M1198)</f>
        <v>1</v>
      </c>
      <c r="N1199" s="894"/>
      <c r="O1199" s="894">
        <f>SUM(O1196:O1198)</f>
        <v>0</v>
      </c>
      <c r="P1199" s="274" t="s">
        <v>230</v>
      </c>
      <c r="Q1199" s="895">
        <v>0</v>
      </c>
      <c r="R1199" s="114"/>
      <c r="S1199" s="114"/>
      <c r="T1199" s="271"/>
      <c r="U1199" s="114"/>
      <c r="V1199" s="114"/>
      <c r="W1199" s="270"/>
      <c r="X1199" s="270"/>
      <c r="Y1199" s="270"/>
      <c r="Z1199" s="270"/>
      <c r="AA1199" s="114"/>
      <c r="AB1199" s="85"/>
      <c r="AC1199" s="85"/>
      <c r="AD1199" s="85"/>
      <c r="AE1199" s="85"/>
    </row>
    <row r="1200" spans="3:31" x14ac:dyDescent="0.3">
      <c r="C1200" s="450"/>
      <c r="D1200" s="182"/>
      <c r="E1200" s="182"/>
      <c r="F1200" s="182"/>
      <c r="G1200" s="450" t="str">
        <f t="shared" si="56"/>
        <v>--</v>
      </c>
      <c r="H1200" s="182"/>
      <c r="I1200" s="892"/>
      <c r="J1200" s="288"/>
      <c r="K1200" s="288"/>
      <c r="L1200" s="182"/>
      <c r="M1200" s="270"/>
      <c r="N1200" s="892"/>
      <c r="O1200" s="892"/>
      <c r="P1200" s="275" t="s">
        <v>229</v>
      </c>
      <c r="Q1200" s="895">
        <v>0</v>
      </c>
      <c r="R1200" s="114"/>
      <c r="S1200" s="114"/>
      <c r="T1200" s="271"/>
      <c r="U1200" s="114"/>
      <c r="V1200" s="114"/>
      <c r="W1200" s="270"/>
      <c r="X1200" s="270"/>
      <c r="Y1200" s="270"/>
      <c r="Z1200" s="270"/>
      <c r="AA1200" s="114"/>
      <c r="AB1200" s="85"/>
      <c r="AC1200" s="85"/>
      <c r="AD1200" s="85"/>
      <c r="AE1200" s="85"/>
    </row>
    <row r="1201" spans="3:31" x14ac:dyDescent="0.3">
      <c r="C1201" s="450"/>
      <c r="D1201" s="182"/>
      <c r="E1201" s="182"/>
      <c r="F1201" s="182"/>
      <c r="G1201" s="450" t="str">
        <f t="shared" si="56"/>
        <v>--</v>
      </c>
      <c r="H1201" s="182"/>
      <c r="I1201" s="892"/>
      <c r="J1201" s="288"/>
      <c r="K1201" s="288"/>
      <c r="L1201" s="182"/>
      <c r="M1201" s="270"/>
      <c r="N1201" s="892"/>
      <c r="O1201" s="892"/>
      <c r="P1201" s="269" t="s">
        <v>225</v>
      </c>
      <c r="Q1201" s="895">
        <v>0</v>
      </c>
      <c r="R1201" s="114"/>
      <c r="S1201" s="114"/>
      <c r="T1201" s="271"/>
      <c r="U1201" s="114"/>
      <c r="V1201" s="114"/>
      <c r="W1201" s="270"/>
      <c r="X1201" s="270"/>
      <c r="Y1201" s="270"/>
      <c r="Z1201" s="270"/>
      <c r="AA1201" s="114"/>
      <c r="AB1201" s="85"/>
      <c r="AC1201" s="85"/>
      <c r="AD1201" s="85"/>
      <c r="AE1201" s="85"/>
    </row>
    <row r="1202" spans="3:31" x14ac:dyDescent="0.3">
      <c r="C1202" s="450"/>
      <c r="D1202" s="182"/>
      <c r="E1202" s="182"/>
      <c r="F1202" s="182"/>
      <c r="G1202" s="450" t="str">
        <f t="shared" si="56"/>
        <v>--</v>
      </c>
      <c r="H1202" s="182"/>
      <c r="I1202" s="892"/>
      <c r="J1202" s="288"/>
      <c r="K1202" s="288"/>
      <c r="L1202" s="182"/>
      <c r="M1202" s="270"/>
      <c r="N1202" s="892"/>
      <c r="O1202" s="892"/>
      <c r="P1202" s="263" t="s">
        <v>46</v>
      </c>
      <c r="Q1202" s="897">
        <f>SUM(Q1196:Q1201)</f>
        <v>1</v>
      </c>
      <c r="R1202" s="899"/>
      <c r="S1202" s="899"/>
      <c r="T1202" s="271"/>
      <c r="U1202" s="114"/>
      <c r="V1202" s="114"/>
      <c r="W1202" s="270"/>
      <c r="X1202" s="270"/>
      <c r="Y1202" s="270"/>
      <c r="Z1202" s="270"/>
      <c r="AA1202" s="114"/>
      <c r="AB1202" s="85"/>
      <c r="AC1202" s="85"/>
      <c r="AD1202" s="85"/>
      <c r="AE1202" s="85"/>
    </row>
    <row r="1203" spans="3:31" x14ac:dyDescent="0.3">
      <c r="C1203" s="450"/>
      <c r="D1203" s="182"/>
      <c r="E1203" s="182"/>
      <c r="F1203" s="182"/>
      <c r="G1203" s="450" t="str">
        <f t="shared" si="56"/>
        <v>--</v>
      </c>
      <c r="H1203" s="182"/>
      <c r="I1203" s="892"/>
      <c r="J1203" s="288"/>
      <c r="K1203" s="288"/>
      <c r="L1203" s="182"/>
      <c r="M1203" s="270"/>
      <c r="N1203" s="892"/>
      <c r="O1203" s="892"/>
      <c r="P1203" s="259"/>
      <c r="Q1203" s="114"/>
      <c r="R1203" s="270"/>
      <c r="S1203" s="270"/>
      <c r="T1203" s="270"/>
      <c r="U1203" s="270"/>
      <c r="V1203" s="270"/>
      <c r="W1203" s="270"/>
      <c r="X1203" s="270"/>
      <c r="Y1203" s="270"/>
      <c r="Z1203" s="270"/>
      <c r="AA1203" s="114"/>
      <c r="AB1203" s="85"/>
      <c r="AC1203" s="85"/>
      <c r="AD1203" s="85"/>
      <c r="AE1203" s="85"/>
    </row>
    <row r="1204" spans="3:31" ht="15" thickBot="1" x14ac:dyDescent="0.35">
      <c r="C1204" s="450"/>
      <c r="D1204" s="182"/>
      <c r="E1204" s="182"/>
      <c r="F1204" s="182"/>
      <c r="G1204" s="450" t="str">
        <f t="shared" si="56"/>
        <v>--</v>
      </c>
      <c r="H1204" s="182"/>
      <c r="I1204" s="892"/>
      <c r="J1204" s="892"/>
      <c r="K1204" s="182"/>
      <c r="L1204" s="182"/>
      <c r="M1204" s="901" t="s">
        <v>155</v>
      </c>
      <c r="N1204" s="870" t="s">
        <v>188</v>
      </c>
      <c r="O1204" s="870"/>
      <c r="P1204" s="276" t="s">
        <v>111</v>
      </c>
      <c r="Q1204" s="871" t="s">
        <v>155</v>
      </c>
      <c r="R1204" s="902"/>
      <c r="S1204" s="874"/>
      <c r="T1204" s="270"/>
      <c r="U1204" s="270"/>
      <c r="V1204" s="270"/>
      <c r="W1204" s="270"/>
      <c r="X1204" s="270"/>
      <c r="Y1204" s="270"/>
      <c r="Z1204" s="270"/>
      <c r="AA1204" s="114"/>
      <c r="AB1204" s="85"/>
      <c r="AC1204" s="85"/>
      <c r="AD1204" s="85"/>
      <c r="AE1204" s="85"/>
    </row>
    <row r="1205" spans="3:31" ht="15" thickBot="1" x14ac:dyDescent="0.35">
      <c r="C1205" s="566" t="s">
        <v>766</v>
      </c>
      <c r="D1205" s="875" t="str">
        <f>VLOOKUP(C1205,'Airport Mapping'!$C$5:$D$39,2,FALSE)</f>
        <v xml:space="preserve"> </v>
      </c>
      <c r="E1205" s="567" t="s">
        <v>43</v>
      </c>
      <c r="F1205" s="567" t="s">
        <v>111</v>
      </c>
      <c r="G1205" s="450" t="str">
        <f t="shared" si="56"/>
        <v>Rental Car Center C-Maintenance-Boiler</v>
      </c>
      <c r="H1205" s="567" t="s">
        <v>424</v>
      </c>
      <c r="I1205" s="877" t="s">
        <v>64</v>
      </c>
      <c r="J1205" s="878">
        <f>SUMIFS('Level of Efficiency Assumptions'!J:J,'Level of Efficiency Assumptions'!D:D,E1205,'Level of Efficiency Assumptions'!F:F,F1205,'Level of Efficiency Assumptions'!I:I,I1205)</f>
        <v>100</v>
      </c>
      <c r="K1205" s="383" t="s">
        <v>585</v>
      </c>
      <c r="L1205" s="253" t="s">
        <v>64</v>
      </c>
      <c r="M1205" s="879">
        <f>SUM(Q1205:Q1206)</f>
        <v>0</v>
      </c>
      <c r="N1205" s="880">
        <f>IFERROR(M1205/M1208,"-")</f>
        <v>0</v>
      </c>
      <c r="O1205" s="881">
        <f>SUMIFS('Data Entry'!R:R,'Data Entry'!K:K,G1205)</f>
        <v>0</v>
      </c>
      <c r="P1205" s="272"/>
      <c r="Q1205" s="895">
        <v>0</v>
      </c>
      <c r="R1205" s="114"/>
      <c r="S1205" s="884"/>
      <c r="T1205" s="270"/>
      <c r="U1205" s="270"/>
      <c r="V1205" s="270"/>
      <c r="W1205" s="270"/>
      <c r="X1205" s="270"/>
      <c r="Y1205" s="270"/>
      <c r="Z1205" s="270"/>
      <c r="AA1205" s="114"/>
      <c r="AB1205" s="85"/>
      <c r="AC1205" s="85"/>
      <c r="AD1205" s="85"/>
      <c r="AE1205" s="85"/>
    </row>
    <row r="1206" spans="3:31" ht="15" thickBot="1" x14ac:dyDescent="0.35">
      <c r="C1206" s="494" t="s">
        <v>766</v>
      </c>
      <c r="D1206" s="577"/>
      <c r="E1206" s="577" t="s">
        <v>43</v>
      </c>
      <c r="F1206" s="577" t="s">
        <v>111</v>
      </c>
      <c r="G1206" s="450" t="str">
        <f t="shared" si="56"/>
        <v>Rental Car Center C-Maintenance-Boiler</v>
      </c>
      <c r="H1206" s="577"/>
      <c r="I1206" s="887" t="s">
        <v>65</v>
      </c>
      <c r="J1206" s="878">
        <f>SUMIFS('Level of Efficiency Assumptions'!J:J,'Level of Efficiency Assumptions'!D:D,E1206,'Level of Efficiency Assumptions'!F:F,F1206,'Level of Efficiency Assumptions'!I:I,I1206)</f>
        <v>75</v>
      </c>
      <c r="K1206" s="383" t="s">
        <v>585</v>
      </c>
      <c r="L1206" s="255" t="s">
        <v>65</v>
      </c>
      <c r="M1206" s="879">
        <f>Q1207+Q1208</f>
        <v>1</v>
      </c>
      <c r="N1206" s="880">
        <f>IFERROR(M1206/M1208,"-")</f>
        <v>1</v>
      </c>
      <c r="O1206" s="881">
        <f>SUMIFS('Data Entry'!S:S,'Data Entry'!K:K,G1206)</f>
        <v>0</v>
      </c>
      <c r="P1206" s="272"/>
      <c r="Q1206" s="895">
        <v>0</v>
      </c>
      <c r="R1206" s="114"/>
      <c r="S1206" s="884"/>
      <c r="T1206" s="270"/>
      <c r="U1206" s="270"/>
      <c r="V1206" s="270"/>
      <c r="W1206" s="270"/>
      <c r="X1206" s="270"/>
      <c r="Y1206" s="270"/>
      <c r="Z1206" s="270"/>
      <c r="AA1206" s="114"/>
      <c r="AB1206" s="85"/>
      <c r="AC1206" s="85"/>
      <c r="AD1206" s="85"/>
      <c r="AE1206" s="85"/>
    </row>
    <row r="1207" spans="3:31" ht="15" thickBot="1" x14ac:dyDescent="0.35">
      <c r="C1207" s="501" t="s">
        <v>766</v>
      </c>
      <c r="D1207" s="116"/>
      <c r="E1207" s="116" t="s">
        <v>43</v>
      </c>
      <c r="F1207" s="116" t="s">
        <v>111</v>
      </c>
      <c r="G1207" s="450" t="str">
        <f t="shared" si="56"/>
        <v>Rental Car Center C-Maintenance-Boiler</v>
      </c>
      <c r="H1207" s="116"/>
      <c r="I1207" s="889" t="s">
        <v>66</v>
      </c>
      <c r="J1207" s="890">
        <f>SUMIFS('Level of Efficiency Assumptions'!J:J,'Level of Efficiency Assumptions'!D:D,E1207,'Level of Efficiency Assumptions'!F:F,F1207,'Level of Efficiency Assumptions'!I:I,I1207)</f>
        <v>50</v>
      </c>
      <c r="K1207" s="383" t="s">
        <v>585</v>
      </c>
      <c r="L1207" s="257" t="s">
        <v>66</v>
      </c>
      <c r="M1207" s="879">
        <f>Q1209+Q1210</f>
        <v>0</v>
      </c>
      <c r="N1207" s="880">
        <f>IFERROR(M1207/M1208,"-")</f>
        <v>0</v>
      </c>
      <c r="O1207" s="881">
        <f>SUMIFS('Data Entry'!T:T,'Data Entry'!K:K,G1207)</f>
        <v>0</v>
      </c>
      <c r="P1207" s="274"/>
      <c r="Q1207" s="895">
        <v>1</v>
      </c>
      <c r="R1207" s="114"/>
      <c r="S1207" s="884"/>
      <c r="T1207" s="270"/>
      <c r="U1207" s="270"/>
      <c r="V1207" s="270"/>
      <c r="W1207" s="270"/>
      <c r="X1207" s="270"/>
      <c r="Y1207" s="270"/>
      <c r="Z1207" s="270"/>
      <c r="AA1207" s="114"/>
      <c r="AB1207" s="85"/>
      <c r="AC1207" s="85"/>
      <c r="AD1207" s="85"/>
      <c r="AE1207" s="85"/>
    </row>
    <row r="1208" spans="3:31" x14ac:dyDescent="0.3">
      <c r="C1208" s="450"/>
      <c r="D1208" s="182"/>
      <c r="E1208" s="182"/>
      <c r="F1208" s="182"/>
      <c r="G1208" s="450" t="str">
        <f t="shared" si="56"/>
        <v>--</v>
      </c>
      <c r="H1208" s="182"/>
      <c r="I1208" s="440"/>
      <c r="J1208" s="892"/>
      <c r="K1208" s="259"/>
      <c r="L1208" s="259" t="s">
        <v>46</v>
      </c>
      <c r="M1208" s="893">
        <f>SUM(M1205:M1207)</f>
        <v>1</v>
      </c>
      <c r="N1208" s="894"/>
      <c r="O1208" s="894">
        <f>SUM(O1205:O1207)</f>
        <v>0</v>
      </c>
      <c r="P1208" s="274"/>
      <c r="Q1208" s="895">
        <v>0</v>
      </c>
      <c r="R1208" s="114"/>
      <c r="S1208" s="884"/>
      <c r="T1208" s="270"/>
      <c r="U1208" s="270"/>
      <c r="V1208" s="270"/>
      <c r="W1208" s="270"/>
      <c r="X1208" s="270"/>
      <c r="Y1208" s="270"/>
      <c r="Z1208" s="270"/>
      <c r="AA1208" s="114"/>
      <c r="AB1208" s="85"/>
      <c r="AC1208" s="85"/>
      <c r="AD1208" s="85"/>
      <c r="AE1208" s="85"/>
    </row>
    <row r="1209" spans="3:31" x14ac:dyDescent="0.3">
      <c r="C1209" s="450"/>
      <c r="D1209" s="182"/>
      <c r="E1209" s="182"/>
      <c r="F1209" s="182"/>
      <c r="G1209" s="450" t="str">
        <f t="shared" si="56"/>
        <v>--</v>
      </c>
      <c r="H1209" s="182"/>
      <c r="I1209" s="892"/>
      <c r="J1209" s="288"/>
      <c r="K1209" s="288"/>
      <c r="L1209" s="182"/>
      <c r="M1209" s="270"/>
      <c r="N1209" s="892"/>
      <c r="O1209" s="892"/>
      <c r="P1209" s="275"/>
      <c r="Q1209" s="895">
        <v>0</v>
      </c>
      <c r="R1209" s="114"/>
      <c r="S1209" s="884"/>
      <c r="T1209" s="270"/>
      <c r="U1209" s="270"/>
      <c r="V1209" s="270"/>
      <c r="W1209" s="270"/>
      <c r="X1209" s="270"/>
      <c r="Y1209" s="270"/>
      <c r="Z1209" s="270"/>
      <c r="AA1209" s="114"/>
      <c r="AB1209" s="85"/>
      <c r="AC1209" s="85"/>
      <c r="AD1209" s="85"/>
      <c r="AE1209" s="85"/>
    </row>
    <row r="1210" spans="3:31" x14ac:dyDescent="0.3">
      <c r="C1210" s="450"/>
      <c r="D1210" s="182"/>
      <c r="E1210" s="182"/>
      <c r="F1210" s="182"/>
      <c r="G1210" s="450" t="str">
        <f t="shared" si="56"/>
        <v>--</v>
      </c>
      <c r="H1210" s="182"/>
      <c r="I1210" s="892"/>
      <c r="J1210" s="288"/>
      <c r="K1210" s="288"/>
      <c r="L1210" s="182"/>
      <c r="M1210" s="270"/>
      <c r="N1210" s="892"/>
      <c r="O1210" s="892"/>
      <c r="P1210" s="269"/>
      <c r="Q1210" s="895">
        <v>0</v>
      </c>
      <c r="R1210" s="114"/>
      <c r="S1210" s="884"/>
      <c r="T1210" s="270"/>
      <c r="U1210" s="270"/>
      <c r="V1210" s="270"/>
      <c r="W1210" s="270"/>
      <c r="X1210" s="270"/>
      <c r="Y1210" s="270"/>
      <c r="Z1210" s="270"/>
      <c r="AA1210" s="114"/>
      <c r="AB1210" s="85"/>
      <c r="AC1210" s="85"/>
      <c r="AD1210" s="85"/>
      <c r="AE1210" s="85"/>
    </row>
    <row r="1211" spans="3:31" x14ac:dyDescent="0.3">
      <c r="C1211" s="450"/>
      <c r="D1211" s="182"/>
      <c r="E1211" s="182"/>
      <c r="F1211" s="182"/>
      <c r="G1211" s="450" t="str">
        <f t="shared" si="56"/>
        <v>--</v>
      </c>
      <c r="H1211" s="182"/>
      <c r="I1211" s="892"/>
      <c r="J1211" s="288"/>
      <c r="K1211" s="288"/>
      <c r="L1211" s="182"/>
      <c r="M1211" s="270"/>
      <c r="N1211" s="892"/>
      <c r="O1211" s="892"/>
      <c r="P1211" s="263" t="s">
        <v>46</v>
      </c>
      <c r="Q1211" s="897">
        <f>SUM(Q1205:Q1210)</f>
        <v>1</v>
      </c>
      <c r="R1211" s="899"/>
      <c r="S1211" s="900"/>
      <c r="T1211" s="270"/>
      <c r="U1211" s="270"/>
      <c r="V1211" s="270"/>
      <c r="W1211" s="270"/>
      <c r="X1211" s="270"/>
      <c r="Y1211" s="270"/>
      <c r="Z1211" s="270"/>
      <c r="AA1211" s="114"/>
      <c r="AB1211" s="85"/>
      <c r="AC1211" s="85"/>
      <c r="AD1211" s="85"/>
      <c r="AE1211" s="85"/>
    </row>
    <row r="1212" spans="3:31" x14ac:dyDescent="0.3">
      <c r="C1212" s="225"/>
      <c r="D1212" s="288"/>
      <c r="E1212" s="288"/>
      <c r="F1212" s="288"/>
      <c r="G1212" s="450" t="str">
        <f t="shared" si="56"/>
        <v>--</v>
      </c>
      <c r="H1212" s="182"/>
      <c r="I1212" s="892"/>
      <c r="J1212" s="288"/>
      <c r="K1212" s="288"/>
      <c r="L1212" s="182"/>
      <c r="M1212" s="270"/>
      <c r="N1212" s="892"/>
      <c r="O1212" s="892"/>
      <c r="P1212" s="259"/>
      <c r="Q1212" s="114"/>
      <c r="R1212" s="270"/>
      <c r="S1212" s="270"/>
      <c r="T1212" s="270"/>
      <c r="U1212" s="270"/>
      <c r="V1212" s="270"/>
      <c r="W1212" s="270"/>
      <c r="X1212" s="270"/>
      <c r="Y1212" s="270"/>
      <c r="Z1212" s="270"/>
      <c r="AA1212" s="114"/>
      <c r="AB1212" s="85"/>
      <c r="AC1212" s="85"/>
      <c r="AD1212" s="85"/>
      <c r="AE1212" s="85"/>
    </row>
    <row r="1213" spans="3:31" ht="15" thickBot="1" x14ac:dyDescent="0.35">
      <c r="C1213" s="225"/>
      <c r="D1213" s="182"/>
      <c r="E1213" s="182"/>
      <c r="F1213" s="182"/>
      <c r="G1213" s="450" t="str">
        <f t="shared" si="56"/>
        <v>--</v>
      </c>
      <c r="H1213" s="182"/>
      <c r="I1213" s="892"/>
      <c r="J1213" s="892"/>
      <c r="K1213" s="182"/>
      <c r="L1213" s="182"/>
      <c r="M1213" s="901" t="s">
        <v>155</v>
      </c>
      <c r="N1213" s="870" t="s">
        <v>188</v>
      </c>
      <c r="O1213" s="870"/>
      <c r="P1213" s="276" t="s">
        <v>9</v>
      </c>
      <c r="Q1213" s="871" t="s">
        <v>155</v>
      </c>
      <c r="R1213" s="902"/>
      <c r="S1213" s="874"/>
      <c r="T1213" s="270"/>
      <c r="U1213" s="270"/>
      <c r="V1213" s="270"/>
      <c r="W1213" s="270"/>
      <c r="X1213" s="270"/>
      <c r="Y1213" s="270"/>
      <c r="Z1213" s="270"/>
      <c r="AA1213" s="114"/>
      <c r="AB1213" s="85"/>
      <c r="AC1213" s="85"/>
      <c r="AD1213" s="85"/>
      <c r="AE1213" s="85"/>
    </row>
    <row r="1214" spans="3:31" ht="15" thickBot="1" x14ac:dyDescent="0.35">
      <c r="C1214" s="566" t="s">
        <v>766</v>
      </c>
      <c r="D1214" s="875" t="str">
        <f>VLOOKUP(C1214,'Airport Mapping'!$C$5:$D$39,2,FALSE)</f>
        <v xml:space="preserve"> </v>
      </c>
      <c r="E1214" s="567" t="s">
        <v>43</v>
      </c>
      <c r="F1214" s="567" t="s">
        <v>9</v>
      </c>
      <c r="G1214" s="450" t="str">
        <f t="shared" si="56"/>
        <v>Rental Car Center C-Maintenance-Vehicle washing</v>
      </c>
      <c r="H1214" s="567" t="s">
        <v>12</v>
      </c>
      <c r="I1214" s="877" t="s">
        <v>64</v>
      </c>
      <c r="J1214" s="878">
        <f>SUMIFS('Level of Efficiency Assumptions'!J:J,'Level of Efficiency Assumptions'!D:D,E1214,'Level of Efficiency Assumptions'!F:F,F1214,'Level of Efficiency Assumptions'!I:I,I1214)</f>
        <v>80</v>
      </c>
      <c r="K1214" s="383" t="s">
        <v>588</v>
      </c>
      <c r="L1214" s="253" t="s">
        <v>64</v>
      </c>
      <c r="M1214" s="879">
        <f>SUM(Q1214:Q1215)</f>
        <v>0</v>
      </c>
      <c r="N1214" s="880">
        <f>IFERROR(M1214/M1217,"-")</f>
        <v>0</v>
      </c>
      <c r="O1214" s="881">
        <f>SUMIFS('Data Entry'!R:R,'Data Entry'!K:K,G1214)</f>
        <v>0</v>
      </c>
      <c r="P1214" s="272"/>
      <c r="Q1214" s="895">
        <v>0</v>
      </c>
      <c r="R1214" s="114"/>
      <c r="S1214" s="884"/>
      <c r="T1214" s="270"/>
      <c r="U1214" s="270"/>
      <c r="V1214" s="270"/>
      <c r="W1214" s="270"/>
      <c r="X1214" s="270"/>
      <c r="Y1214" s="270"/>
      <c r="Z1214" s="270"/>
      <c r="AA1214" s="114"/>
      <c r="AB1214" s="85"/>
      <c r="AC1214" s="85"/>
      <c r="AD1214" s="85"/>
      <c r="AE1214" s="85"/>
    </row>
    <row r="1215" spans="3:31" ht="15" thickBot="1" x14ac:dyDescent="0.35">
      <c r="C1215" s="494" t="s">
        <v>766</v>
      </c>
      <c r="D1215" s="577"/>
      <c r="E1215" s="577" t="s">
        <v>43</v>
      </c>
      <c r="F1215" s="577" t="s">
        <v>9</v>
      </c>
      <c r="G1215" s="450" t="str">
        <f t="shared" si="56"/>
        <v>Rental Car Center C-Maintenance-Vehicle washing</v>
      </c>
      <c r="H1215" s="577"/>
      <c r="I1215" s="887" t="s">
        <v>65</v>
      </c>
      <c r="J1215" s="878">
        <f>SUMIFS('Level of Efficiency Assumptions'!J:J,'Level of Efficiency Assumptions'!D:D,E1215,'Level of Efficiency Assumptions'!F:F,F1215,'Level of Efficiency Assumptions'!I:I,I1215)</f>
        <v>40</v>
      </c>
      <c r="K1215" s="383" t="s">
        <v>588</v>
      </c>
      <c r="L1215" s="255" t="s">
        <v>65</v>
      </c>
      <c r="M1215" s="879">
        <f>Q1216+Q1217</f>
        <v>1</v>
      </c>
      <c r="N1215" s="880">
        <f>IFERROR(M1215/M1217,"-")</f>
        <v>1</v>
      </c>
      <c r="O1215" s="881">
        <f>SUMIFS('Data Entry'!S:S,'Data Entry'!K:K,G1215)</f>
        <v>0</v>
      </c>
      <c r="P1215" s="272"/>
      <c r="Q1215" s="895">
        <v>0</v>
      </c>
      <c r="R1215" s="114"/>
      <c r="S1215" s="884"/>
      <c r="T1215" s="270"/>
      <c r="U1215" s="270"/>
      <c r="V1215" s="270"/>
      <c r="W1215" s="270"/>
      <c r="X1215" s="270"/>
      <c r="Y1215" s="270"/>
      <c r="Z1215" s="270"/>
      <c r="AA1215" s="114"/>
      <c r="AB1215" s="85"/>
      <c r="AC1215" s="85"/>
      <c r="AD1215" s="85"/>
      <c r="AE1215" s="85"/>
    </row>
    <row r="1216" spans="3:31" ht="15" thickBot="1" x14ac:dyDescent="0.35">
      <c r="C1216" s="501" t="s">
        <v>766</v>
      </c>
      <c r="D1216" s="116"/>
      <c r="E1216" s="116" t="s">
        <v>43</v>
      </c>
      <c r="F1216" s="116" t="s">
        <v>9</v>
      </c>
      <c r="G1216" s="450" t="str">
        <f t="shared" si="56"/>
        <v>Rental Car Center C-Maintenance-Vehicle washing</v>
      </c>
      <c r="H1216" s="116"/>
      <c r="I1216" s="889" t="s">
        <v>66</v>
      </c>
      <c r="J1216" s="890">
        <f>SUMIFS('Level of Efficiency Assumptions'!J:J,'Level of Efficiency Assumptions'!D:D,E1216,'Level of Efficiency Assumptions'!F:F,F1216,'Level of Efficiency Assumptions'!I:I,I1216)</f>
        <v>30</v>
      </c>
      <c r="K1216" s="383" t="s">
        <v>588</v>
      </c>
      <c r="L1216" s="257" t="s">
        <v>66</v>
      </c>
      <c r="M1216" s="879">
        <f>Q1218+Q1219</f>
        <v>0</v>
      </c>
      <c r="N1216" s="880">
        <f>IFERROR(M1216/M1217,"-")</f>
        <v>0</v>
      </c>
      <c r="O1216" s="881">
        <f>SUMIFS('Data Entry'!T:T,'Data Entry'!K:K,G1216)</f>
        <v>0</v>
      </c>
      <c r="P1216" s="274"/>
      <c r="Q1216" s="895">
        <v>1</v>
      </c>
      <c r="R1216" s="114"/>
      <c r="S1216" s="884"/>
      <c r="T1216" s="270"/>
      <c r="U1216" s="270"/>
      <c r="V1216" s="270"/>
      <c r="W1216" s="270"/>
      <c r="X1216" s="270"/>
      <c r="Y1216" s="270"/>
      <c r="Z1216" s="270"/>
      <c r="AA1216" s="114"/>
      <c r="AB1216" s="85"/>
      <c r="AC1216" s="85"/>
      <c r="AD1216" s="85"/>
      <c r="AE1216" s="85"/>
    </row>
    <row r="1217" spans="3:31" x14ac:dyDescent="0.3">
      <c r="C1217" s="450"/>
      <c r="D1217" s="182"/>
      <c r="E1217" s="182"/>
      <c r="F1217" s="182"/>
      <c r="G1217" s="450" t="str">
        <f t="shared" si="56"/>
        <v>--</v>
      </c>
      <c r="H1217" s="182"/>
      <c r="I1217" s="440"/>
      <c r="J1217" s="892"/>
      <c r="K1217" s="259"/>
      <c r="L1217" s="259" t="s">
        <v>46</v>
      </c>
      <c r="M1217" s="893">
        <f>SUM(M1214:M1216)</f>
        <v>1</v>
      </c>
      <c r="N1217" s="894"/>
      <c r="O1217" s="894">
        <f>SUM(O1214:O1216)</f>
        <v>0</v>
      </c>
      <c r="P1217" s="274"/>
      <c r="Q1217" s="895">
        <v>0</v>
      </c>
      <c r="R1217" s="114"/>
      <c r="S1217" s="884"/>
      <c r="T1217" s="270"/>
      <c r="U1217" s="270"/>
      <c r="V1217" s="270"/>
      <c r="W1217" s="270"/>
      <c r="X1217" s="270"/>
      <c r="Y1217" s="270"/>
      <c r="Z1217" s="270"/>
      <c r="AA1217" s="114"/>
      <c r="AB1217" s="85"/>
      <c r="AC1217" s="85"/>
      <c r="AD1217" s="85"/>
      <c r="AE1217" s="85"/>
    </row>
    <row r="1218" spans="3:31" x14ac:dyDescent="0.3">
      <c r="C1218" s="450"/>
      <c r="D1218" s="182"/>
      <c r="E1218" s="182"/>
      <c r="F1218" s="182"/>
      <c r="G1218" s="450" t="str">
        <f t="shared" si="56"/>
        <v>--</v>
      </c>
      <c r="H1218" s="182"/>
      <c r="I1218" s="892"/>
      <c r="J1218" s="288"/>
      <c r="K1218" s="288"/>
      <c r="L1218" s="182"/>
      <c r="M1218" s="270"/>
      <c r="N1218" s="892"/>
      <c r="O1218" s="892"/>
      <c r="P1218" s="275"/>
      <c r="Q1218" s="895">
        <v>0</v>
      </c>
      <c r="R1218" s="114"/>
      <c r="S1218" s="884"/>
      <c r="T1218" s="270"/>
      <c r="U1218" s="270"/>
      <c r="V1218" s="270"/>
      <c r="W1218" s="270"/>
      <c r="X1218" s="270"/>
      <c r="Y1218" s="270"/>
      <c r="Z1218" s="270"/>
      <c r="AA1218" s="114"/>
      <c r="AB1218" s="85"/>
      <c r="AC1218" s="85"/>
      <c r="AD1218" s="85"/>
      <c r="AE1218" s="85"/>
    </row>
    <row r="1219" spans="3:31" x14ac:dyDescent="0.3">
      <c r="C1219" s="450"/>
      <c r="D1219" s="182"/>
      <c r="E1219" s="182"/>
      <c r="F1219" s="182"/>
      <c r="G1219" s="450" t="str">
        <f t="shared" si="56"/>
        <v>--</v>
      </c>
      <c r="H1219" s="182"/>
      <c r="I1219" s="892"/>
      <c r="J1219" s="288"/>
      <c r="K1219" s="288"/>
      <c r="L1219" s="182"/>
      <c r="M1219" s="270"/>
      <c r="N1219" s="892"/>
      <c r="O1219" s="892"/>
      <c r="P1219" s="269"/>
      <c r="Q1219" s="895">
        <v>0</v>
      </c>
      <c r="R1219" s="114"/>
      <c r="S1219" s="884"/>
      <c r="T1219" s="270"/>
      <c r="U1219" s="270"/>
      <c r="V1219" s="270"/>
      <c r="W1219" s="270"/>
      <c r="X1219" s="270"/>
      <c r="Y1219" s="270"/>
      <c r="Z1219" s="270"/>
      <c r="AA1219" s="114"/>
      <c r="AB1219" s="85"/>
      <c r="AC1219" s="85"/>
      <c r="AD1219" s="85"/>
      <c r="AE1219" s="85"/>
    </row>
    <row r="1220" spans="3:31" x14ac:dyDescent="0.3">
      <c r="C1220" s="450"/>
      <c r="D1220" s="182"/>
      <c r="E1220" s="182"/>
      <c r="F1220" s="182"/>
      <c r="G1220" s="450" t="str">
        <f t="shared" si="56"/>
        <v>--</v>
      </c>
      <c r="H1220" s="182"/>
      <c r="I1220" s="892"/>
      <c r="J1220" s="288"/>
      <c r="K1220" s="288"/>
      <c r="L1220" s="182"/>
      <c r="M1220" s="270"/>
      <c r="N1220" s="892"/>
      <c r="O1220" s="892"/>
      <c r="P1220" s="263" t="s">
        <v>46</v>
      </c>
      <c r="Q1220" s="897">
        <f>SUM(Q1214:Q1219)</f>
        <v>1</v>
      </c>
      <c r="R1220" s="899"/>
      <c r="S1220" s="900"/>
      <c r="T1220" s="270"/>
      <c r="U1220" s="270"/>
      <c r="V1220" s="270"/>
      <c r="W1220" s="270"/>
      <c r="X1220" s="270"/>
      <c r="Y1220" s="270"/>
      <c r="Z1220" s="270"/>
      <c r="AA1220" s="114"/>
      <c r="AB1220" s="85"/>
      <c r="AC1220" s="85"/>
      <c r="AD1220" s="85"/>
      <c r="AE1220" s="85"/>
    </row>
    <row r="1221" spans="3:31" x14ac:dyDescent="0.3">
      <c r="C1221" s="450"/>
      <c r="D1221" s="182"/>
      <c r="E1221" s="182"/>
      <c r="F1221" s="182"/>
      <c r="G1221" s="450" t="str">
        <f t="shared" si="56"/>
        <v>--</v>
      </c>
      <c r="H1221" s="182"/>
      <c r="I1221" s="892"/>
      <c r="J1221" s="288"/>
      <c r="K1221" s="288"/>
      <c r="L1221" s="182"/>
      <c r="M1221" s="270"/>
      <c r="N1221" s="892"/>
      <c r="O1221" s="892"/>
      <c r="P1221" s="259"/>
      <c r="Q1221" s="114"/>
      <c r="R1221" s="114"/>
      <c r="S1221" s="114"/>
      <c r="T1221" s="270"/>
      <c r="U1221" s="270"/>
      <c r="V1221" s="270"/>
      <c r="W1221" s="270"/>
      <c r="X1221" s="270"/>
      <c r="Y1221" s="270"/>
      <c r="Z1221" s="270"/>
      <c r="AA1221" s="114"/>
      <c r="AB1221" s="85"/>
      <c r="AC1221" s="85"/>
      <c r="AD1221" s="85"/>
      <c r="AE1221" s="85"/>
    </row>
    <row r="1222" spans="3:31" ht="15" thickBot="1" x14ac:dyDescent="0.35">
      <c r="C1222" s="450"/>
      <c r="D1222" s="182"/>
      <c r="E1222" s="182"/>
      <c r="F1222" s="182"/>
      <c r="G1222" s="450" t="str">
        <f t="shared" si="56"/>
        <v>--</v>
      </c>
      <c r="H1222" s="182"/>
      <c r="I1222" s="892"/>
      <c r="J1222" s="892"/>
      <c r="K1222" s="182"/>
      <c r="L1222" s="182"/>
      <c r="M1222" s="901" t="s">
        <v>155</v>
      </c>
      <c r="N1222" s="870" t="s">
        <v>188</v>
      </c>
      <c r="O1222" s="870"/>
      <c r="P1222" s="276" t="s">
        <v>426</v>
      </c>
      <c r="Q1222" s="871" t="s">
        <v>155</v>
      </c>
      <c r="R1222" s="902"/>
      <c r="S1222" s="874"/>
      <c r="T1222" s="270"/>
      <c r="U1222" s="270"/>
      <c r="V1222" s="270"/>
      <c r="W1222" s="270"/>
      <c r="X1222" s="270"/>
      <c r="Y1222" s="270"/>
      <c r="Z1222" s="270"/>
      <c r="AA1222" s="114"/>
      <c r="AB1222" s="85"/>
      <c r="AC1222" s="85"/>
      <c r="AD1222" s="85"/>
      <c r="AE1222" s="85"/>
    </row>
    <row r="1223" spans="3:31" ht="15" thickBot="1" x14ac:dyDescent="0.35">
      <c r="C1223" s="566" t="s">
        <v>766</v>
      </c>
      <c r="D1223" s="875" t="str">
        <f>VLOOKUP(C1223,'Airport Mapping'!$C$5:$D$39,2,FALSE)</f>
        <v xml:space="preserve"> </v>
      </c>
      <c r="E1223" s="567" t="s">
        <v>43</v>
      </c>
      <c r="F1223" s="567" t="s">
        <v>426</v>
      </c>
      <c r="G1223" s="450" t="str">
        <f t="shared" si="56"/>
        <v>Rental Car Center C-Maintenance-Pavement cleaning</v>
      </c>
      <c r="H1223" s="567" t="s">
        <v>12</v>
      </c>
      <c r="I1223" s="877" t="s">
        <v>64</v>
      </c>
      <c r="J1223" s="878">
        <f>SUMIFS('Level of Efficiency Assumptions'!J:J,'Level of Efficiency Assumptions'!D:D,E1223,'Level of Efficiency Assumptions'!F:F,F1223,'Level of Efficiency Assumptions'!I:I,I1223)</f>
        <v>10</v>
      </c>
      <c r="K1223" s="383" t="s">
        <v>588</v>
      </c>
      <c r="L1223" s="253" t="s">
        <v>64</v>
      </c>
      <c r="M1223" s="879">
        <f>SUM(Q1223:Q1224)</f>
        <v>0</v>
      </c>
      <c r="N1223" s="880">
        <f>IFERROR(M1223/M1226,"-")</f>
        <v>0</v>
      </c>
      <c r="O1223" s="881">
        <f>SUMIFS('Data Entry'!R:R,'Data Entry'!K:K,G1223)</f>
        <v>0</v>
      </c>
      <c r="P1223" s="272"/>
      <c r="Q1223" s="895">
        <v>0</v>
      </c>
      <c r="R1223" s="114"/>
      <c r="S1223" s="884"/>
      <c r="T1223" s="270"/>
      <c r="U1223" s="270"/>
      <c r="V1223" s="270"/>
      <c r="W1223" s="270"/>
      <c r="X1223" s="270"/>
      <c r="Y1223" s="270"/>
      <c r="Z1223" s="270"/>
      <c r="AA1223" s="114"/>
      <c r="AB1223" s="85"/>
      <c r="AC1223" s="85"/>
      <c r="AD1223" s="85"/>
      <c r="AE1223" s="85"/>
    </row>
    <row r="1224" spans="3:31" ht="15" thickBot="1" x14ac:dyDescent="0.35">
      <c r="C1224" s="494" t="s">
        <v>766</v>
      </c>
      <c r="D1224" s="577"/>
      <c r="E1224" s="577" t="s">
        <v>43</v>
      </c>
      <c r="F1224" s="577" t="s">
        <v>426</v>
      </c>
      <c r="G1224" s="450" t="str">
        <f t="shared" si="56"/>
        <v>Rental Car Center C-Maintenance-Pavement cleaning</v>
      </c>
      <c r="H1224" s="577"/>
      <c r="I1224" s="887" t="s">
        <v>65</v>
      </c>
      <c r="J1224" s="878">
        <f>SUMIFS('Level of Efficiency Assumptions'!J:J,'Level of Efficiency Assumptions'!D:D,E1224,'Level of Efficiency Assumptions'!F:F,F1224,'Level of Efficiency Assumptions'!I:I,I1224)</f>
        <v>7.5</v>
      </c>
      <c r="K1224" s="383" t="s">
        <v>588</v>
      </c>
      <c r="L1224" s="255" t="s">
        <v>65</v>
      </c>
      <c r="M1224" s="879">
        <f>Q1225+Q1226</f>
        <v>1</v>
      </c>
      <c r="N1224" s="880">
        <f>IFERROR(M1224/M1226,"-")</f>
        <v>1</v>
      </c>
      <c r="O1224" s="881">
        <f>SUMIFS('Data Entry'!S:S,'Data Entry'!K:K,G1224)</f>
        <v>0</v>
      </c>
      <c r="P1224" s="272"/>
      <c r="Q1224" s="895">
        <v>0</v>
      </c>
      <c r="R1224" s="114"/>
      <c r="S1224" s="884"/>
      <c r="T1224" s="270"/>
      <c r="U1224" s="270"/>
      <c r="V1224" s="270"/>
      <c r="W1224" s="270"/>
      <c r="X1224" s="270"/>
      <c r="Y1224" s="270"/>
      <c r="Z1224" s="270"/>
      <c r="AA1224" s="114"/>
      <c r="AB1224" s="85"/>
      <c r="AC1224" s="85"/>
      <c r="AD1224" s="85"/>
      <c r="AE1224" s="85"/>
    </row>
    <row r="1225" spans="3:31" ht="15" thickBot="1" x14ac:dyDescent="0.35">
      <c r="C1225" s="501" t="s">
        <v>766</v>
      </c>
      <c r="D1225" s="116"/>
      <c r="E1225" s="116" t="s">
        <v>43</v>
      </c>
      <c r="F1225" s="116" t="s">
        <v>426</v>
      </c>
      <c r="G1225" s="450" t="str">
        <f t="shared" si="56"/>
        <v>Rental Car Center C-Maintenance-Pavement cleaning</v>
      </c>
      <c r="H1225" s="116"/>
      <c r="I1225" s="889" t="s">
        <v>66</v>
      </c>
      <c r="J1225" s="890">
        <f>SUMIFS('Level of Efficiency Assumptions'!J:J,'Level of Efficiency Assumptions'!D:D,E1225,'Level of Efficiency Assumptions'!F:F,F1225,'Level of Efficiency Assumptions'!I:I,I1225)</f>
        <v>5</v>
      </c>
      <c r="K1225" s="383" t="s">
        <v>588</v>
      </c>
      <c r="L1225" s="257" t="s">
        <v>66</v>
      </c>
      <c r="M1225" s="879">
        <f>Q1227+Q1228</f>
        <v>0</v>
      </c>
      <c r="N1225" s="880">
        <f>IFERROR(M1225/M1226,"-")</f>
        <v>0</v>
      </c>
      <c r="O1225" s="881">
        <f>SUMIFS('Data Entry'!T:T,'Data Entry'!K:K,G1225)</f>
        <v>0</v>
      </c>
      <c r="P1225" s="274"/>
      <c r="Q1225" s="895">
        <v>1</v>
      </c>
      <c r="R1225" s="114"/>
      <c r="S1225" s="884"/>
      <c r="T1225" s="270"/>
      <c r="U1225" s="270"/>
      <c r="V1225" s="270"/>
      <c r="W1225" s="270"/>
      <c r="X1225" s="270"/>
      <c r="Y1225" s="270"/>
      <c r="Z1225" s="270"/>
      <c r="AA1225" s="114"/>
      <c r="AB1225" s="85"/>
      <c r="AC1225" s="85"/>
      <c r="AD1225" s="85"/>
      <c r="AE1225" s="85"/>
    </row>
    <row r="1226" spans="3:31" x14ac:dyDescent="0.3">
      <c r="C1226" s="450"/>
      <c r="D1226" s="182"/>
      <c r="E1226" s="182"/>
      <c r="F1226" s="182"/>
      <c r="G1226" s="450" t="str">
        <f t="shared" si="56"/>
        <v>--</v>
      </c>
      <c r="H1226" s="182"/>
      <c r="I1226" s="440"/>
      <c r="J1226" s="892"/>
      <c r="K1226" s="259"/>
      <c r="L1226" s="259" t="s">
        <v>46</v>
      </c>
      <c r="M1226" s="893">
        <f>SUM(M1223:M1225)</f>
        <v>1</v>
      </c>
      <c r="N1226" s="894"/>
      <c r="O1226" s="894">
        <f>SUM(O1223:O1225)</f>
        <v>0</v>
      </c>
      <c r="P1226" s="274"/>
      <c r="Q1226" s="895">
        <v>0</v>
      </c>
      <c r="R1226" s="114"/>
      <c r="S1226" s="884"/>
      <c r="T1226" s="270"/>
      <c r="U1226" s="270"/>
      <c r="V1226" s="270"/>
      <c r="W1226" s="270"/>
      <c r="X1226" s="270"/>
      <c r="Y1226" s="270"/>
      <c r="Z1226" s="270"/>
      <c r="AA1226" s="114"/>
      <c r="AB1226" s="85"/>
      <c r="AC1226" s="85"/>
      <c r="AD1226" s="85"/>
      <c r="AE1226" s="85"/>
    </row>
    <row r="1227" spans="3:31" x14ac:dyDescent="0.3">
      <c r="C1227" s="450"/>
      <c r="D1227" s="182"/>
      <c r="E1227" s="182"/>
      <c r="F1227" s="182"/>
      <c r="G1227" s="450" t="str">
        <f t="shared" si="56"/>
        <v>--</v>
      </c>
      <c r="H1227" s="182"/>
      <c r="I1227" s="892"/>
      <c r="J1227" s="288"/>
      <c r="K1227" s="288"/>
      <c r="L1227" s="182"/>
      <c r="M1227" s="270"/>
      <c r="N1227" s="892"/>
      <c r="O1227" s="892"/>
      <c r="P1227" s="275"/>
      <c r="Q1227" s="895">
        <v>0</v>
      </c>
      <c r="R1227" s="114"/>
      <c r="S1227" s="884"/>
      <c r="T1227" s="270"/>
      <c r="U1227" s="270"/>
      <c r="V1227" s="270"/>
      <c r="W1227" s="270"/>
      <c r="X1227" s="270"/>
      <c r="Y1227" s="270"/>
      <c r="Z1227" s="270"/>
      <c r="AA1227" s="114"/>
      <c r="AB1227" s="85"/>
      <c r="AC1227" s="85"/>
      <c r="AD1227" s="85"/>
      <c r="AE1227" s="85"/>
    </row>
    <row r="1228" spans="3:31" x14ac:dyDescent="0.3">
      <c r="C1228" s="450"/>
      <c r="D1228" s="182"/>
      <c r="E1228" s="182"/>
      <c r="F1228" s="182"/>
      <c r="G1228" s="450" t="str">
        <f t="shared" si="56"/>
        <v>--</v>
      </c>
      <c r="H1228" s="182"/>
      <c r="I1228" s="892"/>
      <c r="J1228" s="288"/>
      <c r="K1228" s="288"/>
      <c r="L1228" s="182"/>
      <c r="M1228" s="270"/>
      <c r="N1228" s="892"/>
      <c r="O1228" s="892"/>
      <c r="P1228" s="269"/>
      <c r="Q1228" s="895">
        <v>0</v>
      </c>
      <c r="R1228" s="114"/>
      <c r="S1228" s="884"/>
      <c r="T1228" s="270"/>
      <c r="U1228" s="114"/>
      <c r="V1228" s="114"/>
      <c r="W1228" s="114"/>
      <c r="X1228" s="114"/>
      <c r="Y1228" s="114"/>
      <c r="Z1228" s="114"/>
      <c r="AA1228" s="114"/>
      <c r="AB1228" s="85"/>
      <c r="AC1228" s="85"/>
      <c r="AD1228" s="85"/>
      <c r="AE1228" s="85"/>
    </row>
    <row r="1229" spans="3:31" x14ac:dyDescent="0.3">
      <c r="C1229" s="450"/>
      <c r="D1229" s="182"/>
      <c r="E1229" s="182"/>
      <c r="F1229" s="182"/>
      <c r="G1229" s="450" t="str">
        <f t="shared" si="56"/>
        <v>--</v>
      </c>
      <c r="H1229" s="182"/>
      <c r="I1229" s="892"/>
      <c r="J1229" s="288"/>
      <c r="K1229" s="288"/>
      <c r="L1229" s="182"/>
      <c r="M1229" s="270"/>
      <c r="N1229" s="892"/>
      <c r="O1229" s="892"/>
      <c r="P1229" s="263" t="s">
        <v>46</v>
      </c>
      <c r="Q1229" s="897">
        <f>SUM(Q1223:Q1228)</f>
        <v>1</v>
      </c>
      <c r="R1229" s="899"/>
      <c r="S1229" s="900"/>
      <c r="T1229" s="270"/>
      <c r="U1229" s="114"/>
      <c r="V1229" s="114"/>
      <c r="W1229" s="114"/>
      <c r="X1229" s="114"/>
      <c r="Y1229" s="114"/>
      <c r="Z1229" s="114"/>
      <c r="AA1229" s="114"/>
      <c r="AB1229" s="85"/>
      <c r="AC1229" s="85"/>
      <c r="AD1229" s="85"/>
      <c r="AE1229" s="85"/>
    </row>
    <row r="1230" spans="3:31" x14ac:dyDescent="0.3">
      <c r="C1230" s="450"/>
      <c r="D1230" s="182"/>
      <c r="E1230" s="182"/>
      <c r="F1230" s="182"/>
      <c r="G1230" s="450" t="str">
        <f t="shared" si="56"/>
        <v>--</v>
      </c>
      <c r="H1230" s="182"/>
      <c r="I1230" s="892"/>
      <c r="J1230" s="288"/>
      <c r="K1230" s="288"/>
      <c r="L1230" s="270"/>
      <c r="M1230" s="270"/>
      <c r="N1230" s="923"/>
      <c r="O1230" s="923"/>
      <c r="P1230" s="270"/>
      <c r="Q1230" s="270"/>
      <c r="R1230" s="270"/>
      <c r="S1230" s="270"/>
      <c r="T1230" s="270"/>
      <c r="U1230" s="114"/>
      <c r="V1230" s="114"/>
      <c r="W1230" s="114"/>
      <c r="X1230" s="114"/>
      <c r="Y1230" s="114"/>
      <c r="Z1230" s="114"/>
      <c r="AA1230" s="114"/>
      <c r="AB1230" s="85"/>
      <c r="AC1230" s="85"/>
      <c r="AD1230" s="85"/>
      <c r="AE1230" s="85"/>
    </row>
    <row r="1231" spans="3:31" ht="15" thickBot="1" x14ac:dyDescent="0.35">
      <c r="C1231" s="450"/>
      <c r="D1231" s="182"/>
      <c r="E1231" s="182"/>
      <c r="F1231" s="182"/>
      <c r="G1231" s="450" t="str">
        <f t="shared" si="56"/>
        <v>--</v>
      </c>
      <c r="H1231" s="182"/>
      <c r="I1231" s="892"/>
      <c r="J1231" s="892"/>
      <c r="K1231" s="182"/>
      <c r="L1231" s="182"/>
      <c r="M1231" s="901" t="s">
        <v>155</v>
      </c>
      <c r="N1231" s="870" t="s">
        <v>188</v>
      </c>
      <c r="O1231" s="870"/>
      <c r="P1231" s="276" t="s">
        <v>52</v>
      </c>
      <c r="Q1231" s="871" t="s">
        <v>155</v>
      </c>
      <c r="R1231" s="902"/>
      <c r="S1231" s="874"/>
      <c r="T1231" s="270"/>
      <c r="U1231" s="114"/>
      <c r="V1231" s="114"/>
      <c r="W1231" s="114"/>
      <c r="X1231" s="114"/>
      <c r="Y1231" s="114"/>
      <c r="Z1231" s="114"/>
      <c r="AA1231" s="114"/>
      <c r="AB1231" s="85"/>
      <c r="AC1231" s="85"/>
      <c r="AD1231" s="85"/>
      <c r="AE1231" s="85"/>
    </row>
    <row r="1232" spans="3:31" ht="15" thickBot="1" x14ac:dyDescent="0.35">
      <c r="C1232" s="566" t="s">
        <v>766</v>
      </c>
      <c r="D1232" s="875" t="str">
        <f>VLOOKUP(C1232,'Airport Mapping'!$C$5:$D$39,2,FALSE)</f>
        <v xml:space="preserve"> </v>
      </c>
      <c r="E1232" s="567" t="s">
        <v>8</v>
      </c>
      <c r="F1232" s="567" t="s">
        <v>52</v>
      </c>
      <c r="G1232" s="450" t="str">
        <f t="shared" si="56"/>
        <v>Rental Car Center C-Other-Other 1</v>
      </c>
      <c r="H1232" s="567" t="s">
        <v>362</v>
      </c>
      <c r="I1232" s="877" t="s">
        <v>64</v>
      </c>
      <c r="J1232" s="878">
        <f>SUMIFS('Level of Efficiency Assumptions'!J:J,'Level of Efficiency Assumptions'!D:D,E1232,'Level of Efficiency Assumptions'!F:F,F1232,'Level of Efficiency Assumptions'!I:I,I1232)</f>
        <v>10</v>
      </c>
      <c r="K1232" s="383" t="s">
        <v>588</v>
      </c>
      <c r="L1232" s="253" t="s">
        <v>64</v>
      </c>
      <c r="M1232" s="879">
        <f>SUM(Q1232:Q1232)</f>
        <v>0</v>
      </c>
      <c r="N1232" s="880">
        <f>IFERROR(M1232/M1235,"-")</f>
        <v>0</v>
      </c>
      <c r="O1232" s="881">
        <f>SUMIFS('Data Entry'!R:R,'Data Entry'!K:K,G1232)</f>
        <v>0</v>
      </c>
      <c r="P1232" s="272" t="s">
        <v>129</v>
      </c>
      <c r="Q1232" s="895">
        <v>0</v>
      </c>
      <c r="R1232" s="114"/>
      <c r="S1232" s="884"/>
      <c r="T1232" s="270"/>
      <c r="U1232" s="114"/>
      <c r="V1232" s="114"/>
      <c r="W1232" s="114"/>
      <c r="X1232" s="114"/>
      <c r="Y1232" s="114"/>
      <c r="Z1232" s="114"/>
      <c r="AA1232" s="114"/>
      <c r="AB1232" s="85"/>
      <c r="AC1232" s="85"/>
      <c r="AD1232" s="85"/>
      <c r="AE1232" s="85"/>
    </row>
    <row r="1233" spans="3:31" ht="15" thickBot="1" x14ac:dyDescent="0.35">
      <c r="C1233" s="494" t="s">
        <v>766</v>
      </c>
      <c r="D1233" s="577"/>
      <c r="E1233" s="577" t="s">
        <v>8</v>
      </c>
      <c r="F1233" s="577" t="s">
        <v>52</v>
      </c>
      <c r="G1233" s="450" t="str">
        <f t="shared" si="56"/>
        <v>Rental Car Center C-Other-Other 1</v>
      </c>
      <c r="H1233" s="577"/>
      <c r="I1233" s="887" t="s">
        <v>65</v>
      </c>
      <c r="J1233" s="878">
        <f>SUMIFS('Level of Efficiency Assumptions'!J:J,'Level of Efficiency Assumptions'!D:D,E1233,'Level of Efficiency Assumptions'!F:F,F1233,'Level of Efficiency Assumptions'!I:I,I1233)</f>
        <v>7.5</v>
      </c>
      <c r="K1233" s="383" t="s">
        <v>588</v>
      </c>
      <c r="L1233" s="255" t="s">
        <v>65</v>
      </c>
      <c r="M1233" s="879">
        <f t="shared" ref="M1233:M1234" si="57">SUM(Q1233:Q1233)</f>
        <v>1</v>
      </c>
      <c r="N1233" s="880">
        <f>IFERROR(M1233/M1235,"-")</f>
        <v>1</v>
      </c>
      <c r="O1233" s="881">
        <f>SUMIFS('Data Entry'!S:S,'Data Entry'!K:K,G1233)</f>
        <v>0</v>
      </c>
      <c r="P1233" s="274" t="s">
        <v>233</v>
      </c>
      <c r="Q1233" s="895">
        <v>1</v>
      </c>
      <c r="R1233" s="114"/>
      <c r="S1233" s="884"/>
      <c r="T1233" s="270"/>
      <c r="U1233" s="114"/>
      <c r="V1233" s="114"/>
      <c r="W1233" s="114"/>
      <c r="X1233" s="114"/>
      <c r="Y1233" s="114"/>
      <c r="Z1233" s="114"/>
      <c r="AA1233" s="114"/>
      <c r="AB1233" s="85"/>
      <c r="AC1233" s="85"/>
      <c r="AD1233" s="85"/>
      <c r="AE1233" s="85"/>
    </row>
    <row r="1234" spans="3:31" ht="15" thickBot="1" x14ac:dyDescent="0.35">
      <c r="C1234" s="501" t="s">
        <v>766</v>
      </c>
      <c r="D1234" s="116"/>
      <c r="E1234" s="116" t="s">
        <v>8</v>
      </c>
      <c r="F1234" s="116" t="s">
        <v>52</v>
      </c>
      <c r="G1234" s="450" t="str">
        <f t="shared" si="56"/>
        <v>Rental Car Center C-Other-Other 1</v>
      </c>
      <c r="H1234" s="116"/>
      <c r="I1234" s="889" t="s">
        <v>66</v>
      </c>
      <c r="J1234" s="890">
        <f>SUMIFS('Level of Efficiency Assumptions'!J:J,'Level of Efficiency Assumptions'!D:D,E1234,'Level of Efficiency Assumptions'!F:F,F1234,'Level of Efficiency Assumptions'!I:I,I1234)</f>
        <v>5</v>
      </c>
      <c r="K1234" s="383" t="s">
        <v>588</v>
      </c>
      <c r="L1234" s="257" t="s">
        <v>66</v>
      </c>
      <c r="M1234" s="879">
        <f t="shared" si="57"/>
        <v>0</v>
      </c>
      <c r="N1234" s="880">
        <f>IFERROR(M1234/M1235,"-")</f>
        <v>0</v>
      </c>
      <c r="O1234" s="881">
        <f>SUMIFS('Data Entry'!T:T,'Data Entry'!K:K,G1234)</f>
        <v>0</v>
      </c>
      <c r="P1234" s="269" t="s">
        <v>234</v>
      </c>
      <c r="Q1234" s="895">
        <v>0</v>
      </c>
      <c r="R1234" s="114"/>
      <c r="S1234" s="884"/>
      <c r="T1234" s="270"/>
      <c r="U1234" s="114"/>
      <c r="V1234" s="114"/>
      <c r="W1234" s="114"/>
      <c r="X1234" s="114"/>
      <c r="Y1234" s="114"/>
      <c r="Z1234" s="114"/>
      <c r="AA1234" s="114"/>
      <c r="AB1234" s="85"/>
      <c r="AC1234" s="85"/>
      <c r="AD1234" s="85"/>
      <c r="AE1234" s="85"/>
    </row>
    <row r="1235" spans="3:31" x14ac:dyDescent="0.3">
      <c r="C1235" s="450"/>
      <c r="D1235" s="182"/>
      <c r="E1235" s="182"/>
      <c r="F1235" s="182"/>
      <c r="G1235" s="450" t="str">
        <f t="shared" si="56"/>
        <v>--</v>
      </c>
      <c r="H1235" s="182"/>
      <c r="I1235" s="440"/>
      <c r="J1235" s="892"/>
      <c r="K1235" s="259"/>
      <c r="L1235" s="259" t="s">
        <v>46</v>
      </c>
      <c r="M1235" s="893">
        <f>SUM(M1232:M1234)</f>
        <v>1</v>
      </c>
      <c r="N1235" s="894"/>
      <c r="O1235" s="894">
        <f>SUM(O1232:O1234)</f>
        <v>0</v>
      </c>
      <c r="P1235" s="263" t="s">
        <v>46</v>
      </c>
      <c r="Q1235" s="897">
        <f>SUM(Q1232:Q1234)</f>
        <v>1</v>
      </c>
      <c r="R1235" s="899"/>
      <c r="S1235" s="900"/>
      <c r="T1235" s="270"/>
      <c r="U1235" s="114"/>
      <c r="V1235" s="114"/>
      <c r="W1235" s="114"/>
      <c r="X1235" s="114"/>
      <c r="Y1235" s="114"/>
      <c r="Z1235" s="114"/>
      <c r="AA1235" s="114"/>
      <c r="AB1235" s="85"/>
      <c r="AC1235" s="85"/>
      <c r="AD1235" s="85"/>
      <c r="AE1235" s="85"/>
    </row>
    <row r="1236" spans="3:31" x14ac:dyDescent="0.3">
      <c r="C1236" s="450"/>
      <c r="D1236" s="182"/>
      <c r="E1236" s="182"/>
      <c r="F1236" s="182"/>
      <c r="G1236" s="450" t="str">
        <f t="shared" si="56"/>
        <v>--</v>
      </c>
      <c r="H1236" s="182"/>
      <c r="I1236" s="892"/>
      <c r="J1236" s="288"/>
      <c r="K1236" s="182"/>
      <c r="L1236" s="182"/>
      <c r="M1236" s="270"/>
      <c r="N1236" s="892"/>
      <c r="O1236" s="892"/>
      <c r="P1236" s="270"/>
      <c r="Q1236" s="270"/>
      <c r="R1236" s="270"/>
      <c r="S1236" s="270"/>
      <c r="T1236" s="270"/>
      <c r="U1236" s="114"/>
      <c r="V1236" s="114"/>
      <c r="W1236" s="114"/>
      <c r="X1236" s="114"/>
      <c r="Y1236" s="114"/>
      <c r="Z1236" s="114"/>
      <c r="AA1236" s="114"/>
      <c r="AB1236" s="85"/>
      <c r="AC1236" s="85"/>
      <c r="AD1236" s="85"/>
      <c r="AE1236" s="85"/>
    </row>
    <row r="1237" spans="3:31" ht="15" thickBot="1" x14ac:dyDescent="0.35">
      <c r="C1237" s="450"/>
      <c r="D1237" s="182"/>
      <c r="E1237" s="182"/>
      <c r="F1237" s="182"/>
      <c r="G1237" s="450" t="str">
        <f t="shared" si="56"/>
        <v>--</v>
      </c>
      <c r="H1237" s="182"/>
      <c r="I1237" s="892"/>
      <c r="J1237" s="892"/>
      <c r="K1237" s="182"/>
      <c r="L1237" s="182"/>
      <c r="M1237" s="901" t="s">
        <v>155</v>
      </c>
      <c r="N1237" s="870" t="s">
        <v>188</v>
      </c>
      <c r="O1237" s="870"/>
      <c r="P1237" s="276" t="s">
        <v>53</v>
      </c>
      <c r="Q1237" s="871" t="s">
        <v>155</v>
      </c>
      <c r="R1237" s="902"/>
      <c r="S1237" s="874"/>
      <c r="T1237" s="270"/>
      <c r="U1237" s="114"/>
      <c r="V1237" s="114"/>
      <c r="W1237" s="114"/>
      <c r="X1237" s="114"/>
      <c r="Y1237" s="114"/>
      <c r="Z1237" s="114"/>
      <c r="AA1237" s="114"/>
      <c r="AB1237" s="85"/>
      <c r="AC1237" s="85"/>
      <c r="AD1237" s="85"/>
      <c r="AE1237" s="85"/>
    </row>
    <row r="1238" spans="3:31" ht="15" thickBot="1" x14ac:dyDescent="0.35">
      <c r="C1238" s="566" t="s">
        <v>766</v>
      </c>
      <c r="D1238" s="875" t="str">
        <f>VLOOKUP(C1238,'Airport Mapping'!$C$5:$D$39,2,FALSE)</f>
        <v xml:space="preserve"> </v>
      </c>
      <c r="E1238" s="567" t="s">
        <v>8</v>
      </c>
      <c r="F1238" s="567" t="s">
        <v>53</v>
      </c>
      <c r="G1238" s="450" t="str">
        <f t="shared" si="56"/>
        <v>Rental Car Center C-Other-Other 2</v>
      </c>
      <c r="H1238" s="567" t="s">
        <v>363</v>
      </c>
      <c r="I1238" s="877" t="s">
        <v>64</v>
      </c>
      <c r="J1238" s="878">
        <f>SUMIFS('Level of Efficiency Assumptions'!J:J,'Level of Efficiency Assumptions'!D:D,E1238,'Level of Efficiency Assumptions'!F:F,F1238,'Level of Efficiency Assumptions'!I:I,I1238)</f>
        <v>10</v>
      </c>
      <c r="K1238" s="383" t="s">
        <v>588</v>
      </c>
      <c r="L1238" s="253" t="s">
        <v>64</v>
      </c>
      <c r="M1238" s="879">
        <f>SUM(Q1238:Q1238)</f>
        <v>0</v>
      </c>
      <c r="N1238" s="880">
        <f>IFERROR(M1238/M1241,"-")</f>
        <v>0</v>
      </c>
      <c r="O1238" s="881">
        <f>SUMIFS('Data Entry'!R:R,'Data Entry'!K:K,G1238)</f>
        <v>0</v>
      </c>
      <c r="P1238" s="272" t="s">
        <v>129</v>
      </c>
      <c r="Q1238" s="895">
        <v>0</v>
      </c>
      <c r="R1238" s="114"/>
      <c r="S1238" s="884"/>
      <c r="T1238" s="270"/>
      <c r="U1238" s="114"/>
      <c r="V1238" s="114"/>
      <c r="W1238" s="114"/>
      <c r="X1238" s="114"/>
      <c r="Y1238" s="114"/>
      <c r="Z1238" s="114"/>
      <c r="AA1238" s="114"/>
      <c r="AB1238" s="85"/>
      <c r="AC1238" s="85"/>
      <c r="AD1238" s="85"/>
      <c r="AE1238" s="85"/>
    </row>
    <row r="1239" spans="3:31" ht="15" thickBot="1" x14ac:dyDescent="0.35">
      <c r="C1239" s="494" t="s">
        <v>766</v>
      </c>
      <c r="D1239" s="577"/>
      <c r="E1239" s="577" t="s">
        <v>8</v>
      </c>
      <c r="F1239" s="577" t="s">
        <v>53</v>
      </c>
      <c r="G1239" s="450" t="str">
        <f t="shared" si="56"/>
        <v>Rental Car Center C-Other-Other 2</v>
      </c>
      <c r="H1239" s="577"/>
      <c r="I1239" s="887" t="s">
        <v>65</v>
      </c>
      <c r="J1239" s="878">
        <f>SUMIFS('Level of Efficiency Assumptions'!J:J,'Level of Efficiency Assumptions'!D:D,E1239,'Level of Efficiency Assumptions'!F:F,F1239,'Level of Efficiency Assumptions'!I:I,I1239)</f>
        <v>7.5</v>
      </c>
      <c r="K1239" s="383" t="s">
        <v>588</v>
      </c>
      <c r="L1239" s="255" t="s">
        <v>65</v>
      </c>
      <c r="M1239" s="879">
        <f t="shared" ref="M1239:M1240" si="58">SUM(Q1239:Q1239)</f>
        <v>1</v>
      </c>
      <c r="N1239" s="880">
        <f>IFERROR(M1239/M1241,"-")</f>
        <v>1</v>
      </c>
      <c r="O1239" s="881">
        <f>SUMIFS('Data Entry'!S:S,'Data Entry'!K:K,G1239)</f>
        <v>0</v>
      </c>
      <c r="P1239" s="274" t="s">
        <v>233</v>
      </c>
      <c r="Q1239" s="895">
        <v>1</v>
      </c>
      <c r="R1239" s="114"/>
      <c r="S1239" s="884"/>
      <c r="T1239" s="270"/>
      <c r="U1239" s="114"/>
      <c r="V1239" s="114"/>
      <c r="W1239" s="114"/>
      <c r="X1239" s="114"/>
      <c r="Y1239" s="114"/>
      <c r="Z1239" s="114"/>
      <c r="AA1239" s="114"/>
      <c r="AB1239" s="85"/>
      <c r="AC1239" s="85"/>
      <c r="AD1239" s="85"/>
      <c r="AE1239" s="85"/>
    </row>
    <row r="1240" spans="3:31" ht="15" thickBot="1" x14ac:dyDescent="0.35">
      <c r="C1240" s="501" t="s">
        <v>766</v>
      </c>
      <c r="D1240" s="116"/>
      <c r="E1240" s="116" t="s">
        <v>8</v>
      </c>
      <c r="F1240" s="116" t="s">
        <v>53</v>
      </c>
      <c r="G1240" s="450" t="str">
        <f t="shared" si="56"/>
        <v>Rental Car Center C-Other-Other 2</v>
      </c>
      <c r="H1240" s="116"/>
      <c r="I1240" s="889" t="s">
        <v>66</v>
      </c>
      <c r="J1240" s="890">
        <f>SUMIFS('Level of Efficiency Assumptions'!J:J,'Level of Efficiency Assumptions'!D:D,E1240,'Level of Efficiency Assumptions'!F:F,F1240,'Level of Efficiency Assumptions'!I:I,I1240)</f>
        <v>5</v>
      </c>
      <c r="K1240" s="383" t="s">
        <v>588</v>
      </c>
      <c r="L1240" s="257" t="s">
        <v>66</v>
      </c>
      <c r="M1240" s="879">
        <f t="shared" si="58"/>
        <v>0</v>
      </c>
      <c r="N1240" s="880">
        <f>IFERROR(M1240/M1241,"-")</f>
        <v>0</v>
      </c>
      <c r="O1240" s="881">
        <f>SUMIFS('Data Entry'!T:T,'Data Entry'!K:K,G1240)</f>
        <v>0</v>
      </c>
      <c r="P1240" s="269" t="s">
        <v>234</v>
      </c>
      <c r="Q1240" s="895">
        <v>0</v>
      </c>
      <c r="R1240" s="114"/>
      <c r="S1240" s="884"/>
      <c r="T1240" s="270"/>
      <c r="U1240" s="114"/>
      <c r="V1240" s="114"/>
      <c r="W1240" s="114"/>
      <c r="X1240" s="114"/>
      <c r="Y1240" s="114"/>
      <c r="Z1240" s="114"/>
      <c r="AA1240" s="114"/>
      <c r="AB1240" s="85"/>
      <c r="AC1240" s="85"/>
      <c r="AD1240" s="85"/>
      <c r="AE1240" s="85"/>
    </row>
    <row r="1241" spans="3:31" x14ac:dyDescent="0.3">
      <c r="C1241" s="450"/>
      <c r="D1241" s="182"/>
      <c r="E1241" s="182"/>
      <c r="F1241" s="182"/>
      <c r="G1241" s="450" t="str">
        <f t="shared" si="56"/>
        <v>--</v>
      </c>
      <c r="H1241" s="182"/>
      <c r="I1241" s="440"/>
      <c r="J1241" s="892"/>
      <c r="K1241" s="259"/>
      <c r="L1241" s="259" t="s">
        <v>46</v>
      </c>
      <c r="M1241" s="893">
        <f>SUM(M1238:M1240)</f>
        <v>1</v>
      </c>
      <c r="N1241" s="894"/>
      <c r="O1241" s="894">
        <f>SUM(O1238:O1240)</f>
        <v>0</v>
      </c>
      <c r="P1241" s="263" t="s">
        <v>46</v>
      </c>
      <c r="Q1241" s="897">
        <f>SUM(Q1238:Q1240)</f>
        <v>1</v>
      </c>
      <c r="R1241" s="899"/>
      <c r="S1241" s="900"/>
      <c r="T1241" s="270"/>
      <c r="U1241" s="114"/>
      <c r="V1241" s="114"/>
      <c r="W1241" s="114"/>
      <c r="X1241" s="114"/>
      <c r="Y1241" s="114"/>
      <c r="Z1241" s="114"/>
      <c r="AA1241" s="114"/>
      <c r="AB1241" s="85"/>
      <c r="AC1241" s="85"/>
      <c r="AD1241" s="85"/>
      <c r="AE1241" s="85"/>
    </row>
    <row r="1242" spans="3:31" x14ac:dyDescent="0.3">
      <c r="C1242" s="450"/>
      <c r="D1242" s="182"/>
      <c r="E1242" s="182"/>
      <c r="F1242" s="182"/>
      <c r="G1242" s="450" t="str">
        <f t="shared" si="56"/>
        <v>--</v>
      </c>
      <c r="H1242" s="182"/>
      <c r="I1242" s="892"/>
      <c r="J1242" s="288"/>
      <c r="K1242" s="182"/>
      <c r="L1242" s="182"/>
      <c r="M1242" s="270"/>
      <c r="N1242" s="892"/>
      <c r="O1242" s="892"/>
      <c r="P1242" s="270"/>
      <c r="Q1242" s="270"/>
      <c r="R1242" s="270"/>
      <c r="S1242" s="270"/>
      <c r="T1242" s="270"/>
      <c r="U1242" s="114"/>
      <c r="V1242" s="114"/>
      <c r="W1242" s="114"/>
      <c r="X1242" s="114"/>
      <c r="Y1242" s="114"/>
      <c r="Z1242" s="114"/>
      <c r="AA1242" s="114"/>
      <c r="AB1242" s="85"/>
      <c r="AC1242" s="85"/>
      <c r="AD1242" s="85"/>
      <c r="AE1242" s="85"/>
    </row>
    <row r="1243" spans="3:31" ht="15" thickBot="1" x14ac:dyDescent="0.35">
      <c r="C1243" s="450"/>
      <c r="D1243" s="182"/>
      <c r="E1243" s="182"/>
      <c r="F1243" s="182"/>
      <c r="G1243" s="450" t="str">
        <f t="shared" si="56"/>
        <v>--</v>
      </c>
      <c r="H1243" s="182"/>
      <c r="I1243" s="892"/>
      <c r="J1243" s="892"/>
      <c r="K1243" s="182"/>
      <c r="L1243" s="182"/>
      <c r="M1243" s="901" t="s">
        <v>155</v>
      </c>
      <c r="N1243" s="870" t="s">
        <v>188</v>
      </c>
      <c r="O1243" s="870"/>
      <c r="P1243" s="276" t="s">
        <v>54</v>
      </c>
      <c r="Q1243" s="871" t="s">
        <v>155</v>
      </c>
      <c r="R1243" s="902"/>
      <c r="S1243" s="874"/>
      <c r="T1243" s="270"/>
      <c r="U1243" s="114"/>
      <c r="V1243" s="114"/>
      <c r="W1243" s="114"/>
      <c r="X1243" s="114"/>
      <c r="Y1243" s="114"/>
      <c r="Z1243" s="114"/>
      <c r="AA1243" s="114"/>
      <c r="AB1243" s="85"/>
      <c r="AC1243" s="85"/>
      <c r="AD1243" s="85"/>
      <c r="AE1243" s="85"/>
    </row>
    <row r="1244" spans="3:31" ht="15" thickBot="1" x14ac:dyDescent="0.35">
      <c r="C1244" s="566" t="s">
        <v>766</v>
      </c>
      <c r="D1244" s="875" t="str">
        <f>VLOOKUP(C1244,'Airport Mapping'!$C$5:$D$39,2,FALSE)</f>
        <v xml:space="preserve"> </v>
      </c>
      <c r="E1244" s="567" t="s">
        <v>8</v>
      </c>
      <c r="F1244" s="567" t="s">
        <v>54</v>
      </c>
      <c r="G1244" s="450" t="str">
        <f t="shared" si="56"/>
        <v>Rental Car Center C-Other-Other 3</v>
      </c>
      <c r="H1244" s="567" t="s">
        <v>364</v>
      </c>
      <c r="I1244" s="877" t="s">
        <v>64</v>
      </c>
      <c r="J1244" s="878">
        <f>SUMIFS('Level of Efficiency Assumptions'!J:J,'Level of Efficiency Assumptions'!D:D,E1244,'Level of Efficiency Assumptions'!F:F,F1244,'Level of Efficiency Assumptions'!I:I,I1244)</f>
        <v>10</v>
      </c>
      <c r="K1244" s="383" t="s">
        <v>588</v>
      </c>
      <c r="L1244" s="253" t="s">
        <v>64</v>
      </c>
      <c r="M1244" s="879">
        <f>SUM(Q1244:Q1244)</f>
        <v>0</v>
      </c>
      <c r="N1244" s="880">
        <f>IFERROR(M1244/M1247,"-")</f>
        <v>0</v>
      </c>
      <c r="O1244" s="881">
        <f>SUMIFS('Data Entry'!R:R,'Data Entry'!K:K,G1244)</f>
        <v>0</v>
      </c>
      <c r="P1244" s="272" t="s">
        <v>129</v>
      </c>
      <c r="Q1244" s="895">
        <v>0</v>
      </c>
      <c r="R1244" s="114"/>
      <c r="S1244" s="884"/>
      <c r="T1244" s="270"/>
      <c r="U1244" s="114"/>
      <c r="V1244" s="114"/>
      <c r="W1244" s="114"/>
      <c r="X1244" s="114"/>
      <c r="Y1244" s="114"/>
      <c r="Z1244" s="114"/>
      <c r="AA1244" s="114"/>
      <c r="AB1244" s="85"/>
      <c r="AC1244" s="85"/>
      <c r="AD1244" s="85"/>
      <c r="AE1244" s="85"/>
    </row>
    <row r="1245" spans="3:31" s="45" customFormat="1" ht="15" thickBot="1" x14ac:dyDescent="0.35">
      <c r="C1245" s="494" t="s">
        <v>766</v>
      </c>
      <c r="D1245" s="577"/>
      <c r="E1245" s="577" t="s">
        <v>8</v>
      </c>
      <c r="F1245" s="577" t="s">
        <v>54</v>
      </c>
      <c r="G1245" s="450" t="str">
        <f t="shared" si="56"/>
        <v>Rental Car Center C-Other-Other 3</v>
      </c>
      <c r="H1245" s="577"/>
      <c r="I1245" s="887" t="s">
        <v>65</v>
      </c>
      <c r="J1245" s="878">
        <f>SUMIFS('Level of Efficiency Assumptions'!J:J,'Level of Efficiency Assumptions'!D:D,E1245,'Level of Efficiency Assumptions'!F:F,F1245,'Level of Efficiency Assumptions'!I:I,I1245)</f>
        <v>7.5</v>
      </c>
      <c r="K1245" s="383" t="s">
        <v>588</v>
      </c>
      <c r="L1245" s="255" t="s">
        <v>65</v>
      </c>
      <c r="M1245" s="879">
        <f t="shared" ref="M1245:M1246" si="59">SUM(Q1245:Q1245)</f>
        <v>1</v>
      </c>
      <c r="N1245" s="880">
        <f>IFERROR(M1245/M1247,"-")</f>
        <v>1</v>
      </c>
      <c r="O1245" s="881">
        <f>SUMIFS('Data Entry'!S:S,'Data Entry'!K:K,G1245)</f>
        <v>0</v>
      </c>
      <c r="P1245" s="274" t="s">
        <v>233</v>
      </c>
      <c r="Q1245" s="895">
        <v>1</v>
      </c>
      <c r="R1245" s="114"/>
      <c r="S1245" s="884"/>
      <c r="T1245" s="270"/>
      <c r="U1245" s="114"/>
      <c r="V1245" s="114"/>
      <c r="W1245" s="114"/>
      <c r="X1245" s="114"/>
      <c r="Y1245" s="114"/>
      <c r="Z1245" s="114"/>
      <c r="AA1245" s="114"/>
      <c r="AB1245" s="85"/>
      <c r="AC1245" s="85"/>
      <c r="AD1245" s="85"/>
      <c r="AE1245" s="85"/>
    </row>
    <row r="1246" spans="3:31" s="45" customFormat="1" ht="15" thickBot="1" x14ac:dyDescent="0.35">
      <c r="C1246" s="501" t="s">
        <v>766</v>
      </c>
      <c r="D1246" s="116"/>
      <c r="E1246" s="116" t="s">
        <v>8</v>
      </c>
      <c r="F1246" s="116" t="s">
        <v>54</v>
      </c>
      <c r="G1246" s="450" t="str">
        <f t="shared" si="56"/>
        <v>Rental Car Center C-Other-Other 3</v>
      </c>
      <c r="H1246" s="116"/>
      <c r="I1246" s="889" t="s">
        <v>66</v>
      </c>
      <c r="J1246" s="890">
        <f>SUMIFS('Level of Efficiency Assumptions'!J:J,'Level of Efficiency Assumptions'!D:D,E1246,'Level of Efficiency Assumptions'!F:F,F1246,'Level of Efficiency Assumptions'!I:I,I1246)</f>
        <v>5</v>
      </c>
      <c r="K1246" s="383" t="s">
        <v>588</v>
      </c>
      <c r="L1246" s="257" t="s">
        <v>66</v>
      </c>
      <c r="M1246" s="879">
        <f t="shared" si="59"/>
        <v>0</v>
      </c>
      <c r="N1246" s="880">
        <f>IFERROR(M1246/M1247,"-")</f>
        <v>0</v>
      </c>
      <c r="O1246" s="881">
        <f>SUMIFS('Data Entry'!T:T,'Data Entry'!K:K,G1246)</f>
        <v>0</v>
      </c>
      <c r="P1246" s="269" t="s">
        <v>234</v>
      </c>
      <c r="Q1246" s="895">
        <v>0</v>
      </c>
      <c r="R1246" s="114"/>
      <c r="S1246" s="884"/>
      <c r="T1246" s="270"/>
      <c r="U1246" s="114"/>
      <c r="V1246" s="114"/>
      <c r="W1246" s="114"/>
      <c r="X1246" s="114"/>
      <c r="Y1246" s="114"/>
      <c r="Z1246" s="114"/>
      <c r="AA1246" s="114"/>
      <c r="AB1246" s="85"/>
      <c r="AC1246" s="85"/>
      <c r="AD1246" s="85"/>
      <c r="AE1246" s="85"/>
    </row>
    <row r="1247" spans="3:31" s="45" customFormat="1" x14ac:dyDescent="0.3">
      <c r="C1247" s="450"/>
      <c r="D1247" s="182"/>
      <c r="E1247" s="182"/>
      <c r="F1247" s="182"/>
      <c r="G1247" s="450" t="str">
        <f t="shared" si="56"/>
        <v>--</v>
      </c>
      <c r="H1247" s="182"/>
      <c r="I1247" s="440"/>
      <c r="J1247" s="892"/>
      <c r="K1247" s="259"/>
      <c r="L1247" s="259" t="s">
        <v>46</v>
      </c>
      <c r="M1247" s="893">
        <f>SUM(M1244:M1246)</f>
        <v>1</v>
      </c>
      <c r="N1247" s="894"/>
      <c r="O1247" s="894">
        <f>SUM(O1244:O1246)</f>
        <v>0</v>
      </c>
      <c r="P1247" s="263" t="s">
        <v>46</v>
      </c>
      <c r="Q1247" s="897">
        <f>SUM(Q1244:Q1246)</f>
        <v>1</v>
      </c>
      <c r="R1247" s="899"/>
      <c r="S1247" s="900"/>
      <c r="T1247" s="270"/>
      <c r="U1247" s="114"/>
      <c r="V1247" s="114"/>
      <c r="W1247" s="114"/>
      <c r="X1247" s="114"/>
      <c r="Y1247" s="114"/>
      <c r="Z1247" s="114"/>
      <c r="AA1247" s="114"/>
      <c r="AB1247" s="85"/>
      <c r="AC1247" s="85"/>
      <c r="AD1247" s="85"/>
      <c r="AE1247" s="85"/>
    </row>
    <row r="1248" spans="3:31" s="45" customFormat="1" ht="15" thickBot="1" x14ac:dyDescent="0.35">
      <c r="C1248" s="451"/>
      <c r="D1248" s="184"/>
      <c r="E1248" s="184"/>
      <c r="F1248" s="184"/>
      <c r="G1248" s="450" t="str">
        <f t="shared" si="56"/>
        <v>--</v>
      </c>
      <c r="H1248" s="184"/>
      <c r="I1248" s="281"/>
      <c r="J1248" s="281"/>
      <c r="K1248" s="184"/>
      <c r="L1248" s="918"/>
      <c r="M1248" s="278"/>
      <c r="N1248" s="919"/>
      <c r="O1248" s="919"/>
      <c r="P1248" s="279"/>
      <c r="Q1248" s="278"/>
      <c r="R1248" s="278"/>
      <c r="S1248" s="278"/>
      <c r="T1248" s="278"/>
      <c r="U1248" s="920"/>
      <c r="V1248" s="278"/>
      <c r="W1248" s="278"/>
      <c r="X1248" s="278"/>
      <c r="Y1248" s="114"/>
      <c r="Z1248" s="114"/>
      <c r="AA1248" s="114"/>
      <c r="AB1248" s="85"/>
      <c r="AC1248" s="85"/>
      <c r="AD1248" s="85"/>
      <c r="AE1248" s="85"/>
    </row>
    <row r="1249" spans="3:31" s="45" customFormat="1" x14ac:dyDescent="0.3">
      <c r="C1249" s="450"/>
      <c r="D1249" s="182"/>
      <c r="E1249" s="182"/>
      <c r="F1249" s="182"/>
      <c r="G1249" s="450"/>
      <c r="H1249" s="182"/>
      <c r="I1249" s="892"/>
      <c r="J1249" s="892"/>
      <c r="K1249" s="182"/>
      <c r="L1249" s="921"/>
      <c r="M1249" s="114"/>
      <c r="N1249" s="922"/>
      <c r="O1249" s="922"/>
      <c r="P1249" s="280"/>
      <c r="Q1249" s="114"/>
      <c r="R1249" s="114"/>
      <c r="S1249" s="114"/>
      <c r="T1249" s="114"/>
      <c r="U1249" s="870"/>
      <c r="V1249" s="114"/>
      <c r="W1249" s="114"/>
      <c r="X1249" s="114"/>
      <c r="Y1249" s="114"/>
      <c r="Z1249" s="114"/>
      <c r="AA1249" s="114"/>
      <c r="AB1249" s="85"/>
      <c r="AC1249" s="85"/>
      <c r="AD1249" s="85"/>
      <c r="AE1249" s="85"/>
    </row>
    <row r="1250" spans="3:31" ht="15" thickBot="1" x14ac:dyDescent="0.35">
      <c r="C1250" s="450"/>
      <c r="D1250" s="182"/>
      <c r="E1250" s="182"/>
      <c r="F1250" s="182"/>
      <c r="G1250" s="450" t="str">
        <f t="shared" si="44"/>
        <v>--</v>
      </c>
      <c r="H1250" s="182"/>
      <c r="I1250" s="892"/>
      <c r="J1250" s="892"/>
      <c r="K1250" s="182"/>
      <c r="L1250" s="182"/>
      <c r="M1250" s="901" t="s">
        <v>155</v>
      </c>
      <c r="N1250" s="870" t="s">
        <v>188</v>
      </c>
      <c r="O1250" s="870"/>
      <c r="P1250" s="252" t="s">
        <v>158</v>
      </c>
      <c r="Q1250" s="871" t="s">
        <v>155</v>
      </c>
      <c r="R1250" s="872" t="s">
        <v>168</v>
      </c>
      <c r="S1250" s="872" t="s">
        <v>169</v>
      </c>
      <c r="T1250" s="873"/>
      <c r="U1250" s="874"/>
      <c r="V1250" s="270"/>
      <c r="W1250" s="270"/>
      <c r="X1250" s="270"/>
      <c r="Y1250" s="114"/>
      <c r="Z1250" s="270"/>
      <c r="AA1250" s="114"/>
      <c r="AB1250" s="85"/>
      <c r="AC1250" s="85"/>
      <c r="AD1250" s="85"/>
      <c r="AE1250" s="85"/>
    </row>
    <row r="1251" spans="3:31" ht="15" thickBot="1" x14ac:dyDescent="0.35">
      <c r="C1251" s="566" t="s">
        <v>767</v>
      </c>
      <c r="D1251" s="875" t="str">
        <f>VLOOKUP(C1251,'Airport Mapping'!$C$5:$D$39,2,FALSE)</f>
        <v xml:space="preserve"> </v>
      </c>
      <c r="E1251" s="567" t="s">
        <v>37</v>
      </c>
      <c r="F1251" s="567" t="s">
        <v>2</v>
      </c>
      <c r="G1251" s="450" t="str">
        <f t="shared" si="44"/>
        <v>Rental Car Center D-Restrooms-Toilets</v>
      </c>
      <c r="H1251" s="567" t="s">
        <v>3</v>
      </c>
      <c r="I1251" s="877" t="s">
        <v>64</v>
      </c>
      <c r="J1251" s="878">
        <f>SUMIFS('Level of Efficiency Assumptions'!J:J,'Level of Efficiency Assumptions'!D:D,E1251,'Level of Efficiency Assumptions'!F:F,F1251,'Level of Efficiency Assumptions'!I:I,I1251)</f>
        <v>3.5</v>
      </c>
      <c r="K1251" s="383" t="s">
        <v>68</v>
      </c>
      <c r="L1251" s="253" t="s">
        <v>64</v>
      </c>
      <c r="M1251" s="879">
        <f>Q1251+Q1257</f>
        <v>0</v>
      </c>
      <c r="N1251" s="880">
        <f>IFERROR(M1251/M1254,"-")</f>
        <v>0</v>
      </c>
      <c r="O1251" s="881">
        <f>SUMIFS('Data Entry'!R:R,'Data Entry'!K:K,G1251)</f>
        <v>0</v>
      </c>
      <c r="P1251" s="254" t="s">
        <v>159</v>
      </c>
      <c r="Q1251" s="882">
        <v>0</v>
      </c>
      <c r="R1251" s="883"/>
      <c r="S1251" s="883"/>
      <c r="T1251" s="114" t="s">
        <v>182</v>
      </c>
      <c r="U1251" s="884"/>
      <c r="V1251" s="270"/>
      <c r="W1251" s="270"/>
      <c r="X1251" s="270"/>
      <c r="Y1251" s="114"/>
      <c r="Z1251" s="270"/>
      <c r="AA1251" s="114"/>
      <c r="AB1251" s="85"/>
      <c r="AC1251" s="85"/>
      <c r="AD1251" s="85"/>
      <c r="AE1251" s="85"/>
    </row>
    <row r="1252" spans="3:31" ht="15" thickBot="1" x14ac:dyDescent="0.35">
      <c r="C1252" s="494" t="s">
        <v>767</v>
      </c>
      <c r="D1252" s="577"/>
      <c r="E1252" s="577" t="s">
        <v>37</v>
      </c>
      <c r="F1252" s="577" t="s">
        <v>2</v>
      </c>
      <c r="G1252" s="450" t="str">
        <f t="shared" si="44"/>
        <v>Rental Car Center D-Restrooms-Toilets</v>
      </c>
      <c r="H1252" s="577"/>
      <c r="I1252" s="887" t="s">
        <v>65</v>
      </c>
      <c r="J1252" s="878">
        <f>SUMIFS('Level of Efficiency Assumptions'!J:J,'Level of Efficiency Assumptions'!D:D,E1252,'Level of Efficiency Assumptions'!F:F,F1252,'Level of Efficiency Assumptions'!I:I,I1252)</f>
        <v>1.6</v>
      </c>
      <c r="K1252" s="383" t="s">
        <v>68</v>
      </c>
      <c r="L1252" s="255" t="s">
        <v>65</v>
      </c>
      <c r="M1252" s="879">
        <f>Q1252+Q1255+Q1258</f>
        <v>1</v>
      </c>
      <c r="N1252" s="880">
        <f>IFERROR(M1252/M1254,"-")</f>
        <v>1</v>
      </c>
      <c r="O1252" s="881">
        <f>SUMIFS('Data Entry'!S:S,'Data Entry'!K:K,G1252)</f>
        <v>0</v>
      </c>
      <c r="P1252" s="256" t="s">
        <v>161</v>
      </c>
      <c r="Q1252" s="882">
        <v>1</v>
      </c>
      <c r="R1252" s="883"/>
      <c r="S1252" s="883"/>
      <c r="T1252" s="114" t="s">
        <v>184</v>
      </c>
      <c r="U1252" s="884"/>
      <c r="V1252" s="270"/>
      <c r="W1252" s="270"/>
      <c r="X1252" s="270"/>
      <c r="Y1252" s="114"/>
      <c r="Z1252" s="270"/>
      <c r="AA1252" s="114"/>
      <c r="AB1252" s="85"/>
      <c r="AC1252" s="85"/>
      <c r="AD1252" s="85"/>
      <c r="AE1252" s="85"/>
    </row>
    <row r="1253" spans="3:31" ht="15" thickBot="1" x14ac:dyDescent="0.35">
      <c r="C1253" s="501" t="s">
        <v>767</v>
      </c>
      <c r="D1253" s="116"/>
      <c r="E1253" s="116" t="s">
        <v>37</v>
      </c>
      <c r="F1253" s="116" t="s">
        <v>2</v>
      </c>
      <c r="G1253" s="450" t="str">
        <f t="shared" si="44"/>
        <v>Rental Car Center D-Restrooms-Toilets</v>
      </c>
      <c r="H1253" s="116"/>
      <c r="I1253" s="889" t="s">
        <v>66</v>
      </c>
      <c r="J1253" s="890">
        <f>SUMIFS('Level of Efficiency Assumptions'!J:J,'Level of Efficiency Assumptions'!D:D,E1253,'Level of Efficiency Assumptions'!F:F,F1253,'Level of Efficiency Assumptions'!I:I,I1253)</f>
        <v>1.28</v>
      </c>
      <c r="K1253" s="383" t="s">
        <v>68</v>
      </c>
      <c r="L1253" s="257" t="s">
        <v>66</v>
      </c>
      <c r="M1253" s="879">
        <f>Q1253+Q1254+Q1256+Q1259+Q1260</f>
        <v>0</v>
      </c>
      <c r="N1253" s="880">
        <f>IFERROR(M1253/M1254,"-")</f>
        <v>0</v>
      </c>
      <c r="O1253" s="881">
        <f>SUMIFS('Data Entry'!T:T,'Data Entry'!K:K,G1253)</f>
        <v>0</v>
      </c>
      <c r="P1253" s="258" t="s">
        <v>163</v>
      </c>
      <c r="Q1253" s="882">
        <v>0</v>
      </c>
      <c r="R1253" s="883"/>
      <c r="S1253" s="883"/>
      <c r="T1253" s="891"/>
      <c r="U1253" s="884"/>
      <c r="V1253" s="270"/>
      <c r="W1253" s="270"/>
      <c r="X1253" s="270"/>
      <c r="Y1253" s="114"/>
      <c r="Z1253" s="270"/>
      <c r="AA1253" s="114"/>
      <c r="AB1253" s="85"/>
      <c r="AC1253" s="85"/>
      <c r="AD1253" s="85"/>
      <c r="AE1253" s="85"/>
    </row>
    <row r="1254" spans="3:31" x14ac:dyDescent="0.3">
      <c r="C1254" s="450"/>
      <c r="D1254" s="182"/>
      <c r="E1254" s="182"/>
      <c r="F1254" s="182"/>
      <c r="G1254" s="450" t="str">
        <f t="shared" si="44"/>
        <v>--</v>
      </c>
      <c r="H1254" s="182"/>
      <c r="I1254" s="440"/>
      <c r="J1254" s="892"/>
      <c r="K1254" s="259"/>
      <c r="L1254" s="259" t="s">
        <v>46</v>
      </c>
      <c r="M1254" s="893">
        <f>SUM(M1251:M1253)</f>
        <v>1</v>
      </c>
      <c r="N1254" s="894"/>
      <c r="O1254" s="894">
        <f>SUM(O1251:O1253)</f>
        <v>0</v>
      </c>
      <c r="P1254" s="258" t="s">
        <v>165</v>
      </c>
      <c r="Q1254" s="882">
        <v>0</v>
      </c>
      <c r="R1254" s="883"/>
      <c r="S1254" s="883"/>
      <c r="T1254" s="891"/>
      <c r="U1254" s="884"/>
      <c r="V1254" s="270"/>
      <c r="W1254" s="270"/>
      <c r="X1254" s="270"/>
      <c r="Y1254" s="114"/>
      <c r="Z1254" s="270"/>
      <c r="AA1254" s="114"/>
      <c r="AB1254" s="85"/>
      <c r="AC1254" s="85"/>
      <c r="AD1254" s="85"/>
      <c r="AE1254" s="85"/>
    </row>
    <row r="1255" spans="3:31" ht="15" thickBot="1" x14ac:dyDescent="0.35">
      <c r="C1255" s="450"/>
      <c r="D1255" s="182"/>
      <c r="E1255" s="182"/>
      <c r="F1255" s="182"/>
      <c r="G1255" s="450" t="str">
        <f t="shared" si="44"/>
        <v>--</v>
      </c>
      <c r="H1255" s="182"/>
      <c r="I1255" s="892"/>
      <c r="J1255" s="288"/>
      <c r="K1255" s="182"/>
      <c r="L1255" s="181"/>
      <c r="M1255" s="181"/>
      <c r="N1255" s="892"/>
      <c r="O1255" s="892"/>
      <c r="P1255" s="256" t="s">
        <v>166</v>
      </c>
      <c r="Q1255" s="895">
        <v>0</v>
      </c>
      <c r="R1255" s="883"/>
      <c r="S1255" s="883"/>
      <c r="T1255" s="891"/>
      <c r="U1255" s="896"/>
      <c r="V1255" s="891"/>
      <c r="W1255" s="270"/>
      <c r="X1255" s="270"/>
      <c r="Y1255" s="114"/>
      <c r="Z1255" s="270"/>
      <c r="AA1255" s="114"/>
      <c r="AB1255" s="85"/>
      <c r="AC1255" s="85"/>
      <c r="AD1255" s="85"/>
      <c r="AE1255" s="85"/>
    </row>
    <row r="1256" spans="3:31" x14ac:dyDescent="0.3">
      <c r="C1256" s="450"/>
      <c r="D1256" s="182"/>
      <c r="E1256" s="182"/>
      <c r="F1256" s="182"/>
      <c r="G1256" s="450" t="str">
        <f t="shared" si="44"/>
        <v>--</v>
      </c>
      <c r="H1256" s="182"/>
      <c r="I1256" s="892"/>
      <c r="J1256" s="288"/>
      <c r="K1256" s="182"/>
      <c r="L1256" s="1384" t="s">
        <v>377</v>
      </c>
      <c r="M1256" s="1385"/>
      <c r="N1256" s="1385"/>
      <c r="O1256" s="1386"/>
      <c r="P1256" s="258" t="s">
        <v>167</v>
      </c>
      <c r="Q1256" s="895">
        <v>0</v>
      </c>
      <c r="R1256" s="883"/>
      <c r="S1256" s="883"/>
      <c r="T1256" s="891"/>
      <c r="U1256" s="896"/>
      <c r="V1256" s="891"/>
      <c r="W1256" s="270"/>
      <c r="X1256" s="270"/>
      <c r="Y1256" s="270"/>
      <c r="Z1256" s="270"/>
      <c r="AA1256" s="114"/>
      <c r="AB1256" s="85"/>
      <c r="AC1256" s="85"/>
      <c r="AD1256" s="85"/>
      <c r="AE1256" s="85"/>
    </row>
    <row r="1257" spans="3:31" x14ac:dyDescent="0.3">
      <c r="C1257" s="450"/>
      <c r="D1257" s="182"/>
      <c r="E1257" s="182"/>
      <c r="F1257" s="182"/>
      <c r="G1257" s="450" t="str">
        <f t="shared" si="44"/>
        <v>--</v>
      </c>
      <c r="H1257" s="182"/>
      <c r="I1257" s="892"/>
      <c r="J1257" s="288"/>
      <c r="K1257" s="182"/>
      <c r="L1257" s="1387"/>
      <c r="M1257" s="1388"/>
      <c r="N1257" s="1388"/>
      <c r="O1257" s="1389"/>
      <c r="P1257" s="254" t="s">
        <v>160</v>
      </c>
      <c r="Q1257" s="895">
        <v>0</v>
      </c>
      <c r="R1257" s="891"/>
      <c r="S1257" s="891"/>
      <c r="T1257" s="891"/>
      <c r="U1257" s="896"/>
      <c r="V1257" s="891"/>
      <c r="W1257" s="270"/>
      <c r="X1257" s="270"/>
      <c r="Y1257" s="270"/>
      <c r="Z1257" s="270"/>
      <c r="AA1257" s="114"/>
      <c r="AB1257" s="85"/>
      <c r="AC1257" s="85"/>
      <c r="AD1257" s="85"/>
      <c r="AE1257" s="85"/>
    </row>
    <row r="1258" spans="3:31" x14ac:dyDescent="0.3">
      <c r="C1258" s="450"/>
      <c r="D1258" s="182"/>
      <c r="E1258" s="182"/>
      <c r="F1258" s="182"/>
      <c r="G1258" s="450" t="str">
        <f t="shared" si="44"/>
        <v>--</v>
      </c>
      <c r="H1258" s="182"/>
      <c r="I1258" s="892"/>
      <c r="J1258" s="288"/>
      <c r="K1258" s="182"/>
      <c r="L1258" s="1387"/>
      <c r="M1258" s="1388"/>
      <c r="N1258" s="1388"/>
      <c r="O1258" s="1389"/>
      <c r="P1258" s="256" t="s">
        <v>162</v>
      </c>
      <c r="Q1258" s="895">
        <v>0</v>
      </c>
      <c r="R1258" s="891"/>
      <c r="S1258" s="891"/>
      <c r="T1258" s="891"/>
      <c r="U1258" s="896"/>
      <c r="V1258" s="891"/>
      <c r="W1258" s="270"/>
      <c r="X1258" s="270"/>
      <c r="Y1258" s="270"/>
      <c r="Z1258" s="270"/>
      <c r="AA1258" s="114"/>
      <c r="AB1258" s="85"/>
      <c r="AC1258" s="85"/>
      <c r="AD1258" s="85"/>
      <c r="AE1258" s="85"/>
    </row>
    <row r="1259" spans="3:31" ht="15" thickBot="1" x14ac:dyDescent="0.35">
      <c r="C1259" s="450"/>
      <c r="D1259" s="182"/>
      <c r="E1259" s="182"/>
      <c r="F1259" s="182"/>
      <c r="G1259" s="450" t="str">
        <f t="shared" si="44"/>
        <v>--</v>
      </c>
      <c r="H1259" s="182"/>
      <c r="I1259" s="892"/>
      <c r="J1259" s="288"/>
      <c r="K1259" s="182"/>
      <c r="L1259" s="1390"/>
      <c r="M1259" s="1391"/>
      <c r="N1259" s="1391"/>
      <c r="O1259" s="1392"/>
      <c r="P1259" s="258" t="s">
        <v>164</v>
      </c>
      <c r="Q1259" s="895">
        <v>0</v>
      </c>
      <c r="R1259" s="114"/>
      <c r="S1259" s="891"/>
      <c r="T1259" s="114"/>
      <c r="U1259" s="884"/>
      <c r="V1259" s="114"/>
      <c r="W1259" s="270"/>
      <c r="X1259" s="270"/>
      <c r="Y1259" s="270"/>
      <c r="Z1259" s="270"/>
      <c r="AA1259" s="114"/>
      <c r="AB1259" s="85"/>
      <c r="AC1259" s="85"/>
      <c r="AD1259" s="85"/>
      <c r="AE1259" s="85"/>
    </row>
    <row r="1260" spans="3:31" x14ac:dyDescent="0.3">
      <c r="C1260" s="450"/>
      <c r="D1260" s="182"/>
      <c r="E1260" s="182"/>
      <c r="F1260" s="182"/>
      <c r="G1260" s="450" t="str">
        <f t="shared" si="44"/>
        <v>--</v>
      </c>
      <c r="H1260" s="182"/>
      <c r="I1260" s="892"/>
      <c r="J1260" s="288"/>
      <c r="K1260" s="182"/>
      <c r="L1260" s="181"/>
      <c r="M1260" s="181"/>
      <c r="N1260" s="892"/>
      <c r="O1260" s="892"/>
      <c r="P1260" s="258" t="s">
        <v>187</v>
      </c>
      <c r="Q1260" s="895">
        <v>0</v>
      </c>
      <c r="R1260" s="114"/>
      <c r="S1260" s="891"/>
      <c r="T1260" s="114"/>
      <c r="U1260" s="884"/>
      <c r="V1260" s="114"/>
      <c r="W1260" s="270"/>
      <c r="X1260" s="270"/>
      <c r="Y1260" s="270"/>
      <c r="Z1260" s="270"/>
      <c r="AA1260" s="114"/>
      <c r="AB1260" s="85"/>
      <c r="AC1260" s="85"/>
      <c r="AD1260" s="85"/>
      <c r="AE1260" s="85"/>
    </row>
    <row r="1261" spans="3:31" x14ac:dyDescent="0.3">
      <c r="C1261" s="450"/>
      <c r="D1261" s="182"/>
      <c r="E1261" s="182"/>
      <c r="F1261" s="182"/>
      <c r="G1261" s="450" t="str">
        <f t="shared" si="44"/>
        <v>--</v>
      </c>
      <c r="H1261" s="182"/>
      <c r="I1261" s="892"/>
      <c r="J1261" s="288"/>
      <c r="K1261" s="182"/>
      <c r="L1261" s="181"/>
      <c r="M1261" s="181"/>
      <c r="N1261" s="892"/>
      <c r="O1261" s="892"/>
      <c r="P1261" s="263" t="s">
        <v>46</v>
      </c>
      <c r="Q1261" s="897">
        <f>SUM(Q1251:Q1260)</f>
        <v>1</v>
      </c>
      <c r="R1261" s="898"/>
      <c r="S1261" s="898"/>
      <c r="T1261" s="899"/>
      <c r="U1261" s="900"/>
      <c r="V1261" s="114"/>
      <c r="W1261" s="270"/>
      <c r="X1261" s="270"/>
      <c r="Y1261" s="270"/>
      <c r="Z1261" s="270"/>
      <c r="AA1261" s="114"/>
      <c r="AB1261" s="85"/>
      <c r="AC1261" s="85"/>
      <c r="AD1261" s="85"/>
      <c r="AE1261" s="85"/>
    </row>
    <row r="1262" spans="3:31" x14ac:dyDescent="0.3">
      <c r="C1262" s="450"/>
      <c r="D1262" s="182"/>
      <c r="E1262" s="182"/>
      <c r="F1262" s="182"/>
      <c r="G1262" s="450" t="str">
        <f t="shared" si="44"/>
        <v>--</v>
      </c>
      <c r="H1262" s="182"/>
      <c r="I1262" s="892"/>
      <c r="J1262" s="288"/>
      <c r="K1262" s="182"/>
      <c r="L1262" s="181"/>
      <c r="M1262" s="181"/>
      <c r="N1262" s="892"/>
      <c r="O1262" s="892"/>
      <c r="P1262" s="114"/>
      <c r="Q1262" s="114"/>
      <c r="R1262" s="891"/>
      <c r="S1262" s="891"/>
      <c r="T1262" s="114"/>
      <c r="U1262" s="114"/>
      <c r="V1262" s="114"/>
      <c r="W1262" s="270"/>
      <c r="X1262" s="270"/>
      <c r="Y1262" s="270"/>
      <c r="Z1262" s="270"/>
      <c r="AA1262" s="114"/>
      <c r="AB1262" s="85"/>
      <c r="AC1262" s="85"/>
      <c r="AD1262" s="85"/>
      <c r="AE1262" s="85"/>
    </row>
    <row r="1263" spans="3:31" ht="15" thickBot="1" x14ac:dyDescent="0.35">
      <c r="C1263" s="450"/>
      <c r="D1263" s="182"/>
      <c r="E1263" s="182"/>
      <c r="F1263" s="182"/>
      <c r="G1263" s="450" t="str">
        <f t="shared" si="44"/>
        <v>--</v>
      </c>
      <c r="H1263" s="182"/>
      <c r="I1263" s="892"/>
      <c r="J1263" s="892"/>
      <c r="K1263" s="182"/>
      <c r="L1263" s="182"/>
      <c r="M1263" s="901" t="s">
        <v>155</v>
      </c>
      <c r="N1263" s="870" t="s">
        <v>188</v>
      </c>
      <c r="O1263" s="870"/>
      <c r="P1263" s="252" t="s">
        <v>175</v>
      </c>
      <c r="Q1263" s="871" t="s">
        <v>155</v>
      </c>
      <c r="R1263" s="872" t="s">
        <v>168</v>
      </c>
      <c r="S1263" s="872" t="s">
        <v>169</v>
      </c>
      <c r="T1263" s="902"/>
      <c r="U1263" s="903"/>
      <c r="V1263" s="270"/>
      <c r="W1263" s="270"/>
      <c r="X1263" s="270"/>
      <c r="Y1263" s="270"/>
      <c r="Z1263" s="270"/>
      <c r="AA1263" s="114"/>
      <c r="AB1263" s="85"/>
      <c r="AC1263" s="85"/>
      <c r="AD1263" s="85"/>
      <c r="AE1263" s="85"/>
    </row>
    <row r="1264" spans="3:31" ht="15" thickBot="1" x14ac:dyDescent="0.35">
      <c r="C1264" s="566" t="s">
        <v>767</v>
      </c>
      <c r="D1264" s="875" t="str">
        <f>VLOOKUP(C1264,'Airport Mapping'!$C$5:$D$39,2,FALSE)</f>
        <v xml:space="preserve"> </v>
      </c>
      <c r="E1264" s="567" t="s">
        <v>37</v>
      </c>
      <c r="F1264" s="567" t="s">
        <v>4</v>
      </c>
      <c r="G1264" s="450" t="str">
        <f t="shared" si="44"/>
        <v>Rental Car Center D-Restrooms-Urinals</v>
      </c>
      <c r="H1264" s="567" t="s">
        <v>3</v>
      </c>
      <c r="I1264" s="877" t="s">
        <v>64</v>
      </c>
      <c r="J1264" s="878">
        <f>SUMIFS('Level of Efficiency Assumptions'!J:J,'Level of Efficiency Assumptions'!D:D,E1264,'Level of Efficiency Assumptions'!F:F,F1264,'Level of Efficiency Assumptions'!I:I,I1264)</f>
        <v>2</v>
      </c>
      <c r="K1264" s="383" t="s">
        <v>68</v>
      </c>
      <c r="L1264" s="253" t="s">
        <v>64</v>
      </c>
      <c r="M1264" s="879">
        <f>Q1264+Q1265</f>
        <v>0</v>
      </c>
      <c r="N1264" s="880">
        <f>IFERROR(M1264/M1267,"-")</f>
        <v>0</v>
      </c>
      <c r="O1264" s="881">
        <f>SUMIFS('Data Entry'!R:R,'Data Entry'!K:K,G1264)</f>
        <v>0</v>
      </c>
      <c r="P1264" s="254" t="s">
        <v>177</v>
      </c>
      <c r="Q1264" s="882">
        <v>0</v>
      </c>
      <c r="R1264" s="883"/>
      <c r="S1264" s="883"/>
      <c r="T1264" s="114"/>
      <c r="U1264" s="904"/>
      <c r="V1264" s="270"/>
      <c r="W1264" s="270"/>
      <c r="X1264" s="270"/>
      <c r="Y1264" s="270"/>
      <c r="Z1264" s="270"/>
      <c r="AA1264" s="114"/>
      <c r="AB1264" s="85"/>
      <c r="AC1264" s="85"/>
      <c r="AD1264" s="85"/>
      <c r="AE1264" s="85"/>
    </row>
    <row r="1265" spans="3:31" ht="15" thickBot="1" x14ac:dyDescent="0.35">
      <c r="C1265" s="494" t="s">
        <v>767</v>
      </c>
      <c r="D1265" s="577"/>
      <c r="E1265" s="577" t="s">
        <v>37</v>
      </c>
      <c r="F1265" s="577" t="s">
        <v>4</v>
      </c>
      <c r="G1265" s="450" t="str">
        <f t="shared" si="44"/>
        <v>Rental Car Center D-Restrooms-Urinals</v>
      </c>
      <c r="H1265" s="577"/>
      <c r="I1265" s="887" t="s">
        <v>65</v>
      </c>
      <c r="J1265" s="878">
        <f>SUMIFS('Level of Efficiency Assumptions'!J:J,'Level of Efficiency Assumptions'!D:D,E1265,'Level of Efficiency Assumptions'!F:F,F1265,'Level of Efficiency Assumptions'!I:I,I1265)</f>
        <v>1</v>
      </c>
      <c r="K1265" s="383" t="s">
        <v>68</v>
      </c>
      <c r="L1265" s="255" t="s">
        <v>65</v>
      </c>
      <c r="M1265" s="879">
        <f>Q1266+Q1267</f>
        <v>1</v>
      </c>
      <c r="N1265" s="880">
        <f>IFERROR(M1265/M1267,"-")</f>
        <v>1</v>
      </c>
      <c r="O1265" s="881">
        <f>SUMIFS('Data Entry'!S:S,'Data Entry'!K:K,G1265)</f>
        <v>0</v>
      </c>
      <c r="P1265" s="254" t="s">
        <v>179</v>
      </c>
      <c r="Q1265" s="882">
        <v>0</v>
      </c>
      <c r="R1265" s="883"/>
      <c r="S1265" s="883"/>
      <c r="T1265" s="114"/>
      <c r="U1265" s="904"/>
      <c r="V1265" s="270"/>
      <c r="W1265" s="270"/>
      <c r="X1265" s="270"/>
      <c r="Y1265" s="270"/>
      <c r="Z1265" s="270"/>
      <c r="AA1265" s="114"/>
      <c r="AB1265" s="85"/>
      <c r="AC1265" s="85"/>
      <c r="AD1265" s="85"/>
      <c r="AE1265" s="85"/>
    </row>
    <row r="1266" spans="3:31" ht="15" thickBot="1" x14ac:dyDescent="0.35">
      <c r="C1266" s="501" t="s">
        <v>767</v>
      </c>
      <c r="D1266" s="116"/>
      <c r="E1266" s="116" t="s">
        <v>37</v>
      </c>
      <c r="F1266" s="116" t="s">
        <v>4</v>
      </c>
      <c r="G1266" s="450" t="str">
        <f t="shared" si="44"/>
        <v>Rental Car Center D-Restrooms-Urinals</v>
      </c>
      <c r="H1266" s="116"/>
      <c r="I1266" s="889" t="s">
        <v>66</v>
      </c>
      <c r="J1266" s="890">
        <f>SUMIFS('Level of Efficiency Assumptions'!J:J,'Level of Efficiency Assumptions'!D:D,E1266,'Level of Efficiency Assumptions'!F:F,F1266,'Level of Efficiency Assumptions'!I:I,I1266)</f>
        <v>0.125</v>
      </c>
      <c r="K1266" s="383" t="s">
        <v>68</v>
      </c>
      <c r="L1266" s="257" t="s">
        <v>66</v>
      </c>
      <c r="M1266" s="879">
        <f>Q1268+Q1269</f>
        <v>0</v>
      </c>
      <c r="N1266" s="880">
        <f>IFERROR(M1266/M1267,"-")</f>
        <v>0</v>
      </c>
      <c r="O1266" s="881">
        <f>SUMIFS('Data Entry'!T:T,'Data Entry'!K:K,G1266)</f>
        <v>0</v>
      </c>
      <c r="P1266" s="256" t="s">
        <v>189</v>
      </c>
      <c r="Q1266" s="882">
        <v>0</v>
      </c>
      <c r="R1266" s="883"/>
      <c r="S1266" s="883"/>
      <c r="T1266" s="114"/>
      <c r="U1266" s="904"/>
      <c r="V1266" s="270"/>
      <c r="W1266" s="270"/>
      <c r="X1266" s="270"/>
      <c r="Y1266" s="270"/>
      <c r="Z1266" s="270"/>
      <c r="AA1266" s="114"/>
      <c r="AB1266" s="85"/>
      <c r="AC1266" s="85"/>
      <c r="AD1266" s="85"/>
      <c r="AE1266" s="85"/>
    </row>
    <row r="1267" spans="3:31" x14ac:dyDescent="0.3">
      <c r="C1267" s="450"/>
      <c r="D1267" s="182"/>
      <c r="E1267" s="182"/>
      <c r="F1267" s="182"/>
      <c r="G1267" s="450" t="str">
        <f t="shared" si="44"/>
        <v>--</v>
      </c>
      <c r="H1267" s="182"/>
      <c r="I1267" s="440"/>
      <c r="J1267" s="892"/>
      <c r="K1267" s="259"/>
      <c r="L1267" s="259" t="s">
        <v>46</v>
      </c>
      <c r="M1267" s="893">
        <f>SUM(M1264:M1266)</f>
        <v>1</v>
      </c>
      <c r="N1267" s="894"/>
      <c r="O1267" s="894">
        <f>SUM(O1264:O1266)</f>
        <v>0</v>
      </c>
      <c r="P1267" s="256" t="s">
        <v>181</v>
      </c>
      <c r="Q1267" s="882">
        <v>1</v>
      </c>
      <c r="R1267" s="883"/>
      <c r="S1267" s="883"/>
      <c r="T1267" s="114"/>
      <c r="U1267" s="264"/>
      <c r="V1267" s="270"/>
      <c r="W1267" s="270"/>
      <c r="X1267" s="270"/>
      <c r="Y1267" s="270"/>
      <c r="Z1267" s="270"/>
      <c r="AA1267" s="114"/>
      <c r="AB1267" s="85"/>
      <c r="AC1267" s="85"/>
      <c r="AD1267" s="85"/>
      <c r="AE1267" s="85"/>
    </row>
    <row r="1268" spans="3:31" x14ac:dyDescent="0.3">
      <c r="C1268" s="450"/>
      <c r="D1268" s="182"/>
      <c r="E1268" s="182"/>
      <c r="F1268" s="182"/>
      <c r="G1268" s="450" t="str">
        <f t="shared" si="44"/>
        <v>--</v>
      </c>
      <c r="H1268" s="182"/>
      <c r="I1268" s="892"/>
      <c r="J1268" s="288"/>
      <c r="K1268" s="182"/>
      <c r="L1268" s="181"/>
      <c r="M1268" s="181"/>
      <c r="N1268" s="892"/>
      <c r="O1268" s="892"/>
      <c r="P1268" s="258" t="s">
        <v>183</v>
      </c>
      <c r="Q1268" s="882">
        <v>0</v>
      </c>
      <c r="R1268" s="883"/>
      <c r="S1268" s="883"/>
      <c r="T1268" s="114"/>
      <c r="U1268" s="884"/>
      <c r="V1268" s="114"/>
      <c r="W1268" s="270"/>
      <c r="X1268" s="270"/>
      <c r="Y1268" s="270"/>
      <c r="Z1268" s="270"/>
      <c r="AA1268" s="114"/>
      <c r="AB1268" s="85"/>
      <c r="AC1268" s="85"/>
      <c r="AD1268" s="85"/>
      <c r="AE1268" s="85"/>
    </row>
    <row r="1269" spans="3:31" x14ac:dyDescent="0.3">
      <c r="C1269" s="450"/>
      <c r="D1269" s="182"/>
      <c r="E1269" s="182"/>
      <c r="F1269" s="182"/>
      <c r="G1269" s="450" t="str">
        <f t="shared" si="44"/>
        <v>--</v>
      </c>
      <c r="H1269" s="182"/>
      <c r="I1269" s="892"/>
      <c r="J1269" s="288"/>
      <c r="K1269" s="182"/>
      <c r="L1269" s="181"/>
      <c r="M1269" s="181"/>
      <c r="N1269" s="892"/>
      <c r="O1269" s="892"/>
      <c r="P1269" s="258" t="s">
        <v>190</v>
      </c>
      <c r="Q1269" s="882">
        <v>0</v>
      </c>
      <c r="R1269" s="114"/>
      <c r="S1269" s="114"/>
      <c r="T1269" s="114"/>
      <c r="U1269" s="884"/>
      <c r="V1269" s="114"/>
      <c r="W1269" s="270"/>
      <c r="X1269" s="270"/>
      <c r="Y1269" s="270"/>
      <c r="Z1269" s="270"/>
      <c r="AA1269" s="114"/>
      <c r="AB1269" s="85"/>
      <c r="AC1269" s="85"/>
      <c r="AD1269" s="85"/>
      <c r="AE1269" s="85"/>
    </row>
    <row r="1270" spans="3:31" x14ac:dyDescent="0.3">
      <c r="C1270" s="450"/>
      <c r="D1270" s="182"/>
      <c r="E1270" s="182"/>
      <c r="F1270" s="182"/>
      <c r="G1270" s="450" t="str">
        <f t="shared" si="44"/>
        <v>--</v>
      </c>
      <c r="H1270" s="182"/>
      <c r="I1270" s="892"/>
      <c r="J1270" s="288"/>
      <c r="K1270" s="182"/>
      <c r="L1270" s="181"/>
      <c r="M1270" s="181"/>
      <c r="N1270" s="892"/>
      <c r="O1270" s="892"/>
      <c r="P1270" s="263" t="s">
        <v>46</v>
      </c>
      <c r="Q1270" s="897">
        <f>SUM(Q1264:Q1269)</f>
        <v>1</v>
      </c>
      <c r="R1270" s="899"/>
      <c r="S1270" s="899"/>
      <c r="T1270" s="899"/>
      <c r="U1270" s="900"/>
      <c r="V1270" s="114"/>
      <c r="W1270" s="270"/>
      <c r="X1270" s="270"/>
      <c r="Y1270" s="270"/>
      <c r="Z1270" s="270"/>
      <c r="AA1270" s="114"/>
      <c r="AB1270" s="85"/>
      <c r="AC1270" s="85"/>
      <c r="AD1270" s="85"/>
      <c r="AE1270" s="85"/>
    </row>
    <row r="1271" spans="3:31" x14ac:dyDescent="0.3">
      <c r="C1271" s="450"/>
      <c r="D1271" s="182"/>
      <c r="E1271" s="182"/>
      <c r="F1271" s="182"/>
      <c r="G1271" s="450" t="str">
        <f t="shared" si="44"/>
        <v>--</v>
      </c>
      <c r="H1271" s="182"/>
      <c r="I1271" s="892"/>
      <c r="J1271" s="288"/>
      <c r="K1271" s="182"/>
      <c r="L1271" s="181"/>
      <c r="M1271" s="181"/>
      <c r="N1271" s="892"/>
      <c r="O1271" s="892"/>
      <c r="P1271" s="262"/>
      <c r="Q1271" s="114"/>
      <c r="R1271" s="114"/>
      <c r="S1271" s="114"/>
      <c r="T1271" s="114"/>
      <c r="U1271" s="114"/>
      <c r="V1271" s="114"/>
      <c r="W1271" s="270"/>
      <c r="X1271" s="270"/>
      <c r="Y1271" s="270"/>
      <c r="Z1271" s="270"/>
      <c r="AA1271" s="114"/>
      <c r="AB1271" s="85"/>
      <c r="AC1271" s="85"/>
      <c r="AD1271" s="85"/>
      <c r="AE1271" s="85"/>
    </row>
    <row r="1272" spans="3:31" ht="15" thickBot="1" x14ac:dyDescent="0.35">
      <c r="C1272" s="450"/>
      <c r="D1272" s="182"/>
      <c r="E1272" s="182"/>
      <c r="F1272" s="182"/>
      <c r="G1272" s="450" t="str">
        <f t="shared" si="44"/>
        <v>--</v>
      </c>
      <c r="H1272" s="182"/>
      <c r="I1272" s="892"/>
      <c r="J1272" s="892"/>
      <c r="K1272" s="182"/>
      <c r="L1272" s="182"/>
      <c r="M1272" s="901" t="s">
        <v>155</v>
      </c>
      <c r="N1272" s="870" t="s">
        <v>188</v>
      </c>
      <c r="O1272" s="870"/>
      <c r="P1272" s="265" t="s">
        <v>33</v>
      </c>
      <c r="Q1272" s="871" t="s">
        <v>155</v>
      </c>
      <c r="R1272" s="872" t="s">
        <v>168</v>
      </c>
      <c r="S1272" s="872" t="s">
        <v>169</v>
      </c>
      <c r="T1272" s="872" t="s">
        <v>170</v>
      </c>
      <c r="U1272" s="872" t="s">
        <v>171</v>
      </c>
      <c r="V1272" s="902"/>
      <c r="W1272" s="902"/>
      <c r="X1272" s="874"/>
      <c r="Y1272" s="270"/>
      <c r="Z1272" s="270"/>
      <c r="AA1272" s="114"/>
      <c r="AB1272" s="85"/>
      <c r="AC1272" s="85"/>
      <c r="AD1272" s="85"/>
      <c r="AE1272" s="85"/>
    </row>
    <row r="1273" spans="3:31" ht="15" thickBot="1" x14ac:dyDescent="0.35">
      <c r="C1273" s="566" t="s">
        <v>767</v>
      </c>
      <c r="D1273" s="875" t="str">
        <f>VLOOKUP(C1273,'Airport Mapping'!$C$5:$D$39,2,FALSE)</f>
        <v xml:space="preserve"> </v>
      </c>
      <c r="E1273" s="567" t="s">
        <v>37</v>
      </c>
      <c r="F1273" s="567" t="s">
        <v>33</v>
      </c>
      <c r="G1273" s="450" t="str">
        <f t="shared" si="44"/>
        <v>Rental Car Center D-Restrooms-Faucets</v>
      </c>
      <c r="H1273" s="567" t="s">
        <v>3</v>
      </c>
      <c r="I1273" s="877" t="s">
        <v>64</v>
      </c>
      <c r="J1273" s="878">
        <f>SUMIFS('Level of Efficiency Assumptions'!J:J,'Level of Efficiency Assumptions'!D:D,E1273,'Level of Efficiency Assumptions'!F:F,F1273,'Level of Efficiency Assumptions'!I:I,I1273)</f>
        <v>2</v>
      </c>
      <c r="K1273" s="383" t="s">
        <v>78</v>
      </c>
      <c r="L1273" s="253" t="s">
        <v>64</v>
      </c>
      <c r="M1273" s="879">
        <f>Q1273+Q1274</f>
        <v>0</v>
      </c>
      <c r="N1273" s="880">
        <f>IFERROR(M1273/M1276,"-")</f>
        <v>0</v>
      </c>
      <c r="O1273" s="881">
        <f>SUMIFS('Data Entry'!R:R,'Data Entry'!K:K,G1273)</f>
        <v>0</v>
      </c>
      <c r="P1273" s="266" t="s">
        <v>180</v>
      </c>
      <c r="Q1273" s="895">
        <v>0</v>
      </c>
      <c r="R1273" s="883"/>
      <c r="S1273" s="883"/>
      <c r="T1273" s="883"/>
      <c r="U1273" s="883"/>
      <c r="V1273" s="114" t="s">
        <v>182</v>
      </c>
      <c r="W1273" s="114"/>
      <c r="X1273" s="884"/>
      <c r="Y1273" s="270"/>
      <c r="Z1273" s="270"/>
      <c r="AA1273" s="114"/>
      <c r="AB1273" s="85"/>
      <c r="AC1273" s="85"/>
      <c r="AD1273" s="85"/>
      <c r="AE1273" s="85"/>
    </row>
    <row r="1274" spans="3:31" ht="15" thickBot="1" x14ac:dyDescent="0.35">
      <c r="C1274" s="494" t="s">
        <v>767</v>
      </c>
      <c r="D1274" s="577"/>
      <c r="E1274" s="577" t="s">
        <v>37</v>
      </c>
      <c r="F1274" s="577" t="s">
        <v>33</v>
      </c>
      <c r="G1274" s="450" t="str">
        <f t="shared" si="44"/>
        <v>Rental Car Center D-Restrooms-Faucets</v>
      </c>
      <c r="H1274" s="577"/>
      <c r="I1274" s="887" t="s">
        <v>65</v>
      </c>
      <c r="J1274" s="878">
        <f>SUMIFS('Level of Efficiency Assumptions'!J:J,'Level of Efficiency Assumptions'!D:D,E1274,'Level of Efficiency Assumptions'!F:F,F1274,'Level of Efficiency Assumptions'!I:I,I1274)</f>
        <v>1</v>
      </c>
      <c r="K1274" s="383" t="s">
        <v>78</v>
      </c>
      <c r="L1274" s="255" t="s">
        <v>65</v>
      </c>
      <c r="M1274" s="879">
        <f>Q1275+Q1276</f>
        <v>1</v>
      </c>
      <c r="N1274" s="880">
        <f>IFERROR(M1274/M1276,"-")</f>
        <v>1</v>
      </c>
      <c r="O1274" s="881">
        <f>SUMIFS('Data Entry'!S:S,'Data Entry'!K:K,G1274)</f>
        <v>0</v>
      </c>
      <c r="P1274" s="266" t="s">
        <v>178</v>
      </c>
      <c r="Q1274" s="895">
        <v>0</v>
      </c>
      <c r="R1274" s="883"/>
      <c r="S1274" s="883"/>
      <c r="T1274" s="883"/>
      <c r="U1274" s="883"/>
      <c r="V1274" s="114" t="s">
        <v>184</v>
      </c>
      <c r="W1274" s="114"/>
      <c r="X1274" s="884"/>
      <c r="Y1274" s="270"/>
      <c r="Z1274" s="270"/>
      <c r="AA1274" s="114"/>
      <c r="AB1274" s="85"/>
      <c r="AC1274" s="85"/>
      <c r="AD1274" s="85"/>
      <c r="AE1274" s="85"/>
    </row>
    <row r="1275" spans="3:31" ht="15" thickBot="1" x14ac:dyDescent="0.35">
      <c r="C1275" s="501" t="s">
        <v>767</v>
      </c>
      <c r="D1275" s="116"/>
      <c r="E1275" s="116" t="s">
        <v>37</v>
      </c>
      <c r="F1275" s="116" t="s">
        <v>33</v>
      </c>
      <c r="G1275" s="450" t="str">
        <f t="shared" si="44"/>
        <v>Rental Car Center D-Restrooms-Faucets</v>
      </c>
      <c r="H1275" s="116"/>
      <c r="I1275" s="889" t="s">
        <v>66</v>
      </c>
      <c r="J1275" s="890">
        <f>SUMIFS('Level of Efficiency Assumptions'!J:J,'Level of Efficiency Assumptions'!D:D,E1275,'Level of Efficiency Assumptions'!F:F,F1275,'Level of Efficiency Assumptions'!I:I,I1275)</f>
        <v>0.5</v>
      </c>
      <c r="K1275" s="383" t="s">
        <v>78</v>
      </c>
      <c r="L1275" s="257" t="s">
        <v>66</v>
      </c>
      <c r="M1275" s="879">
        <f>Q1277</f>
        <v>0</v>
      </c>
      <c r="N1275" s="880">
        <f>IFERROR(M1275/M1276,"-")</f>
        <v>0</v>
      </c>
      <c r="O1275" s="881">
        <f>SUMIFS('Data Entry'!T:T,'Data Entry'!K:K,G1275)</f>
        <v>0</v>
      </c>
      <c r="P1275" s="267" t="s">
        <v>176</v>
      </c>
      <c r="Q1275" s="895">
        <v>1</v>
      </c>
      <c r="R1275" s="883"/>
      <c r="S1275" s="883"/>
      <c r="T1275" s="883"/>
      <c r="U1275" s="883"/>
      <c r="V1275" s="114" t="s">
        <v>185</v>
      </c>
      <c r="W1275" s="114"/>
      <c r="X1275" s="884"/>
      <c r="Y1275" s="270"/>
      <c r="Z1275" s="270"/>
      <c r="AA1275" s="114"/>
      <c r="AB1275" s="85"/>
      <c r="AC1275" s="85"/>
      <c r="AD1275" s="85"/>
      <c r="AE1275" s="85"/>
    </row>
    <row r="1276" spans="3:31" x14ac:dyDescent="0.3">
      <c r="C1276" s="450"/>
      <c r="D1276" s="182"/>
      <c r="E1276" s="182"/>
      <c r="F1276" s="182"/>
      <c r="G1276" s="450" t="str">
        <f t="shared" si="44"/>
        <v>--</v>
      </c>
      <c r="H1276" s="182"/>
      <c r="I1276" s="440"/>
      <c r="J1276" s="892"/>
      <c r="K1276" s="259"/>
      <c r="L1276" s="259" t="s">
        <v>46</v>
      </c>
      <c r="M1276" s="893">
        <f>SUM(M1273:M1275)</f>
        <v>1</v>
      </c>
      <c r="N1276" s="894"/>
      <c r="O1276" s="894">
        <f>SUM(O1273:O1275)</f>
        <v>0</v>
      </c>
      <c r="P1276" s="256" t="s">
        <v>173</v>
      </c>
      <c r="Q1276" s="895">
        <v>0</v>
      </c>
      <c r="R1276" s="883"/>
      <c r="S1276" s="883"/>
      <c r="T1276" s="883"/>
      <c r="U1276" s="883"/>
      <c r="V1276" s="114" t="s">
        <v>186</v>
      </c>
      <c r="W1276" s="114"/>
      <c r="X1276" s="884"/>
      <c r="Y1276" s="270"/>
      <c r="Z1276" s="270"/>
      <c r="AA1276" s="114"/>
      <c r="AB1276" s="85"/>
      <c r="AC1276" s="85"/>
      <c r="AD1276" s="85"/>
      <c r="AE1276" s="85"/>
    </row>
    <row r="1277" spans="3:31" x14ac:dyDescent="0.3">
      <c r="C1277" s="450"/>
      <c r="D1277" s="182"/>
      <c r="E1277" s="182"/>
      <c r="F1277" s="182"/>
      <c r="G1277" s="450" t="str">
        <f t="shared" si="44"/>
        <v>--</v>
      </c>
      <c r="H1277" s="182"/>
      <c r="I1277" s="892"/>
      <c r="J1277" s="288"/>
      <c r="K1277" s="182"/>
      <c r="L1277" s="114"/>
      <c r="M1277" s="114"/>
      <c r="N1277" s="905"/>
      <c r="O1277" s="905"/>
      <c r="P1277" s="258" t="s">
        <v>172</v>
      </c>
      <c r="Q1277" s="895">
        <v>0</v>
      </c>
      <c r="R1277" s="883"/>
      <c r="S1277" s="883"/>
      <c r="T1277" s="883"/>
      <c r="U1277" s="883"/>
      <c r="V1277" s="114"/>
      <c r="W1277" s="114"/>
      <c r="X1277" s="884"/>
      <c r="Y1277" s="270"/>
      <c r="Z1277" s="270"/>
      <c r="AA1277" s="114"/>
      <c r="AB1277" s="85"/>
      <c r="AC1277" s="85"/>
      <c r="AD1277" s="85"/>
      <c r="AE1277" s="85"/>
    </row>
    <row r="1278" spans="3:31" x14ac:dyDescent="0.3">
      <c r="C1278" s="450"/>
      <c r="D1278" s="182"/>
      <c r="E1278" s="182"/>
      <c r="F1278" s="182"/>
      <c r="G1278" s="450" t="str">
        <f t="shared" si="44"/>
        <v>--</v>
      </c>
      <c r="H1278" s="182"/>
      <c r="I1278" s="892"/>
      <c r="J1278" s="288"/>
      <c r="K1278" s="182"/>
      <c r="L1278" s="181"/>
      <c r="M1278" s="181"/>
      <c r="N1278" s="892"/>
      <c r="O1278" s="892"/>
      <c r="P1278" s="263" t="s">
        <v>46</v>
      </c>
      <c r="Q1278" s="897">
        <f>SUM(Q1272:Q1277)</f>
        <v>1</v>
      </c>
      <c r="R1278" s="899"/>
      <c r="S1278" s="899"/>
      <c r="T1278" s="899"/>
      <c r="U1278" s="899"/>
      <c r="V1278" s="899"/>
      <c r="W1278" s="899"/>
      <c r="X1278" s="900"/>
      <c r="Y1278" s="270"/>
      <c r="Z1278" s="270"/>
      <c r="AA1278" s="114"/>
      <c r="AB1278" s="85"/>
      <c r="AC1278" s="85"/>
      <c r="AD1278" s="85"/>
      <c r="AE1278" s="85"/>
    </row>
    <row r="1279" spans="3:31" x14ac:dyDescent="0.3">
      <c r="C1279" s="450"/>
      <c r="D1279" s="182"/>
      <c r="E1279" s="182"/>
      <c r="F1279" s="182"/>
      <c r="G1279" s="450" t="str">
        <f t="shared" si="44"/>
        <v>--</v>
      </c>
      <c r="H1279" s="182"/>
      <c r="I1279" s="892"/>
      <c r="J1279" s="288"/>
      <c r="K1279" s="182"/>
      <c r="L1279" s="181"/>
      <c r="M1279" s="181"/>
      <c r="N1279" s="892"/>
      <c r="O1279" s="892"/>
      <c r="P1279" s="262"/>
      <c r="Q1279" s="114"/>
      <c r="R1279" s="114"/>
      <c r="S1279" s="114"/>
      <c r="T1279" s="114"/>
      <c r="U1279" s="114"/>
      <c r="V1279" s="114"/>
      <c r="W1279" s="270"/>
      <c r="X1279" s="270"/>
      <c r="Y1279" s="270"/>
      <c r="Z1279" s="270"/>
      <c r="AA1279" s="114"/>
      <c r="AB1279" s="85"/>
      <c r="AC1279" s="85"/>
      <c r="AD1279" s="85"/>
      <c r="AE1279" s="85"/>
    </row>
    <row r="1280" spans="3:31" ht="15" thickBot="1" x14ac:dyDescent="0.35">
      <c r="C1280" s="450"/>
      <c r="D1280" s="182"/>
      <c r="E1280" s="182"/>
      <c r="F1280" s="182"/>
      <c r="G1280" s="450" t="str">
        <f t="shared" ref="G1280:G1341" si="60">C1280&amp;"-"&amp;E1280&amp;"-"&amp;F1280</f>
        <v>--</v>
      </c>
      <c r="H1280" s="182"/>
      <c r="I1280" s="892"/>
      <c r="J1280" s="892"/>
      <c r="K1280" s="182"/>
      <c r="L1280" s="182"/>
      <c r="M1280" s="901" t="s">
        <v>155</v>
      </c>
      <c r="N1280" s="870" t="s">
        <v>188</v>
      </c>
      <c r="O1280" s="870"/>
      <c r="P1280" s="265" t="s">
        <v>33</v>
      </c>
      <c r="Q1280" s="871" t="s">
        <v>155</v>
      </c>
      <c r="R1280" s="872" t="s">
        <v>168</v>
      </c>
      <c r="S1280" s="872" t="s">
        <v>169</v>
      </c>
      <c r="T1280" s="872" t="s">
        <v>170</v>
      </c>
      <c r="U1280" s="872" t="s">
        <v>171</v>
      </c>
      <c r="V1280" s="902"/>
      <c r="W1280" s="902"/>
      <c r="X1280" s="874"/>
      <c r="Y1280" s="270"/>
      <c r="Z1280" s="270"/>
      <c r="AA1280" s="114"/>
      <c r="AB1280" s="85"/>
      <c r="AC1280" s="85"/>
      <c r="AD1280" s="85"/>
      <c r="AE1280" s="85"/>
    </row>
    <row r="1281" spans="3:31" ht="15" thickBot="1" x14ac:dyDescent="0.35">
      <c r="C1281" s="566" t="s">
        <v>767</v>
      </c>
      <c r="D1281" s="875" t="str">
        <f>VLOOKUP(C1281,'Airport Mapping'!$C$5:$D$39,2,FALSE)</f>
        <v xml:space="preserve"> </v>
      </c>
      <c r="E1281" s="567" t="s">
        <v>5</v>
      </c>
      <c r="F1281" s="567" t="s">
        <v>33</v>
      </c>
      <c r="G1281" s="450" t="str">
        <f t="shared" si="60"/>
        <v>Rental Car Center D-Break rooms-Faucets</v>
      </c>
      <c r="H1281" s="567" t="s">
        <v>6</v>
      </c>
      <c r="I1281" s="877" t="s">
        <v>64</v>
      </c>
      <c r="J1281" s="878">
        <f>SUMIFS('Level of Efficiency Assumptions'!J:J,'Level of Efficiency Assumptions'!D:D,E1281,'Level of Efficiency Assumptions'!F:F,F1281,'Level of Efficiency Assumptions'!I:I,I1281)</f>
        <v>2</v>
      </c>
      <c r="K1281" s="383" t="s">
        <v>78</v>
      </c>
      <c r="L1281" s="253" t="s">
        <v>64</v>
      </c>
      <c r="M1281" s="879">
        <f>Q1281+Q1282</f>
        <v>0</v>
      </c>
      <c r="N1281" s="880">
        <f>IFERROR(M1281/M1284,"-")</f>
        <v>0</v>
      </c>
      <c r="O1281" s="881">
        <f>SUMIFS('Data Entry'!R:R,'Data Entry'!K:K,G1281)</f>
        <v>0</v>
      </c>
      <c r="P1281" s="266" t="s">
        <v>180</v>
      </c>
      <c r="Q1281" s="895">
        <v>0</v>
      </c>
      <c r="R1281" s="883"/>
      <c r="S1281" s="883"/>
      <c r="T1281" s="883"/>
      <c r="U1281" s="883"/>
      <c r="V1281" s="114" t="s">
        <v>182</v>
      </c>
      <c r="W1281" s="114"/>
      <c r="X1281" s="884"/>
      <c r="Y1281" s="270"/>
      <c r="Z1281" s="270"/>
      <c r="AA1281" s="114"/>
      <c r="AB1281" s="85"/>
      <c r="AC1281" s="85"/>
      <c r="AD1281" s="85"/>
      <c r="AE1281" s="85"/>
    </row>
    <row r="1282" spans="3:31" ht="15" thickBot="1" x14ac:dyDescent="0.35">
      <c r="C1282" s="494" t="s">
        <v>767</v>
      </c>
      <c r="D1282" s="577"/>
      <c r="E1282" s="577" t="s">
        <v>5</v>
      </c>
      <c r="F1282" s="577" t="s">
        <v>33</v>
      </c>
      <c r="G1282" s="450" t="str">
        <f t="shared" si="60"/>
        <v>Rental Car Center D-Break rooms-Faucets</v>
      </c>
      <c r="H1282" s="577"/>
      <c r="I1282" s="887" t="s">
        <v>65</v>
      </c>
      <c r="J1282" s="878">
        <f>SUMIFS('Level of Efficiency Assumptions'!J:J,'Level of Efficiency Assumptions'!D:D,E1282,'Level of Efficiency Assumptions'!F:F,F1282,'Level of Efficiency Assumptions'!I:I,I1282)</f>
        <v>1</v>
      </c>
      <c r="K1282" s="383" t="s">
        <v>78</v>
      </c>
      <c r="L1282" s="255" t="s">
        <v>65</v>
      </c>
      <c r="M1282" s="879">
        <f>Q1283+Q1284</f>
        <v>1</v>
      </c>
      <c r="N1282" s="880">
        <f>IFERROR(M1282/M1284,"-")</f>
        <v>1</v>
      </c>
      <c r="O1282" s="881">
        <f>SUMIFS('Data Entry'!S:S,'Data Entry'!K:K,G1282)</f>
        <v>0</v>
      </c>
      <c r="P1282" s="266" t="s">
        <v>178</v>
      </c>
      <c r="Q1282" s="895">
        <v>0</v>
      </c>
      <c r="R1282" s="883"/>
      <c r="S1282" s="883"/>
      <c r="T1282" s="883"/>
      <c r="U1282" s="883"/>
      <c r="V1282" s="114" t="s">
        <v>184</v>
      </c>
      <c r="W1282" s="114"/>
      <c r="X1282" s="884"/>
      <c r="Y1282" s="270"/>
      <c r="Z1282" s="270"/>
      <c r="AA1282" s="114"/>
      <c r="AB1282" s="85"/>
      <c r="AC1282" s="85"/>
      <c r="AD1282" s="85"/>
      <c r="AE1282" s="85"/>
    </row>
    <row r="1283" spans="3:31" ht="15" thickBot="1" x14ac:dyDescent="0.35">
      <c r="C1283" s="501" t="s">
        <v>767</v>
      </c>
      <c r="D1283" s="116"/>
      <c r="E1283" s="116" t="s">
        <v>5</v>
      </c>
      <c r="F1283" s="116" t="s">
        <v>33</v>
      </c>
      <c r="G1283" s="450" t="str">
        <f t="shared" si="60"/>
        <v>Rental Car Center D-Break rooms-Faucets</v>
      </c>
      <c r="H1283" s="116"/>
      <c r="I1283" s="889" t="s">
        <v>66</v>
      </c>
      <c r="J1283" s="890">
        <f>SUMIFS('Level of Efficiency Assumptions'!J:J,'Level of Efficiency Assumptions'!D:D,E1283,'Level of Efficiency Assumptions'!F:F,F1283,'Level of Efficiency Assumptions'!I:I,I1283)</f>
        <v>0.5</v>
      </c>
      <c r="K1283" s="383" t="s">
        <v>78</v>
      </c>
      <c r="L1283" s="257" t="s">
        <v>66</v>
      </c>
      <c r="M1283" s="879">
        <f>Q1285</f>
        <v>0</v>
      </c>
      <c r="N1283" s="880">
        <f>IFERROR(M1283/M1284,"-")</f>
        <v>0</v>
      </c>
      <c r="O1283" s="881">
        <f>SUMIFS('Data Entry'!T:T,'Data Entry'!K:K,G1283)</f>
        <v>0</v>
      </c>
      <c r="P1283" s="267" t="s">
        <v>176</v>
      </c>
      <c r="Q1283" s="895">
        <v>1</v>
      </c>
      <c r="R1283" s="883"/>
      <c r="S1283" s="883"/>
      <c r="T1283" s="883"/>
      <c r="U1283" s="883"/>
      <c r="V1283" s="114" t="s">
        <v>185</v>
      </c>
      <c r="W1283" s="114"/>
      <c r="X1283" s="884"/>
      <c r="Y1283" s="270"/>
      <c r="Z1283" s="270"/>
      <c r="AA1283" s="114"/>
      <c r="AB1283" s="85"/>
      <c r="AC1283" s="85"/>
      <c r="AD1283" s="85"/>
      <c r="AE1283" s="85"/>
    </row>
    <row r="1284" spans="3:31" x14ac:dyDescent="0.3">
      <c r="C1284" s="450"/>
      <c r="D1284" s="182"/>
      <c r="E1284" s="182"/>
      <c r="F1284" s="182"/>
      <c r="G1284" s="450" t="str">
        <f t="shared" si="60"/>
        <v>--</v>
      </c>
      <c r="H1284" s="182"/>
      <c r="I1284" s="440"/>
      <c r="J1284" s="892"/>
      <c r="K1284" s="259"/>
      <c r="L1284" s="259" t="s">
        <v>46</v>
      </c>
      <c r="M1284" s="893">
        <f>SUM(M1281:M1283)</f>
        <v>1</v>
      </c>
      <c r="N1284" s="894"/>
      <c r="O1284" s="894">
        <f>SUM(O1281:O1283)</f>
        <v>0</v>
      </c>
      <c r="P1284" s="256" t="s">
        <v>173</v>
      </c>
      <c r="Q1284" s="895">
        <v>0</v>
      </c>
      <c r="R1284" s="883"/>
      <c r="S1284" s="883"/>
      <c r="T1284" s="883"/>
      <c r="U1284" s="883"/>
      <c r="V1284" s="114" t="s">
        <v>186</v>
      </c>
      <c r="W1284" s="114"/>
      <c r="X1284" s="884"/>
      <c r="Y1284" s="270"/>
      <c r="Z1284" s="270"/>
      <c r="AA1284" s="114"/>
      <c r="AB1284" s="85"/>
      <c r="AC1284" s="85"/>
      <c r="AD1284" s="85"/>
      <c r="AE1284" s="85"/>
    </row>
    <row r="1285" spans="3:31" x14ac:dyDescent="0.3">
      <c r="C1285" s="450"/>
      <c r="D1285" s="182"/>
      <c r="E1285" s="182"/>
      <c r="F1285" s="182"/>
      <c r="G1285" s="450" t="str">
        <f t="shared" si="60"/>
        <v>--</v>
      </c>
      <c r="H1285" s="182"/>
      <c r="I1285" s="892"/>
      <c r="J1285" s="288"/>
      <c r="K1285" s="288"/>
      <c r="L1285" s="182"/>
      <c r="M1285" s="270"/>
      <c r="N1285" s="892"/>
      <c r="O1285" s="892"/>
      <c r="P1285" s="258" t="s">
        <v>172</v>
      </c>
      <c r="Q1285" s="895">
        <v>0</v>
      </c>
      <c r="R1285" s="883"/>
      <c r="S1285" s="883"/>
      <c r="T1285" s="883"/>
      <c r="U1285" s="883"/>
      <c r="V1285" s="114"/>
      <c r="W1285" s="114"/>
      <c r="X1285" s="884"/>
      <c r="Y1285" s="270"/>
      <c r="Z1285" s="270"/>
      <c r="AA1285" s="114"/>
      <c r="AB1285" s="85"/>
      <c r="AC1285" s="85"/>
      <c r="AD1285" s="85"/>
      <c r="AE1285" s="85"/>
    </row>
    <row r="1286" spans="3:31" x14ac:dyDescent="0.3">
      <c r="C1286" s="450"/>
      <c r="D1286" s="182"/>
      <c r="E1286" s="182"/>
      <c r="F1286" s="182"/>
      <c r="G1286" s="450" t="str">
        <f t="shared" si="60"/>
        <v>--</v>
      </c>
      <c r="H1286" s="182"/>
      <c r="I1286" s="892"/>
      <c r="J1286" s="288"/>
      <c r="K1286" s="288"/>
      <c r="L1286" s="182"/>
      <c r="M1286" s="270"/>
      <c r="N1286" s="892"/>
      <c r="O1286" s="892"/>
      <c r="P1286" s="263" t="s">
        <v>46</v>
      </c>
      <c r="Q1286" s="897">
        <f>SUM(Q1280:Q1285)</f>
        <v>1</v>
      </c>
      <c r="R1286" s="899"/>
      <c r="S1286" s="899"/>
      <c r="T1286" s="899"/>
      <c r="U1286" s="899"/>
      <c r="V1286" s="899"/>
      <c r="W1286" s="899"/>
      <c r="X1286" s="900"/>
      <c r="Y1286" s="270"/>
      <c r="Z1286" s="270"/>
      <c r="AA1286" s="114"/>
      <c r="AB1286" s="85"/>
      <c r="AC1286" s="85"/>
      <c r="AD1286" s="85"/>
      <c r="AE1286" s="85"/>
    </row>
    <row r="1287" spans="3:31" x14ac:dyDescent="0.3">
      <c r="C1287" s="450"/>
      <c r="D1287" s="182"/>
      <c r="E1287" s="182"/>
      <c r="F1287" s="182"/>
      <c r="G1287" s="450" t="str">
        <f t="shared" si="60"/>
        <v>--</v>
      </c>
      <c r="H1287" s="182"/>
      <c r="I1287" s="892"/>
      <c r="J1287" s="288"/>
      <c r="K1287" s="288"/>
      <c r="L1287" s="182"/>
      <c r="M1287" s="270"/>
      <c r="N1287" s="892"/>
      <c r="O1287" s="892"/>
      <c r="P1287" s="259"/>
      <c r="Q1287" s="114"/>
      <c r="R1287" s="114"/>
      <c r="S1287" s="114"/>
      <c r="T1287" s="114"/>
      <c r="U1287" s="114"/>
      <c r="V1287" s="114"/>
      <c r="W1287" s="270"/>
      <c r="X1287" s="270"/>
      <c r="Y1287" s="270"/>
      <c r="Z1287" s="270"/>
      <c r="AA1287" s="114"/>
      <c r="AB1287" s="85"/>
      <c r="AC1287" s="85"/>
      <c r="AD1287" s="85"/>
      <c r="AE1287" s="85"/>
    </row>
    <row r="1288" spans="3:31" x14ac:dyDescent="0.3">
      <c r="C1288" s="450"/>
      <c r="D1288" s="182"/>
      <c r="E1288" s="182"/>
      <c r="F1288" s="182"/>
      <c r="G1288" s="450" t="str">
        <f t="shared" si="60"/>
        <v>--</v>
      </c>
      <c r="H1288" s="182"/>
      <c r="I1288" s="892"/>
      <c r="J1288" s="288"/>
      <c r="K1288" s="288"/>
      <c r="L1288" s="182"/>
      <c r="M1288" s="270"/>
      <c r="N1288" s="892"/>
      <c r="O1288" s="892"/>
      <c r="P1288" s="276" t="s">
        <v>42</v>
      </c>
      <c r="Q1288" s="902"/>
      <c r="R1288" s="902"/>
      <c r="S1288" s="902"/>
      <c r="T1288" s="271"/>
      <c r="U1288" s="114"/>
      <c r="V1288" s="114"/>
      <c r="W1288" s="270"/>
      <c r="X1288" s="270"/>
      <c r="Y1288" s="270"/>
      <c r="Z1288" s="270"/>
      <c r="AA1288" s="114"/>
      <c r="AB1288" s="85"/>
      <c r="AC1288" s="85"/>
      <c r="AD1288" s="85"/>
      <c r="AE1288" s="85"/>
    </row>
    <row r="1289" spans="3:31" ht="15" thickBot="1" x14ac:dyDescent="0.35">
      <c r="C1289" s="450"/>
      <c r="D1289" s="182"/>
      <c r="E1289" s="182"/>
      <c r="F1289" s="182"/>
      <c r="G1289" s="450" t="str">
        <f t="shared" si="60"/>
        <v>--</v>
      </c>
      <c r="H1289" s="182"/>
      <c r="I1289" s="892"/>
      <c r="J1289" s="892"/>
      <c r="K1289" s="182"/>
      <c r="L1289" s="182"/>
      <c r="M1289" s="901" t="s">
        <v>155</v>
      </c>
      <c r="N1289" s="870" t="s">
        <v>188</v>
      </c>
      <c r="O1289" s="870"/>
      <c r="P1289" s="277" t="s">
        <v>818</v>
      </c>
      <c r="Q1289" s="871" t="s">
        <v>155</v>
      </c>
      <c r="R1289" s="114"/>
      <c r="S1289" s="114"/>
      <c r="T1289" s="271"/>
      <c r="U1289" s="114"/>
      <c r="V1289" s="114"/>
      <c r="W1289" s="270"/>
      <c r="X1289" s="270"/>
      <c r="Y1289" s="270"/>
      <c r="Z1289" s="270"/>
      <c r="AA1289" s="114"/>
      <c r="AB1289" s="85"/>
      <c r="AC1289" s="85"/>
      <c r="AD1289" s="85"/>
      <c r="AE1289" s="85"/>
    </row>
    <row r="1290" spans="3:31" ht="15" thickBot="1" x14ac:dyDescent="0.35">
      <c r="C1290" s="566" t="s">
        <v>767</v>
      </c>
      <c r="D1290" s="875" t="str">
        <f>VLOOKUP(C1290,'Airport Mapping'!$C$5:$D$39,2,FALSE)</f>
        <v xml:space="preserve"> </v>
      </c>
      <c r="E1290" s="567" t="s">
        <v>39</v>
      </c>
      <c r="F1290" s="567" t="s">
        <v>42</v>
      </c>
      <c r="G1290" s="450" t="str">
        <f t="shared" si="60"/>
        <v>Rental Car Center D-Landscaping-Outdoor irrigation</v>
      </c>
      <c r="H1290" s="567" t="s">
        <v>32</v>
      </c>
      <c r="I1290" s="877" t="s">
        <v>64</v>
      </c>
      <c r="J1290" s="878">
        <f>SUMIFS('Level of Efficiency Assumptions'!J:J,'Level of Efficiency Assumptions'!D:D,E1290,'Level of Efficiency Assumptions'!F:F,F1290,'Level of Efficiency Assumptions'!I:I,I1290)</f>
        <v>28.6</v>
      </c>
      <c r="K1290" s="383" t="s">
        <v>816</v>
      </c>
      <c r="L1290" s="253" t="s">
        <v>64</v>
      </c>
      <c r="M1290" s="879">
        <f>SUM(Q1290:Q1291)</f>
        <v>0</v>
      </c>
      <c r="N1290" s="880">
        <f>IFERROR(M1290/M1293,"-")</f>
        <v>0</v>
      </c>
      <c r="O1290" s="881">
        <f>SUMIFS('Data Entry'!R:R,'Data Entry'!K:K,G1290)</f>
        <v>0</v>
      </c>
      <c r="P1290" s="272" t="s">
        <v>237</v>
      </c>
      <c r="Q1290" s="895">
        <v>0</v>
      </c>
      <c r="R1290" s="114"/>
      <c r="S1290" s="114"/>
      <c r="T1290" s="271"/>
      <c r="U1290" s="114"/>
      <c r="V1290" s="114"/>
      <c r="W1290" s="270"/>
      <c r="X1290" s="270"/>
      <c r="Y1290" s="270"/>
      <c r="Z1290" s="270"/>
      <c r="AA1290" s="114"/>
      <c r="AB1290" s="85"/>
      <c r="AC1290" s="85"/>
      <c r="AD1290" s="85"/>
      <c r="AE1290" s="85"/>
    </row>
    <row r="1291" spans="3:31" ht="15" thickBot="1" x14ac:dyDescent="0.35">
      <c r="C1291" s="494" t="s">
        <v>767</v>
      </c>
      <c r="D1291" s="577"/>
      <c r="E1291" s="577" t="s">
        <v>39</v>
      </c>
      <c r="F1291" s="577" t="s">
        <v>42</v>
      </c>
      <c r="G1291" s="450" t="str">
        <f t="shared" si="60"/>
        <v>Rental Car Center D-Landscaping-Outdoor irrigation</v>
      </c>
      <c r="H1291" s="577"/>
      <c r="I1291" s="887" t="s">
        <v>65</v>
      </c>
      <c r="J1291" s="878">
        <f>SUMIFS('Level of Efficiency Assumptions'!J:J,'Level of Efficiency Assumptions'!D:D,E1291,'Level of Efficiency Assumptions'!F:F,F1291,'Level of Efficiency Assumptions'!I:I,I1291)</f>
        <v>13.980821518350929</v>
      </c>
      <c r="K1291" s="383" t="s">
        <v>816</v>
      </c>
      <c r="L1291" s="255" t="s">
        <v>65</v>
      </c>
      <c r="M1291" s="879">
        <f>Q1292+Q1293</f>
        <v>1</v>
      </c>
      <c r="N1291" s="880">
        <f>IFERROR(M1291/M1293,"-")</f>
        <v>1</v>
      </c>
      <c r="O1291" s="881">
        <f>SUMIFS('Data Entry'!S:S,'Data Entry'!K:K,G1291)</f>
        <v>0</v>
      </c>
      <c r="P1291" s="272" t="s">
        <v>232</v>
      </c>
      <c r="Q1291" s="895">
        <v>0</v>
      </c>
      <c r="R1291" s="114"/>
      <c r="S1291" s="114"/>
      <c r="T1291" s="271"/>
      <c r="U1291" s="114"/>
      <c r="V1291" s="114"/>
      <c r="W1291" s="270"/>
      <c r="X1291" s="270"/>
      <c r="Y1291" s="270"/>
      <c r="Z1291" s="270"/>
      <c r="AA1291" s="114"/>
      <c r="AB1291" s="85"/>
      <c r="AC1291" s="85"/>
      <c r="AD1291" s="85"/>
      <c r="AE1291" s="85"/>
    </row>
    <row r="1292" spans="3:31" ht="15" thickBot="1" x14ac:dyDescent="0.35">
      <c r="C1292" s="501" t="s">
        <v>767</v>
      </c>
      <c r="D1292" s="116"/>
      <c r="E1292" s="116" t="s">
        <v>39</v>
      </c>
      <c r="F1292" s="116" t="s">
        <v>42</v>
      </c>
      <c r="G1292" s="450" t="str">
        <f t="shared" si="60"/>
        <v>Rental Car Center D-Landscaping-Outdoor irrigation</v>
      </c>
      <c r="H1292" s="116"/>
      <c r="I1292" s="889" t="s">
        <v>66</v>
      </c>
      <c r="J1292" s="890">
        <f>SUMIFS('Level of Efficiency Assumptions'!J:J,'Level of Efficiency Assumptions'!D:D,E1292,'Level of Efficiency Assumptions'!F:F,F1292,'Level of Efficiency Assumptions'!I:I,I1292)</f>
        <v>0.59137254901960778</v>
      </c>
      <c r="K1292" s="383" t="s">
        <v>816</v>
      </c>
      <c r="L1292" s="257" t="s">
        <v>66</v>
      </c>
      <c r="M1292" s="879">
        <f>Q1294+Q1295</f>
        <v>0</v>
      </c>
      <c r="N1292" s="880">
        <f>IFERROR(M1292/M1293,"-")</f>
        <v>0</v>
      </c>
      <c r="O1292" s="881">
        <f>SUMIFS('Data Entry'!T:T,'Data Entry'!K:K,G1292)</f>
        <v>0</v>
      </c>
      <c r="P1292" s="274" t="s">
        <v>231</v>
      </c>
      <c r="Q1292" s="895">
        <v>1</v>
      </c>
      <c r="R1292" s="114"/>
      <c r="S1292" s="114"/>
      <c r="T1292" s="271"/>
      <c r="U1292" s="114"/>
      <c r="V1292" s="114"/>
      <c r="W1292" s="270"/>
      <c r="X1292" s="270"/>
      <c r="Y1292" s="270"/>
      <c r="Z1292" s="270"/>
      <c r="AA1292" s="114"/>
      <c r="AB1292" s="85"/>
      <c r="AC1292" s="85"/>
      <c r="AD1292" s="85"/>
      <c r="AE1292" s="85"/>
    </row>
    <row r="1293" spans="3:31" x14ac:dyDescent="0.3">
      <c r="C1293" s="450"/>
      <c r="D1293" s="182"/>
      <c r="E1293" s="182"/>
      <c r="F1293" s="182"/>
      <c r="G1293" s="450" t="str">
        <f t="shared" si="60"/>
        <v>--</v>
      </c>
      <c r="H1293" s="182"/>
      <c r="I1293" s="440"/>
      <c r="J1293" s="892"/>
      <c r="K1293" s="259"/>
      <c r="L1293" s="259" t="s">
        <v>46</v>
      </c>
      <c r="M1293" s="893">
        <f>SUM(M1290:M1292)</f>
        <v>1</v>
      </c>
      <c r="N1293" s="894"/>
      <c r="O1293" s="894">
        <f>SUM(O1290:O1292)</f>
        <v>0</v>
      </c>
      <c r="P1293" s="274" t="s">
        <v>230</v>
      </c>
      <c r="Q1293" s="895">
        <v>0</v>
      </c>
      <c r="R1293" s="114"/>
      <c r="S1293" s="114"/>
      <c r="T1293" s="271"/>
      <c r="U1293" s="114"/>
      <c r="V1293" s="114"/>
      <c r="W1293" s="270"/>
      <c r="X1293" s="270"/>
      <c r="Y1293" s="270"/>
      <c r="Z1293" s="270"/>
      <c r="AA1293" s="114"/>
      <c r="AB1293" s="85"/>
      <c r="AC1293" s="85"/>
      <c r="AD1293" s="85"/>
      <c r="AE1293" s="85"/>
    </row>
    <row r="1294" spans="3:31" x14ac:dyDescent="0.3">
      <c r="C1294" s="450"/>
      <c r="D1294" s="182"/>
      <c r="E1294" s="182"/>
      <c r="F1294" s="182"/>
      <c r="G1294" s="450" t="str">
        <f t="shared" si="60"/>
        <v>--</v>
      </c>
      <c r="H1294" s="182"/>
      <c r="I1294" s="892"/>
      <c r="J1294" s="288"/>
      <c r="K1294" s="288"/>
      <c r="L1294" s="182"/>
      <c r="M1294" s="270"/>
      <c r="N1294" s="892"/>
      <c r="O1294" s="892"/>
      <c r="P1294" s="275" t="s">
        <v>229</v>
      </c>
      <c r="Q1294" s="895">
        <v>0</v>
      </c>
      <c r="R1294" s="114"/>
      <c r="S1294" s="114"/>
      <c r="T1294" s="271"/>
      <c r="U1294" s="114"/>
      <c r="V1294" s="114"/>
      <c r="W1294" s="270"/>
      <c r="X1294" s="270"/>
      <c r="Y1294" s="270"/>
      <c r="Z1294" s="270"/>
      <c r="AA1294" s="114"/>
      <c r="AB1294" s="85"/>
      <c r="AC1294" s="85"/>
      <c r="AD1294" s="85"/>
      <c r="AE1294" s="85"/>
    </row>
    <row r="1295" spans="3:31" x14ac:dyDescent="0.3">
      <c r="C1295" s="450"/>
      <c r="D1295" s="182"/>
      <c r="E1295" s="182"/>
      <c r="F1295" s="182"/>
      <c r="G1295" s="450" t="str">
        <f t="shared" si="60"/>
        <v>--</v>
      </c>
      <c r="H1295" s="182"/>
      <c r="I1295" s="892"/>
      <c r="J1295" s="288"/>
      <c r="K1295" s="288"/>
      <c r="L1295" s="182"/>
      <c r="M1295" s="270"/>
      <c r="N1295" s="892"/>
      <c r="O1295" s="892"/>
      <c r="P1295" s="269" t="s">
        <v>225</v>
      </c>
      <c r="Q1295" s="895">
        <v>0</v>
      </c>
      <c r="R1295" s="114"/>
      <c r="S1295" s="114"/>
      <c r="T1295" s="271"/>
      <c r="U1295" s="114"/>
      <c r="V1295" s="114"/>
      <c r="W1295" s="270"/>
      <c r="X1295" s="270"/>
      <c r="Y1295" s="270"/>
      <c r="Z1295" s="270"/>
      <c r="AA1295" s="114"/>
      <c r="AB1295" s="85"/>
      <c r="AC1295" s="85"/>
      <c r="AD1295" s="85"/>
      <c r="AE1295" s="85"/>
    </row>
    <row r="1296" spans="3:31" x14ac:dyDescent="0.3">
      <c r="C1296" s="450"/>
      <c r="D1296" s="182"/>
      <c r="E1296" s="182"/>
      <c r="F1296" s="182"/>
      <c r="G1296" s="450" t="str">
        <f t="shared" si="60"/>
        <v>--</v>
      </c>
      <c r="H1296" s="182"/>
      <c r="I1296" s="892"/>
      <c r="J1296" s="288"/>
      <c r="K1296" s="288"/>
      <c r="L1296" s="182"/>
      <c r="M1296" s="270"/>
      <c r="N1296" s="892"/>
      <c r="O1296" s="892"/>
      <c r="P1296" s="263" t="s">
        <v>46</v>
      </c>
      <c r="Q1296" s="897">
        <f>SUM(Q1290:Q1295)</f>
        <v>1</v>
      </c>
      <c r="R1296" s="899"/>
      <c r="S1296" s="899"/>
      <c r="T1296" s="271"/>
      <c r="U1296" s="114"/>
      <c r="V1296" s="114"/>
      <c r="W1296" s="270"/>
      <c r="X1296" s="270"/>
      <c r="Y1296" s="270"/>
      <c r="Z1296" s="270"/>
      <c r="AA1296" s="114"/>
      <c r="AB1296" s="85"/>
      <c r="AC1296" s="85"/>
      <c r="AD1296" s="85"/>
      <c r="AE1296" s="85"/>
    </row>
    <row r="1297" spans="3:31" x14ac:dyDescent="0.3">
      <c r="C1297" s="450"/>
      <c r="D1297" s="182"/>
      <c r="E1297" s="182"/>
      <c r="F1297" s="182"/>
      <c r="G1297" s="450" t="str">
        <f t="shared" si="60"/>
        <v>--</v>
      </c>
      <c r="H1297" s="182"/>
      <c r="I1297" s="892"/>
      <c r="J1297" s="288"/>
      <c r="K1297" s="288"/>
      <c r="L1297" s="182"/>
      <c r="M1297" s="270"/>
      <c r="N1297" s="892"/>
      <c r="O1297" s="892"/>
      <c r="P1297" s="259"/>
      <c r="Q1297" s="114"/>
      <c r="R1297" s="270"/>
      <c r="S1297" s="270"/>
      <c r="T1297" s="270"/>
      <c r="U1297" s="270"/>
      <c r="V1297" s="270"/>
      <c r="W1297" s="270"/>
      <c r="X1297" s="270"/>
      <c r="Y1297" s="270"/>
      <c r="Z1297" s="270"/>
      <c r="AA1297" s="114"/>
      <c r="AB1297" s="85"/>
      <c r="AC1297" s="85"/>
      <c r="AD1297" s="85"/>
      <c r="AE1297" s="85"/>
    </row>
    <row r="1298" spans="3:31" ht="15" thickBot="1" x14ac:dyDescent="0.35">
      <c r="C1298" s="450"/>
      <c r="D1298" s="182"/>
      <c r="E1298" s="182"/>
      <c r="F1298" s="182"/>
      <c r="G1298" s="450" t="str">
        <f t="shared" si="60"/>
        <v>--</v>
      </c>
      <c r="H1298" s="182"/>
      <c r="I1298" s="892"/>
      <c r="J1298" s="892"/>
      <c r="K1298" s="182"/>
      <c r="L1298" s="182"/>
      <c r="M1298" s="901" t="s">
        <v>155</v>
      </c>
      <c r="N1298" s="870" t="s">
        <v>188</v>
      </c>
      <c r="O1298" s="870"/>
      <c r="P1298" s="276" t="s">
        <v>111</v>
      </c>
      <c r="Q1298" s="871" t="s">
        <v>155</v>
      </c>
      <c r="R1298" s="902"/>
      <c r="S1298" s="874"/>
      <c r="T1298" s="270"/>
      <c r="U1298" s="270"/>
      <c r="V1298" s="270"/>
      <c r="W1298" s="270"/>
      <c r="X1298" s="270"/>
      <c r="Y1298" s="270"/>
      <c r="Z1298" s="270"/>
      <c r="AA1298" s="114"/>
      <c r="AB1298" s="85"/>
      <c r="AC1298" s="85"/>
      <c r="AD1298" s="85"/>
      <c r="AE1298" s="85"/>
    </row>
    <row r="1299" spans="3:31" ht="15" thickBot="1" x14ac:dyDescent="0.35">
      <c r="C1299" s="566" t="s">
        <v>767</v>
      </c>
      <c r="D1299" s="875" t="str">
        <f>VLOOKUP(C1299,'Airport Mapping'!$C$5:$D$39,2,FALSE)</f>
        <v xml:space="preserve"> </v>
      </c>
      <c r="E1299" s="567" t="s">
        <v>43</v>
      </c>
      <c r="F1299" s="567" t="s">
        <v>111</v>
      </c>
      <c r="G1299" s="450" t="str">
        <f t="shared" si="60"/>
        <v>Rental Car Center D-Maintenance-Boiler</v>
      </c>
      <c r="H1299" s="567" t="s">
        <v>424</v>
      </c>
      <c r="I1299" s="877" t="s">
        <v>64</v>
      </c>
      <c r="J1299" s="878">
        <f>SUMIFS('Level of Efficiency Assumptions'!J:J,'Level of Efficiency Assumptions'!D:D,E1299,'Level of Efficiency Assumptions'!F:F,F1299,'Level of Efficiency Assumptions'!I:I,I1299)</f>
        <v>100</v>
      </c>
      <c r="K1299" s="383" t="s">
        <v>585</v>
      </c>
      <c r="L1299" s="253" t="s">
        <v>64</v>
      </c>
      <c r="M1299" s="879">
        <f>SUM(Q1299:Q1300)</f>
        <v>0</v>
      </c>
      <c r="N1299" s="880">
        <f>IFERROR(M1299/M1302,"-")</f>
        <v>0</v>
      </c>
      <c r="O1299" s="881">
        <f>SUMIFS('Data Entry'!R:R,'Data Entry'!K:K,G1299)</f>
        <v>0</v>
      </c>
      <c r="P1299" s="272"/>
      <c r="Q1299" s="895">
        <v>0</v>
      </c>
      <c r="R1299" s="114"/>
      <c r="S1299" s="884"/>
      <c r="T1299" s="270"/>
      <c r="U1299" s="270"/>
      <c r="V1299" s="270"/>
      <c r="W1299" s="270"/>
      <c r="X1299" s="270"/>
      <c r="Y1299" s="270"/>
      <c r="Z1299" s="270"/>
      <c r="AA1299" s="114"/>
      <c r="AB1299" s="85"/>
      <c r="AC1299" s="85"/>
      <c r="AD1299" s="85"/>
      <c r="AE1299" s="85"/>
    </row>
    <row r="1300" spans="3:31" ht="15" thickBot="1" x14ac:dyDescent="0.35">
      <c r="C1300" s="494" t="s">
        <v>767</v>
      </c>
      <c r="D1300" s="577"/>
      <c r="E1300" s="577" t="s">
        <v>43</v>
      </c>
      <c r="F1300" s="577" t="s">
        <v>111</v>
      </c>
      <c r="G1300" s="450" t="str">
        <f t="shared" si="60"/>
        <v>Rental Car Center D-Maintenance-Boiler</v>
      </c>
      <c r="H1300" s="577"/>
      <c r="I1300" s="887" t="s">
        <v>65</v>
      </c>
      <c r="J1300" s="878">
        <f>SUMIFS('Level of Efficiency Assumptions'!J:J,'Level of Efficiency Assumptions'!D:D,E1300,'Level of Efficiency Assumptions'!F:F,F1300,'Level of Efficiency Assumptions'!I:I,I1300)</f>
        <v>75</v>
      </c>
      <c r="K1300" s="383" t="s">
        <v>585</v>
      </c>
      <c r="L1300" s="255" t="s">
        <v>65</v>
      </c>
      <c r="M1300" s="879">
        <f>Q1301+Q1302</f>
        <v>1</v>
      </c>
      <c r="N1300" s="880">
        <f>IFERROR(M1300/M1302,"-")</f>
        <v>1</v>
      </c>
      <c r="O1300" s="881">
        <f>SUMIFS('Data Entry'!S:S,'Data Entry'!K:K,G1300)</f>
        <v>0</v>
      </c>
      <c r="P1300" s="272"/>
      <c r="Q1300" s="895">
        <v>0</v>
      </c>
      <c r="R1300" s="114"/>
      <c r="S1300" s="884"/>
      <c r="T1300" s="270"/>
      <c r="U1300" s="270"/>
      <c r="V1300" s="270"/>
      <c r="W1300" s="270"/>
      <c r="X1300" s="270"/>
      <c r="Y1300" s="270"/>
      <c r="Z1300" s="270"/>
      <c r="AA1300" s="114"/>
      <c r="AB1300" s="85"/>
      <c r="AC1300" s="85"/>
      <c r="AD1300" s="85"/>
      <c r="AE1300" s="85"/>
    </row>
    <row r="1301" spans="3:31" ht="15" thickBot="1" x14ac:dyDescent="0.35">
      <c r="C1301" s="501" t="s">
        <v>767</v>
      </c>
      <c r="D1301" s="116"/>
      <c r="E1301" s="116" t="s">
        <v>43</v>
      </c>
      <c r="F1301" s="116" t="s">
        <v>111</v>
      </c>
      <c r="G1301" s="450" t="str">
        <f t="shared" si="60"/>
        <v>Rental Car Center D-Maintenance-Boiler</v>
      </c>
      <c r="H1301" s="116"/>
      <c r="I1301" s="889" t="s">
        <v>66</v>
      </c>
      <c r="J1301" s="890">
        <f>SUMIFS('Level of Efficiency Assumptions'!J:J,'Level of Efficiency Assumptions'!D:D,E1301,'Level of Efficiency Assumptions'!F:F,F1301,'Level of Efficiency Assumptions'!I:I,I1301)</f>
        <v>50</v>
      </c>
      <c r="K1301" s="383" t="s">
        <v>585</v>
      </c>
      <c r="L1301" s="257" t="s">
        <v>66</v>
      </c>
      <c r="M1301" s="879">
        <f>Q1303+Q1304</f>
        <v>0</v>
      </c>
      <c r="N1301" s="880">
        <f>IFERROR(M1301/M1302,"-")</f>
        <v>0</v>
      </c>
      <c r="O1301" s="881">
        <f>SUMIFS('Data Entry'!T:T,'Data Entry'!K:K,G1301)</f>
        <v>0</v>
      </c>
      <c r="P1301" s="274"/>
      <c r="Q1301" s="895">
        <v>1</v>
      </c>
      <c r="R1301" s="114"/>
      <c r="S1301" s="884"/>
      <c r="T1301" s="270"/>
      <c r="U1301" s="270"/>
      <c r="V1301" s="270"/>
      <c r="W1301" s="270"/>
      <c r="X1301" s="270"/>
      <c r="Y1301" s="270"/>
      <c r="Z1301" s="270"/>
      <c r="AA1301" s="114"/>
      <c r="AB1301" s="85"/>
      <c r="AC1301" s="85"/>
      <c r="AD1301" s="85"/>
      <c r="AE1301" s="85"/>
    </row>
    <row r="1302" spans="3:31" x14ac:dyDescent="0.3">
      <c r="C1302" s="450"/>
      <c r="D1302" s="182"/>
      <c r="E1302" s="182"/>
      <c r="F1302" s="182"/>
      <c r="G1302" s="450" t="str">
        <f t="shared" si="60"/>
        <v>--</v>
      </c>
      <c r="H1302" s="182"/>
      <c r="I1302" s="440"/>
      <c r="J1302" s="892"/>
      <c r="K1302" s="259"/>
      <c r="L1302" s="259" t="s">
        <v>46</v>
      </c>
      <c r="M1302" s="893">
        <f>SUM(M1299:M1301)</f>
        <v>1</v>
      </c>
      <c r="N1302" s="894"/>
      <c r="O1302" s="894">
        <f>SUM(O1299:O1301)</f>
        <v>0</v>
      </c>
      <c r="P1302" s="274"/>
      <c r="Q1302" s="895">
        <v>0</v>
      </c>
      <c r="R1302" s="114"/>
      <c r="S1302" s="884"/>
      <c r="T1302" s="270"/>
      <c r="U1302" s="270"/>
      <c r="V1302" s="270"/>
      <c r="W1302" s="270"/>
      <c r="X1302" s="270"/>
      <c r="Y1302" s="270"/>
      <c r="Z1302" s="270"/>
      <c r="AA1302" s="114"/>
      <c r="AB1302" s="85"/>
      <c r="AC1302" s="85"/>
      <c r="AD1302" s="85"/>
      <c r="AE1302" s="85"/>
    </row>
    <row r="1303" spans="3:31" x14ac:dyDescent="0.3">
      <c r="C1303" s="450"/>
      <c r="D1303" s="182"/>
      <c r="E1303" s="182"/>
      <c r="F1303" s="182"/>
      <c r="G1303" s="450" t="str">
        <f t="shared" si="60"/>
        <v>--</v>
      </c>
      <c r="H1303" s="182"/>
      <c r="I1303" s="892"/>
      <c r="J1303" s="288"/>
      <c r="K1303" s="288"/>
      <c r="L1303" s="182"/>
      <c r="M1303" s="270"/>
      <c r="N1303" s="892"/>
      <c r="O1303" s="892"/>
      <c r="P1303" s="275"/>
      <c r="Q1303" s="895">
        <v>0</v>
      </c>
      <c r="R1303" s="114"/>
      <c r="S1303" s="884"/>
      <c r="T1303" s="270"/>
      <c r="U1303" s="270"/>
      <c r="V1303" s="270"/>
      <c r="W1303" s="270"/>
      <c r="X1303" s="270"/>
      <c r="Y1303" s="270"/>
      <c r="Z1303" s="270"/>
      <c r="AA1303" s="114"/>
      <c r="AB1303" s="85"/>
      <c r="AC1303" s="85"/>
      <c r="AD1303" s="85"/>
      <c r="AE1303" s="85"/>
    </row>
    <row r="1304" spans="3:31" x14ac:dyDescent="0.3">
      <c r="C1304" s="450"/>
      <c r="D1304" s="182"/>
      <c r="E1304" s="182"/>
      <c r="F1304" s="182"/>
      <c r="G1304" s="450" t="str">
        <f t="shared" si="60"/>
        <v>--</v>
      </c>
      <c r="H1304" s="182"/>
      <c r="I1304" s="892"/>
      <c r="J1304" s="288"/>
      <c r="K1304" s="288"/>
      <c r="L1304" s="182"/>
      <c r="M1304" s="270"/>
      <c r="N1304" s="892"/>
      <c r="O1304" s="892"/>
      <c r="P1304" s="269"/>
      <c r="Q1304" s="895">
        <v>0</v>
      </c>
      <c r="R1304" s="114"/>
      <c r="S1304" s="884"/>
      <c r="T1304" s="270"/>
      <c r="U1304" s="270"/>
      <c r="V1304" s="270"/>
      <c r="W1304" s="270"/>
      <c r="X1304" s="270"/>
      <c r="Y1304" s="270"/>
      <c r="Z1304" s="270"/>
      <c r="AA1304" s="114"/>
      <c r="AB1304" s="85"/>
      <c r="AC1304" s="85"/>
      <c r="AD1304" s="85"/>
      <c r="AE1304" s="85"/>
    </row>
    <row r="1305" spans="3:31" x14ac:dyDescent="0.3">
      <c r="C1305" s="450"/>
      <c r="D1305" s="182"/>
      <c r="E1305" s="182"/>
      <c r="F1305" s="182"/>
      <c r="G1305" s="450" t="str">
        <f t="shared" si="60"/>
        <v>--</v>
      </c>
      <c r="H1305" s="182"/>
      <c r="I1305" s="892"/>
      <c r="J1305" s="288"/>
      <c r="K1305" s="288"/>
      <c r="L1305" s="182"/>
      <c r="M1305" s="270"/>
      <c r="N1305" s="892"/>
      <c r="O1305" s="892"/>
      <c r="P1305" s="263" t="s">
        <v>46</v>
      </c>
      <c r="Q1305" s="897">
        <f>SUM(Q1299:Q1304)</f>
        <v>1</v>
      </c>
      <c r="R1305" s="899"/>
      <c r="S1305" s="900"/>
      <c r="T1305" s="270"/>
      <c r="U1305" s="270"/>
      <c r="V1305" s="270"/>
      <c r="W1305" s="270"/>
      <c r="X1305" s="270"/>
      <c r="Y1305" s="270"/>
      <c r="Z1305" s="270"/>
      <c r="AA1305" s="114"/>
      <c r="AB1305" s="85"/>
      <c r="AC1305" s="85"/>
      <c r="AD1305" s="85"/>
      <c r="AE1305" s="85"/>
    </row>
    <row r="1306" spans="3:31" x14ac:dyDescent="0.3">
      <c r="C1306" s="225"/>
      <c r="D1306" s="288"/>
      <c r="E1306" s="288"/>
      <c r="F1306" s="288"/>
      <c r="G1306" s="450" t="str">
        <f t="shared" si="60"/>
        <v>--</v>
      </c>
      <c r="H1306" s="182"/>
      <c r="I1306" s="892"/>
      <c r="J1306" s="288"/>
      <c r="K1306" s="288"/>
      <c r="L1306" s="182"/>
      <c r="M1306" s="270"/>
      <c r="N1306" s="892"/>
      <c r="O1306" s="892"/>
      <c r="P1306" s="259"/>
      <c r="Q1306" s="114"/>
      <c r="R1306" s="270"/>
      <c r="S1306" s="270"/>
      <c r="T1306" s="270"/>
      <c r="U1306" s="270"/>
      <c r="V1306" s="270"/>
      <c r="W1306" s="270"/>
      <c r="X1306" s="270"/>
      <c r="Y1306" s="270"/>
      <c r="Z1306" s="270"/>
      <c r="AA1306" s="114"/>
      <c r="AB1306" s="85"/>
      <c r="AC1306" s="85"/>
      <c r="AD1306" s="85"/>
      <c r="AE1306" s="85"/>
    </row>
    <row r="1307" spans="3:31" ht="15" thickBot="1" x14ac:dyDescent="0.35">
      <c r="C1307" s="225"/>
      <c r="D1307" s="182"/>
      <c r="E1307" s="182"/>
      <c r="F1307" s="182"/>
      <c r="G1307" s="450" t="str">
        <f t="shared" si="60"/>
        <v>--</v>
      </c>
      <c r="H1307" s="182"/>
      <c r="I1307" s="892"/>
      <c r="J1307" s="892"/>
      <c r="K1307" s="182"/>
      <c r="L1307" s="182"/>
      <c r="M1307" s="901" t="s">
        <v>155</v>
      </c>
      <c r="N1307" s="870" t="s">
        <v>188</v>
      </c>
      <c r="O1307" s="870"/>
      <c r="P1307" s="276" t="s">
        <v>9</v>
      </c>
      <c r="Q1307" s="871" t="s">
        <v>155</v>
      </c>
      <c r="R1307" s="902"/>
      <c r="S1307" s="874"/>
      <c r="T1307" s="270"/>
      <c r="U1307" s="270"/>
      <c r="V1307" s="270"/>
      <c r="W1307" s="270"/>
      <c r="X1307" s="270"/>
      <c r="Y1307" s="270"/>
      <c r="Z1307" s="270"/>
      <c r="AA1307" s="114"/>
      <c r="AB1307" s="85"/>
      <c r="AC1307" s="85"/>
      <c r="AD1307" s="85"/>
      <c r="AE1307" s="85"/>
    </row>
    <row r="1308" spans="3:31" ht="15" thickBot="1" x14ac:dyDescent="0.35">
      <c r="C1308" s="566" t="s">
        <v>767</v>
      </c>
      <c r="D1308" s="875" t="str">
        <f>VLOOKUP(C1308,'Airport Mapping'!$C$5:$D$39,2,FALSE)</f>
        <v xml:space="preserve"> </v>
      </c>
      <c r="E1308" s="567" t="s">
        <v>43</v>
      </c>
      <c r="F1308" s="567" t="s">
        <v>9</v>
      </c>
      <c r="G1308" s="450" t="str">
        <f t="shared" si="60"/>
        <v>Rental Car Center D-Maintenance-Vehicle washing</v>
      </c>
      <c r="H1308" s="567" t="s">
        <v>12</v>
      </c>
      <c r="I1308" s="877" t="s">
        <v>64</v>
      </c>
      <c r="J1308" s="878">
        <f>SUMIFS('Level of Efficiency Assumptions'!J:J,'Level of Efficiency Assumptions'!D:D,E1308,'Level of Efficiency Assumptions'!F:F,F1308,'Level of Efficiency Assumptions'!I:I,I1308)</f>
        <v>80</v>
      </c>
      <c r="K1308" s="383" t="s">
        <v>588</v>
      </c>
      <c r="L1308" s="253" t="s">
        <v>64</v>
      </c>
      <c r="M1308" s="879">
        <f>SUM(Q1308:Q1309)</f>
        <v>0</v>
      </c>
      <c r="N1308" s="880">
        <f>IFERROR(M1308/M1311,"-")</f>
        <v>0</v>
      </c>
      <c r="O1308" s="881">
        <f>SUMIFS('Data Entry'!R:R,'Data Entry'!K:K,G1308)</f>
        <v>0</v>
      </c>
      <c r="P1308" s="272"/>
      <c r="Q1308" s="895">
        <v>0</v>
      </c>
      <c r="R1308" s="114"/>
      <c r="S1308" s="884"/>
      <c r="T1308" s="270"/>
      <c r="U1308" s="270"/>
      <c r="V1308" s="270"/>
      <c r="W1308" s="270"/>
      <c r="X1308" s="270"/>
      <c r="Y1308" s="270"/>
      <c r="Z1308" s="270"/>
      <c r="AA1308" s="114"/>
      <c r="AB1308" s="85"/>
      <c r="AC1308" s="85"/>
      <c r="AD1308" s="85"/>
      <c r="AE1308" s="85"/>
    </row>
    <row r="1309" spans="3:31" ht="15" thickBot="1" x14ac:dyDescent="0.35">
      <c r="C1309" s="494" t="s">
        <v>767</v>
      </c>
      <c r="D1309" s="577"/>
      <c r="E1309" s="577" t="s">
        <v>43</v>
      </c>
      <c r="F1309" s="577" t="s">
        <v>9</v>
      </c>
      <c r="G1309" s="450" t="str">
        <f t="shared" si="60"/>
        <v>Rental Car Center D-Maintenance-Vehicle washing</v>
      </c>
      <c r="H1309" s="577"/>
      <c r="I1309" s="887" t="s">
        <v>65</v>
      </c>
      <c r="J1309" s="878">
        <f>SUMIFS('Level of Efficiency Assumptions'!J:J,'Level of Efficiency Assumptions'!D:D,E1309,'Level of Efficiency Assumptions'!F:F,F1309,'Level of Efficiency Assumptions'!I:I,I1309)</f>
        <v>40</v>
      </c>
      <c r="K1309" s="383" t="s">
        <v>588</v>
      </c>
      <c r="L1309" s="255" t="s">
        <v>65</v>
      </c>
      <c r="M1309" s="879">
        <f>Q1310+Q1311</f>
        <v>1</v>
      </c>
      <c r="N1309" s="880">
        <f>IFERROR(M1309/M1311,"-")</f>
        <v>1</v>
      </c>
      <c r="O1309" s="881">
        <f>SUMIFS('Data Entry'!S:S,'Data Entry'!K:K,G1309)</f>
        <v>0</v>
      </c>
      <c r="P1309" s="272"/>
      <c r="Q1309" s="895">
        <v>0</v>
      </c>
      <c r="R1309" s="114"/>
      <c r="S1309" s="884"/>
      <c r="T1309" s="270"/>
      <c r="U1309" s="270"/>
      <c r="V1309" s="270"/>
      <c r="W1309" s="270"/>
      <c r="X1309" s="270"/>
      <c r="Y1309" s="270"/>
      <c r="Z1309" s="270"/>
      <c r="AA1309" s="114"/>
      <c r="AB1309" s="85"/>
      <c r="AC1309" s="85"/>
      <c r="AD1309" s="85"/>
      <c r="AE1309" s="85"/>
    </row>
    <row r="1310" spans="3:31" ht="15" thickBot="1" x14ac:dyDescent="0.35">
      <c r="C1310" s="501" t="s">
        <v>767</v>
      </c>
      <c r="D1310" s="116"/>
      <c r="E1310" s="116" t="s">
        <v>43</v>
      </c>
      <c r="F1310" s="116" t="s">
        <v>9</v>
      </c>
      <c r="G1310" s="450" t="str">
        <f t="shared" si="60"/>
        <v>Rental Car Center D-Maintenance-Vehicle washing</v>
      </c>
      <c r="H1310" s="116"/>
      <c r="I1310" s="889" t="s">
        <v>66</v>
      </c>
      <c r="J1310" s="890">
        <f>SUMIFS('Level of Efficiency Assumptions'!J:J,'Level of Efficiency Assumptions'!D:D,E1310,'Level of Efficiency Assumptions'!F:F,F1310,'Level of Efficiency Assumptions'!I:I,I1310)</f>
        <v>30</v>
      </c>
      <c r="K1310" s="383" t="s">
        <v>588</v>
      </c>
      <c r="L1310" s="257" t="s">
        <v>66</v>
      </c>
      <c r="M1310" s="879">
        <f>Q1312+Q1313</f>
        <v>0</v>
      </c>
      <c r="N1310" s="880">
        <f>IFERROR(M1310/M1311,"-")</f>
        <v>0</v>
      </c>
      <c r="O1310" s="881">
        <f>SUMIFS('Data Entry'!T:T,'Data Entry'!K:K,G1310)</f>
        <v>0</v>
      </c>
      <c r="P1310" s="274"/>
      <c r="Q1310" s="895">
        <v>1</v>
      </c>
      <c r="R1310" s="114"/>
      <c r="S1310" s="884"/>
      <c r="T1310" s="270"/>
      <c r="U1310" s="270"/>
      <c r="V1310" s="270"/>
      <c r="W1310" s="270"/>
      <c r="X1310" s="270"/>
      <c r="Y1310" s="270"/>
      <c r="Z1310" s="270"/>
      <c r="AA1310" s="114"/>
      <c r="AB1310" s="85"/>
      <c r="AC1310" s="85"/>
      <c r="AD1310" s="85"/>
      <c r="AE1310" s="85"/>
    </row>
    <row r="1311" spans="3:31" x14ac:dyDescent="0.3">
      <c r="C1311" s="450"/>
      <c r="D1311" s="182"/>
      <c r="E1311" s="182"/>
      <c r="F1311" s="182"/>
      <c r="G1311" s="450" t="str">
        <f t="shared" si="60"/>
        <v>--</v>
      </c>
      <c r="H1311" s="182"/>
      <c r="I1311" s="440"/>
      <c r="J1311" s="892"/>
      <c r="K1311" s="259"/>
      <c r="L1311" s="259" t="s">
        <v>46</v>
      </c>
      <c r="M1311" s="893">
        <f>SUM(M1308:M1310)</f>
        <v>1</v>
      </c>
      <c r="N1311" s="894"/>
      <c r="O1311" s="894">
        <f>SUM(O1308:O1310)</f>
        <v>0</v>
      </c>
      <c r="P1311" s="274"/>
      <c r="Q1311" s="895">
        <v>0</v>
      </c>
      <c r="R1311" s="114"/>
      <c r="S1311" s="884"/>
      <c r="T1311" s="270"/>
      <c r="U1311" s="270"/>
      <c r="V1311" s="270"/>
      <c r="W1311" s="270"/>
      <c r="X1311" s="270"/>
      <c r="Y1311" s="270"/>
      <c r="Z1311" s="270"/>
      <c r="AA1311" s="114"/>
      <c r="AB1311" s="85"/>
      <c r="AC1311" s="85"/>
      <c r="AD1311" s="85"/>
      <c r="AE1311" s="85"/>
    </row>
    <row r="1312" spans="3:31" x14ac:dyDescent="0.3">
      <c r="C1312" s="450"/>
      <c r="D1312" s="182"/>
      <c r="E1312" s="182"/>
      <c r="F1312" s="182"/>
      <c r="G1312" s="450" t="str">
        <f t="shared" si="60"/>
        <v>--</v>
      </c>
      <c r="H1312" s="182"/>
      <c r="I1312" s="892"/>
      <c r="J1312" s="288"/>
      <c r="K1312" s="288"/>
      <c r="L1312" s="182"/>
      <c r="M1312" s="270"/>
      <c r="N1312" s="892"/>
      <c r="O1312" s="892"/>
      <c r="P1312" s="275"/>
      <c r="Q1312" s="895">
        <v>0</v>
      </c>
      <c r="R1312" s="114"/>
      <c r="S1312" s="884"/>
      <c r="T1312" s="270"/>
      <c r="U1312" s="270"/>
      <c r="V1312" s="270"/>
      <c r="W1312" s="270"/>
      <c r="X1312" s="270"/>
      <c r="Y1312" s="270"/>
      <c r="Z1312" s="270"/>
      <c r="AA1312" s="114"/>
      <c r="AB1312" s="85"/>
      <c r="AC1312" s="85"/>
      <c r="AD1312" s="85"/>
      <c r="AE1312" s="85"/>
    </row>
    <row r="1313" spans="3:31" x14ac:dyDescent="0.3">
      <c r="C1313" s="450"/>
      <c r="D1313" s="182"/>
      <c r="E1313" s="182"/>
      <c r="F1313" s="182"/>
      <c r="G1313" s="450" t="str">
        <f t="shared" si="60"/>
        <v>--</v>
      </c>
      <c r="H1313" s="182"/>
      <c r="I1313" s="892"/>
      <c r="J1313" s="288"/>
      <c r="K1313" s="288"/>
      <c r="L1313" s="182"/>
      <c r="M1313" s="270"/>
      <c r="N1313" s="892"/>
      <c r="O1313" s="892"/>
      <c r="P1313" s="269"/>
      <c r="Q1313" s="895">
        <v>0</v>
      </c>
      <c r="R1313" s="114"/>
      <c r="S1313" s="884"/>
      <c r="T1313" s="270"/>
      <c r="U1313" s="270"/>
      <c r="V1313" s="270"/>
      <c r="W1313" s="270"/>
      <c r="X1313" s="270"/>
      <c r="Y1313" s="270"/>
      <c r="Z1313" s="270"/>
      <c r="AA1313" s="114"/>
      <c r="AB1313" s="85"/>
      <c r="AC1313" s="85"/>
      <c r="AD1313" s="85"/>
      <c r="AE1313" s="85"/>
    </row>
    <row r="1314" spans="3:31" x14ac:dyDescent="0.3">
      <c r="C1314" s="450"/>
      <c r="D1314" s="182"/>
      <c r="E1314" s="182"/>
      <c r="F1314" s="182"/>
      <c r="G1314" s="450" t="str">
        <f t="shared" si="60"/>
        <v>--</v>
      </c>
      <c r="H1314" s="182"/>
      <c r="I1314" s="892"/>
      <c r="J1314" s="288"/>
      <c r="K1314" s="288"/>
      <c r="L1314" s="182"/>
      <c r="M1314" s="270"/>
      <c r="N1314" s="892"/>
      <c r="O1314" s="892"/>
      <c r="P1314" s="263" t="s">
        <v>46</v>
      </c>
      <c r="Q1314" s="897">
        <f>SUM(Q1308:Q1313)</f>
        <v>1</v>
      </c>
      <c r="R1314" s="899"/>
      <c r="S1314" s="900"/>
      <c r="T1314" s="270"/>
      <c r="U1314" s="270"/>
      <c r="V1314" s="270"/>
      <c r="W1314" s="270"/>
      <c r="X1314" s="270"/>
      <c r="Y1314" s="270"/>
      <c r="Z1314" s="270"/>
      <c r="AA1314" s="114"/>
      <c r="AB1314" s="85"/>
      <c r="AC1314" s="85"/>
      <c r="AD1314" s="85"/>
      <c r="AE1314" s="85"/>
    </row>
    <row r="1315" spans="3:31" x14ac:dyDescent="0.3">
      <c r="C1315" s="450"/>
      <c r="D1315" s="182"/>
      <c r="E1315" s="182"/>
      <c r="F1315" s="182"/>
      <c r="G1315" s="450" t="str">
        <f t="shared" si="60"/>
        <v>--</v>
      </c>
      <c r="H1315" s="182"/>
      <c r="I1315" s="892"/>
      <c r="J1315" s="288"/>
      <c r="K1315" s="288"/>
      <c r="L1315" s="182"/>
      <c r="M1315" s="270"/>
      <c r="N1315" s="892"/>
      <c r="O1315" s="892"/>
      <c r="P1315" s="259"/>
      <c r="Q1315" s="114"/>
      <c r="R1315" s="114"/>
      <c r="S1315" s="114"/>
      <c r="T1315" s="270"/>
      <c r="U1315" s="270"/>
      <c r="V1315" s="270"/>
      <c r="W1315" s="270"/>
      <c r="X1315" s="270"/>
      <c r="Y1315" s="270"/>
      <c r="Z1315" s="270"/>
      <c r="AA1315" s="114"/>
      <c r="AB1315" s="85"/>
      <c r="AC1315" s="85"/>
      <c r="AD1315" s="85"/>
      <c r="AE1315" s="85"/>
    </row>
    <row r="1316" spans="3:31" ht="15" thickBot="1" x14ac:dyDescent="0.35">
      <c r="C1316" s="450"/>
      <c r="D1316" s="182"/>
      <c r="E1316" s="182"/>
      <c r="F1316" s="182"/>
      <c r="G1316" s="450" t="str">
        <f t="shared" si="60"/>
        <v>--</v>
      </c>
      <c r="H1316" s="182"/>
      <c r="I1316" s="892"/>
      <c r="J1316" s="892"/>
      <c r="K1316" s="182"/>
      <c r="L1316" s="182"/>
      <c r="M1316" s="901" t="s">
        <v>155</v>
      </c>
      <c r="N1316" s="870" t="s">
        <v>188</v>
      </c>
      <c r="O1316" s="870"/>
      <c r="P1316" s="276" t="s">
        <v>426</v>
      </c>
      <c r="Q1316" s="871" t="s">
        <v>155</v>
      </c>
      <c r="R1316" s="902"/>
      <c r="S1316" s="874"/>
      <c r="T1316" s="270"/>
      <c r="U1316" s="270"/>
      <c r="V1316" s="270"/>
      <c r="W1316" s="270"/>
      <c r="X1316" s="270"/>
      <c r="Y1316" s="270"/>
      <c r="Z1316" s="270"/>
      <c r="AA1316" s="114"/>
      <c r="AB1316" s="85"/>
      <c r="AC1316" s="85"/>
      <c r="AD1316" s="85"/>
      <c r="AE1316" s="85"/>
    </row>
    <row r="1317" spans="3:31" ht="15" thickBot="1" x14ac:dyDescent="0.35">
      <c r="C1317" s="566" t="s">
        <v>767</v>
      </c>
      <c r="D1317" s="875" t="str">
        <f>VLOOKUP(C1317,'Airport Mapping'!$C$5:$D$39,2,FALSE)</f>
        <v xml:space="preserve"> </v>
      </c>
      <c r="E1317" s="567" t="s">
        <v>43</v>
      </c>
      <c r="F1317" s="567" t="s">
        <v>426</v>
      </c>
      <c r="G1317" s="450" t="str">
        <f t="shared" si="60"/>
        <v>Rental Car Center D-Maintenance-Pavement cleaning</v>
      </c>
      <c r="H1317" s="567" t="s">
        <v>12</v>
      </c>
      <c r="I1317" s="877" t="s">
        <v>64</v>
      </c>
      <c r="J1317" s="878">
        <f>SUMIFS('Level of Efficiency Assumptions'!J:J,'Level of Efficiency Assumptions'!D:D,E1317,'Level of Efficiency Assumptions'!F:F,F1317,'Level of Efficiency Assumptions'!I:I,I1317)</f>
        <v>10</v>
      </c>
      <c r="K1317" s="383" t="s">
        <v>588</v>
      </c>
      <c r="L1317" s="253" t="s">
        <v>64</v>
      </c>
      <c r="M1317" s="879">
        <f>SUM(Q1317:Q1318)</f>
        <v>0</v>
      </c>
      <c r="N1317" s="880">
        <f>IFERROR(M1317/M1320,"-")</f>
        <v>0</v>
      </c>
      <c r="O1317" s="881">
        <f>SUMIFS('Data Entry'!R:R,'Data Entry'!K:K,G1317)</f>
        <v>0</v>
      </c>
      <c r="P1317" s="272"/>
      <c r="Q1317" s="895">
        <v>0</v>
      </c>
      <c r="R1317" s="114"/>
      <c r="S1317" s="884"/>
      <c r="T1317" s="270"/>
      <c r="U1317" s="270"/>
      <c r="V1317" s="270"/>
      <c r="W1317" s="270"/>
      <c r="X1317" s="270"/>
      <c r="Y1317" s="270"/>
      <c r="Z1317" s="270"/>
      <c r="AA1317" s="114"/>
      <c r="AB1317" s="85"/>
      <c r="AC1317" s="85"/>
      <c r="AD1317" s="85"/>
      <c r="AE1317" s="85"/>
    </row>
    <row r="1318" spans="3:31" ht="15" thickBot="1" x14ac:dyDescent="0.35">
      <c r="C1318" s="494" t="s">
        <v>767</v>
      </c>
      <c r="D1318" s="577"/>
      <c r="E1318" s="577" t="s">
        <v>43</v>
      </c>
      <c r="F1318" s="577" t="s">
        <v>426</v>
      </c>
      <c r="G1318" s="450" t="str">
        <f t="shared" si="60"/>
        <v>Rental Car Center D-Maintenance-Pavement cleaning</v>
      </c>
      <c r="H1318" s="577"/>
      <c r="I1318" s="887" t="s">
        <v>65</v>
      </c>
      <c r="J1318" s="878">
        <f>SUMIFS('Level of Efficiency Assumptions'!J:J,'Level of Efficiency Assumptions'!D:D,E1318,'Level of Efficiency Assumptions'!F:F,F1318,'Level of Efficiency Assumptions'!I:I,I1318)</f>
        <v>7.5</v>
      </c>
      <c r="K1318" s="383" t="s">
        <v>588</v>
      </c>
      <c r="L1318" s="255" t="s">
        <v>65</v>
      </c>
      <c r="M1318" s="879">
        <f>Q1319+Q1320</f>
        <v>1</v>
      </c>
      <c r="N1318" s="880">
        <f>IFERROR(M1318/M1320,"-")</f>
        <v>1</v>
      </c>
      <c r="O1318" s="881">
        <f>SUMIFS('Data Entry'!S:S,'Data Entry'!K:K,G1318)</f>
        <v>0</v>
      </c>
      <c r="P1318" s="272"/>
      <c r="Q1318" s="895">
        <v>0</v>
      </c>
      <c r="R1318" s="114"/>
      <c r="S1318" s="884"/>
      <c r="T1318" s="270"/>
      <c r="U1318" s="270"/>
      <c r="V1318" s="270"/>
      <c r="W1318" s="270"/>
      <c r="X1318" s="270"/>
      <c r="Y1318" s="270"/>
      <c r="Z1318" s="270"/>
      <c r="AA1318" s="114"/>
      <c r="AB1318" s="85"/>
      <c r="AC1318" s="85"/>
      <c r="AD1318" s="85"/>
      <c r="AE1318" s="85"/>
    </row>
    <row r="1319" spans="3:31" ht="15" thickBot="1" x14ac:dyDescent="0.35">
      <c r="C1319" s="501" t="s">
        <v>767</v>
      </c>
      <c r="D1319" s="116"/>
      <c r="E1319" s="116" t="s">
        <v>43</v>
      </c>
      <c r="F1319" s="116" t="s">
        <v>426</v>
      </c>
      <c r="G1319" s="450" t="str">
        <f t="shared" si="60"/>
        <v>Rental Car Center D-Maintenance-Pavement cleaning</v>
      </c>
      <c r="H1319" s="116"/>
      <c r="I1319" s="889" t="s">
        <v>66</v>
      </c>
      <c r="J1319" s="890">
        <f>SUMIFS('Level of Efficiency Assumptions'!J:J,'Level of Efficiency Assumptions'!D:D,E1319,'Level of Efficiency Assumptions'!F:F,F1319,'Level of Efficiency Assumptions'!I:I,I1319)</f>
        <v>5</v>
      </c>
      <c r="K1319" s="383" t="s">
        <v>588</v>
      </c>
      <c r="L1319" s="257" t="s">
        <v>66</v>
      </c>
      <c r="M1319" s="879">
        <f>Q1321+Q1322</f>
        <v>0</v>
      </c>
      <c r="N1319" s="880">
        <f>IFERROR(M1319/M1320,"-")</f>
        <v>0</v>
      </c>
      <c r="O1319" s="881">
        <f>SUMIFS('Data Entry'!T:T,'Data Entry'!K:K,G1319)</f>
        <v>0</v>
      </c>
      <c r="P1319" s="274"/>
      <c r="Q1319" s="895">
        <v>1</v>
      </c>
      <c r="R1319" s="114"/>
      <c r="S1319" s="884"/>
      <c r="T1319" s="270"/>
      <c r="U1319" s="270"/>
      <c r="V1319" s="270"/>
      <c r="W1319" s="270"/>
      <c r="X1319" s="270"/>
      <c r="Y1319" s="270"/>
      <c r="Z1319" s="270"/>
      <c r="AA1319" s="114"/>
      <c r="AB1319" s="85"/>
      <c r="AC1319" s="85"/>
      <c r="AD1319" s="85"/>
      <c r="AE1319" s="85"/>
    </row>
    <row r="1320" spans="3:31" x14ac:dyDescent="0.3">
      <c r="C1320" s="450"/>
      <c r="D1320" s="182"/>
      <c r="E1320" s="182"/>
      <c r="F1320" s="182"/>
      <c r="G1320" s="450" t="str">
        <f t="shared" si="60"/>
        <v>--</v>
      </c>
      <c r="H1320" s="182"/>
      <c r="I1320" s="440"/>
      <c r="J1320" s="892"/>
      <c r="K1320" s="259"/>
      <c r="L1320" s="259" t="s">
        <v>46</v>
      </c>
      <c r="M1320" s="893">
        <f>SUM(M1317:M1319)</f>
        <v>1</v>
      </c>
      <c r="N1320" s="894"/>
      <c r="O1320" s="894">
        <f>SUM(O1317:O1319)</f>
        <v>0</v>
      </c>
      <c r="P1320" s="274"/>
      <c r="Q1320" s="895">
        <v>0</v>
      </c>
      <c r="R1320" s="114"/>
      <c r="S1320" s="884"/>
      <c r="T1320" s="270"/>
      <c r="U1320" s="270"/>
      <c r="V1320" s="270"/>
      <c r="W1320" s="270"/>
      <c r="X1320" s="270"/>
      <c r="Y1320" s="270"/>
      <c r="Z1320" s="270"/>
      <c r="AA1320" s="114"/>
      <c r="AB1320" s="85"/>
      <c r="AC1320" s="85"/>
      <c r="AD1320" s="85"/>
      <c r="AE1320" s="85"/>
    </row>
    <row r="1321" spans="3:31" x14ac:dyDescent="0.3">
      <c r="C1321" s="450"/>
      <c r="D1321" s="182"/>
      <c r="E1321" s="182"/>
      <c r="F1321" s="182"/>
      <c r="G1321" s="450" t="str">
        <f t="shared" si="60"/>
        <v>--</v>
      </c>
      <c r="H1321" s="182"/>
      <c r="I1321" s="892"/>
      <c r="J1321" s="288"/>
      <c r="K1321" s="288"/>
      <c r="L1321" s="182"/>
      <c r="M1321" s="270"/>
      <c r="N1321" s="892"/>
      <c r="O1321" s="892"/>
      <c r="P1321" s="275"/>
      <c r="Q1321" s="895">
        <v>0</v>
      </c>
      <c r="R1321" s="114"/>
      <c r="S1321" s="884"/>
      <c r="T1321" s="270"/>
      <c r="U1321" s="270"/>
      <c r="V1321" s="270"/>
      <c r="W1321" s="270"/>
      <c r="X1321" s="270"/>
      <c r="Y1321" s="270"/>
      <c r="Z1321" s="270"/>
      <c r="AA1321" s="114"/>
      <c r="AB1321" s="85"/>
      <c r="AC1321" s="85"/>
      <c r="AD1321" s="85"/>
      <c r="AE1321" s="85"/>
    </row>
    <row r="1322" spans="3:31" x14ac:dyDescent="0.3">
      <c r="C1322" s="450"/>
      <c r="D1322" s="182"/>
      <c r="E1322" s="182"/>
      <c r="F1322" s="182"/>
      <c r="G1322" s="450" t="str">
        <f t="shared" si="60"/>
        <v>--</v>
      </c>
      <c r="H1322" s="182"/>
      <c r="I1322" s="892"/>
      <c r="J1322" s="288"/>
      <c r="K1322" s="288"/>
      <c r="L1322" s="182"/>
      <c r="M1322" s="270"/>
      <c r="N1322" s="892"/>
      <c r="O1322" s="892"/>
      <c r="P1322" s="269"/>
      <c r="Q1322" s="895">
        <v>0</v>
      </c>
      <c r="R1322" s="114"/>
      <c r="S1322" s="884"/>
      <c r="T1322" s="270"/>
      <c r="U1322" s="114"/>
      <c r="V1322" s="114"/>
      <c r="W1322" s="114"/>
      <c r="X1322" s="114"/>
      <c r="Y1322" s="114"/>
      <c r="Z1322" s="114"/>
      <c r="AA1322" s="114"/>
      <c r="AB1322" s="85"/>
      <c r="AC1322" s="85"/>
      <c r="AD1322" s="85"/>
      <c r="AE1322" s="85"/>
    </row>
    <row r="1323" spans="3:31" x14ac:dyDescent="0.3">
      <c r="C1323" s="450"/>
      <c r="D1323" s="182"/>
      <c r="E1323" s="182"/>
      <c r="F1323" s="182"/>
      <c r="G1323" s="450" t="str">
        <f t="shared" si="60"/>
        <v>--</v>
      </c>
      <c r="H1323" s="182"/>
      <c r="I1323" s="892"/>
      <c r="J1323" s="288"/>
      <c r="K1323" s="288"/>
      <c r="L1323" s="182"/>
      <c r="M1323" s="270"/>
      <c r="N1323" s="892"/>
      <c r="O1323" s="892"/>
      <c r="P1323" s="263" t="s">
        <v>46</v>
      </c>
      <c r="Q1323" s="897">
        <f>SUM(Q1317:Q1322)</f>
        <v>1</v>
      </c>
      <c r="R1323" s="899"/>
      <c r="S1323" s="900"/>
      <c r="T1323" s="270"/>
      <c r="U1323" s="114"/>
      <c r="V1323" s="114"/>
      <c r="W1323" s="114"/>
      <c r="X1323" s="114"/>
      <c r="Y1323" s="114"/>
      <c r="Z1323" s="114"/>
      <c r="AA1323" s="114"/>
      <c r="AB1323" s="85"/>
      <c r="AC1323" s="85"/>
      <c r="AD1323" s="85"/>
      <c r="AE1323" s="85"/>
    </row>
    <row r="1324" spans="3:31" x14ac:dyDescent="0.3">
      <c r="C1324" s="450"/>
      <c r="D1324" s="182"/>
      <c r="E1324" s="182"/>
      <c r="F1324" s="182"/>
      <c r="G1324" s="450" t="str">
        <f t="shared" si="60"/>
        <v>--</v>
      </c>
      <c r="H1324" s="182"/>
      <c r="I1324" s="892"/>
      <c r="J1324" s="288"/>
      <c r="K1324" s="288"/>
      <c r="L1324" s="270"/>
      <c r="M1324" s="270"/>
      <c r="N1324" s="923"/>
      <c r="O1324" s="923"/>
      <c r="P1324" s="270"/>
      <c r="Q1324" s="270"/>
      <c r="R1324" s="270"/>
      <c r="S1324" s="270"/>
      <c r="T1324" s="270"/>
      <c r="U1324" s="114"/>
      <c r="V1324" s="114"/>
      <c r="W1324" s="114"/>
      <c r="X1324" s="114"/>
      <c r="Y1324" s="114"/>
      <c r="Z1324" s="114"/>
      <c r="AA1324" s="114"/>
      <c r="AB1324" s="85"/>
      <c r="AC1324" s="85"/>
      <c r="AD1324" s="85"/>
      <c r="AE1324" s="85"/>
    </row>
    <row r="1325" spans="3:31" ht="15" thickBot="1" x14ac:dyDescent="0.35">
      <c r="C1325" s="450"/>
      <c r="D1325" s="182"/>
      <c r="E1325" s="182"/>
      <c r="F1325" s="182"/>
      <c r="G1325" s="450" t="str">
        <f t="shared" si="60"/>
        <v>--</v>
      </c>
      <c r="H1325" s="182"/>
      <c r="I1325" s="892"/>
      <c r="J1325" s="892"/>
      <c r="K1325" s="182"/>
      <c r="L1325" s="182"/>
      <c r="M1325" s="901" t="s">
        <v>155</v>
      </c>
      <c r="N1325" s="870" t="s">
        <v>188</v>
      </c>
      <c r="O1325" s="870"/>
      <c r="P1325" s="276" t="s">
        <v>52</v>
      </c>
      <c r="Q1325" s="871" t="s">
        <v>155</v>
      </c>
      <c r="R1325" s="902"/>
      <c r="S1325" s="874"/>
      <c r="T1325" s="270"/>
      <c r="U1325" s="114"/>
      <c r="V1325" s="114"/>
      <c r="W1325" s="114"/>
      <c r="X1325" s="114"/>
      <c r="Y1325" s="114"/>
      <c r="Z1325" s="114"/>
      <c r="AA1325" s="114"/>
      <c r="AB1325" s="85"/>
      <c r="AC1325" s="85"/>
      <c r="AD1325" s="85"/>
      <c r="AE1325" s="85"/>
    </row>
    <row r="1326" spans="3:31" ht="15" thickBot="1" x14ac:dyDescent="0.35">
      <c r="C1326" s="566" t="s">
        <v>767</v>
      </c>
      <c r="D1326" s="875" t="str">
        <f>VLOOKUP(C1326,'Airport Mapping'!$C$5:$D$39,2,FALSE)</f>
        <v xml:space="preserve"> </v>
      </c>
      <c r="E1326" s="567" t="s">
        <v>8</v>
      </c>
      <c r="F1326" s="567" t="s">
        <v>52</v>
      </c>
      <c r="G1326" s="450" t="str">
        <f t="shared" si="60"/>
        <v>Rental Car Center D-Other-Other 1</v>
      </c>
      <c r="H1326" s="567" t="s">
        <v>362</v>
      </c>
      <c r="I1326" s="877" t="s">
        <v>64</v>
      </c>
      <c r="J1326" s="878">
        <f>SUMIFS('Level of Efficiency Assumptions'!J:J,'Level of Efficiency Assumptions'!D:D,E1326,'Level of Efficiency Assumptions'!F:F,F1326,'Level of Efficiency Assumptions'!I:I,I1326)</f>
        <v>10</v>
      </c>
      <c r="K1326" s="383" t="s">
        <v>588</v>
      </c>
      <c r="L1326" s="253" t="s">
        <v>64</v>
      </c>
      <c r="M1326" s="879">
        <f>SUM(Q1326:Q1326)</f>
        <v>0</v>
      </c>
      <c r="N1326" s="880">
        <f>IFERROR(M1326/M1329,"-")</f>
        <v>0</v>
      </c>
      <c r="O1326" s="881">
        <f>SUMIFS('Data Entry'!R:R,'Data Entry'!K:K,G1326)</f>
        <v>0</v>
      </c>
      <c r="P1326" s="272" t="s">
        <v>129</v>
      </c>
      <c r="Q1326" s="895">
        <v>0</v>
      </c>
      <c r="R1326" s="114"/>
      <c r="S1326" s="884"/>
      <c r="T1326" s="270"/>
      <c r="U1326" s="114"/>
      <c r="V1326" s="114"/>
      <c r="W1326" s="114"/>
      <c r="X1326" s="114"/>
      <c r="Y1326" s="114"/>
      <c r="Z1326" s="114"/>
      <c r="AA1326" s="114"/>
      <c r="AB1326" s="85"/>
      <c r="AC1326" s="85"/>
      <c r="AD1326" s="85"/>
      <c r="AE1326" s="85"/>
    </row>
    <row r="1327" spans="3:31" ht="15" thickBot="1" x14ac:dyDescent="0.35">
      <c r="C1327" s="494" t="s">
        <v>767</v>
      </c>
      <c r="D1327" s="577"/>
      <c r="E1327" s="577" t="s">
        <v>8</v>
      </c>
      <c r="F1327" s="577" t="s">
        <v>52</v>
      </c>
      <c r="G1327" s="450" t="str">
        <f t="shared" si="60"/>
        <v>Rental Car Center D-Other-Other 1</v>
      </c>
      <c r="H1327" s="577"/>
      <c r="I1327" s="887" t="s">
        <v>65</v>
      </c>
      <c r="J1327" s="878">
        <f>SUMIFS('Level of Efficiency Assumptions'!J:J,'Level of Efficiency Assumptions'!D:D,E1327,'Level of Efficiency Assumptions'!F:F,F1327,'Level of Efficiency Assumptions'!I:I,I1327)</f>
        <v>7.5</v>
      </c>
      <c r="K1327" s="383" t="s">
        <v>588</v>
      </c>
      <c r="L1327" s="255" t="s">
        <v>65</v>
      </c>
      <c r="M1327" s="879">
        <f t="shared" ref="M1327:M1328" si="61">SUM(Q1327:Q1327)</f>
        <v>1</v>
      </c>
      <c r="N1327" s="880">
        <f>IFERROR(M1327/M1329,"-")</f>
        <v>1</v>
      </c>
      <c r="O1327" s="881">
        <f>SUMIFS('Data Entry'!S:S,'Data Entry'!K:K,G1327)</f>
        <v>0</v>
      </c>
      <c r="P1327" s="274" t="s">
        <v>233</v>
      </c>
      <c r="Q1327" s="895">
        <v>1</v>
      </c>
      <c r="R1327" s="114"/>
      <c r="S1327" s="884"/>
      <c r="T1327" s="270"/>
      <c r="U1327" s="114"/>
      <c r="V1327" s="114"/>
      <c r="W1327" s="114"/>
      <c r="X1327" s="114"/>
      <c r="Y1327" s="114"/>
      <c r="Z1327" s="114"/>
      <c r="AA1327" s="114"/>
      <c r="AB1327" s="85"/>
      <c r="AC1327" s="85"/>
      <c r="AD1327" s="85"/>
      <c r="AE1327" s="85"/>
    </row>
    <row r="1328" spans="3:31" ht="15" thickBot="1" x14ac:dyDescent="0.35">
      <c r="C1328" s="501" t="s">
        <v>767</v>
      </c>
      <c r="D1328" s="116"/>
      <c r="E1328" s="116" t="s">
        <v>8</v>
      </c>
      <c r="F1328" s="116" t="s">
        <v>52</v>
      </c>
      <c r="G1328" s="450" t="str">
        <f t="shared" si="60"/>
        <v>Rental Car Center D-Other-Other 1</v>
      </c>
      <c r="H1328" s="116"/>
      <c r="I1328" s="889" t="s">
        <v>66</v>
      </c>
      <c r="J1328" s="890">
        <f>SUMIFS('Level of Efficiency Assumptions'!J:J,'Level of Efficiency Assumptions'!D:D,E1328,'Level of Efficiency Assumptions'!F:F,F1328,'Level of Efficiency Assumptions'!I:I,I1328)</f>
        <v>5</v>
      </c>
      <c r="K1328" s="383" t="s">
        <v>588</v>
      </c>
      <c r="L1328" s="257" t="s">
        <v>66</v>
      </c>
      <c r="M1328" s="879">
        <f t="shared" si="61"/>
        <v>0</v>
      </c>
      <c r="N1328" s="880">
        <f>IFERROR(M1328/M1329,"-")</f>
        <v>0</v>
      </c>
      <c r="O1328" s="881">
        <f>SUMIFS('Data Entry'!T:T,'Data Entry'!K:K,G1328)</f>
        <v>0</v>
      </c>
      <c r="P1328" s="269" t="s">
        <v>234</v>
      </c>
      <c r="Q1328" s="895">
        <v>0</v>
      </c>
      <c r="R1328" s="114"/>
      <c r="S1328" s="884"/>
      <c r="T1328" s="270"/>
      <c r="U1328" s="114"/>
      <c r="V1328" s="114"/>
      <c r="W1328" s="114"/>
      <c r="X1328" s="114"/>
      <c r="Y1328" s="114"/>
      <c r="Z1328" s="114"/>
      <c r="AA1328" s="114"/>
      <c r="AB1328" s="85"/>
      <c r="AC1328" s="85"/>
      <c r="AD1328" s="85"/>
      <c r="AE1328" s="85"/>
    </row>
    <row r="1329" spans="3:31" x14ac:dyDescent="0.3">
      <c r="C1329" s="450"/>
      <c r="D1329" s="182"/>
      <c r="E1329" s="182"/>
      <c r="F1329" s="182"/>
      <c r="G1329" s="450" t="str">
        <f t="shared" si="60"/>
        <v>--</v>
      </c>
      <c r="H1329" s="182"/>
      <c r="I1329" s="440"/>
      <c r="J1329" s="892"/>
      <c r="K1329" s="259"/>
      <c r="L1329" s="259" t="s">
        <v>46</v>
      </c>
      <c r="M1329" s="893">
        <f>SUM(M1326:M1328)</f>
        <v>1</v>
      </c>
      <c r="N1329" s="894"/>
      <c r="O1329" s="894">
        <f>SUM(O1326:O1328)</f>
        <v>0</v>
      </c>
      <c r="P1329" s="263" t="s">
        <v>46</v>
      </c>
      <c r="Q1329" s="897">
        <f>SUM(Q1326:Q1328)</f>
        <v>1</v>
      </c>
      <c r="R1329" s="899"/>
      <c r="S1329" s="900"/>
      <c r="T1329" s="270"/>
      <c r="U1329" s="114"/>
      <c r="V1329" s="114"/>
      <c r="W1329" s="114"/>
      <c r="X1329" s="114"/>
      <c r="Y1329" s="114"/>
      <c r="Z1329" s="114"/>
      <c r="AA1329" s="114"/>
      <c r="AB1329" s="85"/>
      <c r="AC1329" s="85"/>
      <c r="AD1329" s="85"/>
      <c r="AE1329" s="85"/>
    </row>
    <row r="1330" spans="3:31" x14ac:dyDescent="0.3">
      <c r="C1330" s="450"/>
      <c r="D1330" s="182"/>
      <c r="E1330" s="182"/>
      <c r="F1330" s="182"/>
      <c r="G1330" s="450" t="str">
        <f t="shared" si="60"/>
        <v>--</v>
      </c>
      <c r="H1330" s="182"/>
      <c r="I1330" s="892"/>
      <c r="J1330" s="288"/>
      <c r="K1330" s="182"/>
      <c r="L1330" s="182"/>
      <c r="M1330" s="270"/>
      <c r="N1330" s="892"/>
      <c r="O1330" s="892"/>
      <c r="P1330" s="270"/>
      <c r="Q1330" s="270"/>
      <c r="R1330" s="270"/>
      <c r="S1330" s="270"/>
      <c r="T1330" s="270"/>
      <c r="U1330" s="114"/>
      <c r="V1330" s="114"/>
      <c r="W1330" s="114"/>
      <c r="X1330" s="114"/>
      <c r="Y1330" s="114"/>
      <c r="Z1330" s="114"/>
      <c r="AA1330" s="114"/>
      <c r="AB1330" s="85"/>
      <c r="AC1330" s="85"/>
      <c r="AD1330" s="85"/>
      <c r="AE1330" s="85"/>
    </row>
    <row r="1331" spans="3:31" ht="15" thickBot="1" x14ac:dyDescent="0.35">
      <c r="C1331" s="450"/>
      <c r="D1331" s="182"/>
      <c r="E1331" s="182"/>
      <c r="F1331" s="182"/>
      <c r="G1331" s="450" t="str">
        <f t="shared" si="60"/>
        <v>--</v>
      </c>
      <c r="H1331" s="182"/>
      <c r="I1331" s="892"/>
      <c r="J1331" s="892"/>
      <c r="K1331" s="182"/>
      <c r="L1331" s="182"/>
      <c r="M1331" s="901" t="s">
        <v>155</v>
      </c>
      <c r="N1331" s="870" t="s">
        <v>188</v>
      </c>
      <c r="O1331" s="870"/>
      <c r="P1331" s="276" t="s">
        <v>53</v>
      </c>
      <c r="Q1331" s="871" t="s">
        <v>155</v>
      </c>
      <c r="R1331" s="902"/>
      <c r="S1331" s="874"/>
      <c r="T1331" s="270"/>
      <c r="U1331" s="114"/>
      <c r="V1331" s="114"/>
      <c r="W1331" s="114"/>
      <c r="X1331" s="114"/>
      <c r="Y1331" s="114"/>
      <c r="Z1331" s="114"/>
      <c r="AA1331" s="114"/>
      <c r="AB1331" s="85"/>
      <c r="AC1331" s="85"/>
      <c r="AD1331" s="85"/>
      <c r="AE1331" s="85"/>
    </row>
    <row r="1332" spans="3:31" ht="15" thickBot="1" x14ac:dyDescent="0.35">
      <c r="C1332" s="566" t="s">
        <v>767</v>
      </c>
      <c r="D1332" s="875" t="str">
        <f>VLOOKUP(C1332,'Airport Mapping'!$C$5:$D$39,2,FALSE)</f>
        <v xml:space="preserve"> </v>
      </c>
      <c r="E1332" s="567" t="s">
        <v>8</v>
      </c>
      <c r="F1332" s="567" t="s">
        <v>53</v>
      </c>
      <c r="G1332" s="450" t="str">
        <f t="shared" si="60"/>
        <v>Rental Car Center D-Other-Other 2</v>
      </c>
      <c r="H1332" s="567" t="s">
        <v>363</v>
      </c>
      <c r="I1332" s="877" t="s">
        <v>64</v>
      </c>
      <c r="J1332" s="878">
        <f>SUMIFS('Level of Efficiency Assumptions'!J:J,'Level of Efficiency Assumptions'!D:D,E1332,'Level of Efficiency Assumptions'!F:F,F1332,'Level of Efficiency Assumptions'!I:I,I1332)</f>
        <v>10</v>
      </c>
      <c r="K1332" s="383" t="s">
        <v>588</v>
      </c>
      <c r="L1332" s="253" t="s">
        <v>64</v>
      </c>
      <c r="M1332" s="879">
        <f>SUM(Q1332:Q1332)</f>
        <v>0</v>
      </c>
      <c r="N1332" s="880">
        <f>IFERROR(M1332/M1335,"-")</f>
        <v>0</v>
      </c>
      <c r="O1332" s="881">
        <f>SUMIFS('Data Entry'!R:R,'Data Entry'!K:K,G1332)</f>
        <v>0</v>
      </c>
      <c r="P1332" s="272" t="s">
        <v>129</v>
      </c>
      <c r="Q1332" s="895">
        <v>0</v>
      </c>
      <c r="R1332" s="114"/>
      <c r="S1332" s="884"/>
      <c r="T1332" s="270"/>
      <c r="U1332" s="114"/>
      <c r="V1332" s="114"/>
      <c r="W1332" s="114"/>
      <c r="X1332" s="114"/>
      <c r="Y1332" s="114"/>
      <c r="Z1332" s="114"/>
      <c r="AA1332" s="114"/>
      <c r="AB1332" s="85"/>
      <c r="AC1332" s="85"/>
      <c r="AD1332" s="85"/>
      <c r="AE1332" s="85"/>
    </row>
    <row r="1333" spans="3:31" ht="15" thickBot="1" x14ac:dyDescent="0.35">
      <c r="C1333" s="494" t="s">
        <v>767</v>
      </c>
      <c r="D1333" s="577"/>
      <c r="E1333" s="577" t="s">
        <v>8</v>
      </c>
      <c r="F1333" s="577" t="s">
        <v>53</v>
      </c>
      <c r="G1333" s="450" t="str">
        <f t="shared" si="60"/>
        <v>Rental Car Center D-Other-Other 2</v>
      </c>
      <c r="H1333" s="577"/>
      <c r="I1333" s="887" t="s">
        <v>65</v>
      </c>
      <c r="J1333" s="878">
        <f>SUMIFS('Level of Efficiency Assumptions'!J:J,'Level of Efficiency Assumptions'!D:D,E1333,'Level of Efficiency Assumptions'!F:F,F1333,'Level of Efficiency Assumptions'!I:I,I1333)</f>
        <v>7.5</v>
      </c>
      <c r="K1333" s="383" t="s">
        <v>588</v>
      </c>
      <c r="L1333" s="255" t="s">
        <v>65</v>
      </c>
      <c r="M1333" s="879">
        <f t="shared" ref="M1333:M1334" si="62">SUM(Q1333:Q1333)</f>
        <v>1</v>
      </c>
      <c r="N1333" s="880">
        <f>IFERROR(M1333/M1335,"-")</f>
        <v>1</v>
      </c>
      <c r="O1333" s="881">
        <f>SUMIFS('Data Entry'!S:S,'Data Entry'!K:K,G1333)</f>
        <v>0</v>
      </c>
      <c r="P1333" s="274" t="s">
        <v>233</v>
      </c>
      <c r="Q1333" s="895">
        <v>1</v>
      </c>
      <c r="R1333" s="114"/>
      <c r="S1333" s="884"/>
      <c r="T1333" s="270"/>
      <c r="U1333" s="114"/>
      <c r="V1333" s="114"/>
      <c r="W1333" s="114"/>
      <c r="X1333" s="114"/>
      <c r="Y1333" s="114"/>
      <c r="Z1333" s="114"/>
      <c r="AA1333" s="114"/>
      <c r="AB1333" s="85"/>
      <c r="AC1333" s="85"/>
      <c r="AD1333" s="85"/>
      <c r="AE1333" s="85"/>
    </row>
    <row r="1334" spans="3:31" ht="15" thickBot="1" x14ac:dyDescent="0.35">
      <c r="C1334" s="501" t="s">
        <v>767</v>
      </c>
      <c r="D1334" s="116"/>
      <c r="E1334" s="116" t="s">
        <v>8</v>
      </c>
      <c r="F1334" s="116" t="s">
        <v>53</v>
      </c>
      <c r="G1334" s="450" t="str">
        <f t="shared" si="60"/>
        <v>Rental Car Center D-Other-Other 2</v>
      </c>
      <c r="H1334" s="116"/>
      <c r="I1334" s="889" t="s">
        <v>66</v>
      </c>
      <c r="J1334" s="890">
        <f>SUMIFS('Level of Efficiency Assumptions'!J:J,'Level of Efficiency Assumptions'!D:D,E1334,'Level of Efficiency Assumptions'!F:F,F1334,'Level of Efficiency Assumptions'!I:I,I1334)</f>
        <v>5</v>
      </c>
      <c r="K1334" s="383" t="s">
        <v>588</v>
      </c>
      <c r="L1334" s="257" t="s">
        <v>66</v>
      </c>
      <c r="M1334" s="879">
        <f t="shared" si="62"/>
        <v>0</v>
      </c>
      <c r="N1334" s="880">
        <f>IFERROR(M1334/M1335,"-")</f>
        <v>0</v>
      </c>
      <c r="O1334" s="881">
        <f>SUMIFS('Data Entry'!T:T,'Data Entry'!K:K,G1334)</f>
        <v>0</v>
      </c>
      <c r="P1334" s="269" t="s">
        <v>234</v>
      </c>
      <c r="Q1334" s="895">
        <v>0</v>
      </c>
      <c r="R1334" s="114"/>
      <c r="S1334" s="884"/>
      <c r="T1334" s="270"/>
      <c r="U1334" s="114"/>
      <c r="V1334" s="114"/>
      <c r="W1334" s="114"/>
      <c r="X1334" s="114"/>
      <c r="Y1334" s="114"/>
      <c r="Z1334" s="114"/>
      <c r="AA1334" s="114"/>
      <c r="AB1334" s="85"/>
      <c r="AC1334" s="85"/>
      <c r="AD1334" s="85"/>
      <c r="AE1334" s="85"/>
    </row>
    <row r="1335" spans="3:31" x14ac:dyDescent="0.3">
      <c r="C1335" s="450"/>
      <c r="D1335" s="182"/>
      <c r="E1335" s="182"/>
      <c r="F1335" s="182"/>
      <c r="G1335" s="450" t="str">
        <f t="shared" si="60"/>
        <v>--</v>
      </c>
      <c r="H1335" s="182"/>
      <c r="I1335" s="440"/>
      <c r="J1335" s="892"/>
      <c r="K1335" s="259"/>
      <c r="L1335" s="259" t="s">
        <v>46</v>
      </c>
      <c r="M1335" s="893">
        <f>SUM(M1332:M1334)</f>
        <v>1</v>
      </c>
      <c r="N1335" s="894"/>
      <c r="O1335" s="894">
        <f>SUM(O1332:O1334)</f>
        <v>0</v>
      </c>
      <c r="P1335" s="263" t="s">
        <v>46</v>
      </c>
      <c r="Q1335" s="897">
        <f>SUM(Q1332:Q1334)</f>
        <v>1</v>
      </c>
      <c r="R1335" s="899"/>
      <c r="S1335" s="900"/>
      <c r="T1335" s="270"/>
      <c r="U1335" s="114"/>
      <c r="V1335" s="114"/>
      <c r="W1335" s="114"/>
      <c r="X1335" s="114"/>
      <c r="Y1335" s="114"/>
      <c r="Z1335" s="114"/>
      <c r="AA1335" s="114"/>
      <c r="AB1335" s="85"/>
      <c r="AC1335" s="85"/>
      <c r="AD1335" s="85"/>
      <c r="AE1335" s="85"/>
    </row>
    <row r="1336" spans="3:31" x14ac:dyDescent="0.3">
      <c r="C1336" s="450"/>
      <c r="D1336" s="182"/>
      <c r="E1336" s="182"/>
      <c r="F1336" s="182"/>
      <c r="G1336" s="450" t="str">
        <f t="shared" si="60"/>
        <v>--</v>
      </c>
      <c r="H1336" s="182"/>
      <c r="I1336" s="892"/>
      <c r="J1336" s="288"/>
      <c r="K1336" s="182"/>
      <c r="L1336" s="182"/>
      <c r="M1336" s="270"/>
      <c r="N1336" s="892"/>
      <c r="O1336" s="892"/>
      <c r="P1336" s="270"/>
      <c r="Q1336" s="270"/>
      <c r="R1336" s="270"/>
      <c r="S1336" s="270"/>
      <c r="T1336" s="270"/>
      <c r="U1336" s="114"/>
      <c r="V1336" s="114"/>
      <c r="W1336" s="114"/>
      <c r="X1336" s="114"/>
      <c r="Y1336" s="114"/>
      <c r="Z1336" s="114"/>
      <c r="AA1336" s="114"/>
      <c r="AB1336" s="85"/>
      <c r="AC1336" s="85"/>
      <c r="AD1336" s="85"/>
      <c r="AE1336" s="85"/>
    </row>
    <row r="1337" spans="3:31" ht="15" thickBot="1" x14ac:dyDescent="0.35">
      <c r="C1337" s="450"/>
      <c r="D1337" s="182"/>
      <c r="E1337" s="182"/>
      <c r="F1337" s="182"/>
      <c r="G1337" s="450" t="str">
        <f t="shared" si="60"/>
        <v>--</v>
      </c>
      <c r="H1337" s="182"/>
      <c r="I1337" s="892"/>
      <c r="J1337" s="892"/>
      <c r="K1337" s="182"/>
      <c r="L1337" s="182"/>
      <c r="M1337" s="901" t="s">
        <v>155</v>
      </c>
      <c r="N1337" s="870" t="s">
        <v>188</v>
      </c>
      <c r="O1337" s="870"/>
      <c r="P1337" s="276" t="s">
        <v>54</v>
      </c>
      <c r="Q1337" s="871" t="s">
        <v>155</v>
      </c>
      <c r="R1337" s="902"/>
      <c r="S1337" s="874"/>
      <c r="T1337" s="270"/>
      <c r="U1337" s="114"/>
      <c r="V1337" s="114"/>
      <c r="W1337" s="114"/>
      <c r="X1337" s="114"/>
      <c r="Y1337" s="114"/>
      <c r="Z1337" s="114"/>
      <c r="AA1337" s="114"/>
      <c r="AB1337" s="85"/>
      <c r="AC1337" s="85"/>
      <c r="AD1337" s="85"/>
      <c r="AE1337" s="85"/>
    </row>
    <row r="1338" spans="3:31" ht="15" thickBot="1" x14ac:dyDescent="0.35">
      <c r="C1338" s="566" t="s">
        <v>767</v>
      </c>
      <c r="D1338" s="875" t="str">
        <f>VLOOKUP(C1338,'Airport Mapping'!$C$5:$D$39,2,FALSE)</f>
        <v xml:space="preserve"> </v>
      </c>
      <c r="E1338" s="567" t="s">
        <v>8</v>
      </c>
      <c r="F1338" s="567" t="s">
        <v>54</v>
      </c>
      <c r="G1338" s="450" t="str">
        <f t="shared" si="60"/>
        <v>Rental Car Center D-Other-Other 3</v>
      </c>
      <c r="H1338" s="567" t="s">
        <v>364</v>
      </c>
      <c r="I1338" s="877" t="s">
        <v>64</v>
      </c>
      <c r="J1338" s="878">
        <f>SUMIFS('Level of Efficiency Assumptions'!J:J,'Level of Efficiency Assumptions'!D:D,E1338,'Level of Efficiency Assumptions'!F:F,F1338,'Level of Efficiency Assumptions'!I:I,I1338)</f>
        <v>10</v>
      </c>
      <c r="K1338" s="383" t="s">
        <v>588</v>
      </c>
      <c r="L1338" s="253" t="s">
        <v>64</v>
      </c>
      <c r="M1338" s="879">
        <f>SUM(Q1338:Q1338)</f>
        <v>0</v>
      </c>
      <c r="N1338" s="880">
        <f>IFERROR(M1338/M1341,"-")</f>
        <v>0</v>
      </c>
      <c r="O1338" s="881">
        <f>SUMIFS('Data Entry'!R:R,'Data Entry'!K:K,G1338)</f>
        <v>0</v>
      </c>
      <c r="P1338" s="272" t="s">
        <v>129</v>
      </c>
      <c r="Q1338" s="895">
        <v>0</v>
      </c>
      <c r="R1338" s="114"/>
      <c r="S1338" s="884"/>
      <c r="T1338" s="270"/>
      <c r="U1338" s="114"/>
      <c r="V1338" s="114"/>
      <c r="W1338" s="114"/>
      <c r="X1338" s="114"/>
      <c r="Y1338" s="114"/>
      <c r="Z1338" s="114"/>
      <c r="AA1338" s="114"/>
      <c r="AB1338" s="85"/>
      <c r="AC1338" s="85"/>
      <c r="AD1338" s="85"/>
      <c r="AE1338" s="85"/>
    </row>
    <row r="1339" spans="3:31" s="45" customFormat="1" ht="15" thickBot="1" x14ac:dyDescent="0.35">
      <c r="C1339" s="494" t="s">
        <v>767</v>
      </c>
      <c r="D1339" s="577"/>
      <c r="E1339" s="577" t="s">
        <v>8</v>
      </c>
      <c r="F1339" s="577" t="s">
        <v>54</v>
      </c>
      <c r="G1339" s="450" t="str">
        <f t="shared" si="60"/>
        <v>Rental Car Center D-Other-Other 3</v>
      </c>
      <c r="H1339" s="577"/>
      <c r="I1339" s="887" t="s">
        <v>65</v>
      </c>
      <c r="J1339" s="878">
        <f>SUMIFS('Level of Efficiency Assumptions'!J:J,'Level of Efficiency Assumptions'!D:D,E1339,'Level of Efficiency Assumptions'!F:F,F1339,'Level of Efficiency Assumptions'!I:I,I1339)</f>
        <v>7.5</v>
      </c>
      <c r="K1339" s="383" t="s">
        <v>588</v>
      </c>
      <c r="L1339" s="255" t="s">
        <v>65</v>
      </c>
      <c r="M1339" s="879">
        <f t="shared" ref="M1339:M1340" si="63">SUM(Q1339:Q1339)</f>
        <v>1</v>
      </c>
      <c r="N1339" s="880">
        <f>IFERROR(M1339/M1341,"-")</f>
        <v>1</v>
      </c>
      <c r="O1339" s="881">
        <f>SUMIFS('Data Entry'!S:S,'Data Entry'!K:K,G1339)</f>
        <v>0</v>
      </c>
      <c r="P1339" s="274" t="s">
        <v>233</v>
      </c>
      <c r="Q1339" s="895">
        <v>1</v>
      </c>
      <c r="R1339" s="114"/>
      <c r="S1339" s="884"/>
      <c r="T1339" s="270"/>
      <c r="U1339" s="114"/>
      <c r="V1339" s="114"/>
      <c r="W1339" s="114"/>
      <c r="X1339" s="114"/>
      <c r="Y1339" s="114"/>
      <c r="Z1339" s="114"/>
      <c r="AA1339" s="114"/>
      <c r="AB1339" s="85"/>
      <c r="AC1339" s="85"/>
      <c r="AD1339" s="85"/>
      <c r="AE1339" s="85"/>
    </row>
    <row r="1340" spans="3:31" s="45" customFormat="1" ht="15" thickBot="1" x14ac:dyDescent="0.35">
      <c r="C1340" s="501" t="s">
        <v>767</v>
      </c>
      <c r="D1340" s="116"/>
      <c r="E1340" s="116" t="s">
        <v>8</v>
      </c>
      <c r="F1340" s="116" t="s">
        <v>54</v>
      </c>
      <c r="G1340" s="450" t="str">
        <f t="shared" si="60"/>
        <v>Rental Car Center D-Other-Other 3</v>
      </c>
      <c r="H1340" s="116"/>
      <c r="I1340" s="889" t="s">
        <v>66</v>
      </c>
      <c r="J1340" s="890">
        <f>SUMIFS('Level of Efficiency Assumptions'!J:J,'Level of Efficiency Assumptions'!D:D,E1340,'Level of Efficiency Assumptions'!F:F,F1340,'Level of Efficiency Assumptions'!I:I,I1340)</f>
        <v>5</v>
      </c>
      <c r="K1340" s="383" t="s">
        <v>588</v>
      </c>
      <c r="L1340" s="257" t="s">
        <v>66</v>
      </c>
      <c r="M1340" s="879">
        <f t="shared" si="63"/>
        <v>0</v>
      </c>
      <c r="N1340" s="880">
        <f>IFERROR(M1340/M1341,"-")</f>
        <v>0</v>
      </c>
      <c r="O1340" s="881">
        <f>SUMIFS('Data Entry'!T:T,'Data Entry'!K:K,G1340)</f>
        <v>0</v>
      </c>
      <c r="P1340" s="269" t="s">
        <v>234</v>
      </c>
      <c r="Q1340" s="895">
        <v>0</v>
      </c>
      <c r="R1340" s="114"/>
      <c r="S1340" s="884"/>
      <c r="T1340" s="270"/>
      <c r="U1340" s="114"/>
      <c r="V1340" s="114"/>
      <c r="W1340" s="114"/>
      <c r="X1340" s="114"/>
      <c r="Y1340" s="114"/>
      <c r="Z1340" s="114"/>
      <c r="AA1340" s="114"/>
      <c r="AB1340" s="85"/>
      <c r="AC1340" s="85"/>
      <c r="AD1340" s="85"/>
      <c r="AE1340" s="85"/>
    </row>
    <row r="1341" spans="3:31" s="45" customFormat="1" x14ac:dyDescent="0.3">
      <c r="C1341" s="450"/>
      <c r="D1341" s="182"/>
      <c r="E1341" s="182"/>
      <c r="F1341" s="182"/>
      <c r="G1341" s="450" t="str">
        <f t="shared" si="60"/>
        <v>--</v>
      </c>
      <c r="H1341" s="182"/>
      <c r="I1341" s="440"/>
      <c r="J1341" s="892"/>
      <c r="K1341" s="259"/>
      <c r="L1341" s="259" t="s">
        <v>46</v>
      </c>
      <c r="M1341" s="893">
        <f>SUM(M1338:M1340)</f>
        <v>1</v>
      </c>
      <c r="N1341" s="894"/>
      <c r="O1341" s="894">
        <f>SUM(O1338:O1340)</f>
        <v>0</v>
      </c>
      <c r="P1341" s="263" t="s">
        <v>46</v>
      </c>
      <c r="Q1341" s="897">
        <f>SUM(Q1338:Q1340)</f>
        <v>1</v>
      </c>
      <c r="R1341" s="899"/>
      <c r="S1341" s="900"/>
      <c r="T1341" s="270"/>
      <c r="U1341" s="114"/>
      <c r="V1341" s="114"/>
      <c r="W1341" s="114"/>
      <c r="X1341" s="114"/>
      <c r="Y1341" s="114"/>
      <c r="Z1341" s="114"/>
      <c r="AA1341" s="114"/>
      <c r="AB1341" s="85"/>
      <c r="AC1341" s="85"/>
      <c r="AD1341" s="85"/>
      <c r="AE1341" s="85"/>
    </row>
    <row r="1342" spans="3:31" s="45" customFormat="1" ht="15" thickBot="1" x14ac:dyDescent="0.35">
      <c r="C1342" s="451"/>
      <c r="D1342" s="184"/>
      <c r="E1342" s="184"/>
      <c r="F1342" s="184"/>
      <c r="G1342" s="450" t="str">
        <f t="shared" ref="G1342:G1403" si="64">C1342&amp;"-"&amp;E1342&amp;"-"&amp;F1342</f>
        <v>--</v>
      </c>
      <c r="H1342" s="184"/>
      <c r="I1342" s="281"/>
      <c r="J1342" s="281"/>
      <c r="K1342" s="184"/>
      <c r="L1342" s="918"/>
      <c r="M1342" s="278"/>
      <c r="N1342" s="919"/>
      <c r="O1342" s="919"/>
      <c r="P1342" s="279"/>
      <c r="Q1342" s="278"/>
      <c r="R1342" s="278"/>
      <c r="S1342" s="278"/>
      <c r="T1342" s="278"/>
      <c r="U1342" s="920"/>
      <c r="V1342" s="278"/>
      <c r="W1342" s="278"/>
      <c r="X1342" s="278"/>
      <c r="Y1342" s="114"/>
      <c r="Z1342" s="114"/>
      <c r="AA1342" s="114"/>
      <c r="AB1342" s="85"/>
      <c r="AC1342" s="85"/>
      <c r="AD1342" s="85"/>
      <c r="AE1342" s="85"/>
    </row>
    <row r="1343" spans="3:31" s="85" customFormat="1" x14ac:dyDescent="0.3">
      <c r="C1343" s="450"/>
      <c r="D1343" s="181"/>
      <c r="E1343" s="181"/>
      <c r="F1343" s="181"/>
      <c r="G1343" s="450" t="str">
        <f t="shared" si="64"/>
        <v>--</v>
      </c>
      <c r="H1343" s="181"/>
      <c r="I1343" s="892"/>
      <c r="J1343" s="892"/>
      <c r="K1343" s="181"/>
      <c r="L1343" s="259"/>
      <c r="M1343" s="114"/>
      <c r="N1343" s="905"/>
      <c r="O1343" s="905"/>
      <c r="P1343" s="280"/>
      <c r="Q1343" s="114"/>
      <c r="R1343" s="114"/>
      <c r="S1343" s="114"/>
      <c r="T1343" s="114"/>
      <c r="U1343" s="114"/>
      <c r="V1343" s="114"/>
      <c r="W1343" s="114"/>
      <c r="X1343" s="114"/>
      <c r="Y1343" s="114"/>
      <c r="Z1343" s="114"/>
      <c r="AA1343" s="114"/>
    </row>
    <row r="1344" spans="3:31" ht="15" thickBot="1" x14ac:dyDescent="0.35">
      <c r="C1344" s="450"/>
      <c r="D1344" s="182"/>
      <c r="E1344" s="182"/>
      <c r="F1344" s="182"/>
      <c r="G1344" s="450" t="str">
        <f t="shared" si="64"/>
        <v>--</v>
      </c>
      <c r="H1344" s="182"/>
      <c r="I1344" s="892"/>
      <c r="J1344" s="892"/>
      <c r="K1344" s="182"/>
      <c r="L1344" s="182"/>
      <c r="M1344" s="901" t="s">
        <v>155</v>
      </c>
      <c r="N1344" s="870" t="s">
        <v>188</v>
      </c>
      <c r="O1344" s="870"/>
      <c r="P1344" s="252" t="s">
        <v>158</v>
      </c>
      <c r="Q1344" s="871" t="s">
        <v>155</v>
      </c>
      <c r="R1344" s="872" t="s">
        <v>168</v>
      </c>
      <c r="S1344" s="872" t="s">
        <v>169</v>
      </c>
      <c r="T1344" s="873"/>
      <c r="U1344" s="874"/>
      <c r="V1344" s="270"/>
      <c r="W1344" s="270"/>
      <c r="X1344" s="270"/>
      <c r="Y1344" s="114"/>
      <c r="Z1344" s="270"/>
      <c r="AA1344" s="114"/>
      <c r="AB1344" s="85"/>
      <c r="AC1344" s="85"/>
      <c r="AD1344" s="85"/>
      <c r="AE1344" s="85"/>
    </row>
    <row r="1345" spans="3:31" ht="15" thickBot="1" x14ac:dyDescent="0.35">
      <c r="C1345" s="566" t="s">
        <v>765</v>
      </c>
      <c r="D1345" s="875" t="str">
        <f>VLOOKUP(C1345,'Airport Mapping'!$C$5:$D$39,2,FALSE)</f>
        <v xml:space="preserve"> </v>
      </c>
      <c r="E1345" s="567" t="s">
        <v>37</v>
      </c>
      <c r="F1345" s="567" t="s">
        <v>2</v>
      </c>
      <c r="G1345" s="450" t="str">
        <f t="shared" si="64"/>
        <v>Rental Car Center E-Restrooms-Toilets</v>
      </c>
      <c r="H1345" s="567" t="s">
        <v>3</v>
      </c>
      <c r="I1345" s="877" t="s">
        <v>64</v>
      </c>
      <c r="J1345" s="878">
        <f>SUMIFS('Level of Efficiency Assumptions'!J:J,'Level of Efficiency Assumptions'!D:D,E1345,'Level of Efficiency Assumptions'!F:F,F1345,'Level of Efficiency Assumptions'!I:I,I1345)</f>
        <v>3.5</v>
      </c>
      <c r="K1345" s="383" t="s">
        <v>68</v>
      </c>
      <c r="L1345" s="253" t="s">
        <v>64</v>
      </c>
      <c r="M1345" s="879">
        <f>Q1345+Q1351</f>
        <v>0</v>
      </c>
      <c r="N1345" s="880">
        <f>IFERROR(M1345/M1348,"-")</f>
        <v>0</v>
      </c>
      <c r="O1345" s="881">
        <f>SUMIFS('Data Entry'!R:R,'Data Entry'!K:K,G1345)</f>
        <v>0</v>
      </c>
      <c r="P1345" s="254" t="s">
        <v>159</v>
      </c>
      <c r="Q1345" s="882">
        <v>0</v>
      </c>
      <c r="R1345" s="883"/>
      <c r="S1345" s="883"/>
      <c r="T1345" s="114" t="s">
        <v>182</v>
      </c>
      <c r="U1345" s="884"/>
      <c r="V1345" s="270"/>
      <c r="W1345" s="270"/>
      <c r="X1345" s="270"/>
      <c r="Y1345" s="114"/>
      <c r="Z1345" s="270"/>
      <c r="AA1345" s="114"/>
      <c r="AB1345" s="85"/>
      <c r="AC1345" s="85"/>
      <c r="AD1345" s="85"/>
      <c r="AE1345" s="85"/>
    </row>
    <row r="1346" spans="3:31" ht="15" thickBot="1" x14ac:dyDescent="0.35">
      <c r="C1346" s="494" t="s">
        <v>765</v>
      </c>
      <c r="D1346" s="577"/>
      <c r="E1346" s="577" t="s">
        <v>37</v>
      </c>
      <c r="F1346" s="577" t="s">
        <v>2</v>
      </c>
      <c r="G1346" s="450" t="str">
        <f t="shared" si="64"/>
        <v>Rental Car Center E-Restrooms-Toilets</v>
      </c>
      <c r="H1346" s="577"/>
      <c r="I1346" s="887" t="s">
        <v>65</v>
      </c>
      <c r="J1346" s="878">
        <f>SUMIFS('Level of Efficiency Assumptions'!J:J,'Level of Efficiency Assumptions'!D:D,E1346,'Level of Efficiency Assumptions'!F:F,F1346,'Level of Efficiency Assumptions'!I:I,I1346)</f>
        <v>1.6</v>
      </c>
      <c r="K1346" s="383" t="s">
        <v>68</v>
      </c>
      <c r="L1346" s="255" t="s">
        <v>65</v>
      </c>
      <c r="M1346" s="879">
        <f>Q1346+Q1349+Q1352</f>
        <v>1</v>
      </c>
      <c r="N1346" s="880">
        <f>IFERROR(M1346/M1348,"-")</f>
        <v>1</v>
      </c>
      <c r="O1346" s="881">
        <f>SUMIFS('Data Entry'!S:S,'Data Entry'!K:K,G1346)</f>
        <v>0</v>
      </c>
      <c r="P1346" s="256" t="s">
        <v>161</v>
      </c>
      <c r="Q1346" s="882">
        <v>1</v>
      </c>
      <c r="R1346" s="883"/>
      <c r="S1346" s="883"/>
      <c r="T1346" s="114" t="s">
        <v>184</v>
      </c>
      <c r="U1346" s="884"/>
      <c r="V1346" s="270"/>
      <c r="W1346" s="270"/>
      <c r="X1346" s="270"/>
      <c r="Y1346" s="114"/>
      <c r="Z1346" s="270"/>
      <c r="AA1346" s="114"/>
      <c r="AB1346" s="85"/>
      <c r="AC1346" s="85"/>
      <c r="AD1346" s="85"/>
      <c r="AE1346" s="85"/>
    </row>
    <row r="1347" spans="3:31" ht="15" thickBot="1" x14ac:dyDescent="0.35">
      <c r="C1347" s="501" t="s">
        <v>765</v>
      </c>
      <c r="D1347" s="116"/>
      <c r="E1347" s="116" t="s">
        <v>37</v>
      </c>
      <c r="F1347" s="116" t="s">
        <v>2</v>
      </c>
      <c r="G1347" s="450" t="str">
        <f t="shared" si="64"/>
        <v>Rental Car Center E-Restrooms-Toilets</v>
      </c>
      <c r="H1347" s="116"/>
      <c r="I1347" s="889" t="s">
        <v>66</v>
      </c>
      <c r="J1347" s="890">
        <f>SUMIFS('Level of Efficiency Assumptions'!J:J,'Level of Efficiency Assumptions'!D:D,E1347,'Level of Efficiency Assumptions'!F:F,F1347,'Level of Efficiency Assumptions'!I:I,I1347)</f>
        <v>1.28</v>
      </c>
      <c r="K1347" s="383" t="s">
        <v>68</v>
      </c>
      <c r="L1347" s="257" t="s">
        <v>66</v>
      </c>
      <c r="M1347" s="879">
        <f>Q1347+Q1348+Q1350+Q1353+Q1354</f>
        <v>0</v>
      </c>
      <c r="N1347" s="880">
        <f>IFERROR(M1347/M1348,"-")</f>
        <v>0</v>
      </c>
      <c r="O1347" s="881">
        <f>SUMIFS('Data Entry'!T:T,'Data Entry'!K:K,G1347)</f>
        <v>0</v>
      </c>
      <c r="P1347" s="258" t="s">
        <v>163</v>
      </c>
      <c r="Q1347" s="882">
        <v>0</v>
      </c>
      <c r="R1347" s="883"/>
      <c r="S1347" s="883"/>
      <c r="T1347" s="891"/>
      <c r="U1347" s="884"/>
      <c r="V1347" s="270"/>
      <c r="W1347" s="270"/>
      <c r="X1347" s="270"/>
      <c r="Y1347" s="114"/>
      <c r="Z1347" s="270"/>
      <c r="AA1347" s="114"/>
      <c r="AB1347" s="85"/>
      <c r="AC1347" s="85"/>
      <c r="AD1347" s="85"/>
      <c r="AE1347" s="85"/>
    </row>
    <row r="1348" spans="3:31" x14ac:dyDescent="0.3">
      <c r="C1348" s="450"/>
      <c r="D1348" s="182"/>
      <c r="E1348" s="182"/>
      <c r="F1348" s="182"/>
      <c r="G1348" s="450" t="str">
        <f t="shared" si="64"/>
        <v>--</v>
      </c>
      <c r="H1348" s="182"/>
      <c r="I1348" s="440"/>
      <c r="J1348" s="892"/>
      <c r="K1348" s="259"/>
      <c r="L1348" s="259" t="s">
        <v>46</v>
      </c>
      <c r="M1348" s="893">
        <f>SUM(M1345:M1347)</f>
        <v>1</v>
      </c>
      <c r="N1348" s="894"/>
      <c r="O1348" s="894">
        <f>SUM(O1345:O1347)</f>
        <v>0</v>
      </c>
      <c r="P1348" s="258" t="s">
        <v>165</v>
      </c>
      <c r="Q1348" s="882">
        <v>0</v>
      </c>
      <c r="R1348" s="883"/>
      <c r="S1348" s="883"/>
      <c r="T1348" s="891"/>
      <c r="U1348" s="884"/>
      <c r="V1348" s="270"/>
      <c r="W1348" s="270"/>
      <c r="X1348" s="270"/>
      <c r="Y1348" s="114"/>
      <c r="Z1348" s="270"/>
      <c r="AA1348" s="114"/>
      <c r="AB1348" s="85"/>
      <c r="AC1348" s="85"/>
      <c r="AD1348" s="85"/>
      <c r="AE1348" s="85"/>
    </row>
    <row r="1349" spans="3:31" ht="15" thickBot="1" x14ac:dyDescent="0.35">
      <c r="C1349" s="450"/>
      <c r="D1349" s="182"/>
      <c r="E1349" s="182"/>
      <c r="F1349" s="182"/>
      <c r="G1349" s="450" t="str">
        <f t="shared" si="64"/>
        <v>--</v>
      </c>
      <c r="H1349" s="182"/>
      <c r="I1349" s="892"/>
      <c r="J1349" s="288"/>
      <c r="K1349" s="182"/>
      <c r="L1349" s="181"/>
      <c r="M1349" s="181"/>
      <c r="N1349" s="892"/>
      <c r="O1349" s="892"/>
      <c r="P1349" s="256" t="s">
        <v>166</v>
      </c>
      <c r="Q1349" s="895">
        <v>0</v>
      </c>
      <c r="R1349" s="883"/>
      <c r="S1349" s="883"/>
      <c r="T1349" s="891"/>
      <c r="U1349" s="896"/>
      <c r="V1349" s="891"/>
      <c r="W1349" s="270"/>
      <c r="X1349" s="270"/>
      <c r="Y1349" s="114"/>
      <c r="Z1349" s="270"/>
      <c r="AA1349" s="114"/>
      <c r="AB1349" s="85"/>
      <c r="AC1349" s="85"/>
      <c r="AD1349" s="85"/>
      <c r="AE1349" s="85"/>
    </row>
    <row r="1350" spans="3:31" x14ac:dyDescent="0.3">
      <c r="C1350" s="450"/>
      <c r="D1350" s="182"/>
      <c r="E1350" s="182"/>
      <c r="F1350" s="182"/>
      <c r="G1350" s="450" t="str">
        <f t="shared" si="64"/>
        <v>--</v>
      </c>
      <c r="H1350" s="182"/>
      <c r="I1350" s="892"/>
      <c r="J1350" s="288"/>
      <c r="K1350" s="182"/>
      <c r="L1350" s="1384" t="s">
        <v>377</v>
      </c>
      <c r="M1350" s="1385"/>
      <c r="N1350" s="1385"/>
      <c r="O1350" s="1386"/>
      <c r="P1350" s="258" t="s">
        <v>167</v>
      </c>
      <c r="Q1350" s="895">
        <v>0</v>
      </c>
      <c r="R1350" s="883"/>
      <c r="S1350" s="883"/>
      <c r="T1350" s="891"/>
      <c r="U1350" s="896"/>
      <c r="V1350" s="891"/>
      <c r="W1350" s="270"/>
      <c r="X1350" s="270"/>
      <c r="Y1350" s="270"/>
      <c r="Z1350" s="270"/>
      <c r="AA1350" s="114"/>
      <c r="AB1350" s="85"/>
      <c r="AC1350" s="85"/>
      <c r="AD1350" s="85"/>
      <c r="AE1350" s="85"/>
    </row>
    <row r="1351" spans="3:31" x14ac:dyDescent="0.3">
      <c r="C1351" s="450"/>
      <c r="D1351" s="182"/>
      <c r="E1351" s="182"/>
      <c r="F1351" s="182"/>
      <c r="G1351" s="450" t="str">
        <f t="shared" si="64"/>
        <v>--</v>
      </c>
      <c r="H1351" s="182"/>
      <c r="I1351" s="892"/>
      <c r="J1351" s="288"/>
      <c r="K1351" s="182"/>
      <c r="L1351" s="1387"/>
      <c r="M1351" s="1388"/>
      <c r="N1351" s="1388"/>
      <c r="O1351" s="1389"/>
      <c r="P1351" s="254" t="s">
        <v>160</v>
      </c>
      <c r="Q1351" s="895">
        <v>0</v>
      </c>
      <c r="R1351" s="891"/>
      <c r="S1351" s="891"/>
      <c r="T1351" s="891"/>
      <c r="U1351" s="896"/>
      <c r="V1351" s="891"/>
      <c r="W1351" s="270"/>
      <c r="X1351" s="270"/>
      <c r="Y1351" s="270"/>
      <c r="Z1351" s="270"/>
      <c r="AA1351" s="114"/>
      <c r="AB1351" s="85"/>
      <c r="AC1351" s="85"/>
      <c r="AD1351" s="85"/>
      <c r="AE1351" s="85"/>
    </row>
    <row r="1352" spans="3:31" x14ac:dyDescent="0.3">
      <c r="C1352" s="450"/>
      <c r="D1352" s="182"/>
      <c r="E1352" s="182"/>
      <c r="F1352" s="182"/>
      <c r="G1352" s="450" t="str">
        <f t="shared" si="64"/>
        <v>--</v>
      </c>
      <c r="H1352" s="182"/>
      <c r="I1352" s="892"/>
      <c r="J1352" s="288"/>
      <c r="K1352" s="182"/>
      <c r="L1352" s="1387"/>
      <c r="M1352" s="1388"/>
      <c r="N1352" s="1388"/>
      <c r="O1352" s="1389"/>
      <c r="P1352" s="256" t="s">
        <v>162</v>
      </c>
      <c r="Q1352" s="895">
        <v>0</v>
      </c>
      <c r="R1352" s="891"/>
      <c r="S1352" s="891"/>
      <c r="T1352" s="891"/>
      <c r="U1352" s="896"/>
      <c r="V1352" s="891"/>
      <c r="W1352" s="270"/>
      <c r="X1352" s="270"/>
      <c r="Y1352" s="270"/>
      <c r="Z1352" s="270"/>
      <c r="AA1352" s="114"/>
      <c r="AB1352" s="85"/>
      <c r="AC1352" s="85"/>
      <c r="AD1352" s="85"/>
      <c r="AE1352" s="85"/>
    </row>
    <row r="1353" spans="3:31" ht="15" thickBot="1" x14ac:dyDescent="0.35">
      <c r="C1353" s="450"/>
      <c r="D1353" s="182"/>
      <c r="E1353" s="182"/>
      <c r="F1353" s="182"/>
      <c r="G1353" s="450" t="str">
        <f t="shared" si="64"/>
        <v>--</v>
      </c>
      <c r="H1353" s="182"/>
      <c r="I1353" s="892"/>
      <c r="J1353" s="288"/>
      <c r="K1353" s="182"/>
      <c r="L1353" s="1390"/>
      <c r="M1353" s="1391"/>
      <c r="N1353" s="1391"/>
      <c r="O1353" s="1392"/>
      <c r="P1353" s="258" t="s">
        <v>164</v>
      </c>
      <c r="Q1353" s="895">
        <v>0</v>
      </c>
      <c r="R1353" s="114"/>
      <c r="S1353" s="891"/>
      <c r="T1353" s="114"/>
      <c r="U1353" s="884"/>
      <c r="V1353" s="114"/>
      <c r="W1353" s="270"/>
      <c r="X1353" s="270"/>
      <c r="Y1353" s="270"/>
      <c r="Z1353" s="270"/>
      <c r="AA1353" s="114"/>
      <c r="AB1353" s="85"/>
      <c r="AC1353" s="85"/>
      <c r="AD1353" s="85"/>
      <c r="AE1353" s="85"/>
    </row>
    <row r="1354" spans="3:31" x14ac:dyDescent="0.3">
      <c r="C1354" s="450"/>
      <c r="D1354" s="182"/>
      <c r="E1354" s="182"/>
      <c r="F1354" s="182"/>
      <c r="G1354" s="450" t="str">
        <f t="shared" si="64"/>
        <v>--</v>
      </c>
      <c r="H1354" s="182"/>
      <c r="I1354" s="892"/>
      <c r="J1354" s="288"/>
      <c r="K1354" s="182"/>
      <c r="L1354" s="181"/>
      <c r="M1354" s="181"/>
      <c r="N1354" s="892"/>
      <c r="O1354" s="892"/>
      <c r="P1354" s="258" t="s">
        <v>187</v>
      </c>
      <c r="Q1354" s="895">
        <v>0</v>
      </c>
      <c r="R1354" s="114"/>
      <c r="S1354" s="891"/>
      <c r="T1354" s="114"/>
      <c r="U1354" s="884"/>
      <c r="V1354" s="114"/>
      <c r="W1354" s="270"/>
      <c r="X1354" s="270"/>
      <c r="Y1354" s="270"/>
      <c r="Z1354" s="270"/>
      <c r="AA1354" s="114"/>
      <c r="AB1354" s="85"/>
      <c r="AC1354" s="85"/>
      <c r="AD1354" s="85"/>
      <c r="AE1354" s="85"/>
    </row>
    <row r="1355" spans="3:31" x14ac:dyDescent="0.3">
      <c r="C1355" s="450"/>
      <c r="D1355" s="182"/>
      <c r="E1355" s="182"/>
      <c r="F1355" s="182"/>
      <c r="G1355" s="450" t="str">
        <f t="shared" si="64"/>
        <v>--</v>
      </c>
      <c r="H1355" s="182"/>
      <c r="I1355" s="892"/>
      <c r="J1355" s="288"/>
      <c r="K1355" s="182"/>
      <c r="L1355" s="181"/>
      <c r="M1355" s="181"/>
      <c r="N1355" s="892"/>
      <c r="O1355" s="892"/>
      <c r="P1355" s="263" t="s">
        <v>46</v>
      </c>
      <c r="Q1355" s="897">
        <f>SUM(Q1345:Q1354)</f>
        <v>1</v>
      </c>
      <c r="R1355" s="898"/>
      <c r="S1355" s="898"/>
      <c r="T1355" s="899"/>
      <c r="U1355" s="900"/>
      <c r="V1355" s="114"/>
      <c r="W1355" s="270"/>
      <c r="X1355" s="270"/>
      <c r="Y1355" s="270"/>
      <c r="Z1355" s="270"/>
      <c r="AA1355" s="114"/>
      <c r="AB1355" s="85"/>
      <c r="AC1355" s="85"/>
      <c r="AD1355" s="85"/>
      <c r="AE1355" s="85"/>
    </row>
    <row r="1356" spans="3:31" x14ac:dyDescent="0.3">
      <c r="C1356" s="450"/>
      <c r="D1356" s="182"/>
      <c r="E1356" s="182"/>
      <c r="F1356" s="182"/>
      <c r="G1356" s="450" t="str">
        <f t="shared" si="64"/>
        <v>--</v>
      </c>
      <c r="H1356" s="182"/>
      <c r="I1356" s="892"/>
      <c r="J1356" s="288"/>
      <c r="K1356" s="182"/>
      <c r="L1356" s="181"/>
      <c r="M1356" s="181"/>
      <c r="N1356" s="892"/>
      <c r="O1356" s="892"/>
      <c r="P1356" s="114"/>
      <c r="Q1356" s="114"/>
      <c r="R1356" s="891"/>
      <c r="S1356" s="891"/>
      <c r="T1356" s="114"/>
      <c r="U1356" s="114"/>
      <c r="V1356" s="114"/>
      <c r="W1356" s="270"/>
      <c r="X1356" s="270"/>
      <c r="Y1356" s="270"/>
      <c r="Z1356" s="270"/>
      <c r="AA1356" s="114"/>
      <c r="AB1356" s="85"/>
      <c r="AC1356" s="85"/>
      <c r="AD1356" s="85"/>
      <c r="AE1356" s="85"/>
    </row>
    <row r="1357" spans="3:31" ht="15" thickBot="1" x14ac:dyDescent="0.35">
      <c r="C1357" s="450"/>
      <c r="D1357" s="182"/>
      <c r="E1357" s="182"/>
      <c r="F1357" s="182"/>
      <c r="G1357" s="450" t="str">
        <f t="shared" si="64"/>
        <v>--</v>
      </c>
      <c r="H1357" s="182"/>
      <c r="I1357" s="892"/>
      <c r="J1357" s="892"/>
      <c r="K1357" s="182"/>
      <c r="L1357" s="182"/>
      <c r="M1357" s="901" t="s">
        <v>155</v>
      </c>
      <c r="N1357" s="870" t="s">
        <v>188</v>
      </c>
      <c r="O1357" s="870"/>
      <c r="P1357" s="252" t="s">
        <v>175</v>
      </c>
      <c r="Q1357" s="871" t="s">
        <v>155</v>
      </c>
      <c r="R1357" s="872" t="s">
        <v>168</v>
      </c>
      <c r="S1357" s="872" t="s">
        <v>169</v>
      </c>
      <c r="T1357" s="902"/>
      <c r="U1357" s="903"/>
      <c r="V1357" s="270"/>
      <c r="W1357" s="270"/>
      <c r="X1357" s="270"/>
      <c r="Y1357" s="270"/>
      <c r="Z1357" s="270"/>
      <c r="AA1357" s="114"/>
      <c r="AB1357" s="85"/>
      <c r="AC1357" s="85"/>
      <c r="AD1357" s="85"/>
      <c r="AE1357" s="85"/>
    </row>
    <row r="1358" spans="3:31" ht="15" thickBot="1" x14ac:dyDescent="0.35">
      <c r="C1358" s="566" t="s">
        <v>765</v>
      </c>
      <c r="D1358" s="875" t="str">
        <f>VLOOKUP(C1358,'Airport Mapping'!$C$5:$D$39,2,FALSE)</f>
        <v xml:space="preserve"> </v>
      </c>
      <c r="E1358" s="567" t="s">
        <v>37</v>
      </c>
      <c r="F1358" s="567" t="s">
        <v>4</v>
      </c>
      <c r="G1358" s="450" t="str">
        <f t="shared" si="64"/>
        <v>Rental Car Center E-Restrooms-Urinals</v>
      </c>
      <c r="H1358" s="567" t="s">
        <v>3</v>
      </c>
      <c r="I1358" s="877" t="s">
        <v>64</v>
      </c>
      <c r="J1358" s="878">
        <f>SUMIFS('Level of Efficiency Assumptions'!J:J,'Level of Efficiency Assumptions'!D:D,E1358,'Level of Efficiency Assumptions'!F:F,F1358,'Level of Efficiency Assumptions'!I:I,I1358)</f>
        <v>2</v>
      </c>
      <c r="K1358" s="383" t="s">
        <v>68</v>
      </c>
      <c r="L1358" s="253" t="s">
        <v>64</v>
      </c>
      <c r="M1358" s="879">
        <f>Q1358+Q1359</f>
        <v>0</v>
      </c>
      <c r="N1358" s="880">
        <f>IFERROR(M1358/M1361,"-")</f>
        <v>0</v>
      </c>
      <c r="O1358" s="881">
        <f>SUMIFS('Data Entry'!R:R,'Data Entry'!K:K,G1358)</f>
        <v>0</v>
      </c>
      <c r="P1358" s="254" t="s">
        <v>177</v>
      </c>
      <c r="Q1358" s="882">
        <v>0</v>
      </c>
      <c r="R1358" s="883"/>
      <c r="S1358" s="883"/>
      <c r="T1358" s="114"/>
      <c r="U1358" s="904"/>
      <c r="V1358" s="270"/>
      <c r="W1358" s="270"/>
      <c r="X1358" s="270"/>
      <c r="Y1358" s="270"/>
      <c r="Z1358" s="270"/>
      <c r="AA1358" s="114"/>
      <c r="AB1358" s="85"/>
      <c r="AC1358" s="85"/>
      <c r="AD1358" s="85"/>
      <c r="AE1358" s="85"/>
    </row>
    <row r="1359" spans="3:31" ht="15" thickBot="1" x14ac:dyDescent="0.35">
      <c r="C1359" s="494" t="s">
        <v>765</v>
      </c>
      <c r="D1359" s="577"/>
      <c r="E1359" s="577" t="s">
        <v>37</v>
      </c>
      <c r="F1359" s="577" t="s">
        <v>4</v>
      </c>
      <c r="G1359" s="450" t="str">
        <f t="shared" si="64"/>
        <v>Rental Car Center E-Restrooms-Urinals</v>
      </c>
      <c r="H1359" s="577"/>
      <c r="I1359" s="887" t="s">
        <v>65</v>
      </c>
      <c r="J1359" s="878">
        <f>SUMIFS('Level of Efficiency Assumptions'!J:J,'Level of Efficiency Assumptions'!D:D,E1359,'Level of Efficiency Assumptions'!F:F,F1359,'Level of Efficiency Assumptions'!I:I,I1359)</f>
        <v>1</v>
      </c>
      <c r="K1359" s="383" t="s">
        <v>68</v>
      </c>
      <c r="L1359" s="255" t="s">
        <v>65</v>
      </c>
      <c r="M1359" s="879">
        <f>Q1360+Q1361</f>
        <v>1</v>
      </c>
      <c r="N1359" s="880">
        <f>IFERROR(M1359/M1361,"-")</f>
        <v>1</v>
      </c>
      <c r="O1359" s="881">
        <f>SUMIFS('Data Entry'!S:S,'Data Entry'!K:K,G1359)</f>
        <v>0</v>
      </c>
      <c r="P1359" s="254" t="s">
        <v>179</v>
      </c>
      <c r="Q1359" s="882">
        <v>0</v>
      </c>
      <c r="R1359" s="883"/>
      <c r="S1359" s="883"/>
      <c r="T1359" s="114"/>
      <c r="U1359" s="904"/>
      <c r="V1359" s="270"/>
      <c r="W1359" s="270"/>
      <c r="X1359" s="270"/>
      <c r="Y1359" s="270"/>
      <c r="Z1359" s="270"/>
      <c r="AA1359" s="114"/>
      <c r="AB1359" s="85"/>
      <c r="AC1359" s="85"/>
      <c r="AD1359" s="85"/>
      <c r="AE1359" s="85"/>
    </row>
    <row r="1360" spans="3:31" ht="15" thickBot="1" x14ac:dyDescent="0.35">
      <c r="C1360" s="501" t="s">
        <v>765</v>
      </c>
      <c r="D1360" s="116"/>
      <c r="E1360" s="116" t="s">
        <v>37</v>
      </c>
      <c r="F1360" s="116" t="s">
        <v>4</v>
      </c>
      <c r="G1360" s="450" t="str">
        <f t="shared" si="64"/>
        <v>Rental Car Center E-Restrooms-Urinals</v>
      </c>
      <c r="H1360" s="116"/>
      <c r="I1360" s="889" t="s">
        <v>66</v>
      </c>
      <c r="J1360" s="890">
        <f>SUMIFS('Level of Efficiency Assumptions'!J:J,'Level of Efficiency Assumptions'!D:D,E1360,'Level of Efficiency Assumptions'!F:F,F1360,'Level of Efficiency Assumptions'!I:I,I1360)</f>
        <v>0.125</v>
      </c>
      <c r="K1360" s="383" t="s">
        <v>68</v>
      </c>
      <c r="L1360" s="257" t="s">
        <v>66</v>
      </c>
      <c r="M1360" s="879">
        <f>Q1362+Q1363</f>
        <v>0</v>
      </c>
      <c r="N1360" s="880">
        <f>IFERROR(M1360/M1361,"-")</f>
        <v>0</v>
      </c>
      <c r="O1360" s="881">
        <f>SUMIFS('Data Entry'!T:T,'Data Entry'!K:K,G1360)</f>
        <v>0</v>
      </c>
      <c r="P1360" s="256" t="s">
        <v>189</v>
      </c>
      <c r="Q1360" s="882">
        <v>0</v>
      </c>
      <c r="R1360" s="883"/>
      <c r="S1360" s="883"/>
      <c r="T1360" s="114"/>
      <c r="U1360" s="904"/>
      <c r="V1360" s="270"/>
      <c r="W1360" s="270"/>
      <c r="X1360" s="270"/>
      <c r="Y1360" s="270"/>
      <c r="Z1360" s="270"/>
      <c r="AA1360" s="114"/>
      <c r="AB1360" s="85"/>
      <c r="AC1360" s="85"/>
      <c r="AD1360" s="85"/>
      <c r="AE1360" s="85"/>
    </row>
    <row r="1361" spans="3:31" x14ac:dyDescent="0.3">
      <c r="C1361" s="450"/>
      <c r="D1361" s="182"/>
      <c r="E1361" s="182"/>
      <c r="F1361" s="182"/>
      <c r="G1361" s="450" t="str">
        <f t="shared" si="64"/>
        <v>--</v>
      </c>
      <c r="H1361" s="182"/>
      <c r="I1361" s="440"/>
      <c r="J1361" s="892"/>
      <c r="K1361" s="259"/>
      <c r="L1361" s="259" t="s">
        <v>46</v>
      </c>
      <c r="M1361" s="893">
        <f>SUM(M1358:M1360)</f>
        <v>1</v>
      </c>
      <c r="N1361" s="894"/>
      <c r="O1361" s="894">
        <f>SUM(O1358:O1360)</f>
        <v>0</v>
      </c>
      <c r="P1361" s="256" t="s">
        <v>181</v>
      </c>
      <c r="Q1361" s="882">
        <v>1</v>
      </c>
      <c r="R1361" s="883"/>
      <c r="S1361" s="883"/>
      <c r="T1361" s="114"/>
      <c r="U1361" s="264"/>
      <c r="V1361" s="270"/>
      <c r="W1361" s="270"/>
      <c r="X1361" s="270"/>
      <c r="Y1361" s="270"/>
      <c r="Z1361" s="270"/>
      <c r="AA1361" s="114"/>
      <c r="AB1361" s="85"/>
      <c r="AC1361" s="85"/>
      <c r="AD1361" s="85"/>
      <c r="AE1361" s="85"/>
    </row>
    <row r="1362" spans="3:31" x14ac:dyDescent="0.3">
      <c r="C1362" s="450"/>
      <c r="D1362" s="182"/>
      <c r="E1362" s="182"/>
      <c r="F1362" s="182"/>
      <c r="G1362" s="450" t="str">
        <f t="shared" si="64"/>
        <v>--</v>
      </c>
      <c r="H1362" s="182"/>
      <c r="I1362" s="892"/>
      <c r="J1362" s="288"/>
      <c r="K1362" s="182"/>
      <c r="L1362" s="181"/>
      <c r="M1362" s="181"/>
      <c r="N1362" s="892"/>
      <c r="O1362" s="892"/>
      <c r="P1362" s="258" t="s">
        <v>183</v>
      </c>
      <c r="Q1362" s="882">
        <v>0</v>
      </c>
      <c r="R1362" s="883"/>
      <c r="S1362" s="883"/>
      <c r="T1362" s="114"/>
      <c r="U1362" s="884"/>
      <c r="V1362" s="114"/>
      <c r="W1362" s="270"/>
      <c r="X1362" s="270"/>
      <c r="Y1362" s="270"/>
      <c r="Z1362" s="270"/>
      <c r="AA1362" s="114"/>
      <c r="AB1362" s="85"/>
      <c r="AC1362" s="85"/>
      <c r="AD1362" s="85"/>
      <c r="AE1362" s="85"/>
    </row>
    <row r="1363" spans="3:31" x14ac:dyDescent="0.3">
      <c r="C1363" s="450"/>
      <c r="D1363" s="182"/>
      <c r="E1363" s="182"/>
      <c r="F1363" s="182"/>
      <c r="G1363" s="450" t="str">
        <f t="shared" si="64"/>
        <v>--</v>
      </c>
      <c r="H1363" s="182"/>
      <c r="I1363" s="892"/>
      <c r="J1363" s="288"/>
      <c r="K1363" s="182"/>
      <c r="L1363" s="181"/>
      <c r="M1363" s="181"/>
      <c r="N1363" s="892"/>
      <c r="O1363" s="892"/>
      <c r="P1363" s="258" t="s">
        <v>190</v>
      </c>
      <c r="Q1363" s="882">
        <v>0</v>
      </c>
      <c r="R1363" s="114"/>
      <c r="S1363" s="114"/>
      <c r="T1363" s="114"/>
      <c r="U1363" s="884"/>
      <c r="V1363" s="114"/>
      <c r="W1363" s="270"/>
      <c r="X1363" s="270"/>
      <c r="Y1363" s="270"/>
      <c r="Z1363" s="270"/>
      <c r="AA1363" s="114"/>
      <c r="AB1363" s="85"/>
      <c r="AC1363" s="85"/>
      <c r="AD1363" s="85"/>
      <c r="AE1363" s="85"/>
    </row>
    <row r="1364" spans="3:31" x14ac:dyDescent="0.3">
      <c r="C1364" s="450"/>
      <c r="D1364" s="182"/>
      <c r="E1364" s="182"/>
      <c r="F1364" s="182"/>
      <c r="G1364" s="450" t="str">
        <f t="shared" si="64"/>
        <v>--</v>
      </c>
      <c r="H1364" s="182"/>
      <c r="I1364" s="892"/>
      <c r="J1364" s="288"/>
      <c r="K1364" s="182"/>
      <c r="L1364" s="181"/>
      <c r="M1364" s="181"/>
      <c r="N1364" s="892"/>
      <c r="O1364" s="892"/>
      <c r="P1364" s="263" t="s">
        <v>46</v>
      </c>
      <c r="Q1364" s="897">
        <f>SUM(Q1358:Q1363)</f>
        <v>1</v>
      </c>
      <c r="R1364" s="899"/>
      <c r="S1364" s="899"/>
      <c r="T1364" s="899"/>
      <c r="U1364" s="900"/>
      <c r="V1364" s="114"/>
      <c r="W1364" s="270"/>
      <c r="X1364" s="270"/>
      <c r="Y1364" s="270"/>
      <c r="Z1364" s="270"/>
      <c r="AA1364" s="114"/>
      <c r="AB1364" s="85"/>
      <c r="AC1364" s="85"/>
      <c r="AD1364" s="85"/>
      <c r="AE1364" s="85"/>
    </row>
    <row r="1365" spans="3:31" x14ac:dyDescent="0.3">
      <c r="C1365" s="450"/>
      <c r="D1365" s="182"/>
      <c r="E1365" s="182"/>
      <c r="F1365" s="182"/>
      <c r="G1365" s="450" t="str">
        <f t="shared" si="64"/>
        <v>--</v>
      </c>
      <c r="H1365" s="182"/>
      <c r="I1365" s="892"/>
      <c r="J1365" s="288"/>
      <c r="K1365" s="182"/>
      <c r="L1365" s="181"/>
      <c r="M1365" s="181"/>
      <c r="N1365" s="892"/>
      <c r="O1365" s="892"/>
      <c r="P1365" s="262"/>
      <c r="Q1365" s="114"/>
      <c r="R1365" s="114"/>
      <c r="S1365" s="114"/>
      <c r="T1365" s="114"/>
      <c r="U1365" s="114"/>
      <c r="V1365" s="114"/>
      <c r="W1365" s="270"/>
      <c r="X1365" s="270"/>
      <c r="Y1365" s="270"/>
      <c r="Z1365" s="270"/>
      <c r="AA1365" s="114"/>
      <c r="AB1365" s="85"/>
      <c r="AC1365" s="85"/>
      <c r="AD1365" s="85"/>
      <c r="AE1365" s="85"/>
    </row>
    <row r="1366" spans="3:31" ht="15" thickBot="1" x14ac:dyDescent="0.35">
      <c r="C1366" s="450"/>
      <c r="D1366" s="182"/>
      <c r="E1366" s="182"/>
      <c r="F1366" s="182"/>
      <c r="G1366" s="450" t="str">
        <f t="shared" si="64"/>
        <v>--</v>
      </c>
      <c r="H1366" s="182"/>
      <c r="I1366" s="892"/>
      <c r="J1366" s="892"/>
      <c r="K1366" s="182"/>
      <c r="L1366" s="182"/>
      <c r="M1366" s="901" t="s">
        <v>155</v>
      </c>
      <c r="N1366" s="870" t="s">
        <v>188</v>
      </c>
      <c r="O1366" s="870"/>
      <c r="P1366" s="265" t="s">
        <v>33</v>
      </c>
      <c r="Q1366" s="871" t="s">
        <v>155</v>
      </c>
      <c r="R1366" s="872" t="s">
        <v>168</v>
      </c>
      <c r="S1366" s="872" t="s">
        <v>169</v>
      </c>
      <c r="T1366" s="872" t="s">
        <v>170</v>
      </c>
      <c r="U1366" s="872" t="s">
        <v>171</v>
      </c>
      <c r="V1366" s="902"/>
      <c r="W1366" s="902"/>
      <c r="X1366" s="874"/>
      <c r="Y1366" s="270"/>
      <c r="Z1366" s="270"/>
      <c r="AA1366" s="114"/>
      <c r="AB1366" s="85"/>
      <c r="AC1366" s="85"/>
      <c r="AD1366" s="85"/>
      <c r="AE1366" s="85"/>
    </row>
    <row r="1367" spans="3:31" ht="15" thickBot="1" x14ac:dyDescent="0.35">
      <c r="C1367" s="566" t="s">
        <v>765</v>
      </c>
      <c r="D1367" s="875" t="str">
        <f>VLOOKUP(C1367,'Airport Mapping'!$C$5:$D$39,2,FALSE)</f>
        <v xml:space="preserve"> </v>
      </c>
      <c r="E1367" s="567" t="s">
        <v>37</v>
      </c>
      <c r="F1367" s="567" t="s">
        <v>33</v>
      </c>
      <c r="G1367" s="450" t="str">
        <f t="shared" si="64"/>
        <v>Rental Car Center E-Restrooms-Faucets</v>
      </c>
      <c r="H1367" s="567" t="s">
        <v>3</v>
      </c>
      <c r="I1367" s="877" t="s">
        <v>64</v>
      </c>
      <c r="J1367" s="878">
        <f>SUMIFS('Level of Efficiency Assumptions'!J:J,'Level of Efficiency Assumptions'!D:D,E1367,'Level of Efficiency Assumptions'!F:F,F1367,'Level of Efficiency Assumptions'!I:I,I1367)</f>
        <v>2</v>
      </c>
      <c r="K1367" s="383" t="s">
        <v>78</v>
      </c>
      <c r="L1367" s="253" t="s">
        <v>64</v>
      </c>
      <c r="M1367" s="879">
        <f>Q1367+Q1368</f>
        <v>0</v>
      </c>
      <c r="N1367" s="880">
        <f>IFERROR(M1367/M1370,"-")</f>
        <v>0</v>
      </c>
      <c r="O1367" s="881">
        <f>SUMIFS('Data Entry'!R:R,'Data Entry'!K:K,G1367)</f>
        <v>0</v>
      </c>
      <c r="P1367" s="266" t="s">
        <v>180</v>
      </c>
      <c r="Q1367" s="895">
        <v>0</v>
      </c>
      <c r="R1367" s="883"/>
      <c r="S1367" s="883"/>
      <c r="T1367" s="883"/>
      <c r="U1367" s="883"/>
      <c r="V1367" s="114" t="s">
        <v>182</v>
      </c>
      <c r="W1367" s="114"/>
      <c r="X1367" s="884"/>
      <c r="Y1367" s="270"/>
      <c r="Z1367" s="270"/>
      <c r="AA1367" s="114"/>
      <c r="AB1367" s="85"/>
      <c r="AC1367" s="85"/>
      <c r="AD1367" s="85"/>
      <c r="AE1367" s="85"/>
    </row>
    <row r="1368" spans="3:31" ht="15" thickBot="1" x14ac:dyDescent="0.35">
      <c r="C1368" s="494" t="s">
        <v>765</v>
      </c>
      <c r="D1368" s="577"/>
      <c r="E1368" s="577" t="s">
        <v>37</v>
      </c>
      <c r="F1368" s="577" t="s">
        <v>33</v>
      </c>
      <c r="G1368" s="450" t="str">
        <f t="shared" si="64"/>
        <v>Rental Car Center E-Restrooms-Faucets</v>
      </c>
      <c r="H1368" s="577"/>
      <c r="I1368" s="887" t="s">
        <v>65</v>
      </c>
      <c r="J1368" s="878">
        <f>SUMIFS('Level of Efficiency Assumptions'!J:J,'Level of Efficiency Assumptions'!D:D,E1368,'Level of Efficiency Assumptions'!F:F,F1368,'Level of Efficiency Assumptions'!I:I,I1368)</f>
        <v>1</v>
      </c>
      <c r="K1368" s="383" t="s">
        <v>78</v>
      </c>
      <c r="L1368" s="255" t="s">
        <v>65</v>
      </c>
      <c r="M1368" s="879">
        <f>Q1369+Q1370</f>
        <v>1</v>
      </c>
      <c r="N1368" s="880">
        <f>IFERROR(M1368/M1370,"-")</f>
        <v>1</v>
      </c>
      <c r="O1368" s="881">
        <f>SUMIFS('Data Entry'!S:S,'Data Entry'!K:K,G1368)</f>
        <v>0</v>
      </c>
      <c r="P1368" s="266" t="s">
        <v>178</v>
      </c>
      <c r="Q1368" s="895">
        <v>0</v>
      </c>
      <c r="R1368" s="883"/>
      <c r="S1368" s="883"/>
      <c r="T1368" s="883"/>
      <c r="U1368" s="883"/>
      <c r="V1368" s="114" t="s">
        <v>184</v>
      </c>
      <c r="W1368" s="114"/>
      <c r="X1368" s="884"/>
      <c r="Y1368" s="270"/>
      <c r="Z1368" s="270"/>
      <c r="AA1368" s="114"/>
      <c r="AB1368" s="85"/>
      <c r="AC1368" s="85"/>
      <c r="AD1368" s="85"/>
      <c r="AE1368" s="85"/>
    </row>
    <row r="1369" spans="3:31" ht="15" thickBot="1" x14ac:dyDescent="0.35">
      <c r="C1369" s="501" t="s">
        <v>765</v>
      </c>
      <c r="D1369" s="116"/>
      <c r="E1369" s="116" t="s">
        <v>37</v>
      </c>
      <c r="F1369" s="116" t="s">
        <v>33</v>
      </c>
      <c r="G1369" s="450" t="str">
        <f t="shared" si="64"/>
        <v>Rental Car Center E-Restrooms-Faucets</v>
      </c>
      <c r="H1369" s="116"/>
      <c r="I1369" s="889" t="s">
        <v>66</v>
      </c>
      <c r="J1369" s="890">
        <f>SUMIFS('Level of Efficiency Assumptions'!J:J,'Level of Efficiency Assumptions'!D:D,E1369,'Level of Efficiency Assumptions'!F:F,F1369,'Level of Efficiency Assumptions'!I:I,I1369)</f>
        <v>0.5</v>
      </c>
      <c r="K1369" s="383" t="s">
        <v>78</v>
      </c>
      <c r="L1369" s="257" t="s">
        <v>66</v>
      </c>
      <c r="M1369" s="879">
        <f>Q1371</f>
        <v>0</v>
      </c>
      <c r="N1369" s="880">
        <f>IFERROR(M1369/M1370,"-")</f>
        <v>0</v>
      </c>
      <c r="O1369" s="881">
        <f>SUMIFS('Data Entry'!T:T,'Data Entry'!K:K,G1369)</f>
        <v>0</v>
      </c>
      <c r="P1369" s="267" t="s">
        <v>176</v>
      </c>
      <c r="Q1369" s="895">
        <v>1</v>
      </c>
      <c r="R1369" s="883"/>
      <c r="S1369" s="883"/>
      <c r="T1369" s="883"/>
      <c r="U1369" s="883"/>
      <c r="V1369" s="114" t="s">
        <v>185</v>
      </c>
      <c r="W1369" s="114"/>
      <c r="X1369" s="884"/>
      <c r="Y1369" s="270"/>
      <c r="Z1369" s="270"/>
      <c r="AA1369" s="114"/>
      <c r="AB1369" s="85"/>
      <c r="AC1369" s="85"/>
      <c r="AD1369" s="85"/>
      <c r="AE1369" s="85"/>
    </row>
    <row r="1370" spans="3:31" x14ac:dyDescent="0.3">
      <c r="C1370" s="450"/>
      <c r="D1370" s="182"/>
      <c r="E1370" s="182"/>
      <c r="F1370" s="182"/>
      <c r="G1370" s="450" t="str">
        <f t="shared" si="64"/>
        <v>--</v>
      </c>
      <c r="H1370" s="182"/>
      <c r="I1370" s="440"/>
      <c r="J1370" s="892"/>
      <c r="K1370" s="259"/>
      <c r="L1370" s="259" t="s">
        <v>46</v>
      </c>
      <c r="M1370" s="893">
        <f>SUM(M1367:M1369)</f>
        <v>1</v>
      </c>
      <c r="N1370" s="894"/>
      <c r="O1370" s="894">
        <f>SUM(O1367:O1369)</f>
        <v>0</v>
      </c>
      <c r="P1370" s="256" t="s">
        <v>173</v>
      </c>
      <c r="Q1370" s="895">
        <v>0</v>
      </c>
      <c r="R1370" s="883"/>
      <c r="S1370" s="883"/>
      <c r="T1370" s="883"/>
      <c r="U1370" s="883"/>
      <c r="V1370" s="114" t="s">
        <v>186</v>
      </c>
      <c r="W1370" s="114"/>
      <c r="X1370" s="884"/>
      <c r="Y1370" s="270"/>
      <c r="Z1370" s="270"/>
      <c r="AA1370" s="114"/>
      <c r="AB1370" s="85"/>
      <c r="AC1370" s="85"/>
      <c r="AD1370" s="85"/>
      <c r="AE1370" s="85"/>
    </row>
    <row r="1371" spans="3:31" x14ac:dyDescent="0.3">
      <c r="C1371" s="450"/>
      <c r="D1371" s="182"/>
      <c r="E1371" s="182"/>
      <c r="F1371" s="182"/>
      <c r="G1371" s="450" t="str">
        <f t="shared" si="64"/>
        <v>--</v>
      </c>
      <c r="H1371" s="182"/>
      <c r="I1371" s="892"/>
      <c r="J1371" s="288"/>
      <c r="K1371" s="182"/>
      <c r="L1371" s="114"/>
      <c r="M1371" s="114"/>
      <c r="N1371" s="905"/>
      <c r="O1371" s="905"/>
      <c r="P1371" s="258" t="s">
        <v>172</v>
      </c>
      <c r="Q1371" s="895">
        <v>0</v>
      </c>
      <c r="R1371" s="883"/>
      <c r="S1371" s="883"/>
      <c r="T1371" s="883"/>
      <c r="U1371" s="883"/>
      <c r="V1371" s="114"/>
      <c r="W1371" s="114"/>
      <c r="X1371" s="884"/>
      <c r="Y1371" s="270"/>
      <c r="Z1371" s="270"/>
      <c r="AA1371" s="114"/>
      <c r="AB1371" s="85"/>
      <c r="AC1371" s="85"/>
      <c r="AD1371" s="85"/>
      <c r="AE1371" s="85"/>
    </row>
    <row r="1372" spans="3:31" x14ac:dyDescent="0.3">
      <c r="C1372" s="450"/>
      <c r="D1372" s="182"/>
      <c r="E1372" s="182"/>
      <c r="F1372" s="182"/>
      <c r="G1372" s="450" t="str">
        <f t="shared" si="64"/>
        <v>--</v>
      </c>
      <c r="H1372" s="182"/>
      <c r="I1372" s="892"/>
      <c r="J1372" s="288"/>
      <c r="K1372" s="182"/>
      <c r="L1372" s="181"/>
      <c r="M1372" s="181"/>
      <c r="N1372" s="892"/>
      <c r="O1372" s="892"/>
      <c r="P1372" s="263" t="s">
        <v>46</v>
      </c>
      <c r="Q1372" s="897">
        <f>SUM(Q1366:Q1371)</f>
        <v>1</v>
      </c>
      <c r="R1372" s="899"/>
      <c r="S1372" s="899"/>
      <c r="T1372" s="899"/>
      <c r="U1372" s="899"/>
      <c r="V1372" s="899"/>
      <c r="W1372" s="899"/>
      <c r="X1372" s="900"/>
      <c r="Y1372" s="270"/>
      <c r="Z1372" s="270"/>
      <c r="AA1372" s="114"/>
      <c r="AB1372" s="85"/>
      <c r="AC1372" s="85"/>
      <c r="AD1372" s="85"/>
      <c r="AE1372" s="85"/>
    </row>
    <row r="1373" spans="3:31" x14ac:dyDescent="0.3">
      <c r="C1373" s="450"/>
      <c r="D1373" s="182"/>
      <c r="E1373" s="182"/>
      <c r="F1373" s="182"/>
      <c r="G1373" s="450" t="str">
        <f t="shared" si="64"/>
        <v>--</v>
      </c>
      <c r="H1373" s="182"/>
      <c r="I1373" s="892"/>
      <c r="J1373" s="288"/>
      <c r="K1373" s="182"/>
      <c r="L1373" s="181"/>
      <c r="M1373" s="181"/>
      <c r="N1373" s="892"/>
      <c r="O1373" s="892"/>
      <c r="P1373" s="262"/>
      <c r="Q1373" s="114"/>
      <c r="R1373" s="114"/>
      <c r="S1373" s="114"/>
      <c r="T1373" s="114"/>
      <c r="U1373" s="114"/>
      <c r="V1373" s="114"/>
      <c r="W1373" s="270"/>
      <c r="X1373" s="270"/>
      <c r="Y1373" s="270"/>
      <c r="Z1373" s="270"/>
      <c r="AA1373" s="114"/>
      <c r="AB1373" s="85"/>
      <c r="AC1373" s="85"/>
      <c r="AD1373" s="85"/>
      <c r="AE1373" s="85"/>
    </row>
    <row r="1374" spans="3:31" ht="15" thickBot="1" x14ac:dyDescent="0.35">
      <c r="C1374" s="450"/>
      <c r="D1374" s="182"/>
      <c r="E1374" s="182"/>
      <c r="F1374" s="182"/>
      <c r="G1374" s="450" t="str">
        <f t="shared" si="64"/>
        <v>--</v>
      </c>
      <c r="H1374" s="182"/>
      <c r="I1374" s="892"/>
      <c r="J1374" s="892"/>
      <c r="K1374" s="182"/>
      <c r="L1374" s="182"/>
      <c r="M1374" s="901" t="s">
        <v>155</v>
      </c>
      <c r="N1374" s="870" t="s">
        <v>188</v>
      </c>
      <c r="O1374" s="870"/>
      <c r="P1374" s="265" t="s">
        <v>33</v>
      </c>
      <c r="Q1374" s="871" t="s">
        <v>155</v>
      </c>
      <c r="R1374" s="872" t="s">
        <v>168</v>
      </c>
      <c r="S1374" s="872" t="s">
        <v>169</v>
      </c>
      <c r="T1374" s="872" t="s">
        <v>170</v>
      </c>
      <c r="U1374" s="872" t="s">
        <v>171</v>
      </c>
      <c r="V1374" s="902"/>
      <c r="W1374" s="902"/>
      <c r="X1374" s="874"/>
      <c r="Y1374" s="270"/>
      <c r="Z1374" s="270"/>
      <c r="AA1374" s="114"/>
      <c r="AB1374" s="85"/>
      <c r="AC1374" s="85"/>
      <c r="AD1374" s="85"/>
      <c r="AE1374" s="85"/>
    </row>
    <row r="1375" spans="3:31" ht="15" thickBot="1" x14ac:dyDescent="0.35">
      <c r="C1375" s="566" t="s">
        <v>765</v>
      </c>
      <c r="D1375" s="875" t="str">
        <f>VLOOKUP(C1375,'Airport Mapping'!$C$5:$D$39,2,FALSE)</f>
        <v xml:space="preserve"> </v>
      </c>
      <c r="E1375" s="567" t="s">
        <v>5</v>
      </c>
      <c r="F1375" s="567" t="s">
        <v>33</v>
      </c>
      <c r="G1375" s="450" t="str">
        <f t="shared" si="64"/>
        <v>Rental Car Center E-Break rooms-Faucets</v>
      </c>
      <c r="H1375" s="567" t="s">
        <v>6</v>
      </c>
      <c r="I1375" s="877" t="s">
        <v>64</v>
      </c>
      <c r="J1375" s="878">
        <f>SUMIFS('Level of Efficiency Assumptions'!J:J,'Level of Efficiency Assumptions'!D:D,E1375,'Level of Efficiency Assumptions'!F:F,F1375,'Level of Efficiency Assumptions'!I:I,I1375)</f>
        <v>2</v>
      </c>
      <c r="K1375" s="383" t="s">
        <v>78</v>
      </c>
      <c r="L1375" s="253" t="s">
        <v>64</v>
      </c>
      <c r="M1375" s="879">
        <f>Q1375+Q1376</f>
        <v>0</v>
      </c>
      <c r="N1375" s="880">
        <f>IFERROR(M1375/M1378,"-")</f>
        <v>0</v>
      </c>
      <c r="O1375" s="881">
        <f>SUMIFS('Data Entry'!R:R,'Data Entry'!K:K,G1375)</f>
        <v>0</v>
      </c>
      <c r="P1375" s="266" t="s">
        <v>180</v>
      </c>
      <c r="Q1375" s="895">
        <v>0</v>
      </c>
      <c r="R1375" s="883"/>
      <c r="S1375" s="883"/>
      <c r="T1375" s="883"/>
      <c r="U1375" s="883"/>
      <c r="V1375" s="114" t="s">
        <v>182</v>
      </c>
      <c r="W1375" s="114"/>
      <c r="X1375" s="884"/>
      <c r="Y1375" s="270"/>
      <c r="Z1375" s="270"/>
      <c r="AA1375" s="114"/>
      <c r="AB1375" s="85"/>
      <c r="AC1375" s="85"/>
      <c r="AD1375" s="85"/>
      <c r="AE1375" s="85"/>
    </row>
    <row r="1376" spans="3:31" ht="15" thickBot="1" x14ac:dyDescent="0.35">
      <c r="C1376" s="494" t="s">
        <v>765</v>
      </c>
      <c r="D1376" s="577"/>
      <c r="E1376" s="577" t="s">
        <v>5</v>
      </c>
      <c r="F1376" s="577" t="s">
        <v>33</v>
      </c>
      <c r="G1376" s="450" t="str">
        <f t="shared" si="64"/>
        <v>Rental Car Center E-Break rooms-Faucets</v>
      </c>
      <c r="H1376" s="577"/>
      <c r="I1376" s="887" t="s">
        <v>65</v>
      </c>
      <c r="J1376" s="878">
        <f>SUMIFS('Level of Efficiency Assumptions'!J:J,'Level of Efficiency Assumptions'!D:D,E1376,'Level of Efficiency Assumptions'!F:F,F1376,'Level of Efficiency Assumptions'!I:I,I1376)</f>
        <v>1</v>
      </c>
      <c r="K1376" s="383" t="s">
        <v>78</v>
      </c>
      <c r="L1376" s="255" t="s">
        <v>65</v>
      </c>
      <c r="M1376" s="879">
        <f>Q1377+Q1378</f>
        <v>1</v>
      </c>
      <c r="N1376" s="880">
        <f>IFERROR(M1376/M1378,"-")</f>
        <v>1</v>
      </c>
      <c r="O1376" s="881">
        <f>SUMIFS('Data Entry'!S:S,'Data Entry'!K:K,G1376)</f>
        <v>0</v>
      </c>
      <c r="P1376" s="266" t="s">
        <v>178</v>
      </c>
      <c r="Q1376" s="895">
        <v>0</v>
      </c>
      <c r="R1376" s="883"/>
      <c r="S1376" s="883"/>
      <c r="T1376" s="883"/>
      <c r="U1376" s="883"/>
      <c r="V1376" s="114" t="s">
        <v>184</v>
      </c>
      <c r="W1376" s="114"/>
      <c r="X1376" s="884"/>
      <c r="Y1376" s="270"/>
      <c r="Z1376" s="270"/>
      <c r="AA1376" s="114"/>
      <c r="AB1376" s="85"/>
      <c r="AC1376" s="85"/>
      <c r="AD1376" s="85"/>
      <c r="AE1376" s="85"/>
    </row>
    <row r="1377" spans="3:31" ht="15" thickBot="1" x14ac:dyDescent="0.35">
      <c r="C1377" s="501" t="s">
        <v>765</v>
      </c>
      <c r="D1377" s="116"/>
      <c r="E1377" s="116" t="s">
        <v>5</v>
      </c>
      <c r="F1377" s="116" t="s">
        <v>33</v>
      </c>
      <c r="G1377" s="450" t="str">
        <f t="shared" si="64"/>
        <v>Rental Car Center E-Break rooms-Faucets</v>
      </c>
      <c r="H1377" s="116"/>
      <c r="I1377" s="889" t="s">
        <v>66</v>
      </c>
      <c r="J1377" s="890">
        <f>SUMIFS('Level of Efficiency Assumptions'!J:J,'Level of Efficiency Assumptions'!D:D,E1377,'Level of Efficiency Assumptions'!F:F,F1377,'Level of Efficiency Assumptions'!I:I,I1377)</f>
        <v>0.5</v>
      </c>
      <c r="K1377" s="383" t="s">
        <v>78</v>
      </c>
      <c r="L1377" s="257" t="s">
        <v>66</v>
      </c>
      <c r="M1377" s="879">
        <f>Q1379</f>
        <v>0</v>
      </c>
      <c r="N1377" s="880">
        <f>IFERROR(M1377/M1378,"-")</f>
        <v>0</v>
      </c>
      <c r="O1377" s="881">
        <f>SUMIFS('Data Entry'!T:T,'Data Entry'!K:K,G1377)</f>
        <v>0</v>
      </c>
      <c r="P1377" s="267" t="s">
        <v>176</v>
      </c>
      <c r="Q1377" s="895">
        <v>1</v>
      </c>
      <c r="R1377" s="883"/>
      <c r="S1377" s="883"/>
      <c r="T1377" s="883"/>
      <c r="U1377" s="883"/>
      <c r="V1377" s="114" t="s">
        <v>185</v>
      </c>
      <c r="W1377" s="114"/>
      <c r="X1377" s="884"/>
      <c r="Y1377" s="270"/>
      <c r="Z1377" s="270"/>
      <c r="AA1377" s="114"/>
      <c r="AB1377" s="85"/>
      <c r="AC1377" s="85"/>
      <c r="AD1377" s="85"/>
      <c r="AE1377" s="85"/>
    </row>
    <row r="1378" spans="3:31" x14ac:dyDescent="0.3">
      <c r="C1378" s="450"/>
      <c r="D1378" s="182"/>
      <c r="E1378" s="182"/>
      <c r="F1378" s="182"/>
      <c r="G1378" s="450" t="str">
        <f t="shared" si="64"/>
        <v>--</v>
      </c>
      <c r="H1378" s="182"/>
      <c r="I1378" s="440"/>
      <c r="J1378" s="892"/>
      <c r="K1378" s="259"/>
      <c r="L1378" s="259" t="s">
        <v>46</v>
      </c>
      <c r="M1378" s="893">
        <f>SUM(M1375:M1377)</f>
        <v>1</v>
      </c>
      <c r="N1378" s="894"/>
      <c r="O1378" s="894">
        <f>SUM(O1375:O1377)</f>
        <v>0</v>
      </c>
      <c r="P1378" s="256" t="s">
        <v>173</v>
      </c>
      <c r="Q1378" s="895">
        <v>0</v>
      </c>
      <c r="R1378" s="883"/>
      <c r="S1378" s="883"/>
      <c r="T1378" s="883"/>
      <c r="U1378" s="883"/>
      <c r="V1378" s="114" t="s">
        <v>186</v>
      </c>
      <c r="W1378" s="114"/>
      <c r="X1378" s="884"/>
      <c r="Y1378" s="270"/>
      <c r="Z1378" s="270"/>
      <c r="AA1378" s="114"/>
      <c r="AB1378" s="85"/>
      <c r="AC1378" s="85"/>
      <c r="AD1378" s="85"/>
      <c r="AE1378" s="85"/>
    </row>
    <row r="1379" spans="3:31" x14ac:dyDescent="0.3">
      <c r="C1379" s="450"/>
      <c r="D1379" s="182"/>
      <c r="E1379" s="182"/>
      <c r="F1379" s="182"/>
      <c r="G1379" s="450" t="str">
        <f t="shared" si="64"/>
        <v>--</v>
      </c>
      <c r="H1379" s="182"/>
      <c r="I1379" s="892"/>
      <c r="J1379" s="288"/>
      <c r="K1379" s="288"/>
      <c r="L1379" s="182"/>
      <c r="M1379" s="270"/>
      <c r="N1379" s="892"/>
      <c r="O1379" s="892"/>
      <c r="P1379" s="258" t="s">
        <v>172</v>
      </c>
      <c r="Q1379" s="895">
        <v>0</v>
      </c>
      <c r="R1379" s="883"/>
      <c r="S1379" s="883"/>
      <c r="T1379" s="883"/>
      <c r="U1379" s="883"/>
      <c r="V1379" s="114"/>
      <c r="W1379" s="114"/>
      <c r="X1379" s="884"/>
      <c r="Y1379" s="270"/>
      <c r="Z1379" s="270"/>
      <c r="AA1379" s="114"/>
      <c r="AB1379" s="85"/>
      <c r="AC1379" s="85"/>
      <c r="AD1379" s="85"/>
      <c r="AE1379" s="85"/>
    </row>
    <row r="1380" spans="3:31" x14ac:dyDescent="0.3">
      <c r="C1380" s="450"/>
      <c r="D1380" s="182"/>
      <c r="E1380" s="182"/>
      <c r="F1380" s="182"/>
      <c r="G1380" s="450" t="str">
        <f t="shared" si="64"/>
        <v>--</v>
      </c>
      <c r="H1380" s="182"/>
      <c r="I1380" s="892"/>
      <c r="J1380" s="288"/>
      <c r="K1380" s="288"/>
      <c r="L1380" s="182"/>
      <c r="M1380" s="270"/>
      <c r="N1380" s="892"/>
      <c r="O1380" s="892"/>
      <c r="P1380" s="263" t="s">
        <v>46</v>
      </c>
      <c r="Q1380" s="897">
        <f>SUM(Q1374:Q1379)</f>
        <v>1</v>
      </c>
      <c r="R1380" s="899"/>
      <c r="S1380" s="899"/>
      <c r="T1380" s="899"/>
      <c r="U1380" s="899"/>
      <c r="V1380" s="899"/>
      <c r="W1380" s="899"/>
      <c r="X1380" s="900"/>
      <c r="Y1380" s="270"/>
      <c r="Z1380" s="270"/>
      <c r="AA1380" s="114"/>
      <c r="AB1380" s="85"/>
      <c r="AC1380" s="85"/>
      <c r="AD1380" s="85"/>
      <c r="AE1380" s="85"/>
    </row>
    <row r="1381" spans="3:31" x14ac:dyDescent="0.3">
      <c r="C1381" s="450"/>
      <c r="D1381" s="182"/>
      <c r="E1381" s="182"/>
      <c r="F1381" s="182"/>
      <c r="G1381" s="450" t="str">
        <f t="shared" si="64"/>
        <v>--</v>
      </c>
      <c r="H1381" s="182"/>
      <c r="I1381" s="892"/>
      <c r="J1381" s="288"/>
      <c r="K1381" s="288"/>
      <c r="L1381" s="182"/>
      <c r="M1381" s="270"/>
      <c r="N1381" s="892"/>
      <c r="O1381" s="892"/>
      <c r="P1381" s="259"/>
      <c r="Q1381" s="114"/>
      <c r="R1381" s="114"/>
      <c r="S1381" s="114"/>
      <c r="T1381" s="114"/>
      <c r="U1381" s="114"/>
      <c r="V1381" s="114"/>
      <c r="W1381" s="270"/>
      <c r="X1381" s="270"/>
      <c r="Y1381" s="270"/>
      <c r="Z1381" s="270"/>
      <c r="AA1381" s="114"/>
      <c r="AB1381" s="85"/>
      <c r="AC1381" s="85"/>
      <c r="AD1381" s="85"/>
      <c r="AE1381" s="85"/>
    </row>
    <row r="1382" spans="3:31" x14ac:dyDescent="0.3">
      <c r="C1382" s="450"/>
      <c r="D1382" s="182"/>
      <c r="E1382" s="182"/>
      <c r="F1382" s="182"/>
      <c r="G1382" s="450" t="str">
        <f t="shared" si="64"/>
        <v>--</v>
      </c>
      <c r="H1382" s="182"/>
      <c r="I1382" s="892"/>
      <c r="J1382" s="288"/>
      <c r="K1382" s="288"/>
      <c r="L1382" s="182"/>
      <c r="M1382" s="270"/>
      <c r="N1382" s="892"/>
      <c r="O1382" s="892"/>
      <c r="P1382" s="276" t="s">
        <v>42</v>
      </c>
      <c r="Q1382" s="902"/>
      <c r="R1382" s="902"/>
      <c r="S1382" s="902"/>
      <c r="T1382" s="271"/>
      <c r="U1382" s="114"/>
      <c r="V1382" s="114"/>
      <c r="W1382" s="270"/>
      <c r="X1382" s="270"/>
      <c r="Y1382" s="270"/>
      <c r="Z1382" s="270"/>
      <c r="AA1382" s="114"/>
      <c r="AB1382" s="85"/>
      <c r="AC1382" s="85"/>
      <c r="AD1382" s="85"/>
      <c r="AE1382" s="85"/>
    </row>
    <row r="1383" spans="3:31" ht="15" thickBot="1" x14ac:dyDescent="0.35">
      <c r="C1383" s="450"/>
      <c r="D1383" s="182"/>
      <c r="E1383" s="182"/>
      <c r="F1383" s="182"/>
      <c r="G1383" s="450" t="str">
        <f t="shared" si="64"/>
        <v>--</v>
      </c>
      <c r="H1383" s="182"/>
      <c r="I1383" s="892"/>
      <c r="J1383" s="892"/>
      <c r="K1383" s="182"/>
      <c r="L1383" s="182"/>
      <c r="M1383" s="901" t="s">
        <v>155</v>
      </c>
      <c r="N1383" s="870" t="s">
        <v>188</v>
      </c>
      <c r="O1383" s="870"/>
      <c r="P1383" s="277" t="s">
        <v>818</v>
      </c>
      <c r="Q1383" s="871" t="s">
        <v>155</v>
      </c>
      <c r="R1383" s="114"/>
      <c r="S1383" s="114"/>
      <c r="T1383" s="271"/>
      <c r="U1383" s="114"/>
      <c r="V1383" s="114"/>
      <c r="W1383" s="270"/>
      <c r="X1383" s="270"/>
      <c r="Y1383" s="270"/>
      <c r="Z1383" s="270"/>
      <c r="AA1383" s="114"/>
      <c r="AB1383" s="85"/>
      <c r="AC1383" s="85"/>
      <c r="AD1383" s="85"/>
      <c r="AE1383" s="85"/>
    </row>
    <row r="1384" spans="3:31" ht="15" thickBot="1" x14ac:dyDescent="0.35">
      <c r="C1384" s="566" t="s">
        <v>765</v>
      </c>
      <c r="D1384" s="875" t="str">
        <f>VLOOKUP(C1384,'Airport Mapping'!$C$5:$D$39,2,FALSE)</f>
        <v xml:space="preserve"> </v>
      </c>
      <c r="E1384" s="567" t="s">
        <v>39</v>
      </c>
      <c r="F1384" s="567" t="s">
        <v>42</v>
      </c>
      <c r="G1384" s="450" t="str">
        <f t="shared" si="64"/>
        <v>Rental Car Center E-Landscaping-Outdoor irrigation</v>
      </c>
      <c r="H1384" s="567" t="s">
        <v>32</v>
      </c>
      <c r="I1384" s="877" t="s">
        <v>64</v>
      </c>
      <c r="J1384" s="878">
        <f>SUMIFS('Level of Efficiency Assumptions'!J:J,'Level of Efficiency Assumptions'!D:D,E1384,'Level of Efficiency Assumptions'!F:F,F1384,'Level of Efficiency Assumptions'!I:I,I1384)</f>
        <v>28.6</v>
      </c>
      <c r="K1384" s="383" t="s">
        <v>816</v>
      </c>
      <c r="L1384" s="253" t="s">
        <v>64</v>
      </c>
      <c r="M1384" s="879">
        <f>SUM(Q1384:Q1385)</f>
        <v>0</v>
      </c>
      <c r="N1384" s="880">
        <f>IFERROR(M1384/M1387,"-")</f>
        <v>0</v>
      </c>
      <c r="O1384" s="881">
        <f>SUMIFS('Data Entry'!R:R,'Data Entry'!K:K,G1384)</f>
        <v>0</v>
      </c>
      <c r="P1384" s="272" t="s">
        <v>237</v>
      </c>
      <c r="Q1384" s="895">
        <v>0</v>
      </c>
      <c r="R1384" s="114"/>
      <c r="S1384" s="114"/>
      <c r="T1384" s="271"/>
      <c r="U1384" s="114"/>
      <c r="V1384" s="114"/>
      <c r="W1384" s="270"/>
      <c r="X1384" s="270"/>
      <c r="Y1384" s="270"/>
      <c r="Z1384" s="270"/>
      <c r="AA1384" s="114"/>
      <c r="AB1384" s="85"/>
      <c r="AC1384" s="85"/>
      <c r="AD1384" s="85"/>
      <c r="AE1384" s="85"/>
    </row>
    <row r="1385" spans="3:31" ht="15" thickBot="1" x14ac:dyDescent="0.35">
      <c r="C1385" s="494" t="s">
        <v>765</v>
      </c>
      <c r="D1385" s="577"/>
      <c r="E1385" s="577" t="s">
        <v>39</v>
      </c>
      <c r="F1385" s="577" t="s">
        <v>42</v>
      </c>
      <c r="G1385" s="450" t="str">
        <f t="shared" si="64"/>
        <v>Rental Car Center E-Landscaping-Outdoor irrigation</v>
      </c>
      <c r="H1385" s="577"/>
      <c r="I1385" s="887" t="s">
        <v>65</v>
      </c>
      <c r="J1385" s="878">
        <f>SUMIFS('Level of Efficiency Assumptions'!J:J,'Level of Efficiency Assumptions'!D:D,E1385,'Level of Efficiency Assumptions'!F:F,F1385,'Level of Efficiency Assumptions'!I:I,I1385)</f>
        <v>13.980821518350929</v>
      </c>
      <c r="K1385" s="383" t="s">
        <v>816</v>
      </c>
      <c r="L1385" s="255" t="s">
        <v>65</v>
      </c>
      <c r="M1385" s="879">
        <f>Q1386+Q1387</f>
        <v>1</v>
      </c>
      <c r="N1385" s="880">
        <f>IFERROR(M1385/M1387,"-")</f>
        <v>1</v>
      </c>
      <c r="O1385" s="881">
        <f>SUMIFS('Data Entry'!S:S,'Data Entry'!K:K,G1385)</f>
        <v>0</v>
      </c>
      <c r="P1385" s="272" t="s">
        <v>232</v>
      </c>
      <c r="Q1385" s="895">
        <v>0</v>
      </c>
      <c r="R1385" s="114"/>
      <c r="S1385" s="114"/>
      <c r="T1385" s="271"/>
      <c r="U1385" s="114"/>
      <c r="V1385" s="114"/>
      <c r="W1385" s="270"/>
      <c r="X1385" s="270"/>
      <c r="Y1385" s="270"/>
      <c r="Z1385" s="270"/>
      <c r="AA1385" s="114"/>
      <c r="AB1385" s="85"/>
      <c r="AC1385" s="85"/>
      <c r="AD1385" s="85"/>
      <c r="AE1385" s="85"/>
    </row>
    <row r="1386" spans="3:31" ht="15" thickBot="1" x14ac:dyDescent="0.35">
      <c r="C1386" s="501" t="s">
        <v>765</v>
      </c>
      <c r="D1386" s="116"/>
      <c r="E1386" s="116" t="s">
        <v>39</v>
      </c>
      <c r="F1386" s="116" t="s">
        <v>42</v>
      </c>
      <c r="G1386" s="450" t="str">
        <f t="shared" si="64"/>
        <v>Rental Car Center E-Landscaping-Outdoor irrigation</v>
      </c>
      <c r="H1386" s="116"/>
      <c r="I1386" s="889" t="s">
        <v>66</v>
      </c>
      <c r="J1386" s="890">
        <f>SUMIFS('Level of Efficiency Assumptions'!J:J,'Level of Efficiency Assumptions'!D:D,E1386,'Level of Efficiency Assumptions'!F:F,F1386,'Level of Efficiency Assumptions'!I:I,I1386)</f>
        <v>0.59137254901960778</v>
      </c>
      <c r="K1386" s="383" t="s">
        <v>816</v>
      </c>
      <c r="L1386" s="257" t="s">
        <v>66</v>
      </c>
      <c r="M1386" s="879">
        <f>Q1388+Q1389</f>
        <v>0</v>
      </c>
      <c r="N1386" s="880">
        <f>IFERROR(M1386/M1387,"-")</f>
        <v>0</v>
      </c>
      <c r="O1386" s="881">
        <f>SUMIFS('Data Entry'!T:T,'Data Entry'!K:K,G1386)</f>
        <v>0</v>
      </c>
      <c r="P1386" s="274" t="s">
        <v>231</v>
      </c>
      <c r="Q1386" s="895">
        <v>1</v>
      </c>
      <c r="R1386" s="114"/>
      <c r="S1386" s="114"/>
      <c r="T1386" s="271"/>
      <c r="U1386" s="114"/>
      <c r="V1386" s="114"/>
      <c r="W1386" s="270"/>
      <c r="X1386" s="270"/>
      <c r="Y1386" s="270"/>
      <c r="Z1386" s="270"/>
      <c r="AA1386" s="114"/>
      <c r="AB1386" s="85"/>
      <c r="AC1386" s="85"/>
      <c r="AD1386" s="85"/>
      <c r="AE1386" s="85"/>
    </row>
    <row r="1387" spans="3:31" x14ac:dyDescent="0.3">
      <c r="C1387" s="450"/>
      <c r="D1387" s="182"/>
      <c r="E1387" s="182"/>
      <c r="F1387" s="182"/>
      <c r="G1387" s="450" t="str">
        <f t="shared" si="64"/>
        <v>--</v>
      </c>
      <c r="H1387" s="182"/>
      <c r="I1387" s="440"/>
      <c r="J1387" s="892"/>
      <c r="K1387" s="259"/>
      <c r="L1387" s="259" t="s">
        <v>46</v>
      </c>
      <c r="M1387" s="893">
        <f>SUM(M1384:M1386)</f>
        <v>1</v>
      </c>
      <c r="N1387" s="894"/>
      <c r="O1387" s="894">
        <f>SUM(O1384:O1386)</f>
        <v>0</v>
      </c>
      <c r="P1387" s="274" t="s">
        <v>230</v>
      </c>
      <c r="Q1387" s="895">
        <v>0</v>
      </c>
      <c r="R1387" s="114"/>
      <c r="S1387" s="114"/>
      <c r="T1387" s="271"/>
      <c r="U1387" s="114"/>
      <c r="V1387" s="114"/>
      <c r="W1387" s="270"/>
      <c r="X1387" s="270"/>
      <c r="Y1387" s="270"/>
      <c r="Z1387" s="270"/>
      <c r="AA1387" s="114"/>
      <c r="AB1387" s="85"/>
      <c r="AC1387" s="85"/>
      <c r="AD1387" s="85"/>
      <c r="AE1387" s="85"/>
    </row>
    <row r="1388" spans="3:31" x14ac:dyDescent="0.3">
      <c r="C1388" s="450"/>
      <c r="D1388" s="182"/>
      <c r="E1388" s="182"/>
      <c r="F1388" s="182"/>
      <c r="G1388" s="450" t="str">
        <f t="shared" si="64"/>
        <v>--</v>
      </c>
      <c r="H1388" s="182"/>
      <c r="I1388" s="892"/>
      <c r="J1388" s="288"/>
      <c r="K1388" s="288"/>
      <c r="L1388" s="182"/>
      <c r="M1388" s="270"/>
      <c r="N1388" s="892"/>
      <c r="O1388" s="892"/>
      <c r="P1388" s="275" t="s">
        <v>229</v>
      </c>
      <c r="Q1388" s="895">
        <v>0</v>
      </c>
      <c r="R1388" s="114"/>
      <c r="S1388" s="114"/>
      <c r="T1388" s="271"/>
      <c r="U1388" s="114"/>
      <c r="V1388" s="114"/>
      <c r="W1388" s="270"/>
      <c r="X1388" s="270"/>
      <c r="Y1388" s="270"/>
      <c r="Z1388" s="270"/>
      <c r="AA1388" s="114"/>
      <c r="AB1388" s="85"/>
      <c r="AC1388" s="85"/>
      <c r="AD1388" s="85"/>
      <c r="AE1388" s="85"/>
    </row>
    <row r="1389" spans="3:31" x14ac:dyDescent="0.3">
      <c r="C1389" s="450"/>
      <c r="D1389" s="182"/>
      <c r="E1389" s="182"/>
      <c r="F1389" s="182"/>
      <c r="G1389" s="450" t="str">
        <f t="shared" si="64"/>
        <v>--</v>
      </c>
      <c r="H1389" s="182"/>
      <c r="I1389" s="892"/>
      <c r="J1389" s="288"/>
      <c r="K1389" s="288"/>
      <c r="L1389" s="182"/>
      <c r="M1389" s="270"/>
      <c r="N1389" s="892"/>
      <c r="O1389" s="892"/>
      <c r="P1389" s="269" t="s">
        <v>225</v>
      </c>
      <c r="Q1389" s="895">
        <v>0</v>
      </c>
      <c r="R1389" s="114"/>
      <c r="S1389" s="114"/>
      <c r="T1389" s="271"/>
      <c r="U1389" s="114"/>
      <c r="V1389" s="114"/>
      <c r="W1389" s="270"/>
      <c r="X1389" s="270"/>
      <c r="Y1389" s="270"/>
      <c r="Z1389" s="270"/>
      <c r="AA1389" s="114"/>
      <c r="AB1389" s="85"/>
      <c r="AC1389" s="85"/>
      <c r="AD1389" s="85"/>
      <c r="AE1389" s="85"/>
    </row>
    <row r="1390" spans="3:31" x14ac:dyDescent="0.3">
      <c r="C1390" s="450"/>
      <c r="D1390" s="182"/>
      <c r="E1390" s="182"/>
      <c r="F1390" s="182"/>
      <c r="G1390" s="450" t="str">
        <f t="shared" si="64"/>
        <v>--</v>
      </c>
      <c r="H1390" s="182"/>
      <c r="I1390" s="892"/>
      <c r="J1390" s="288"/>
      <c r="K1390" s="288"/>
      <c r="L1390" s="182"/>
      <c r="M1390" s="270"/>
      <c r="N1390" s="892"/>
      <c r="O1390" s="892"/>
      <c r="P1390" s="263" t="s">
        <v>46</v>
      </c>
      <c r="Q1390" s="897">
        <f>SUM(Q1384:Q1389)</f>
        <v>1</v>
      </c>
      <c r="R1390" s="899"/>
      <c r="S1390" s="899"/>
      <c r="T1390" s="271"/>
      <c r="U1390" s="114"/>
      <c r="V1390" s="114"/>
      <c r="W1390" s="270"/>
      <c r="X1390" s="270"/>
      <c r="Y1390" s="270"/>
      <c r="Z1390" s="270"/>
      <c r="AA1390" s="114"/>
      <c r="AB1390" s="85"/>
      <c r="AC1390" s="85"/>
      <c r="AD1390" s="85"/>
      <c r="AE1390" s="85"/>
    </row>
    <row r="1391" spans="3:31" x14ac:dyDescent="0.3">
      <c r="C1391" s="450"/>
      <c r="D1391" s="182"/>
      <c r="E1391" s="182"/>
      <c r="F1391" s="182"/>
      <c r="G1391" s="450" t="str">
        <f t="shared" si="64"/>
        <v>--</v>
      </c>
      <c r="H1391" s="182"/>
      <c r="I1391" s="892"/>
      <c r="J1391" s="288"/>
      <c r="K1391" s="288"/>
      <c r="L1391" s="182"/>
      <c r="M1391" s="270"/>
      <c r="N1391" s="892"/>
      <c r="O1391" s="892"/>
      <c r="P1391" s="259"/>
      <c r="Q1391" s="114"/>
      <c r="R1391" s="270"/>
      <c r="S1391" s="270"/>
      <c r="T1391" s="270"/>
      <c r="U1391" s="270"/>
      <c r="V1391" s="270"/>
      <c r="W1391" s="270"/>
      <c r="X1391" s="270"/>
      <c r="Y1391" s="270"/>
      <c r="Z1391" s="270"/>
      <c r="AA1391" s="114"/>
      <c r="AB1391" s="85"/>
      <c r="AC1391" s="85"/>
      <c r="AD1391" s="85"/>
      <c r="AE1391" s="85"/>
    </row>
    <row r="1392" spans="3:31" ht="15" thickBot="1" x14ac:dyDescent="0.35">
      <c r="C1392" s="450"/>
      <c r="D1392" s="182"/>
      <c r="E1392" s="182"/>
      <c r="F1392" s="182"/>
      <c r="G1392" s="450" t="str">
        <f t="shared" si="64"/>
        <v>--</v>
      </c>
      <c r="H1392" s="182"/>
      <c r="I1392" s="892"/>
      <c r="J1392" s="892"/>
      <c r="K1392" s="182"/>
      <c r="L1392" s="182"/>
      <c r="M1392" s="901" t="s">
        <v>155</v>
      </c>
      <c r="N1392" s="870" t="s">
        <v>188</v>
      </c>
      <c r="O1392" s="870"/>
      <c r="P1392" s="276" t="s">
        <v>111</v>
      </c>
      <c r="Q1392" s="871" t="s">
        <v>155</v>
      </c>
      <c r="R1392" s="902"/>
      <c r="S1392" s="874"/>
      <c r="T1392" s="270"/>
      <c r="U1392" s="270"/>
      <c r="V1392" s="270"/>
      <c r="W1392" s="270"/>
      <c r="X1392" s="270"/>
      <c r="Y1392" s="270"/>
      <c r="Z1392" s="270"/>
      <c r="AA1392" s="114"/>
      <c r="AB1392" s="85"/>
      <c r="AC1392" s="85"/>
      <c r="AD1392" s="85"/>
      <c r="AE1392" s="85"/>
    </row>
    <row r="1393" spans="3:31" ht="15" thickBot="1" x14ac:dyDescent="0.35">
      <c r="C1393" s="566" t="s">
        <v>765</v>
      </c>
      <c r="D1393" s="875" t="str">
        <f>VLOOKUP(C1393,'Airport Mapping'!$C$5:$D$39,2,FALSE)</f>
        <v xml:space="preserve"> </v>
      </c>
      <c r="E1393" s="567" t="s">
        <v>43</v>
      </c>
      <c r="F1393" s="567" t="s">
        <v>111</v>
      </c>
      <c r="G1393" s="450" t="str">
        <f t="shared" si="64"/>
        <v>Rental Car Center E-Maintenance-Boiler</v>
      </c>
      <c r="H1393" s="567" t="s">
        <v>424</v>
      </c>
      <c r="I1393" s="877" t="s">
        <v>64</v>
      </c>
      <c r="J1393" s="878">
        <f>SUMIFS('Level of Efficiency Assumptions'!J:J,'Level of Efficiency Assumptions'!D:D,E1393,'Level of Efficiency Assumptions'!F:F,F1393,'Level of Efficiency Assumptions'!I:I,I1393)</f>
        <v>100</v>
      </c>
      <c r="K1393" s="383" t="s">
        <v>585</v>
      </c>
      <c r="L1393" s="253" t="s">
        <v>64</v>
      </c>
      <c r="M1393" s="879">
        <f>SUM(Q1393:Q1394)</f>
        <v>0</v>
      </c>
      <c r="N1393" s="880">
        <f>IFERROR(M1393/M1396,"-")</f>
        <v>0</v>
      </c>
      <c r="O1393" s="881">
        <f>SUMIFS('Data Entry'!R:R,'Data Entry'!K:K,G1393)</f>
        <v>0</v>
      </c>
      <c r="P1393" s="272"/>
      <c r="Q1393" s="895">
        <v>0</v>
      </c>
      <c r="R1393" s="114"/>
      <c r="S1393" s="884"/>
      <c r="T1393" s="270"/>
      <c r="U1393" s="270"/>
      <c r="V1393" s="270"/>
      <c r="W1393" s="270"/>
      <c r="X1393" s="270"/>
      <c r="Y1393" s="270"/>
      <c r="Z1393" s="270"/>
      <c r="AA1393" s="114"/>
      <c r="AB1393" s="85"/>
      <c r="AC1393" s="85"/>
      <c r="AD1393" s="85"/>
      <c r="AE1393" s="85"/>
    </row>
    <row r="1394" spans="3:31" ht="15" thickBot="1" x14ac:dyDescent="0.35">
      <c r="C1394" s="494" t="s">
        <v>765</v>
      </c>
      <c r="D1394" s="577"/>
      <c r="E1394" s="577" t="s">
        <v>43</v>
      </c>
      <c r="F1394" s="577" t="s">
        <v>111</v>
      </c>
      <c r="G1394" s="450" t="str">
        <f t="shared" si="64"/>
        <v>Rental Car Center E-Maintenance-Boiler</v>
      </c>
      <c r="H1394" s="577"/>
      <c r="I1394" s="887" t="s">
        <v>65</v>
      </c>
      <c r="J1394" s="878">
        <f>SUMIFS('Level of Efficiency Assumptions'!J:J,'Level of Efficiency Assumptions'!D:D,E1394,'Level of Efficiency Assumptions'!F:F,F1394,'Level of Efficiency Assumptions'!I:I,I1394)</f>
        <v>75</v>
      </c>
      <c r="K1394" s="383" t="s">
        <v>585</v>
      </c>
      <c r="L1394" s="255" t="s">
        <v>65</v>
      </c>
      <c r="M1394" s="879">
        <f>Q1395+Q1396</f>
        <v>1</v>
      </c>
      <c r="N1394" s="880">
        <f>IFERROR(M1394/M1396,"-")</f>
        <v>1</v>
      </c>
      <c r="O1394" s="881">
        <f>SUMIFS('Data Entry'!S:S,'Data Entry'!K:K,G1394)</f>
        <v>0</v>
      </c>
      <c r="P1394" s="272"/>
      <c r="Q1394" s="895">
        <v>0</v>
      </c>
      <c r="R1394" s="114"/>
      <c r="S1394" s="884"/>
      <c r="T1394" s="270"/>
      <c r="U1394" s="270"/>
      <c r="V1394" s="270"/>
      <c r="W1394" s="270"/>
      <c r="X1394" s="270"/>
      <c r="Y1394" s="270"/>
      <c r="Z1394" s="270"/>
      <c r="AA1394" s="114"/>
      <c r="AB1394" s="85"/>
      <c r="AC1394" s="85"/>
      <c r="AD1394" s="85"/>
      <c r="AE1394" s="85"/>
    </row>
    <row r="1395" spans="3:31" ht="15" thickBot="1" x14ac:dyDescent="0.35">
      <c r="C1395" s="501" t="s">
        <v>765</v>
      </c>
      <c r="D1395" s="116"/>
      <c r="E1395" s="116" t="s">
        <v>43</v>
      </c>
      <c r="F1395" s="116" t="s">
        <v>111</v>
      </c>
      <c r="G1395" s="450" t="str">
        <f t="shared" si="64"/>
        <v>Rental Car Center E-Maintenance-Boiler</v>
      </c>
      <c r="H1395" s="116"/>
      <c r="I1395" s="889" t="s">
        <v>66</v>
      </c>
      <c r="J1395" s="890">
        <f>SUMIFS('Level of Efficiency Assumptions'!J:J,'Level of Efficiency Assumptions'!D:D,E1395,'Level of Efficiency Assumptions'!F:F,F1395,'Level of Efficiency Assumptions'!I:I,I1395)</f>
        <v>50</v>
      </c>
      <c r="K1395" s="383" t="s">
        <v>585</v>
      </c>
      <c r="L1395" s="257" t="s">
        <v>66</v>
      </c>
      <c r="M1395" s="879">
        <f>Q1397+Q1398</f>
        <v>0</v>
      </c>
      <c r="N1395" s="880">
        <f>IFERROR(M1395/M1396,"-")</f>
        <v>0</v>
      </c>
      <c r="O1395" s="881">
        <f>SUMIFS('Data Entry'!T:T,'Data Entry'!K:K,G1395)</f>
        <v>0</v>
      </c>
      <c r="P1395" s="274"/>
      <c r="Q1395" s="895">
        <v>1</v>
      </c>
      <c r="R1395" s="114"/>
      <c r="S1395" s="884"/>
      <c r="T1395" s="270"/>
      <c r="U1395" s="270"/>
      <c r="V1395" s="270"/>
      <c r="W1395" s="270"/>
      <c r="X1395" s="270"/>
      <c r="Y1395" s="270"/>
      <c r="Z1395" s="270"/>
      <c r="AA1395" s="114"/>
      <c r="AB1395" s="85"/>
      <c r="AC1395" s="85"/>
      <c r="AD1395" s="85"/>
      <c r="AE1395" s="85"/>
    </row>
    <row r="1396" spans="3:31" x14ac:dyDescent="0.3">
      <c r="C1396" s="450"/>
      <c r="D1396" s="182"/>
      <c r="E1396" s="182"/>
      <c r="F1396" s="182"/>
      <c r="G1396" s="450" t="str">
        <f t="shared" si="64"/>
        <v>--</v>
      </c>
      <c r="H1396" s="182"/>
      <c r="I1396" s="440"/>
      <c r="J1396" s="892"/>
      <c r="K1396" s="259"/>
      <c r="L1396" s="259" t="s">
        <v>46</v>
      </c>
      <c r="M1396" s="893">
        <f>SUM(M1393:M1395)</f>
        <v>1</v>
      </c>
      <c r="N1396" s="894"/>
      <c r="O1396" s="894">
        <f>SUM(O1393:O1395)</f>
        <v>0</v>
      </c>
      <c r="P1396" s="274"/>
      <c r="Q1396" s="895">
        <v>0</v>
      </c>
      <c r="R1396" s="114"/>
      <c r="S1396" s="884"/>
      <c r="T1396" s="270"/>
      <c r="U1396" s="270"/>
      <c r="V1396" s="270"/>
      <c r="W1396" s="270"/>
      <c r="X1396" s="270"/>
      <c r="Y1396" s="270"/>
      <c r="Z1396" s="270"/>
      <c r="AA1396" s="114"/>
      <c r="AB1396" s="85"/>
      <c r="AC1396" s="85"/>
      <c r="AD1396" s="85"/>
      <c r="AE1396" s="85"/>
    </row>
    <row r="1397" spans="3:31" x14ac:dyDescent="0.3">
      <c r="C1397" s="450"/>
      <c r="D1397" s="182"/>
      <c r="E1397" s="182"/>
      <c r="F1397" s="182"/>
      <c r="G1397" s="450" t="str">
        <f t="shared" si="64"/>
        <v>--</v>
      </c>
      <c r="H1397" s="182"/>
      <c r="I1397" s="892"/>
      <c r="J1397" s="288"/>
      <c r="K1397" s="288"/>
      <c r="L1397" s="182"/>
      <c r="M1397" s="270"/>
      <c r="N1397" s="892"/>
      <c r="O1397" s="892"/>
      <c r="P1397" s="275"/>
      <c r="Q1397" s="895">
        <v>0</v>
      </c>
      <c r="R1397" s="114"/>
      <c r="S1397" s="884"/>
      <c r="T1397" s="270"/>
      <c r="U1397" s="270"/>
      <c r="V1397" s="270"/>
      <c r="W1397" s="270"/>
      <c r="X1397" s="270"/>
      <c r="Y1397" s="270"/>
      <c r="Z1397" s="270"/>
      <c r="AA1397" s="114"/>
      <c r="AB1397" s="85"/>
      <c r="AC1397" s="85"/>
      <c r="AD1397" s="85"/>
      <c r="AE1397" s="85"/>
    </row>
    <row r="1398" spans="3:31" x14ac:dyDescent="0.3">
      <c r="C1398" s="450"/>
      <c r="D1398" s="182"/>
      <c r="E1398" s="182"/>
      <c r="F1398" s="182"/>
      <c r="G1398" s="450" t="str">
        <f t="shared" si="64"/>
        <v>--</v>
      </c>
      <c r="H1398" s="182"/>
      <c r="I1398" s="892"/>
      <c r="J1398" s="288"/>
      <c r="K1398" s="288"/>
      <c r="L1398" s="182"/>
      <c r="M1398" s="270"/>
      <c r="N1398" s="892"/>
      <c r="O1398" s="892"/>
      <c r="P1398" s="269"/>
      <c r="Q1398" s="895">
        <v>0</v>
      </c>
      <c r="R1398" s="114"/>
      <c r="S1398" s="884"/>
      <c r="T1398" s="270"/>
      <c r="U1398" s="270"/>
      <c r="V1398" s="270"/>
      <c r="W1398" s="270"/>
      <c r="X1398" s="270"/>
      <c r="Y1398" s="270"/>
      <c r="Z1398" s="270"/>
      <c r="AA1398" s="114"/>
      <c r="AB1398" s="85"/>
      <c r="AC1398" s="85"/>
      <c r="AD1398" s="85"/>
      <c r="AE1398" s="85"/>
    </row>
    <row r="1399" spans="3:31" x14ac:dyDescent="0.3">
      <c r="C1399" s="450"/>
      <c r="D1399" s="182"/>
      <c r="E1399" s="182"/>
      <c r="F1399" s="182"/>
      <c r="G1399" s="450" t="str">
        <f t="shared" si="64"/>
        <v>--</v>
      </c>
      <c r="H1399" s="182"/>
      <c r="I1399" s="892"/>
      <c r="J1399" s="288"/>
      <c r="K1399" s="288"/>
      <c r="L1399" s="182"/>
      <c r="M1399" s="270"/>
      <c r="N1399" s="892"/>
      <c r="O1399" s="892"/>
      <c r="P1399" s="263" t="s">
        <v>46</v>
      </c>
      <c r="Q1399" s="897">
        <f>SUM(Q1393:Q1398)</f>
        <v>1</v>
      </c>
      <c r="R1399" s="899"/>
      <c r="S1399" s="900"/>
      <c r="T1399" s="270"/>
      <c r="U1399" s="270"/>
      <c r="V1399" s="270"/>
      <c r="W1399" s="270"/>
      <c r="X1399" s="270"/>
      <c r="Y1399" s="270"/>
      <c r="Z1399" s="270"/>
      <c r="AA1399" s="114"/>
      <c r="AB1399" s="85"/>
      <c r="AC1399" s="85"/>
      <c r="AD1399" s="85"/>
      <c r="AE1399" s="85"/>
    </row>
    <row r="1400" spans="3:31" x14ac:dyDescent="0.3">
      <c r="C1400" s="225"/>
      <c r="D1400" s="288"/>
      <c r="E1400" s="288"/>
      <c r="F1400" s="288"/>
      <c r="G1400" s="450" t="str">
        <f t="shared" si="64"/>
        <v>--</v>
      </c>
      <c r="H1400" s="182"/>
      <c r="I1400" s="892"/>
      <c r="J1400" s="288"/>
      <c r="K1400" s="288"/>
      <c r="L1400" s="182"/>
      <c r="M1400" s="270"/>
      <c r="N1400" s="892"/>
      <c r="O1400" s="892"/>
      <c r="P1400" s="259"/>
      <c r="Q1400" s="114"/>
      <c r="R1400" s="270"/>
      <c r="S1400" s="270"/>
      <c r="T1400" s="270"/>
      <c r="U1400" s="270"/>
      <c r="V1400" s="270"/>
      <c r="W1400" s="270"/>
      <c r="X1400" s="270"/>
      <c r="Y1400" s="270"/>
      <c r="Z1400" s="270"/>
      <c r="AA1400" s="114"/>
      <c r="AB1400" s="85"/>
      <c r="AC1400" s="85"/>
      <c r="AD1400" s="85"/>
      <c r="AE1400" s="85"/>
    </row>
    <row r="1401" spans="3:31" ht="15" thickBot="1" x14ac:dyDescent="0.35">
      <c r="C1401" s="225"/>
      <c r="D1401" s="182"/>
      <c r="E1401" s="182"/>
      <c r="F1401" s="182"/>
      <c r="G1401" s="450" t="str">
        <f t="shared" si="64"/>
        <v>--</v>
      </c>
      <c r="H1401" s="182"/>
      <c r="I1401" s="892"/>
      <c r="J1401" s="892"/>
      <c r="K1401" s="182"/>
      <c r="L1401" s="182"/>
      <c r="M1401" s="901" t="s">
        <v>155</v>
      </c>
      <c r="N1401" s="870" t="s">
        <v>188</v>
      </c>
      <c r="O1401" s="870"/>
      <c r="P1401" s="276" t="s">
        <v>9</v>
      </c>
      <c r="Q1401" s="871" t="s">
        <v>155</v>
      </c>
      <c r="R1401" s="902"/>
      <c r="S1401" s="874"/>
      <c r="T1401" s="270"/>
      <c r="U1401" s="270"/>
      <c r="V1401" s="270"/>
      <c r="W1401" s="270"/>
      <c r="X1401" s="270"/>
      <c r="Y1401" s="270"/>
      <c r="Z1401" s="270"/>
      <c r="AA1401" s="114"/>
      <c r="AB1401" s="85"/>
      <c r="AC1401" s="85"/>
      <c r="AD1401" s="85"/>
      <c r="AE1401" s="85"/>
    </row>
    <row r="1402" spans="3:31" ht="15" thickBot="1" x14ac:dyDescent="0.35">
      <c r="C1402" s="566" t="s">
        <v>765</v>
      </c>
      <c r="D1402" s="875" t="str">
        <f>VLOOKUP(C1402,'Airport Mapping'!$C$5:$D$39,2,FALSE)</f>
        <v xml:space="preserve"> </v>
      </c>
      <c r="E1402" s="567" t="s">
        <v>43</v>
      </c>
      <c r="F1402" s="567" t="s">
        <v>9</v>
      </c>
      <c r="G1402" s="450" t="str">
        <f t="shared" si="64"/>
        <v>Rental Car Center E-Maintenance-Vehicle washing</v>
      </c>
      <c r="H1402" s="567" t="s">
        <v>12</v>
      </c>
      <c r="I1402" s="877" t="s">
        <v>64</v>
      </c>
      <c r="J1402" s="878">
        <f>SUMIFS('Level of Efficiency Assumptions'!J:J,'Level of Efficiency Assumptions'!D:D,E1402,'Level of Efficiency Assumptions'!F:F,F1402,'Level of Efficiency Assumptions'!I:I,I1402)</f>
        <v>80</v>
      </c>
      <c r="K1402" s="383" t="s">
        <v>588</v>
      </c>
      <c r="L1402" s="253" t="s">
        <v>64</v>
      </c>
      <c r="M1402" s="879">
        <f>SUM(Q1402:Q1403)</f>
        <v>0</v>
      </c>
      <c r="N1402" s="880">
        <f>IFERROR(M1402/M1405,"-")</f>
        <v>0</v>
      </c>
      <c r="O1402" s="881">
        <f>SUMIFS('Data Entry'!R:R,'Data Entry'!K:K,G1402)</f>
        <v>0</v>
      </c>
      <c r="P1402" s="272"/>
      <c r="Q1402" s="895">
        <v>0</v>
      </c>
      <c r="R1402" s="114"/>
      <c r="S1402" s="884"/>
      <c r="T1402" s="270"/>
      <c r="U1402" s="270"/>
      <c r="V1402" s="270"/>
      <c r="W1402" s="270"/>
      <c r="X1402" s="270"/>
      <c r="Y1402" s="270"/>
      <c r="Z1402" s="270"/>
      <c r="AA1402" s="114"/>
      <c r="AB1402" s="85"/>
      <c r="AC1402" s="85"/>
      <c r="AD1402" s="85"/>
      <c r="AE1402" s="85"/>
    </row>
    <row r="1403" spans="3:31" ht="15" thickBot="1" x14ac:dyDescent="0.35">
      <c r="C1403" s="494" t="s">
        <v>765</v>
      </c>
      <c r="D1403" s="577"/>
      <c r="E1403" s="577" t="s">
        <v>43</v>
      </c>
      <c r="F1403" s="577" t="s">
        <v>9</v>
      </c>
      <c r="G1403" s="450" t="str">
        <f t="shared" si="64"/>
        <v>Rental Car Center E-Maintenance-Vehicle washing</v>
      </c>
      <c r="H1403" s="577"/>
      <c r="I1403" s="887" t="s">
        <v>65</v>
      </c>
      <c r="J1403" s="878">
        <f>SUMIFS('Level of Efficiency Assumptions'!J:J,'Level of Efficiency Assumptions'!D:D,E1403,'Level of Efficiency Assumptions'!F:F,F1403,'Level of Efficiency Assumptions'!I:I,I1403)</f>
        <v>40</v>
      </c>
      <c r="K1403" s="383" t="s">
        <v>588</v>
      </c>
      <c r="L1403" s="255" t="s">
        <v>65</v>
      </c>
      <c r="M1403" s="879">
        <f>Q1404+Q1405</f>
        <v>1</v>
      </c>
      <c r="N1403" s="880">
        <f>IFERROR(M1403/M1405,"-")</f>
        <v>1</v>
      </c>
      <c r="O1403" s="881">
        <f>SUMIFS('Data Entry'!S:S,'Data Entry'!K:K,G1403)</f>
        <v>0</v>
      </c>
      <c r="P1403" s="272"/>
      <c r="Q1403" s="895">
        <v>0</v>
      </c>
      <c r="R1403" s="114"/>
      <c r="S1403" s="884"/>
      <c r="T1403" s="270"/>
      <c r="U1403" s="270"/>
      <c r="V1403" s="270"/>
      <c r="W1403" s="270"/>
      <c r="X1403" s="270"/>
      <c r="Y1403" s="270"/>
      <c r="Z1403" s="270"/>
      <c r="AA1403" s="114"/>
      <c r="AB1403" s="85"/>
      <c r="AC1403" s="85"/>
      <c r="AD1403" s="85"/>
      <c r="AE1403" s="85"/>
    </row>
    <row r="1404" spans="3:31" ht="15" thickBot="1" x14ac:dyDescent="0.35">
      <c r="C1404" s="501" t="s">
        <v>765</v>
      </c>
      <c r="D1404" s="116"/>
      <c r="E1404" s="116" t="s">
        <v>43</v>
      </c>
      <c r="F1404" s="116" t="s">
        <v>9</v>
      </c>
      <c r="G1404" s="450" t="str">
        <f t="shared" ref="G1404:G1463" si="65">C1404&amp;"-"&amp;E1404&amp;"-"&amp;F1404</f>
        <v>Rental Car Center E-Maintenance-Vehicle washing</v>
      </c>
      <c r="H1404" s="116"/>
      <c r="I1404" s="889" t="s">
        <v>66</v>
      </c>
      <c r="J1404" s="890">
        <f>SUMIFS('Level of Efficiency Assumptions'!J:J,'Level of Efficiency Assumptions'!D:D,E1404,'Level of Efficiency Assumptions'!F:F,F1404,'Level of Efficiency Assumptions'!I:I,I1404)</f>
        <v>30</v>
      </c>
      <c r="K1404" s="383" t="s">
        <v>588</v>
      </c>
      <c r="L1404" s="257" t="s">
        <v>66</v>
      </c>
      <c r="M1404" s="879">
        <f>Q1406+Q1407</f>
        <v>0</v>
      </c>
      <c r="N1404" s="880">
        <f>IFERROR(M1404/M1405,"-")</f>
        <v>0</v>
      </c>
      <c r="O1404" s="881">
        <f>SUMIFS('Data Entry'!T:T,'Data Entry'!K:K,G1404)</f>
        <v>0</v>
      </c>
      <c r="P1404" s="274"/>
      <c r="Q1404" s="895">
        <v>1</v>
      </c>
      <c r="R1404" s="114"/>
      <c r="S1404" s="884"/>
      <c r="T1404" s="270"/>
      <c r="U1404" s="270"/>
      <c r="V1404" s="270"/>
      <c r="W1404" s="270"/>
      <c r="X1404" s="270"/>
      <c r="Y1404" s="270"/>
      <c r="Z1404" s="270"/>
      <c r="AA1404" s="114"/>
      <c r="AB1404" s="85"/>
      <c r="AC1404" s="85"/>
      <c r="AD1404" s="85"/>
      <c r="AE1404" s="85"/>
    </row>
    <row r="1405" spans="3:31" x14ac:dyDescent="0.3">
      <c r="C1405" s="450"/>
      <c r="D1405" s="182"/>
      <c r="E1405" s="182"/>
      <c r="F1405" s="182"/>
      <c r="G1405" s="450" t="str">
        <f t="shared" si="65"/>
        <v>--</v>
      </c>
      <c r="H1405" s="182"/>
      <c r="I1405" s="440"/>
      <c r="J1405" s="892"/>
      <c r="K1405" s="259"/>
      <c r="L1405" s="259" t="s">
        <v>46</v>
      </c>
      <c r="M1405" s="893">
        <f>SUM(M1402:M1404)</f>
        <v>1</v>
      </c>
      <c r="N1405" s="894"/>
      <c r="O1405" s="894">
        <f>SUM(O1402:O1404)</f>
        <v>0</v>
      </c>
      <c r="P1405" s="274"/>
      <c r="Q1405" s="895">
        <v>0</v>
      </c>
      <c r="R1405" s="114"/>
      <c r="S1405" s="884"/>
      <c r="T1405" s="270"/>
      <c r="U1405" s="270"/>
      <c r="V1405" s="270"/>
      <c r="W1405" s="270"/>
      <c r="X1405" s="270"/>
      <c r="Y1405" s="270"/>
      <c r="Z1405" s="270"/>
      <c r="AA1405" s="114"/>
      <c r="AB1405" s="85"/>
      <c r="AC1405" s="85"/>
      <c r="AD1405" s="85"/>
      <c r="AE1405" s="85"/>
    </row>
    <row r="1406" spans="3:31" x14ac:dyDescent="0.3">
      <c r="C1406" s="450"/>
      <c r="D1406" s="182"/>
      <c r="E1406" s="182"/>
      <c r="F1406" s="182"/>
      <c r="G1406" s="450" t="str">
        <f t="shared" si="65"/>
        <v>--</v>
      </c>
      <c r="H1406" s="182"/>
      <c r="I1406" s="892"/>
      <c r="J1406" s="288"/>
      <c r="K1406" s="288"/>
      <c r="L1406" s="182"/>
      <c r="M1406" s="270"/>
      <c r="N1406" s="892"/>
      <c r="O1406" s="892"/>
      <c r="P1406" s="275"/>
      <c r="Q1406" s="895">
        <v>0</v>
      </c>
      <c r="R1406" s="114"/>
      <c r="S1406" s="884"/>
      <c r="T1406" s="270"/>
      <c r="U1406" s="270"/>
      <c r="V1406" s="270"/>
      <c r="W1406" s="270"/>
      <c r="X1406" s="270"/>
      <c r="Y1406" s="270"/>
      <c r="Z1406" s="270"/>
      <c r="AA1406" s="114"/>
      <c r="AB1406" s="85"/>
      <c r="AC1406" s="85"/>
      <c r="AD1406" s="85"/>
      <c r="AE1406" s="85"/>
    </row>
    <row r="1407" spans="3:31" x14ac:dyDescent="0.3">
      <c r="C1407" s="450"/>
      <c r="D1407" s="182"/>
      <c r="E1407" s="182"/>
      <c r="F1407" s="182"/>
      <c r="G1407" s="450" t="str">
        <f t="shared" si="65"/>
        <v>--</v>
      </c>
      <c r="H1407" s="182"/>
      <c r="I1407" s="892"/>
      <c r="J1407" s="288"/>
      <c r="K1407" s="288"/>
      <c r="L1407" s="182"/>
      <c r="M1407" s="270"/>
      <c r="N1407" s="892"/>
      <c r="O1407" s="892"/>
      <c r="P1407" s="269"/>
      <c r="Q1407" s="895">
        <v>0</v>
      </c>
      <c r="R1407" s="114"/>
      <c r="S1407" s="884"/>
      <c r="T1407" s="270"/>
      <c r="U1407" s="270"/>
      <c r="V1407" s="270"/>
      <c r="W1407" s="270"/>
      <c r="X1407" s="270"/>
      <c r="Y1407" s="270"/>
      <c r="Z1407" s="270"/>
      <c r="AA1407" s="114"/>
      <c r="AB1407" s="85"/>
      <c r="AC1407" s="85"/>
      <c r="AD1407" s="85"/>
      <c r="AE1407" s="85"/>
    </row>
    <row r="1408" spans="3:31" x14ac:dyDescent="0.3">
      <c r="C1408" s="450"/>
      <c r="D1408" s="182"/>
      <c r="E1408" s="182"/>
      <c r="F1408" s="182"/>
      <c r="G1408" s="450" t="str">
        <f t="shared" si="65"/>
        <v>--</v>
      </c>
      <c r="H1408" s="182"/>
      <c r="I1408" s="892"/>
      <c r="J1408" s="288"/>
      <c r="K1408" s="288"/>
      <c r="L1408" s="182"/>
      <c r="M1408" s="270"/>
      <c r="N1408" s="892"/>
      <c r="O1408" s="892"/>
      <c r="P1408" s="263" t="s">
        <v>46</v>
      </c>
      <c r="Q1408" s="897">
        <f>SUM(Q1402:Q1407)</f>
        <v>1</v>
      </c>
      <c r="R1408" s="899"/>
      <c r="S1408" s="900"/>
      <c r="T1408" s="270"/>
      <c r="U1408" s="270"/>
      <c r="V1408" s="270"/>
      <c r="W1408" s="270"/>
      <c r="X1408" s="270"/>
      <c r="Y1408" s="270"/>
      <c r="Z1408" s="270"/>
      <c r="AA1408" s="114"/>
      <c r="AB1408" s="85"/>
      <c r="AC1408" s="85"/>
      <c r="AD1408" s="85"/>
      <c r="AE1408" s="85"/>
    </row>
    <row r="1409" spans="3:31" x14ac:dyDescent="0.3">
      <c r="C1409" s="450"/>
      <c r="D1409" s="182"/>
      <c r="E1409" s="182"/>
      <c r="F1409" s="182"/>
      <c r="G1409" s="450" t="str">
        <f t="shared" si="65"/>
        <v>--</v>
      </c>
      <c r="H1409" s="182"/>
      <c r="I1409" s="892"/>
      <c r="J1409" s="288"/>
      <c r="K1409" s="288"/>
      <c r="L1409" s="182"/>
      <c r="M1409" s="270"/>
      <c r="N1409" s="892"/>
      <c r="O1409" s="892"/>
      <c r="P1409" s="259"/>
      <c r="Q1409" s="114"/>
      <c r="R1409" s="114"/>
      <c r="S1409" s="114"/>
      <c r="T1409" s="270"/>
      <c r="U1409" s="270"/>
      <c r="V1409" s="270"/>
      <c r="W1409" s="270"/>
      <c r="X1409" s="270"/>
      <c r="Y1409" s="270"/>
      <c r="Z1409" s="270"/>
      <c r="AA1409" s="114"/>
      <c r="AB1409" s="85"/>
      <c r="AC1409" s="85"/>
      <c r="AD1409" s="85"/>
      <c r="AE1409" s="85"/>
    </row>
    <row r="1410" spans="3:31" ht="15" thickBot="1" x14ac:dyDescent="0.35">
      <c r="C1410" s="450"/>
      <c r="D1410" s="182"/>
      <c r="E1410" s="182"/>
      <c r="F1410" s="182"/>
      <c r="G1410" s="450" t="str">
        <f t="shared" si="65"/>
        <v>--</v>
      </c>
      <c r="H1410" s="182"/>
      <c r="I1410" s="892"/>
      <c r="J1410" s="892"/>
      <c r="K1410" s="182"/>
      <c r="L1410" s="182"/>
      <c r="M1410" s="901" t="s">
        <v>155</v>
      </c>
      <c r="N1410" s="870" t="s">
        <v>188</v>
      </c>
      <c r="O1410" s="870"/>
      <c r="P1410" s="276" t="s">
        <v>426</v>
      </c>
      <c r="Q1410" s="871" t="s">
        <v>155</v>
      </c>
      <c r="R1410" s="902"/>
      <c r="S1410" s="874"/>
      <c r="T1410" s="270"/>
      <c r="U1410" s="270"/>
      <c r="V1410" s="270"/>
      <c r="W1410" s="270"/>
      <c r="X1410" s="270"/>
      <c r="Y1410" s="270"/>
      <c r="Z1410" s="270"/>
      <c r="AA1410" s="114"/>
      <c r="AB1410" s="85"/>
      <c r="AC1410" s="85"/>
      <c r="AD1410" s="85"/>
      <c r="AE1410" s="85"/>
    </row>
    <row r="1411" spans="3:31" ht="15" thickBot="1" x14ac:dyDescent="0.35">
      <c r="C1411" s="566" t="s">
        <v>765</v>
      </c>
      <c r="D1411" s="875" t="str">
        <f>VLOOKUP(C1411,'Airport Mapping'!$C$5:$D$39,2,FALSE)</f>
        <v xml:space="preserve"> </v>
      </c>
      <c r="E1411" s="567" t="s">
        <v>43</v>
      </c>
      <c r="F1411" s="567" t="s">
        <v>426</v>
      </c>
      <c r="G1411" s="450" t="str">
        <f t="shared" si="65"/>
        <v>Rental Car Center E-Maintenance-Pavement cleaning</v>
      </c>
      <c r="H1411" s="567" t="s">
        <v>12</v>
      </c>
      <c r="I1411" s="877" t="s">
        <v>64</v>
      </c>
      <c r="J1411" s="878">
        <f>SUMIFS('Level of Efficiency Assumptions'!J:J,'Level of Efficiency Assumptions'!D:D,E1411,'Level of Efficiency Assumptions'!F:F,F1411,'Level of Efficiency Assumptions'!I:I,I1411)</f>
        <v>10</v>
      </c>
      <c r="K1411" s="383" t="s">
        <v>588</v>
      </c>
      <c r="L1411" s="253" t="s">
        <v>64</v>
      </c>
      <c r="M1411" s="879">
        <f>SUM(Q1411:Q1412)</f>
        <v>0</v>
      </c>
      <c r="N1411" s="880">
        <f>IFERROR(M1411/M1414,"-")</f>
        <v>0</v>
      </c>
      <c r="O1411" s="881">
        <f>SUMIFS('Data Entry'!R:R,'Data Entry'!K:K,G1411)</f>
        <v>0</v>
      </c>
      <c r="P1411" s="272"/>
      <c r="Q1411" s="895">
        <v>0</v>
      </c>
      <c r="R1411" s="114"/>
      <c r="S1411" s="884"/>
      <c r="T1411" s="270"/>
      <c r="U1411" s="270"/>
      <c r="V1411" s="270"/>
      <c r="W1411" s="270"/>
      <c r="X1411" s="270"/>
      <c r="Y1411" s="270"/>
      <c r="Z1411" s="270"/>
      <c r="AA1411" s="114"/>
      <c r="AB1411" s="85"/>
      <c r="AC1411" s="85"/>
      <c r="AD1411" s="85"/>
      <c r="AE1411" s="85"/>
    </row>
    <row r="1412" spans="3:31" ht="15" thickBot="1" x14ac:dyDescent="0.35">
      <c r="C1412" s="494" t="s">
        <v>765</v>
      </c>
      <c r="D1412" s="577"/>
      <c r="E1412" s="577" t="s">
        <v>43</v>
      </c>
      <c r="F1412" s="577" t="s">
        <v>426</v>
      </c>
      <c r="G1412" s="450" t="str">
        <f t="shared" si="65"/>
        <v>Rental Car Center E-Maintenance-Pavement cleaning</v>
      </c>
      <c r="H1412" s="577"/>
      <c r="I1412" s="887" t="s">
        <v>65</v>
      </c>
      <c r="J1412" s="878">
        <f>SUMIFS('Level of Efficiency Assumptions'!J:J,'Level of Efficiency Assumptions'!D:D,E1412,'Level of Efficiency Assumptions'!F:F,F1412,'Level of Efficiency Assumptions'!I:I,I1412)</f>
        <v>7.5</v>
      </c>
      <c r="K1412" s="383" t="s">
        <v>588</v>
      </c>
      <c r="L1412" s="255" t="s">
        <v>65</v>
      </c>
      <c r="M1412" s="879">
        <f>Q1413+Q1414</f>
        <v>1</v>
      </c>
      <c r="N1412" s="880">
        <f>IFERROR(M1412/M1414,"-")</f>
        <v>1</v>
      </c>
      <c r="O1412" s="881">
        <f>SUMIFS('Data Entry'!S:S,'Data Entry'!K:K,G1412)</f>
        <v>0</v>
      </c>
      <c r="P1412" s="272"/>
      <c r="Q1412" s="895">
        <v>0</v>
      </c>
      <c r="R1412" s="114"/>
      <c r="S1412" s="884"/>
      <c r="T1412" s="270"/>
      <c r="U1412" s="270"/>
      <c r="V1412" s="270"/>
      <c r="W1412" s="270"/>
      <c r="X1412" s="270"/>
      <c r="Y1412" s="270"/>
      <c r="Z1412" s="270"/>
      <c r="AA1412" s="114"/>
      <c r="AB1412" s="85"/>
      <c r="AC1412" s="85"/>
      <c r="AD1412" s="85"/>
      <c r="AE1412" s="85"/>
    </row>
    <row r="1413" spans="3:31" ht="15" thickBot="1" x14ac:dyDescent="0.35">
      <c r="C1413" s="501" t="s">
        <v>765</v>
      </c>
      <c r="D1413" s="116"/>
      <c r="E1413" s="116" t="s">
        <v>43</v>
      </c>
      <c r="F1413" s="116" t="s">
        <v>426</v>
      </c>
      <c r="G1413" s="450" t="str">
        <f t="shared" si="65"/>
        <v>Rental Car Center E-Maintenance-Pavement cleaning</v>
      </c>
      <c r="H1413" s="116"/>
      <c r="I1413" s="889" t="s">
        <v>66</v>
      </c>
      <c r="J1413" s="890">
        <f>SUMIFS('Level of Efficiency Assumptions'!J:J,'Level of Efficiency Assumptions'!D:D,E1413,'Level of Efficiency Assumptions'!F:F,F1413,'Level of Efficiency Assumptions'!I:I,I1413)</f>
        <v>5</v>
      </c>
      <c r="K1413" s="383" t="s">
        <v>588</v>
      </c>
      <c r="L1413" s="257" t="s">
        <v>66</v>
      </c>
      <c r="M1413" s="879">
        <f>Q1415+Q1416</f>
        <v>0</v>
      </c>
      <c r="N1413" s="880">
        <f>IFERROR(M1413/M1414,"-")</f>
        <v>0</v>
      </c>
      <c r="O1413" s="881">
        <f>SUMIFS('Data Entry'!T:T,'Data Entry'!K:K,G1413)</f>
        <v>0</v>
      </c>
      <c r="P1413" s="274"/>
      <c r="Q1413" s="895">
        <v>1</v>
      </c>
      <c r="R1413" s="114"/>
      <c r="S1413" s="884"/>
      <c r="T1413" s="270"/>
      <c r="U1413" s="270"/>
      <c r="V1413" s="270"/>
      <c r="W1413" s="270"/>
      <c r="X1413" s="270"/>
      <c r="Y1413" s="270"/>
      <c r="Z1413" s="270"/>
      <c r="AA1413" s="114"/>
      <c r="AB1413" s="85"/>
      <c r="AC1413" s="85"/>
      <c r="AD1413" s="85"/>
      <c r="AE1413" s="85"/>
    </row>
    <row r="1414" spans="3:31" x14ac:dyDescent="0.3">
      <c r="C1414" s="450"/>
      <c r="D1414" s="182"/>
      <c r="E1414" s="182"/>
      <c r="F1414" s="182"/>
      <c r="G1414" s="450" t="str">
        <f t="shared" si="65"/>
        <v>--</v>
      </c>
      <c r="H1414" s="182"/>
      <c r="I1414" s="440"/>
      <c r="J1414" s="892"/>
      <c r="K1414" s="259"/>
      <c r="L1414" s="259" t="s">
        <v>46</v>
      </c>
      <c r="M1414" s="893">
        <f>SUM(M1411:M1413)</f>
        <v>1</v>
      </c>
      <c r="N1414" s="894"/>
      <c r="O1414" s="894">
        <f>SUM(O1411:O1413)</f>
        <v>0</v>
      </c>
      <c r="P1414" s="274"/>
      <c r="Q1414" s="895">
        <v>0</v>
      </c>
      <c r="R1414" s="114"/>
      <c r="S1414" s="884"/>
      <c r="T1414" s="270"/>
      <c r="U1414" s="270"/>
      <c r="V1414" s="270"/>
      <c r="W1414" s="270"/>
      <c r="X1414" s="270"/>
      <c r="Y1414" s="270"/>
      <c r="Z1414" s="270"/>
      <c r="AA1414" s="114"/>
      <c r="AB1414" s="85"/>
      <c r="AC1414" s="85"/>
      <c r="AD1414" s="85"/>
      <c r="AE1414" s="85"/>
    </row>
    <row r="1415" spans="3:31" x14ac:dyDescent="0.3">
      <c r="C1415" s="450"/>
      <c r="D1415" s="182"/>
      <c r="E1415" s="182"/>
      <c r="F1415" s="182"/>
      <c r="G1415" s="450" t="str">
        <f t="shared" si="65"/>
        <v>--</v>
      </c>
      <c r="H1415" s="182"/>
      <c r="I1415" s="892"/>
      <c r="J1415" s="288"/>
      <c r="K1415" s="288"/>
      <c r="L1415" s="182"/>
      <c r="M1415" s="270"/>
      <c r="N1415" s="892"/>
      <c r="O1415" s="892"/>
      <c r="P1415" s="275"/>
      <c r="Q1415" s="895">
        <v>0</v>
      </c>
      <c r="R1415" s="114"/>
      <c r="S1415" s="884"/>
      <c r="T1415" s="270"/>
      <c r="U1415" s="270"/>
      <c r="V1415" s="270"/>
      <c r="W1415" s="270"/>
      <c r="X1415" s="270"/>
      <c r="Y1415" s="270"/>
      <c r="Z1415" s="270"/>
      <c r="AA1415" s="114"/>
      <c r="AB1415" s="85"/>
      <c r="AC1415" s="85"/>
      <c r="AD1415" s="85"/>
      <c r="AE1415" s="85"/>
    </row>
    <row r="1416" spans="3:31" x14ac:dyDescent="0.3">
      <c r="C1416" s="450"/>
      <c r="D1416" s="182"/>
      <c r="E1416" s="182"/>
      <c r="F1416" s="182"/>
      <c r="G1416" s="450" t="str">
        <f t="shared" si="65"/>
        <v>--</v>
      </c>
      <c r="H1416" s="182"/>
      <c r="I1416" s="892"/>
      <c r="J1416" s="288"/>
      <c r="K1416" s="288"/>
      <c r="L1416" s="182"/>
      <c r="M1416" s="270"/>
      <c r="N1416" s="892"/>
      <c r="O1416" s="892"/>
      <c r="P1416" s="269"/>
      <c r="Q1416" s="895">
        <v>0</v>
      </c>
      <c r="R1416" s="114"/>
      <c r="S1416" s="884"/>
      <c r="T1416" s="270"/>
      <c r="U1416" s="114"/>
      <c r="V1416" s="114"/>
      <c r="W1416" s="114"/>
      <c r="X1416" s="114"/>
      <c r="Y1416" s="114"/>
      <c r="Z1416" s="114"/>
      <c r="AA1416" s="114"/>
      <c r="AB1416" s="85"/>
      <c r="AC1416" s="85"/>
      <c r="AD1416" s="85"/>
      <c r="AE1416" s="85"/>
    </row>
    <row r="1417" spans="3:31" x14ac:dyDescent="0.3">
      <c r="C1417" s="450"/>
      <c r="D1417" s="182"/>
      <c r="E1417" s="182"/>
      <c r="F1417" s="182"/>
      <c r="G1417" s="450" t="str">
        <f t="shared" si="65"/>
        <v>--</v>
      </c>
      <c r="H1417" s="182"/>
      <c r="I1417" s="892"/>
      <c r="J1417" s="288"/>
      <c r="K1417" s="288"/>
      <c r="L1417" s="182"/>
      <c r="M1417" s="270"/>
      <c r="N1417" s="892"/>
      <c r="O1417" s="892"/>
      <c r="P1417" s="263" t="s">
        <v>46</v>
      </c>
      <c r="Q1417" s="897">
        <f>SUM(Q1411:Q1416)</f>
        <v>1</v>
      </c>
      <c r="R1417" s="899"/>
      <c r="S1417" s="900"/>
      <c r="T1417" s="270"/>
      <c r="U1417" s="114"/>
      <c r="V1417" s="114"/>
      <c r="W1417" s="114"/>
      <c r="X1417" s="114"/>
      <c r="Y1417" s="114"/>
      <c r="Z1417" s="114"/>
      <c r="AA1417" s="114"/>
      <c r="AB1417" s="85"/>
      <c r="AC1417" s="85"/>
      <c r="AD1417" s="85"/>
      <c r="AE1417" s="85"/>
    </row>
    <row r="1418" spans="3:31" x14ac:dyDescent="0.3">
      <c r="C1418" s="450"/>
      <c r="D1418" s="182"/>
      <c r="E1418" s="182"/>
      <c r="F1418" s="182"/>
      <c r="G1418" s="450" t="str">
        <f t="shared" si="65"/>
        <v>--</v>
      </c>
      <c r="H1418" s="182"/>
      <c r="I1418" s="892"/>
      <c r="J1418" s="288"/>
      <c r="K1418" s="288"/>
      <c r="L1418" s="270"/>
      <c r="M1418" s="270"/>
      <c r="N1418" s="923"/>
      <c r="O1418" s="923"/>
      <c r="P1418" s="270"/>
      <c r="Q1418" s="270"/>
      <c r="R1418" s="270"/>
      <c r="S1418" s="270"/>
      <c r="T1418" s="270"/>
      <c r="U1418" s="114"/>
      <c r="V1418" s="114"/>
      <c r="W1418" s="114"/>
      <c r="X1418" s="114"/>
      <c r="Y1418" s="114"/>
      <c r="Z1418" s="114"/>
      <c r="AA1418" s="114"/>
      <c r="AB1418" s="85"/>
      <c r="AC1418" s="85"/>
      <c r="AD1418" s="85"/>
      <c r="AE1418" s="85"/>
    </row>
    <row r="1419" spans="3:31" ht="15" thickBot="1" x14ac:dyDescent="0.35">
      <c r="C1419" s="450"/>
      <c r="D1419" s="182"/>
      <c r="E1419" s="182"/>
      <c r="F1419" s="182"/>
      <c r="G1419" s="450" t="str">
        <f t="shared" si="65"/>
        <v>--</v>
      </c>
      <c r="H1419" s="182"/>
      <c r="I1419" s="892"/>
      <c r="J1419" s="892"/>
      <c r="K1419" s="182"/>
      <c r="L1419" s="182"/>
      <c r="M1419" s="901" t="s">
        <v>155</v>
      </c>
      <c r="N1419" s="870" t="s">
        <v>188</v>
      </c>
      <c r="O1419" s="870"/>
      <c r="P1419" s="276" t="s">
        <v>52</v>
      </c>
      <c r="Q1419" s="871" t="s">
        <v>155</v>
      </c>
      <c r="R1419" s="902"/>
      <c r="S1419" s="874"/>
      <c r="T1419" s="270"/>
      <c r="U1419" s="114"/>
      <c r="V1419" s="114"/>
      <c r="W1419" s="114"/>
      <c r="X1419" s="114"/>
      <c r="Y1419" s="114"/>
      <c r="Z1419" s="114"/>
      <c r="AA1419" s="114"/>
      <c r="AB1419" s="85"/>
      <c r="AC1419" s="85"/>
      <c r="AD1419" s="85"/>
      <c r="AE1419" s="85"/>
    </row>
    <row r="1420" spans="3:31" ht="15" thickBot="1" x14ac:dyDescent="0.35">
      <c r="C1420" s="566" t="s">
        <v>765</v>
      </c>
      <c r="D1420" s="875" t="str">
        <f>VLOOKUP(C1420,'Airport Mapping'!$C$5:$D$39,2,FALSE)</f>
        <v xml:space="preserve"> </v>
      </c>
      <c r="E1420" s="567" t="s">
        <v>8</v>
      </c>
      <c r="F1420" s="567" t="s">
        <v>52</v>
      </c>
      <c r="G1420" s="450" t="str">
        <f t="shared" si="65"/>
        <v>Rental Car Center E-Other-Other 1</v>
      </c>
      <c r="H1420" s="567" t="s">
        <v>362</v>
      </c>
      <c r="I1420" s="877" t="s">
        <v>64</v>
      </c>
      <c r="J1420" s="878">
        <f>SUMIFS('Level of Efficiency Assumptions'!J:J,'Level of Efficiency Assumptions'!D:D,E1420,'Level of Efficiency Assumptions'!F:F,F1420,'Level of Efficiency Assumptions'!I:I,I1420)</f>
        <v>10</v>
      </c>
      <c r="K1420" s="383" t="s">
        <v>588</v>
      </c>
      <c r="L1420" s="253" t="s">
        <v>64</v>
      </c>
      <c r="M1420" s="879">
        <f>SUM(Q1420:Q1420)</f>
        <v>0</v>
      </c>
      <c r="N1420" s="880">
        <f>IFERROR(M1420/M1423,"-")</f>
        <v>0</v>
      </c>
      <c r="O1420" s="881">
        <f>SUMIFS('Data Entry'!R:R,'Data Entry'!K:K,G1420)</f>
        <v>0</v>
      </c>
      <c r="P1420" s="272" t="s">
        <v>129</v>
      </c>
      <c r="Q1420" s="895">
        <v>0</v>
      </c>
      <c r="R1420" s="114"/>
      <c r="S1420" s="884"/>
      <c r="T1420" s="270"/>
      <c r="U1420" s="114"/>
      <c r="V1420" s="114"/>
      <c r="W1420" s="114"/>
      <c r="X1420" s="114"/>
      <c r="Y1420" s="114"/>
      <c r="Z1420" s="114"/>
      <c r="AA1420" s="114"/>
      <c r="AB1420" s="85"/>
      <c r="AC1420" s="85"/>
      <c r="AD1420" s="85"/>
      <c r="AE1420" s="85"/>
    </row>
    <row r="1421" spans="3:31" ht="15" thickBot="1" x14ac:dyDescent="0.35">
      <c r="C1421" s="494" t="s">
        <v>765</v>
      </c>
      <c r="D1421" s="577"/>
      <c r="E1421" s="577" t="s">
        <v>8</v>
      </c>
      <c r="F1421" s="577" t="s">
        <v>52</v>
      </c>
      <c r="G1421" s="450" t="str">
        <f t="shared" si="65"/>
        <v>Rental Car Center E-Other-Other 1</v>
      </c>
      <c r="H1421" s="577"/>
      <c r="I1421" s="887" t="s">
        <v>65</v>
      </c>
      <c r="J1421" s="878">
        <f>SUMIFS('Level of Efficiency Assumptions'!J:J,'Level of Efficiency Assumptions'!D:D,E1421,'Level of Efficiency Assumptions'!F:F,F1421,'Level of Efficiency Assumptions'!I:I,I1421)</f>
        <v>7.5</v>
      </c>
      <c r="K1421" s="383" t="s">
        <v>588</v>
      </c>
      <c r="L1421" s="255" t="s">
        <v>65</v>
      </c>
      <c r="M1421" s="879">
        <f t="shared" ref="M1421:M1422" si="66">SUM(Q1421:Q1421)</f>
        <v>1</v>
      </c>
      <c r="N1421" s="880">
        <f>IFERROR(M1421/M1423,"-")</f>
        <v>1</v>
      </c>
      <c r="O1421" s="881">
        <f>SUMIFS('Data Entry'!S:S,'Data Entry'!K:K,G1421)</f>
        <v>0</v>
      </c>
      <c r="P1421" s="274" t="s">
        <v>233</v>
      </c>
      <c r="Q1421" s="895">
        <v>1</v>
      </c>
      <c r="R1421" s="114"/>
      <c r="S1421" s="884"/>
      <c r="T1421" s="270"/>
      <c r="U1421" s="114"/>
      <c r="V1421" s="114"/>
      <c r="W1421" s="114"/>
      <c r="X1421" s="114"/>
      <c r="Y1421" s="114"/>
      <c r="Z1421" s="114"/>
      <c r="AA1421" s="114"/>
      <c r="AB1421" s="85"/>
      <c r="AC1421" s="85"/>
      <c r="AD1421" s="85"/>
      <c r="AE1421" s="85"/>
    </row>
    <row r="1422" spans="3:31" ht="15" thickBot="1" x14ac:dyDescent="0.35">
      <c r="C1422" s="501" t="s">
        <v>765</v>
      </c>
      <c r="D1422" s="116"/>
      <c r="E1422" s="116" t="s">
        <v>8</v>
      </c>
      <c r="F1422" s="116" t="s">
        <v>52</v>
      </c>
      <c r="G1422" s="450" t="str">
        <f t="shared" si="65"/>
        <v>Rental Car Center E-Other-Other 1</v>
      </c>
      <c r="H1422" s="116"/>
      <c r="I1422" s="889" t="s">
        <v>66</v>
      </c>
      <c r="J1422" s="890">
        <f>SUMIFS('Level of Efficiency Assumptions'!J:J,'Level of Efficiency Assumptions'!D:D,E1422,'Level of Efficiency Assumptions'!F:F,F1422,'Level of Efficiency Assumptions'!I:I,I1422)</f>
        <v>5</v>
      </c>
      <c r="K1422" s="383" t="s">
        <v>588</v>
      </c>
      <c r="L1422" s="257" t="s">
        <v>66</v>
      </c>
      <c r="M1422" s="879">
        <f t="shared" si="66"/>
        <v>0</v>
      </c>
      <c r="N1422" s="880">
        <f>IFERROR(M1422/M1423,"-")</f>
        <v>0</v>
      </c>
      <c r="O1422" s="881">
        <f>SUMIFS('Data Entry'!T:T,'Data Entry'!K:K,G1422)</f>
        <v>0</v>
      </c>
      <c r="P1422" s="269" t="s">
        <v>234</v>
      </c>
      <c r="Q1422" s="895">
        <v>0</v>
      </c>
      <c r="R1422" s="114"/>
      <c r="S1422" s="884"/>
      <c r="T1422" s="270"/>
      <c r="U1422" s="114"/>
      <c r="V1422" s="114"/>
      <c r="W1422" s="114"/>
      <c r="X1422" s="114"/>
      <c r="Y1422" s="114"/>
      <c r="Z1422" s="114"/>
      <c r="AA1422" s="114"/>
      <c r="AB1422" s="85"/>
      <c r="AC1422" s="85"/>
      <c r="AD1422" s="85"/>
      <c r="AE1422" s="85"/>
    </row>
    <row r="1423" spans="3:31" x14ac:dyDescent="0.3">
      <c r="C1423" s="450"/>
      <c r="D1423" s="182"/>
      <c r="E1423" s="182"/>
      <c r="F1423" s="182"/>
      <c r="G1423" s="450" t="str">
        <f t="shared" si="65"/>
        <v>--</v>
      </c>
      <c r="H1423" s="182"/>
      <c r="I1423" s="440"/>
      <c r="J1423" s="892"/>
      <c r="K1423" s="259"/>
      <c r="L1423" s="259" t="s">
        <v>46</v>
      </c>
      <c r="M1423" s="893">
        <f>SUM(M1420:M1422)</f>
        <v>1</v>
      </c>
      <c r="N1423" s="894"/>
      <c r="O1423" s="894">
        <f>SUM(O1420:O1422)</f>
        <v>0</v>
      </c>
      <c r="P1423" s="263" t="s">
        <v>46</v>
      </c>
      <c r="Q1423" s="897">
        <f>SUM(Q1420:Q1422)</f>
        <v>1</v>
      </c>
      <c r="R1423" s="899"/>
      <c r="S1423" s="900"/>
      <c r="T1423" s="270"/>
      <c r="U1423" s="114"/>
      <c r="V1423" s="114"/>
      <c r="W1423" s="114"/>
      <c r="X1423" s="114"/>
      <c r="Y1423" s="114"/>
      <c r="Z1423" s="114"/>
      <c r="AA1423" s="114"/>
      <c r="AB1423" s="85"/>
      <c r="AC1423" s="85"/>
      <c r="AD1423" s="85"/>
      <c r="AE1423" s="85"/>
    </row>
    <row r="1424" spans="3:31" x14ac:dyDescent="0.3">
      <c r="C1424" s="450"/>
      <c r="D1424" s="182"/>
      <c r="E1424" s="182"/>
      <c r="F1424" s="182"/>
      <c r="G1424" s="450" t="str">
        <f t="shared" si="65"/>
        <v>--</v>
      </c>
      <c r="H1424" s="182"/>
      <c r="I1424" s="892"/>
      <c r="J1424" s="288"/>
      <c r="K1424" s="182"/>
      <c r="L1424" s="182"/>
      <c r="M1424" s="270"/>
      <c r="N1424" s="892"/>
      <c r="O1424" s="892"/>
      <c r="P1424" s="270"/>
      <c r="Q1424" s="270"/>
      <c r="R1424" s="270"/>
      <c r="S1424" s="270"/>
      <c r="T1424" s="270"/>
      <c r="U1424" s="114"/>
      <c r="V1424" s="114"/>
      <c r="W1424" s="114"/>
      <c r="X1424" s="114"/>
      <c r="Y1424" s="114"/>
      <c r="Z1424" s="114"/>
      <c r="AA1424" s="114"/>
      <c r="AB1424" s="85"/>
      <c r="AC1424" s="85"/>
      <c r="AD1424" s="85"/>
      <c r="AE1424" s="85"/>
    </row>
    <row r="1425" spans="3:31" ht="15" thickBot="1" x14ac:dyDescent="0.35">
      <c r="C1425" s="450"/>
      <c r="D1425" s="182"/>
      <c r="E1425" s="182"/>
      <c r="F1425" s="182"/>
      <c r="G1425" s="450" t="str">
        <f t="shared" si="65"/>
        <v>--</v>
      </c>
      <c r="H1425" s="182"/>
      <c r="I1425" s="892"/>
      <c r="J1425" s="892"/>
      <c r="K1425" s="182"/>
      <c r="L1425" s="182"/>
      <c r="M1425" s="901" t="s">
        <v>155</v>
      </c>
      <c r="N1425" s="870" t="s">
        <v>188</v>
      </c>
      <c r="O1425" s="870"/>
      <c r="P1425" s="276" t="s">
        <v>53</v>
      </c>
      <c r="Q1425" s="871" t="s">
        <v>155</v>
      </c>
      <c r="R1425" s="902"/>
      <c r="S1425" s="874"/>
      <c r="T1425" s="270"/>
      <c r="U1425" s="114"/>
      <c r="V1425" s="114"/>
      <c r="W1425" s="114"/>
      <c r="X1425" s="114"/>
      <c r="Y1425" s="114"/>
      <c r="Z1425" s="114"/>
      <c r="AA1425" s="114"/>
      <c r="AB1425" s="85"/>
      <c r="AC1425" s="85"/>
      <c r="AD1425" s="85"/>
      <c r="AE1425" s="85"/>
    </row>
    <row r="1426" spans="3:31" ht="15" thickBot="1" x14ac:dyDescent="0.35">
      <c r="C1426" s="566" t="s">
        <v>765</v>
      </c>
      <c r="D1426" s="875" t="str">
        <f>VLOOKUP(C1426,'Airport Mapping'!$C$5:$D$39,2,FALSE)</f>
        <v xml:space="preserve"> </v>
      </c>
      <c r="E1426" s="567" t="s">
        <v>8</v>
      </c>
      <c r="F1426" s="567" t="s">
        <v>53</v>
      </c>
      <c r="G1426" s="450" t="str">
        <f t="shared" si="65"/>
        <v>Rental Car Center E-Other-Other 2</v>
      </c>
      <c r="H1426" s="567" t="s">
        <v>363</v>
      </c>
      <c r="I1426" s="877" t="s">
        <v>64</v>
      </c>
      <c r="J1426" s="878">
        <f>SUMIFS('Level of Efficiency Assumptions'!J:J,'Level of Efficiency Assumptions'!D:D,E1426,'Level of Efficiency Assumptions'!F:F,F1426,'Level of Efficiency Assumptions'!I:I,I1426)</f>
        <v>10</v>
      </c>
      <c r="K1426" s="383" t="s">
        <v>588</v>
      </c>
      <c r="L1426" s="253" t="s">
        <v>64</v>
      </c>
      <c r="M1426" s="879">
        <f>SUM(Q1426:Q1426)</f>
        <v>0</v>
      </c>
      <c r="N1426" s="880">
        <f>IFERROR(M1426/M1429,"-")</f>
        <v>0</v>
      </c>
      <c r="O1426" s="881">
        <f>SUMIFS('Data Entry'!R:R,'Data Entry'!K:K,G1426)</f>
        <v>0</v>
      </c>
      <c r="P1426" s="272" t="s">
        <v>129</v>
      </c>
      <c r="Q1426" s="895">
        <v>0</v>
      </c>
      <c r="R1426" s="114"/>
      <c r="S1426" s="884"/>
      <c r="T1426" s="270"/>
      <c r="U1426" s="114"/>
      <c r="V1426" s="114"/>
      <c r="W1426" s="114"/>
      <c r="X1426" s="114"/>
      <c r="Y1426" s="114"/>
      <c r="Z1426" s="114"/>
      <c r="AA1426" s="114"/>
      <c r="AB1426" s="85"/>
      <c r="AC1426" s="85"/>
      <c r="AD1426" s="85"/>
      <c r="AE1426" s="85"/>
    </row>
    <row r="1427" spans="3:31" s="45" customFormat="1" ht="15" thickBot="1" x14ac:dyDescent="0.35">
      <c r="C1427" s="494" t="s">
        <v>765</v>
      </c>
      <c r="D1427" s="577"/>
      <c r="E1427" s="577" t="s">
        <v>8</v>
      </c>
      <c r="F1427" s="577" t="s">
        <v>53</v>
      </c>
      <c r="G1427" s="450" t="str">
        <f t="shared" si="65"/>
        <v>Rental Car Center E-Other-Other 2</v>
      </c>
      <c r="H1427" s="577"/>
      <c r="I1427" s="887" t="s">
        <v>65</v>
      </c>
      <c r="J1427" s="878">
        <f>SUMIFS('Level of Efficiency Assumptions'!J:J,'Level of Efficiency Assumptions'!D:D,E1427,'Level of Efficiency Assumptions'!F:F,F1427,'Level of Efficiency Assumptions'!I:I,I1427)</f>
        <v>7.5</v>
      </c>
      <c r="K1427" s="383" t="s">
        <v>588</v>
      </c>
      <c r="L1427" s="255" t="s">
        <v>65</v>
      </c>
      <c r="M1427" s="879">
        <f t="shared" ref="M1427:M1428" si="67">SUM(Q1427:Q1427)</f>
        <v>1</v>
      </c>
      <c r="N1427" s="880">
        <f>IFERROR(M1427/M1429,"-")</f>
        <v>1</v>
      </c>
      <c r="O1427" s="881">
        <f>SUMIFS('Data Entry'!S:S,'Data Entry'!K:K,G1427)</f>
        <v>0</v>
      </c>
      <c r="P1427" s="274" t="s">
        <v>233</v>
      </c>
      <c r="Q1427" s="895">
        <v>1</v>
      </c>
      <c r="R1427" s="114"/>
      <c r="S1427" s="884"/>
      <c r="T1427" s="270"/>
      <c r="U1427" s="114"/>
      <c r="V1427" s="114"/>
      <c r="W1427" s="114"/>
      <c r="X1427" s="114"/>
      <c r="Y1427" s="114"/>
      <c r="Z1427" s="114"/>
      <c r="AA1427" s="114"/>
      <c r="AB1427" s="85"/>
      <c r="AC1427" s="85"/>
      <c r="AD1427" s="85"/>
      <c r="AE1427" s="85"/>
    </row>
    <row r="1428" spans="3:31" s="45" customFormat="1" ht="15" thickBot="1" x14ac:dyDescent="0.35">
      <c r="C1428" s="501" t="s">
        <v>765</v>
      </c>
      <c r="D1428" s="116"/>
      <c r="E1428" s="116" t="s">
        <v>8</v>
      </c>
      <c r="F1428" s="116" t="s">
        <v>53</v>
      </c>
      <c r="G1428" s="450" t="str">
        <f t="shared" si="65"/>
        <v>Rental Car Center E-Other-Other 2</v>
      </c>
      <c r="H1428" s="116"/>
      <c r="I1428" s="889" t="s">
        <v>66</v>
      </c>
      <c r="J1428" s="890">
        <f>SUMIFS('Level of Efficiency Assumptions'!J:J,'Level of Efficiency Assumptions'!D:D,E1428,'Level of Efficiency Assumptions'!F:F,F1428,'Level of Efficiency Assumptions'!I:I,I1428)</f>
        <v>5</v>
      </c>
      <c r="K1428" s="383" t="s">
        <v>588</v>
      </c>
      <c r="L1428" s="257" t="s">
        <v>66</v>
      </c>
      <c r="M1428" s="879">
        <f t="shared" si="67"/>
        <v>0</v>
      </c>
      <c r="N1428" s="880">
        <f>IFERROR(M1428/M1429,"-")</f>
        <v>0</v>
      </c>
      <c r="O1428" s="881">
        <f>SUMIFS('Data Entry'!T:T,'Data Entry'!K:K,G1428)</f>
        <v>0</v>
      </c>
      <c r="P1428" s="269" t="s">
        <v>234</v>
      </c>
      <c r="Q1428" s="895">
        <v>0</v>
      </c>
      <c r="R1428" s="114"/>
      <c r="S1428" s="884"/>
      <c r="T1428" s="270"/>
      <c r="U1428" s="114"/>
      <c r="V1428" s="114"/>
      <c r="W1428" s="114"/>
      <c r="X1428" s="114"/>
      <c r="Y1428" s="114"/>
      <c r="Z1428" s="114"/>
      <c r="AA1428" s="114"/>
      <c r="AB1428" s="85"/>
      <c r="AC1428" s="85"/>
      <c r="AD1428" s="85"/>
      <c r="AE1428" s="85"/>
    </row>
    <row r="1429" spans="3:31" s="45" customFormat="1" x14ac:dyDescent="0.3">
      <c r="C1429" s="450"/>
      <c r="D1429" s="182"/>
      <c r="E1429" s="182"/>
      <c r="F1429" s="182"/>
      <c r="G1429" s="450" t="str">
        <f t="shared" si="65"/>
        <v>--</v>
      </c>
      <c r="H1429" s="182"/>
      <c r="I1429" s="440"/>
      <c r="J1429" s="892"/>
      <c r="K1429" s="259"/>
      <c r="L1429" s="259" t="s">
        <v>46</v>
      </c>
      <c r="M1429" s="893">
        <f>SUM(M1426:M1428)</f>
        <v>1</v>
      </c>
      <c r="N1429" s="894"/>
      <c r="O1429" s="894">
        <f>SUM(O1426:O1428)</f>
        <v>0</v>
      </c>
      <c r="P1429" s="263" t="s">
        <v>46</v>
      </c>
      <c r="Q1429" s="897">
        <f>SUM(Q1426:Q1428)</f>
        <v>1</v>
      </c>
      <c r="R1429" s="899"/>
      <c r="S1429" s="900"/>
      <c r="T1429" s="270"/>
      <c r="U1429" s="114"/>
      <c r="V1429" s="114"/>
      <c r="W1429" s="114"/>
      <c r="X1429" s="114"/>
      <c r="Y1429" s="114"/>
      <c r="Z1429" s="114"/>
      <c r="AA1429" s="114"/>
      <c r="AB1429" s="85"/>
      <c r="AC1429" s="85"/>
      <c r="AD1429" s="85"/>
      <c r="AE1429" s="85"/>
    </row>
    <row r="1430" spans="3:31" s="45" customFormat="1" x14ac:dyDescent="0.3">
      <c r="C1430" s="450"/>
      <c r="D1430" s="182"/>
      <c r="E1430" s="182"/>
      <c r="F1430" s="182"/>
      <c r="G1430" s="450" t="str">
        <f t="shared" si="65"/>
        <v>--</v>
      </c>
      <c r="H1430" s="182"/>
      <c r="I1430" s="892"/>
      <c r="J1430" s="288"/>
      <c r="K1430" s="182"/>
      <c r="L1430" s="182"/>
      <c r="M1430" s="270"/>
      <c r="N1430" s="892"/>
      <c r="O1430" s="892"/>
      <c r="P1430" s="270"/>
      <c r="Q1430" s="270"/>
      <c r="R1430" s="270"/>
      <c r="S1430" s="270"/>
      <c r="T1430" s="270"/>
      <c r="U1430" s="114"/>
      <c r="V1430" s="114"/>
      <c r="W1430" s="114"/>
      <c r="X1430" s="114"/>
      <c r="Y1430" s="114"/>
      <c r="Z1430" s="114"/>
      <c r="AA1430" s="114"/>
      <c r="AB1430" s="85"/>
      <c r="AC1430" s="85"/>
      <c r="AD1430" s="85"/>
      <c r="AE1430" s="85"/>
    </row>
    <row r="1431" spans="3:31" s="45" customFormat="1" ht="15" thickBot="1" x14ac:dyDescent="0.35">
      <c r="C1431" s="450"/>
      <c r="D1431" s="182"/>
      <c r="E1431" s="182"/>
      <c r="F1431" s="182"/>
      <c r="G1431" s="450" t="str">
        <f t="shared" si="65"/>
        <v>--</v>
      </c>
      <c r="H1431" s="182"/>
      <c r="I1431" s="892"/>
      <c r="J1431" s="892"/>
      <c r="K1431" s="182"/>
      <c r="L1431" s="182"/>
      <c r="M1431" s="901" t="s">
        <v>155</v>
      </c>
      <c r="N1431" s="870" t="s">
        <v>188</v>
      </c>
      <c r="O1431" s="870"/>
      <c r="P1431" s="276" t="s">
        <v>54</v>
      </c>
      <c r="Q1431" s="871" t="s">
        <v>155</v>
      </c>
      <c r="R1431" s="902"/>
      <c r="S1431" s="874"/>
      <c r="T1431" s="270"/>
      <c r="U1431" s="114"/>
      <c r="V1431" s="114"/>
      <c r="W1431" s="114"/>
      <c r="X1431" s="114"/>
      <c r="Y1431" s="114"/>
      <c r="Z1431" s="114"/>
      <c r="AA1431" s="114"/>
      <c r="AB1431" s="85"/>
      <c r="AC1431" s="85"/>
      <c r="AD1431" s="85"/>
      <c r="AE1431" s="85"/>
    </row>
    <row r="1432" spans="3:31" s="45" customFormat="1" ht="15" thickBot="1" x14ac:dyDescent="0.35">
      <c r="C1432" s="566" t="s">
        <v>765</v>
      </c>
      <c r="D1432" s="875" t="str">
        <f>VLOOKUP(C1432,'Airport Mapping'!$C$5:$D$39,2,FALSE)</f>
        <v xml:space="preserve"> </v>
      </c>
      <c r="E1432" s="567" t="s">
        <v>8</v>
      </c>
      <c r="F1432" s="567" t="s">
        <v>54</v>
      </c>
      <c r="G1432" s="450" t="str">
        <f t="shared" si="65"/>
        <v>Rental Car Center E-Other-Other 3</v>
      </c>
      <c r="H1432" s="567" t="s">
        <v>364</v>
      </c>
      <c r="I1432" s="877" t="s">
        <v>64</v>
      </c>
      <c r="J1432" s="878">
        <f>SUMIFS('Level of Efficiency Assumptions'!J:J,'Level of Efficiency Assumptions'!D:D,E1432,'Level of Efficiency Assumptions'!F:F,F1432,'Level of Efficiency Assumptions'!I:I,I1432)</f>
        <v>10</v>
      </c>
      <c r="K1432" s="383" t="s">
        <v>588</v>
      </c>
      <c r="L1432" s="253" t="s">
        <v>64</v>
      </c>
      <c r="M1432" s="879">
        <f>SUM(Q1432:Q1432)</f>
        <v>0</v>
      </c>
      <c r="N1432" s="880">
        <f>IFERROR(M1432/M1435,"-")</f>
        <v>0</v>
      </c>
      <c r="O1432" s="881">
        <f>SUMIFS('Data Entry'!R:R,'Data Entry'!K:K,G1432)</f>
        <v>0</v>
      </c>
      <c r="P1432" s="272" t="s">
        <v>129</v>
      </c>
      <c r="Q1432" s="895">
        <v>0</v>
      </c>
      <c r="R1432" s="114"/>
      <c r="S1432" s="884"/>
      <c r="T1432" s="270"/>
      <c r="U1432" s="114"/>
      <c r="V1432" s="114"/>
      <c r="W1432" s="114"/>
      <c r="X1432" s="114"/>
      <c r="Y1432" s="114"/>
      <c r="Z1432" s="114"/>
      <c r="AA1432" s="114"/>
      <c r="AB1432" s="85"/>
      <c r="AC1432" s="85"/>
      <c r="AD1432" s="85"/>
      <c r="AE1432" s="85"/>
    </row>
    <row r="1433" spans="3:31" s="45" customFormat="1" ht="15" thickBot="1" x14ac:dyDescent="0.35">
      <c r="C1433" s="494" t="s">
        <v>765</v>
      </c>
      <c r="D1433" s="577"/>
      <c r="E1433" s="577" t="s">
        <v>8</v>
      </c>
      <c r="F1433" s="577" t="s">
        <v>54</v>
      </c>
      <c r="G1433" s="450" t="str">
        <f t="shared" si="65"/>
        <v>Rental Car Center E-Other-Other 3</v>
      </c>
      <c r="H1433" s="577"/>
      <c r="I1433" s="887" t="s">
        <v>65</v>
      </c>
      <c r="J1433" s="878">
        <f>SUMIFS('Level of Efficiency Assumptions'!J:J,'Level of Efficiency Assumptions'!D:D,E1433,'Level of Efficiency Assumptions'!F:F,F1433,'Level of Efficiency Assumptions'!I:I,I1433)</f>
        <v>7.5</v>
      </c>
      <c r="K1433" s="383" t="s">
        <v>588</v>
      </c>
      <c r="L1433" s="255" t="s">
        <v>65</v>
      </c>
      <c r="M1433" s="879">
        <f t="shared" ref="M1433:M1434" si="68">SUM(Q1433:Q1433)</f>
        <v>1</v>
      </c>
      <c r="N1433" s="880">
        <f>IFERROR(M1433/M1435,"-")</f>
        <v>1</v>
      </c>
      <c r="O1433" s="881">
        <f>SUMIFS('Data Entry'!S:S,'Data Entry'!K:K,G1433)</f>
        <v>0</v>
      </c>
      <c r="P1433" s="274" t="s">
        <v>233</v>
      </c>
      <c r="Q1433" s="895">
        <v>1</v>
      </c>
      <c r="R1433" s="114"/>
      <c r="S1433" s="884"/>
      <c r="T1433" s="270"/>
      <c r="U1433" s="114"/>
      <c r="V1433" s="114"/>
      <c r="W1433" s="114"/>
      <c r="X1433" s="114"/>
      <c r="Y1433" s="114"/>
      <c r="Z1433" s="114"/>
      <c r="AA1433" s="114"/>
      <c r="AB1433" s="85"/>
      <c r="AC1433" s="85"/>
      <c r="AD1433" s="85"/>
      <c r="AE1433" s="85"/>
    </row>
    <row r="1434" spans="3:31" ht="15" thickBot="1" x14ac:dyDescent="0.35">
      <c r="C1434" s="501" t="s">
        <v>765</v>
      </c>
      <c r="D1434" s="116"/>
      <c r="E1434" s="116" t="s">
        <v>8</v>
      </c>
      <c r="F1434" s="116" t="s">
        <v>54</v>
      </c>
      <c r="G1434" s="450" t="str">
        <f t="shared" si="65"/>
        <v>Rental Car Center E-Other-Other 3</v>
      </c>
      <c r="H1434" s="116"/>
      <c r="I1434" s="889" t="s">
        <v>66</v>
      </c>
      <c r="J1434" s="890">
        <f>SUMIFS('Level of Efficiency Assumptions'!J:J,'Level of Efficiency Assumptions'!D:D,E1434,'Level of Efficiency Assumptions'!F:F,F1434,'Level of Efficiency Assumptions'!I:I,I1434)</f>
        <v>5</v>
      </c>
      <c r="K1434" s="383" t="s">
        <v>588</v>
      </c>
      <c r="L1434" s="257" t="s">
        <v>66</v>
      </c>
      <c r="M1434" s="879">
        <f t="shared" si="68"/>
        <v>0</v>
      </c>
      <c r="N1434" s="880">
        <f>IFERROR(M1434/M1435,"-")</f>
        <v>0</v>
      </c>
      <c r="O1434" s="881">
        <f>SUMIFS('Data Entry'!T:T,'Data Entry'!K:K,G1434)</f>
        <v>0</v>
      </c>
      <c r="P1434" s="269" t="s">
        <v>234</v>
      </c>
      <c r="Q1434" s="895">
        <v>0</v>
      </c>
      <c r="R1434" s="114"/>
      <c r="S1434" s="884"/>
      <c r="T1434" s="270"/>
      <c r="U1434" s="114"/>
      <c r="V1434" s="114"/>
      <c r="W1434" s="114"/>
      <c r="X1434" s="114"/>
      <c r="Y1434" s="114"/>
      <c r="Z1434" s="114"/>
      <c r="AA1434" s="114"/>
      <c r="AB1434" s="85"/>
      <c r="AC1434" s="85"/>
      <c r="AD1434" s="85"/>
      <c r="AE1434" s="85"/>
    </row>
    <row r="1435" spans="3:31" x14ac:dyDescent="0.3">
      <c r="C1435" s="450"/>
      <c r="D1435" s="182"/>
      <c r="E1435" s="182"/>
      <c r="F1435" s="182"/>
      <c r="G1435" s="450" t="str">
        <f t="shared" si="65"/>
        <v>--</v>
      </c>
      <c r="H1435" s="182"/>
      <c r="I1435" s="440"/>
      <c r="J1435" s="892"/>
      <c r="K1435" s="259"/>
      <c r="L1435" s="259" t="s">
        <v>46</v>
      </c>
      <c r="M1435" s="893">
        <f>SUM(M1432:M1434)</f>
        <v>1</v>
      </c>
      <c r="N1435" s="894"/>
      <c r="O1435" s="894">
        <f>SUM(O1432:O1434)</f>
        <v>0</v>
      </c>
      <c r="P1435" s="263" t="s">
        <v>46</v>
      </c>
      <c r="Q1435" s="897">
        <f>SUM(Q1432:Q1434)</f>
        <v>1</v>
      </c>
      <c r="R1435" s="899"/>
      <c r="S1435" s="900"/>
      <c r="T1435" s="270"/>
      <c r="U1435" s="114"/>
      <c r="V1435" s="114"/>
      <c r="W1435" s="114"/>
      <c r="X1435" s="114"/>
      <c r="Y1435" s="114"/>
      <c r="Z1435" s="114"/>
      <c r="AA1435" s="114"/>
      <c r="AB1435" s="85"/>
      <c r="AC1435" s="85"/>
      <c r="AD1435" s="85"/>
      <c r="AE1435" s="85"/>
    </row>
    <row r="1436" spans="3:31" ht="15" thickBot="1" x14ac:dyDescent="0.35">
      <c r="C1436" s="451"/>
      <c r="D1436" s="184"/>
      <c r="E1436" s="184"/>
      <c r="F1436" s="184"/>
      <c r="G1436" s="450" t="str">
        <f t="shared" si="65"/>
        <v>--</v>
      </c>
      <c r="H1436" s="184"/>
      <c r="I1436" s="281"/>
      <c r="J1436" s="281"/>
      <c r="K1436" s="184"/>
      <c r="L1436" s="184"/>
      <c r="M1436" s="924"/>
      <c r="N1436" s="281"/>
      <c r="O1436" s="925"/>
      <c r="P1436" s="184"/>
      <c r="Q1436" s="924"/>
      <c r="R1436" s="184"/>
      <c r="S1436" s="184"/>
      <c r="T1436" s="184"/>
      <c r="U1436" s="184"/>
      <c r="V1436" s="184"/>
      <c r="W1436" s="114"/>
      <c r="X1436" s="114"/>
      <c r="Y1436" s="114"/>
      <c r="Z1436" s="114"/>
      <c r="AA1436" s="114"/>
      <c r="AB1436" s="85"/>
      <c r="AC1436" s="85"/>
      <c r="AD1436" s="85"/>
      <c r="AE1436" s="85"/>
    </row>
    <row r="1437" spans="3:31" x14ac:dyDescent="0.3">
      <c r="C1437" s="450"/>
      <c r="D1437" s="181"/>
      <c r="E1437" s="181"/>
      <c r="F1437" s="181"/>
      <c r="G1437" s="450" t="str">
        <f t="shared" si="65"/>
        <v>--</v>
      </c>
      <c r="H1437" s="181"/>
      <c r="I1437" s="892"/>
      <c r="J1437" s="892"/>
      <c r="K1437" s="181"/>
      <c r="L1437" s="259"/>
      <c r="M1437" s="114"/>
      <c r="N1437" s="905"/>
      <c r="O1437" s="905"/>
      <c r="P1437" s="114"/>
      <c r="Q1437" s="114"/>
      <c r="R1437" s="114"/>
      <c r="S1437" s="114"/>
      <c r="T1437" s="114"/>
      <c r="U1437" s="114"/>
      <c r="V1437" s="114"/>
      <c r="W1437" s="114"/>
      <c r="X1437" s="114"/>
      <c r="Y1437" s="114"/>
      <c r="Z1437" s="114"/>
      <c r="AA1437" s="114"/>
      <c r="AB1437" s="85"/>
      <c r="AC1437" s="85"/>
      <c r="AD1437" s="85"/>
      <c r="AE1437" s="85"/>
    </row>
    <row r="1438" spans="3:31" ht="15" thickBot="1" x14ac:dyDescent="0.35">
      <c r="C1438" s="450"/>
      <c r="D1438" s="182"/>
      <c r="E1438" s="182"/>
      <c r="F1438" s="182"/>
      <c r="G1438" s="450" t="str">
        <f t="shared" si="65"/>
        <v>--</v>
      </c>
      <c r="H1438" s="182"/>
      <c r="I1438" s="892"/>
      <c r="J1438" s="892"/>
      <c r="K1438" s="182"/>
      <c r="L1438" s="182"/>
      <c r="M1438" s="901" t="s">
        <v>155</v>
      </c>
      <c r="N1438" s="870" t="s">
        <v>188</v>
      </c>
      <c r="O1438" s="870"/>
      <c r="P1438" s="252" t="s">
        <v>158</v>
      </c>
      <c r="Q1438" s="871" t="s">
        <v>155</v>
      </c>
      <c r="R1438" s="872" t="s">
        <v>168</v>
      </c>
      <c r="S1438" s="872" t="s">
        <v>169</v>
      </c>
      <c r="T1438" s="873"/>
      <c r="U1438" s="874"/>
      <c r="V1438" s="270"/>
      <c r="W1438" s="270"/>
      <c r="X1438" s="270"/>
      <c r="Y1438" s="114"/>
      <c r="Z1438" s="114"/>
      <c r="AA1438" s="114"/>
      <c r="AB1438" s="85"/>
      <c r="AC1438" s="85"/>
      <c r="AD1438" s="85"/>
      <c r="AE1438" s="85"/>
    </row>
    <row r="1439" spans="3:31" ht="15" thickBot="1" x14ac:dyDescent="0.35">
      <c r="C1439" s="566" t="s">
        <v>421</v>
      </c>
      <c r="D1439" s="875" t="str">
        <f>VLOOKUP(C1439,'Airport Mapping'!$C$5:$D$39,2,FALSE)</f>
        <v xml:space="preserve"> </v>
      </c>
      <c r="E1439" s="567" t="s">
        <v>37</v>
      </c>
      <c r="F1439" s="567" t="s">
        <v>2</v>
      </c>
      <c r="G1439" s="450" t="str">
        <f t="shared" si="65"/>
        <v>Ground Transportation A-Restrooms-Toilets</v>
      </c>
      <c r="H1439" s="567" t="s">
        <v>3</v>
      </c>
      <c r="I1439" s="877" t="s">
        <v>64</v>
      </c>
      <c r="J1439" s="878">
        <f>SUMIFS('Level of Efficiency Assumptions'!J:J,'Level of Efficiency Assumptions'!D:D,E1439,'Level of Efficiency Assumptions'!F:F,F1439,'Level of Efficiency Assumptions'!I:I,I1439)</f>
        <v>3.5</v>
      </c>
      <c r="K1439" s="383" t="s">
        <v>68</v>
      </c>
      <c r="L1439" s="253" t="s">
        <v>64</v>
      </c>
      <c r="M1439" s="879">
        <f>Q1439+Q1445</f>
        <v>0</v>
      </c>
      <c r="N1439" s="880">
        <f>IFERROR(M1439/M1442,"-")</f>
        <v>0</v>
      </c>
      <c r="O1439" s="881">
        <f>SUMIFS('Data Entry'!R:R,'Data Entry'!K:K,G1439)</f>
        <v>0</v>
      </c>
      <c r="P1439" s="254" t="s">
        <v>159</v>
      </c>
      <c r="Q1439" s="882">
        <v>0</v>
      </c>
      <c r="R1439" s="883"/>
      <c r="S1439" s="883"/>
      <c r="T1439" s="114" t="s">
        <v>182</v>
      </c>
      <c r="U1439" s="884"/>
      <c r="V1439" s="270"/>
      <c r="W1439" s="270"/>
      <c r="X1439" s="270"/>
      <c r="Y1439" s="114"/>
      <c r="Z1439" s="114"/>
      <c r="AA1439" s="114"/>
      <c r="AB1439" s="85"/>
      <c r="AC1439" s="85"/>
      <c r="AD1439" s="85"/>
      <c r="AE1439" s="85"/>
    </row>
    <row r="1440" spans="3:31" ht="15" thickBot="1" x14ac:dyDescent="0.35">
      <c r="C1440" s="494" t="s">
        <v>421</v>
      </c>
      <c r="D1440" s="577"/>
      <c r="E1440" s="577" t="s">
        <v>37</v>
      </c>
      <c r="F1440" s="577" t="s">
        <v>2</v>
      </c>
      <c r="G1440" s="450" t="str">
        <f t="shared" si="65"/>
        <v>Ground Transportation A-Restrooms-Toilets</v>
      </c>
      <c r="H1440" s="577"/>
      <c r="I1440" s="887" t="s">
        <v>65</v>
      </c>
      <c r="J1440" s="878">
        <f>SUMIFS('Level of Efficiency Assumptions'!J:J,'Level of Efficiency Assumptions'!D:D,E1440,'Level of Efficiency Assumptions'!F:F,F1440,'Level of Efficiency Assumptions'!I:I,I1440)</f>
        <v>1.6</v>
      </c>
      <c r="K1440" s="383" t="s">
        <v>68</v>
      </c>
      <c r="L1440" s="255" t="s">
        <v>65</v>
      </c>
      <c r="M1440" s="879">
        <f>Q1440+Q1443+Q1446</f>
        <v>1</v>
      </c>
      <c r="N1440" s="880">
        <f>IFERROR(M1440/M1442,"-")</f>
        <v>1</v>
      </c>
      <c r="O1440" s="881">
        <f>SUMIFS('Data Entry'!S:S,'Data Entry'!K:K,G1440)</f>
        <v>0</v>
      </c>
      <c r="P1440" s="256" t="s">
        <v>161</v>
      </c>
      <c r="Q1440" s="882">
        <v>1</v>
      </c>
      <c r="R1440" s="883"/>
      <c r="S1440" s="883"/>
      <c r="T1440" s="114" t="s">
        <v>184</v>
      </c>
      <c r="U1440" s="884"/>
      <c r="V1440" s="270"/>
      <c r="W1440" s="270"/>
      <c r="X1440" s="270"/>
      <c r="Y1440" s="114"/>
      <c r="Z1440" s="114"/>
      <c r="AA1440" s="114"/>
      <c r="AB1440" s="85"/>
      <c r="AC1440" s="85"/>
      <c r="AD1440" s="85"/>
      <c r="AE1440" s="85"/>
    </row>
    <row r="1441" spans="3:31" ht="15" thickBot="1" x14ac:dyDescent="0.35">
      <c r="C1441" s="501" t="s">
        <v>421</v>
      </c>
      <c r="D1441" s="116"/>
      <c r="E1441" s="116" t="s">
        <v>37</v>
      </c>
      <c r="F1441" s="116" t="s">
        <v>2</v>
      </c>
      <c r="G1441" s="450" t="str">
        <f t="shared" si="65"/>
        <v>Ground Transportation A-Restrooms-Toilets</v>
      </c>
      <c r="H1441" s="116"/>
      <c r="I1441" s="889" t="s">
        <v>66</v>
      </c>
      <c r="J1441" s="890">
        <f>SUMIFS('Level of Efficiency Assumptions'!J:J,'Level of Efficiency Assumptions'!D:D,E1441,'Level of Efficiency Assumptions'!F:F,F1441,'Level of Efficiency Assumptions'!I:I,I1441)</f>
        <v>1.28</v>
      </c>
      <c r="K1441" s="383" t="s">
        <v>68</v>
      </c>
      <c r="L1441" s="257" t="s">
        <v>66</v>
      </c>
      <c r="M1441" s="879">
        <f>Q1441+Q1442+Q1444+Q1447+Q1448</f>
        <v>0</v>
      </c>
      <c r="N1441" s="880">
        <f>IFERROR(M1441/M1442,"-")</f>
        <v>0</v>
      </c>
      <c r="O1441" s="881">
        <f>SUMIFS('Data Entry'!T:T,'Data Entry'!K:K,G1441)</f>
        <v>0</v>
      </c>
      <c r="P1441" s="258" t="s">
        <v>163</v>
      </c>
      <c r="Q1441" s="882">
        <v>0</v>
      </c>
      <c r="R1441" s="883"/>
      <c r="S1441" s="883"/>
      <c r="T1441" s="891"/>
      <c r="U1441" s="884"/>
      <c r="V1441" s="270"/>
      <c r="W1441" s="270"/>
      <c r="X1441" s="270"/>
      <c r="Y1441" s="114"/>
      <c r="Z1441" s="114"/>
      <c r="AA1441" s="114"/>
      <c r="AB1441" s="85"/>
      <c r="AC1441" s="85"/>
      <c r="AD1441" s="85"/>
      <c r="AE1441" s="85"/>
    </row>
    <row r="1442" spans="3:31" x14ac:dyDescent="0.3">
      <c r="C1442" s="450"/>
      <c r="D1442" s="182"/>
      <c r="E1442" s="182"/>
      <c r="F1442" s="182"/>
      <c r="G1442" s="450" t="str">
        <f t="shared" si="65"/>
        <v>--</v>
      </c>
      <c r="H1442" s="182"/>
      <c r="I1442" s="440"/>
      <c r="J1442" s="892"/>
      <c r="K1442" s="259"/>
      <c r="L1442" s="259" t="s">
        <v>46</v>
      </c>
      <c r="M1442" s="893">
        <f>SUM(M1439:M1441)</f>
        <v>1</v>
      </c>
      <c r="N1442" s="894"/>
      <c r="O1442" s="894">
        <f>SUM(O1439:O1441)</f>
        <v>0</v>
      </c>
      <c r="P1442" s="258" t="s">
        <v>165</v>
      </c>
      <c r="Q1442" s="882">
        <v>0</v>
      </c>
      <c r="R1442" s="883"/>
      <c r="S1442" s="883"/>
      <c r="T1442" s="891"/>
      <c r="U1442" s="884"/>
      <c r="V1442" s="270"/>
      <c r="W1442" s="270"/>
      <c r="X1442" s="270"/>
      <c r="Y1442" s="114"/>
      <c r="Z1442" s="114"/>
      <c r="AA1442" s="114"/>
      <c r="AB1442" s="85"/>
      <c r="AC1442" s="85"/>
      <c r="AD1442" s="85"/>
      <c r="AE1442" s="85"/>
    </row>
    <row r="1443" spans="3:31" ht="15" thickBot="1" x14ac:dyDescent="0.35">
      <c r="C1443" s="450"/>
      <c r="D1443" s="182"/>
      <c r="E1443" s="182"/>
      <c r="F1443" s="182"/>
      <c r="G1443" s="450" t="str">
        <f t="shared" si="65"/>
        <v>--</v>
      </c>
      <c r="H1443" s="182"/>
      <c r="I1443" s="892"/>
      <c r="J1443" s="288"/>
      <c r="K1443" s="182"/>
      <c r="L1443" s="181"/>
      <c r="M1443" s="181"/>
      <c r="N1443" s="892"/>
      <c r="O1443" s="892"/>
      <c r="P1443" s="256" t="s">
        <v>166</v>
      </c>
      <c r="Q1443" s="895">
        <v>0</v>
      </c>
      <c r="R1443" s="883"/>
      <c r="S1443" s="883"/>
      <c r="T1443" s="891"/>
      <c r="U1443" s="896"/>
      <c r="V1443" s="891"/>
      <c r="W1443" s="270"/>
      <c r="X1443" s="270"/>
      <c r="Y1443" s="114"/>
      <c r="Z1443" s="114"/>
      <c r="AA1443" s="114"/>
      <c r="AB1443" s="85"/>
      <c r="AC1443" s="85"/>
      <c r="AD1443" s="85"/>
      <c r="AE1443" s="85"/>
    </row>
    <row r="1444" spans="3:31" x14ac:dyDescent="0.3">
      <c r="C1444" s="450"/>
      <c r="D1444" s="182"/>
      <c r="E1444" s="182"/>
      <c r="F1444" s="182"/>
      <c r="G1444" s="450" t="str">
        <f t="shared" si="65"/>
        <v>--</v>
      </c>
      <c r="H1444" s="182"/>
      <c r="I1444" s="892"/>
      <c r="J1444" s="288"/>
      <c r="K1444" s="182"/>
      <c r="L1444" s="1384" t="s">
        <v>377</v>
      </c>
      <c r="M1444" s="1385"/>
      <c r="N1444" s="1385"/>
      <c r="O1444" s="1386"/>
      <c r="P1444" s="258" t="s">
        <v>167</v>
      </c>
      <c r="Q1444" s="895">
        <v>0</v>
      </c>
      <c r="R1444" s="883"/>
      <c r="S1444" s="883"/>
      <c r="T1444" s="891"/>
      <c r="U1444" s="896"/>
      <c r="V1444" s="891"/>
      <c r="W1444" s="270"/>
      <c r="X1444" s="270"/>
      <c r="Y1444" s="270"/>
      <c r="Z1444" s="114"/>
      <c r="AA1444" s="114"/>
      <c r="AB1444" s="85"/>
      <c r="AC1444" s="85"/>
      <c r="AD1444" s="85"/>
      <c r="AE1444" s="85"/>
    </row>
    <row r="1445" spans="3:31" x14ac:dyDescent="0.3">
      <c r="C1445" s="450"/>
      <c r="D1445" s="182"/>
      <c r="E1445" s="182"/>
      <c r="F1445" s="182"/>
      <c r="G1445" s="450" t="str">
        <f t="shared" si="65"/>
        <v>--</v>
      </c>
      <c r="H1445" s="182"/>
      <c r="I1445" s="892"/>
      <c r="J1445" s="288"/>
      <c r="K1445" s="182"/>
      <c r="L1445" s="1387"/>
      <c r="M1445" s="1388"/>
      <c r="N1445" s="1388"/>
      <c r="O1445" s="1389"/>
      <c r="P1445" s="254" t="s">
        <v>160</v>
      </c>
      <c r="Q1445" s="895">
        <v>0</v>
      </c>
      <c r="R1445" s="891"/>
      <c r="S1445" s="891"/>
      <c r="T1445" s="891"/>
      <c r="U1445" s="896"/>
      <c r="V1445" s="891"/>
      <c r="W1445" s="270"/>
      <c r="X1445" s="270"/>
      <c r="Y1445" s="270"/>
      <c r="Z1445" s="114"/>
      <c r="AA1445" s="114"/>
      <c r="AB1445" s="85"/>
      <c r="AC1445" s="85"/>
      <c r="AD1445" s="85"/>
      <c r="AE1445" s="85"/>
    </row>
    <row r="1446" spans="3:31" x14ac:dyDescent="0.3">
      <c r="C1446" s="450"/>
      <c r="D1446" s="182"/>
      <c r="E1446" s="182"/>
      <c r="F1446" s="182"/>
      <c r="G1446" s="450" t="str">
        <f t="shared" si="65"/>
        <v>--</v>
      </c>
      <c r="H1446" s="182"/>
      <c r="I1446" s="892"/>
      <c r="J1446" s="288"/>
      <c r="K1446" s="182"/>
      <c r="L1446" s="1387"/>
      <c r="M1446" s="1388"/>
      <c r="N1446" s="1388"/>
      <c r="O1446" s="1389"/>
      <c r="P1446" s="256" t="s">
        <v>162</v>
      </c>
      <c r="Q1446" s="895">
        <v>0</v>
      </c>
      <c r="R1446" s="891"/>
      <c r="S1446" s="891"/>
      <c r="T1446" s="891"/>
      <c r="U1446" s="896"/>
      <c r="V1446" s="891"/>
      <c r="W1446" s="270"/>
      <c r="X1446" s="270"/>
      <c r="Y1446" s="270"/>
      <c r="Z1446" s="114"/>
      <c r="AA1446" s="114"/>
      <c r="AB1446" s="85"/>
      <c r="AC1446" s="85"/>
      <c r="AD1446" s="85"/>
      <c r="AE1446" s="85"/>
    </row>
    <row r="1447" spans="3:31" ht="15" thickBot="1" x14ac:dyDescent="0.35">
      <c r="C1447" s="450"/>
      <c r="D1447" s="182"/>
      <c r="E1447" s="182"/>
      <c r="F1447" s="182"/>
      <c r="G1447" s="450" t="str">
        <f t="shared" si="65"/>
        <v>--</v>
      </c>
      <c r="H1447" s="182"/>
      <c r="I1447" s="892"/>
      <c r="J1447" s="288"/>
      <c r="K1447" s="182"/>
      <c r="L1447" s="1390"/>
      <c r="M1447" s="1391"/>
      <c r="N1447" s="1391"/>
      <c r="O1447" s="1392"/>
      <c r="P1447" s="258" t="s">
        <v>164</v>
      </c>
      <c r="Q1447" s="895">
        <v>0</v>
      </c>
      <c r="R1447" s="114"/>
      <c r="S1447" s="891"/>
      <c r="T1447" s="114"/>
      <c r="U1447" s="884"/>
      <c r="V1447" s="114"/>
      <c r="W1447" s="270"/>
      <c r="X1447" s="270"/>
      <c r="Y1447" s="270"/>
      <c r="Z1447" s="114"/>
      <c r="AA1447" s="114"/>
      <c r="AB1447" s="85"/>
      <c r="AC1447" s="85"/>
      <c r="AD1447" s="85"/>
      <c r="AE1447" s="85"/>
    </row>
    <row r="1448" spans="3:31" x14ac:dyDescent="0.3">
      <c r="C1448" s="450"/>
      <c r="D1448" s="182"/>
      <c r="E1448" s="182"/>
      <c r="F1448" s="182"/>
      <c r="G1448" s="450" t="str">
        <f t="shared" si="65"/>
        <v>--</v>
      </c>
      <c r="H1448" s="182"/>
      <c r="I1448" s="892"/>
      <c r="J1448" s="288"/>
      <c r="K1448" s="182"/>
      <c r="L1448" s="181"/>
      <c r="M1448" s="181"/>
      <c r="N1448" s="892"/>
      <c r="O1448" s="892"/>
      <c r="P1448" s="258" t="s">
        <v>187</v>
      </c>
      <c r="Q1448" s="895">
        <v>0</v>
      </c>
      <c r="R1448" s="114"/>
      <c r="S1448" s="891"/>
      <c r="T1448" s="114"/>
      <c r="U1448" s="884"/>
      <c r="V1448" s="114"/>
      <c r="W1448" s="270"/>
      <c r="X1448" s="270"/>
      <c r="Y1448" s="270"/>
      <c r="Z1448" s="114"/>
      <c r="AA1448" s="114"/>
      <c r="AB1448" s="85"/>
      <c r="AC1448" s="85"/>
      <c r="AD1448" s="85"/>
      <c r="AE1448" s="85"/>
    </row>
    <row r="1449" spans="3:31" x14ac:dyDescent="0.3">
      <c r="C1449" s="450"/>
      <c r="D1449" s="182"/>
      <c r="E1449" s="182"/>
      <c r="F1449" s="182"/>
      <c r="G1449" s="450" t="str">
        <f t="shared" si="65"/>
        <v>--</v>
      </c>
      <c r="H1449" s="182"/>
      <c r="I1449" s="892"/>
      <c r="J1449" s="288"/>
      <c r="K1449" s="182"/>
      <c r="L1449" s="181"/>
      <c r="M1449" s="181"/>
      <c r="N1449" s="892"/>
      <c r="O1449" s="892"/>
      <c r="P1449" s="263" t="s">
        <v>46</v>
      </c>
      <c r="Q1449" s="897">
        <f>SUM(Q1439:Q1448)</f>
        <v>1</v>
      </c>
      <c r="R1449" s="898"/>
      <c r="S1449" s="898"/>
      <c r="T1449" s="899"/>
      <c r="U1449" s="900"/>
      <c r="V1449" s="114"/>
      <c r="W1449" s="270"/>
      <c r="X1449" s="270"/>
      <c r="Y1449" s="270"/>
      <c r="Z1449" s="114"/>
      <c r="AA1449" s="114"/>
      <c r="AB1449" s="85"/>
      <c r="AC1449" s="85"/>
      <c r="AD1449" s="85"/>
      <c r="AE1449" s="85"/>
    </row>
    <row r="1450" spans="3:31" x14ac:dyDescent="0.3">
      <c r="C1450" s="450"/>
      <c r="D1450" s="182"/>
      <c r="E1450" s="182"/>
      <c r="F1450" s="182"/>
      <c r="G1450" s="450" t="str">
        <f t="shared" si="65"/>
        <v>--</v>
      </c>
      <c r="H1450" s="182"/>
      <c r="I1450" s="892"/>
      <c r="J1450" s="288"/>
      <c r="K1450" s="182"/>
      <c r="L1450" s="181"/>
      <c r="M1450" s="181"/>
      <c r="N1450" s="892"/>
      <c r="O1450" s="892"/>
      <c r="P1450" s="114"/>
      <c r="Q1450" s="114"/>
      <c r="R1450" s="891"/>
      <c r="S1450" s="891"/>
      <c r="T1450" s="114"/>
      <c r="U1450" s="114"/>
      <c r="V1450" s="114"/>
      <c r="W1450" s="270"/>
      <c r="X1450" s="270"/>
      <c r="Y1450" s="270"/>
      <c r="Z1450" s="114"/>
      <c r="AA1450" s="114"/>
      <c r="AB1450" s="85"/>
      <c r="AC1450" s="85"/>
      <c r="AD1450" s="85"/>
      <c r="AE1450" s="85"/>
    </row>
    <row r="1451" spans="3:31" ht="15" thickBot="1" x14ac:dyDescent="0.35">
      <c r="C1451" s="450"/>
      <c r="D1451" s="182"/>
      <c r="E1451" s="182"/>
      <c r="F1451" s="182"/>
      <c r="G1451" s="450" t="str">
        <f t="shared" si="65"/>
        <v>--</v>
      </c>
      <c r="H1451" s="182"/>
      <c r="I1451" s="892"/>
      <c r="J1451" s="892"/>
      <c r="K1451" s="182"/>
      <c r="L1451" s="182"/>
      <c r="M1451" s="901" t="s">
        <v>155</v>
      </c>
      <c r="N1451" s="870" t="s">
        <v>188</v>
      </c>
      <c r="O1451" s="870"/>
      <c r="P1451" s="252" t="s">
        <v>175</v>
      </c>
      <c r="Q1451" s="871" t="s">
        <v>155</v>
      </c>
      <c r="R1451" s="872" t="s">
        <v>168</v>
      </c>
      <c r="S1451" s="872" t="s">
        <v>169</v>
      </c>
      <c r="T1451" s="902"/>
      <c r="U1451" s="903"/>
      <c r="V1451" s="270"/>
      <c r="W1451" s="270"/>
      <c r="X1451" s="270"/>
      <c r="Y1451" s="270"/>
      <c r="Z1451" s="114"/>
      <c r="AA1451" s="114"/>
      <c r="AB1451" s="85"/>
      <c r="AC1451" s="85"/>
      <c r="AD1451" s="85"/>
      <c r="AE1451" s="85"/>
    </row>
    <row r="1452" spans="3:31" ht="15" thickBot="1" x14ac:dyDescent="0.35">
      <c r="C1452" s="566" t="s">
        <v>421</v>
      </c>
      <c r="D1452" s="875" t="str">
        <f>VLOOKUP(C1452,'Airport Mapping'!$C$5:$D$39,2,FALSE)</f>
        <v xml:space="preserve"> </v>
      </c>
      <c r="E1452" s="567" t="s">
        <v>37</v>
      </c>
      <c r="F1452" s="567" t="s">
        <v>4</v>
      </c>
      <c r="G1452" s="450" t="str">
        <f t="shared" si="65"/>
        <v>Ground Transportation A-Restrooms-Urinals</v>
      </c>
      <c r="H1452" s="567" t="s">
        <v>3</v>
      </c>
      <c r="I1452" s="877" t="s">
        <v>64</v>
      </c>
      <c r="J1452" s="878">
        <f>SUMIFS('Level of Efficiency Assumptions'!J:J,'Level of Efficiency Assumptions'!D:D,E1452,'Level of Efficiency Assumptions'!F:F,F1452,'Level of Efficiency Assumptions'!I:I,I1452)</f>
        <v>2</v>
      </c>
      <c r="K1452" s="383" t="s">
        <v>68</v>
      </c>
      <c r="L1452" s="253" t="s">
        <v>64</v>
      </c>
      <c r="M1452" s="879">
        <f>Q1452+Q1453</f>
        <v>0</v>
      </c>
      <c r="N1452" s="880">
        <f>IFERROR(M1452/M1455,"-")</f>
        <v>0</v>
      </c>
      <c r="O1452" s="881">
        <f>SUMIFS('Data Entry'!R:R,'Data Entry'!K:K,G1452)</f>
        <v>0</v>
      </c>
      <c r="P1452" s="254" t="s">
        <v>177</v>
      </c>
      <c r="Q1452" s="882">
        <v>0</v>
      </c>
      <c r="R1452" s="883"/>
      <c r="S1452" s="883"/>
      <c r="T1452" s="114"/>
      <c r="U1452" s="904"/>
      <c r="V1452" s="270"/>
      <c r="W1452" s="270"/>
      <c r="X1452" s="270"/>
      <c r="Y1452" s="270"/>
      <c r="Z1452" s="114"/>
      <c r="AA1452" s="114"/>
      <c r="AB1452" s="85"/>
      <c r="AC1452" s="85"/>
      <c r="AD1452" s="85"/>
      <c r="AE1452" s="85"/>
    </row>
    <row r="1453" spans="3:31" ht="15" thickBot="1" x14ac:dyDescent="0.35">
      <c r="C1453" s="494" t="s">
        <v>421</v>
      </c>
      <c r="D1453" s="577"/>
      <c r="E1453" s="577" t="s">
        <v>37</v>
      </c>
      <c r="F1453" s="577" t="s">
        <v>4</v>
      </c>
      <c r="G1453" s="450" t="str">
        <f t="shared" si="65"/>
        <v>Ground Transportation A-Restrooms-Urinals</v>
      </c>
      <c r="H1453" s="577"/>
      <c r="I1453" s="887" t="s">
        <v>65</v>
      </c>
      <c r="J1453" s="878">
        <f>SUMIFS('Level of Efficiency Assumptions'!J:J,'Level of Efficiency Assumptions'!D:D,E1453,'Level of Efficiency Assumptions'!F:F,F1453,'Level of Efficiency Assumptions'!I:I,I1453)</f>
        <v>1</v>
      </c>
      <c r="K1453" s="383" t="s">
        <v>68</v>
      </c>
      <c r="L1453" s="255" t="s">
        <v>65</v>
      </c>
      <c r="M1453" s="879">
        <f>Q1454+Q1455</f>
        <v>1</v>
      </c>
      <c r="N1453" s="880">
        <f>IFERROR(M1453/M1455,"-")</f>
        <v>1</v>
      </c>
      <c r="O1453" s="881">
        <f>SUMIFS('Data Entry'!S:S,'Data Entry'!K:K,G1453)</f>
        <v>0</v>
      </c>
      <c r="P1453" s="254" t="s">
        <v>179</v>
      </c>
      <c r="Q1453" s="882">
        <v>0</v>
      </c>
      <c r="R1453" s="883"/>
      <c r="S1453" s="883"/>
      <c r="T1453" s="114"/>
      <c r="U1453" s="904"/>
      <c r="V1453" s="270"/>
      <c r="W1453" s="270"/>
      <c r="X1453" s="270"/>
      <c r="Y1453" s="270"/>
      <c r="Z1453" s="114"/>
      <c r="AA1453" s="114"/>
      <c r="AB1453" s="85"/>
      <c r="AC1453" s="85"/>
      <c r="AD1453" s="85"/>
      <c r="AE1453" s="85"/>
    </row>
    <row r="1454" spans="3:31" ht="15" thickBot="1" x14ac:dyDescent="0.35">
      <c r="C1454" s="501" t="s">
        <v>421</v>
      </c>
      <c r="D1454" s="116"/>
      <c r="E1454" s="116" t="s">
        <v>37</v>
      </c>
      <c r="F1454" s="116" t="s">
        <v>4</v>
      </c>
      <c r="G1454" s="450" t="str">
        <f t="shared" si="65"/>
        <v>Ground Transportation A-Restrooms-Urinals</v>
      </c>
      <c r="H1454" s="116"/>
      <c r="I1454" s="889" t="s">
        <v>66</v>
      </c>
      <c r="J1454" s="890">
        <f>SUMIFS('Level of Efficiency Assumptions'!J:J,'Level of Efficiency Assumptions'!D:D,E1454,'Level of Efficiency Assumptions'!F:F,F1454,'Level of Efficiency Assumptions'!I:I,I1454)</f>
        <v>0.125</v>
      </c>
      <c r="K1454" s="383" t="s">
        <v>68</v>
      </c>
      <c r="L1454" s="257" t="s">
        <v>66</v>
      </c>
      <c r="M1454" s="879">
        <f>Q1456+Q1457</f>
        <v>0</v>
      </c>
      <c r="N1454" s="880">
        <f>IFERROR(M1454/M1455,"-")</f>
        <v>0</v>
      </c>
      <c r="O1454" s="881">
        <f>SUMIFS('Data Entry'!T:T,'Data Entry'!K:K,G1454)</f>
        <v>0</v>
      </c>
      <c r="P1454" s="256" t="s">
        <v>189</v>
      </c>
      <c r="Q1454" s="882">
        <v>0</v>
      </c>
      <c r="R1454" s="883"/>
      <c r="S1454" s="883"/>
      <c r="T1454" s="114"/>
      <c r="U1454" s="904"/>
      <c r="V1454" s="270"/>
      <c r="W1454" s="270"/>
      <c r="X1454" s="270"/>
      <c r="Y1454" s="270"/>
      <c r="Z1454" s="114"/>
      <c r="AA1454" s="114"/>
      <c r="AB1454" s="85"/>
      <c r="AC1454" s="85"/>
      <c r="AD1454" s="85"/>
      <c r="AE1454" s="85"/>
    </row>
    <row r="1455" spans="3:31" x14ac:dyDescent="0.3">
      <c r="C1455" s="450"/>
      <c r="D1455" s="182"/>
      <c r="E1455" s="182"/>
      <c r="F1455" s="182"/>
      <c r="G1455" s="450" t="str">
        <f t="shared" si="65"/>
        <v>--</v>
      </c>
      <c r="H1455" s="182"/>
      <c r="I1455" s="440"/>
      <c r="J1455" s="892"/>
      <c r="K1455" s="259"/>
      <c r="L1455" s="259" t="s">
        <v>46</v>
      </c>
      <c r="M1455" s="893">
        <f>SUM(M1452:M1454)</f>
        <v>1</v>
      </c>
      <c r="N1455" s="894"/>
      <c r="O1455" s="894">
        <f>SUM(O1452:O1454)</f>
        <v>0</v>
      </c>
      <c r="P1455" s="256" t="s">
        <v>181</v>
      </c>
      <c r="Q1455" s="882">
        <v>1</v>
      </c>
      <c r="R1455" s="883"/>
      <c r="S1455" s="883"/>
      <c r="T1455" s="114"/>
      <c r="U1455" s="264"/>
      <c r="V1455" s="270"/>
      <c r="W1455" s="270"/>
      <c r="X1455" s="270"/>
      <c r="Y1455" s="270"/>
      <c r="Z1455" s="114"/>
      <c r="AA1455" s="114"/>
      <c r="AB1455" s="85"/>
      <c r="AC1455" s="85"/>
      <c r="AD1455" s="85"/>
      <c r="AE1455" s="85"/>
    </row>
    <row r="1456" spans="3:31" x14ac:dyDescent="0.3">
      <c r="C1456" s="450"/>
      <c r="D1456" s="182"/>
      <c r="E1456" s="182"/>
      <c r="F1456" s="182"/>
      <c r="G1456" s="450" t="str">
        <f t="shared" si="65"/>
        <v>--</v>
      </c>
      <c r="H1456" s="182"/>
      <c r="I1456" s="892"/>
      <c r="J1456" s="288"/>
      <c r="K1456" s="182"/>
      <c r="L1456" s="181"/>
      <c r="M1456" s="181"/>
      <c r="N1456" s="892"/>
      <c r="O1456" s="892"/>
      <c r="P1456" s="258" t="s">
        <v>183</v>
      </c>
      <c r="Q1456" s="882">
        <v>0</v>
      </c>
      <c r="R1456" s="883"/>
      <c r="S1456" s="883"/>
      <c r="T1456" s="114"/>
      <c r="U1456" s="884"/>
      <c r="V1456" s="114"/>
      <c r="W1456" s="270"/>
      <c r="X1456" s="270"/>
      <c r="Y1456" s="270"/>
      <c r="Z1456" s="114"/>
      <c r="AA1456" s="114"/>
      <c r="AB1456" s="85"/>
      <c r="AC1456" s="85"/>
      <c r="AD1456" s="85"/>
      <c r="AE1456" s="85"/>
    </row>
    <row r="1457" spans="3:31" x14ac:dyDescent="0.3">
      <c r="C1457" s="450"/>
      <c r="D1457" s="182"/>
      <c r="E1457" s="182"/>
      <c r="F1457" s="182"/>
      <c r="G1457" s="450" t="str">
        <f t="shared" si="65"/>
        <v>--</v>
      </c>
      <c r="H1457" s="182"/>
      <c r="I1457" s="892"/>
      <c r="J1457" s="288"/>
      <c r="K1457" s="182"/>
      <c r="L1457" s="181"/>
      <c r="M1457" s="181"/>
      <c r="N1457" s="892"/>
      <c r="O1457" s="892"/>
      <c r="P1457" s="258" t="s">
        <v>190</v>
      </c>
      <c r="Q1457" s="882">
        <v>0</v>
      </c>
      <c r="R1457" s="114"/>
      <c r="S1457" s="114"/>
      <c r="T1457" s="114"/>
      <c r="U1457" s="884"/>
      <c r="V1457" s="114"/>
      <c r="W1457" s="270"/>
      <c r="X1457" s="270"/>
      <c r="Y1457" s="270"/>
      <c r="Z1457" s="114"/>
      <c r="AA1457" s="114"/>
      <c r="AB1457" s="85"/>
      <c r="AC1457" s="85"/>
      <c r="AD1457" s="85"/>
      <c r="AE1457" s="85"/>
    </row>
    <row r="1458" spans="3:31" x14ac:dyDescent="0.3">
      <c r="C1458" s="450"/>
      <c r="D1458" s="182"/>
      <c r="E1458" s="182"/>
      <c r="F1458" s="182"/>
      <c r="G1458" s="450" t="str">
        <f t="shared" si="65"/>
        <v>--</v>
      </c>
      <c r="H1458" s="182"/>
      <c r="I1458" s="892"/>
      <c r="J1458" s="288"/>
      <c r="K1458" s="182"/>
      <c r="L1458" s="181"/>
      <c r="M1458" s="181"/>
      <c r="N1458" s="892"/>
      <c r="O1458" s="892"/>
      <c r="P1458" s="263" t="s">
        <v>46</v>
      </c>
      <c r="Q1458" s="897">
        <f>SUM(Q1452:Q1457)</f>
        <v>1</v>
      </c>
      <c r="R1458" s="899"/>
      <c r="S1458" s="899"/>
      <c r="T1458" s="899"/>
      <c r="U1458" s="900"/>
      <c r="V1458" s="114"/>
      <c r="W1458" s="270"/>
      <c r="X1458" s="270"/>
      <c r="Y1458" s="270"/>
      <c r="Z1458" s="114"/>
      <c r="AA1458" s="114"/>
      <c r="AB1458" s="85"/>
      <c r="AC1458" s="85"/>
      <c r="AD1458" s="85"/>
      <c r="AE1458" s="85"/>
    </row>
    <row r="1459" spans="3:31" x14ac:dyDescent="0.3">
      <c r="C1459" s="450"/>
      <c r="D1459" s="182"/>
      <c r="E1459" s="182"/>
      <c r="F1459" s="182"/>
      <c r="G1459" s="450" t="str">
        <f t="shared" si="65"/>
        <v>--</v>
      </c>
      <c r="H1459" s="182"/>
      <c r="I1459" s="892"/>
      <c r="J1459" s="288"/>
      <c r="K1459" s="182"/>
      <c r="L1459" s="181"/>
      <c r="M1459" s="181"/>
      <c r="N1459" s="892"/>
      <c r="O1459" s="892"/>
      <c r="P1459" s="262"/>
      <c r="Q1459" s="114"/>
      <c r="R1459" s="114"/>
      <c r="S1459" s="114"/>
      <c r="T1459" s="114"/>
      <c r="U1459" s="114"/>
      <c r="V1459" s="114"/>
      <c r="W1459" s="270"/>
      <c r="X1459" s="270"/>
      <c r="Y1459" s="270"/>
      <c r="Z1459" s="114"/>
      <c r="AA1459" s="114"/>
      <c r="AB1459" s="85"/>
      <c r="AC1459" s="85"/>
      <c r="AD1459" s="85"/>
      <c r="AE1459" s="85"/>
    </row>
    <row r="1460" spans="3:31" ht="15" thickBot="1" x14ac:dyDescent="0.35">
      <c r="C1460" s="450"/>
      <c r="D1460" s="182"/>
      <c r="E1460" s="182"/>
      <c r="F1460" s="182"/>
      <c r="G1460" s="450" t="str">
        <f t="shared" si="65"/>
        <v>--</v>
      </c>
      <c r="H1460" s="182"/>
      <c r="I1460" s="892"/>
      <c r="J1460" s="892"/>
      <c r="K1460" s="182"/>
      <c r="L1460" s="182"/>
      <c r="M1460" s="901" t="s">
        <v>155</v>
      </c>
      <c r="N1460" s="870" t="s">
        <v>188</v>
      </c>
      <c r="O1460" s="870"/>
      <c r="P1460" s="265" t="s">
        <v>33</v>
      </c>
      <c r="Q1460" s="871" t="s">
        <v>155</v>
      </c>
      <c r="R1460" s="872" t="s">
        <v>168</v>
      </c>
      <c r="S1460" s="872" t="s">
        <v>169</v>
      </c>
      <c r="T1460" s="872" t="s">
        <v>170</v>
      </c>
      <c r="U1460" s="872" t="s">
        <v>171</v>
      </c>
      <c r="V1460" s="902"/>
      <c r="W1460" s="902"/>
      <c r="X1460" s="874"/>
      <c r="Y1460" s="270"/>
      <c r="Z1460" s="114"/>
      <c r="AA1460" s="114"/>
      <c r="AB1460" s="85"/>
      <c r="AC1460" s="85"/>
      <c r="AD1460" s="85"/>
      <c r="AE1460" s="85"/>
    </row>
    <row r="1461" spans="3:31" ht="15" thickBot="1" x14ac:dyDescent="0.35">
      <c r="C1461" s="566" t="s">
        <v>421</v>
      </c>
      <c r="D1461" s="875" t="str">
        <f>VLOOKUP(C1461,'Airport Mapping'!$C$5:$D$39,2,FALSE)</f>
        <v xml:space="preserve"> </v>
      </c>
      <c r="E1461" s="567" t="s">
        <v>37</v>
      </c>
      <c r="F1461" s="567" t="s">
        <v>33</v>
      </c>
      <c r="G1461" s="450" t="str">
        <f t="shared" si="65"/>
        <v>Ground Transportation A-Restrooms-Faucets</v>
      </c>
      <c r="H1461" s="567" t="s">
        <v>3</v>
      </c>
      <c r="I1461" s="877" t="s">
        <v>64</v>
      </c>
      <c r="J1461" s="878">
        <f>SUMIFS('Level of Efficiency Assumptions'!J:J,'Level of Efficiency Assumptions'!D:D,E1461,'Level of Efficiency Assumptions'!F:F,F1461,'Level of Efficiency Assumptions'!I:I,I1461)</f>
        <v>2</v>
      </c>
      <c r="K1461" s="383" t="s">
        <v>78</v>
      </c>
      <c r="L1461" s="253" t="s">
        <v>64</v>
      </c>
      <c r="M1461" s="879">
        <f>Q1461+Q1462</f>
        <v>0</v>
      </c>
      <c r="N1461" s="880">
        <f>IFERROR(M1461/M1464,"-")</f>
        <v>0</v>
      </c>
      <c r="O1461" s="881">
        <f>SUMIFS('Data Entry'!R:R,'Data Entry'!K:K,G1461)</f>
        <v>0</v>
      </c>
      <c r="P1461" s="266" t="s">
        <v>180</v>
      </c>
      <c r="Q1461" s="895">
        <v>0</v>
      </c>
      <c r="R1461" s="883"/>
      <c r="S1461" s="883"/>
      <c r="T1461" s="883"/>
      <c r="U1461" s="883"/>
      <c r="V1461" s="114" t="s">
        <v>182</v>
      </c>
      <c r="W1461" s="114"/>
      <c r="X1461" s="884"/>
      <c r="Y1461" s="270"/>
      <c r="Z1461" s="114"/>
      <c r="AA1461" s="114"/>
      <c r="AB1461" s="85"/>
      <c r="AC1461" s="85"/>
      <c r="AD1461" s="85"/>
      <c r="AE1461" s="85"/>
    </row>
    <row r="1462" spans="3:31" ht="15" thickBot="1" x14ac:dyDescent="0.35">
      <c r="C1462" s="494" t="s">
        <v>421</v>
      </c>
      <c r="D1462" s="577"/>
      <c r="E1462" s="577" t="s">
        <v>37</v>
      </c>
      <c r="F1462" s="577" t="s">
        <v>33</v>
      </c>
      <c r="G1462" s="450" t="str">
        <f t="shared" si="65"/>
        <v>Ground Transportation A-Restrooms-Faucets</v>
      </c>
      <c r="H1462" s="577"/>
      <c r="I1462" s="887" t="s">
        <v>65</v>
      </c>
      <c r="J1462" s="878">
        <f>SUMIFS('Level of Efficiency Assumptions'!J:J,'Level of Efficiency Assumptions'!D:D,E1462,'Level of Efficiency Assumptions'!F:F,F1462,'Level of Efficiency Assumptions'!I:I,I1462)</f>
        <v>1</v>
      </c>
      <c r="K1462" s="383" t="s">
        <v>78</v>
      </c>
      <c r="L1462" s="255" t="s">
        <v>65</v>
      </c>
      <c r="M1462" s="879">
        <f>Q1463+Q1464</f>
        <v>1</v>
      </c>
      <c r="N1462" s="880">
        <f>IFERROR(M1462/M1464,"-")</f>
        <v>1</v>
      </c>
      <c r="O1462" s="881">
        <f>SUMIFS('Data Entry'!S:S,'Data Entry'!K:K,G1462)</f>
        <v>0</v>
      </c>
      <c r="P1462" s="266" t="s">
        <v>178</v>
      </c>
      <c r="Q1462" s="895">
        <v>0</v>
      </c>
      <c r="R1462" s="883"/>
      <c r="S1462" s="883"/>
      <c r="T1462" s="883"/>
      <c r="U1462" s="883"/>
      <c r="V1462" s="114" t="s">
        <v>184</v>
      </c>
      <c r="W1462" s="114"/>
      <c r="X1462" s="884"/>
      <c r="Y1462" s="270"/>
      <c r="Z1462" s="114"/>
      <c r="AA1462" s="114"/>
      <c r="AB1462" s="85"/>
      <c r="AC1462" s="85"/>
      <c r="AD1462" s="85"/>
      <c r="AE1462" s="85"/>
    </row>
    <row r="1463" spans="3:31" ht="15" thickBot="1" x14ac:dyDescent="0.35">
      <c r="C1463" s="501" t="s">
        <v>421</v>
      </c>
      <c r="D1463" s="116"/>
      <c r="E1463" s="116" t="s">
        <v>37</v>
      </c>
      <c r="F1463" s="116" t="s">
        <v>33</v>
      </c>
      <c r="G1463" s="450" t="str">
        <f t="shared" si="65"/>
        <v>Ground Transportation A-Restrooms-Faucets</v>
      </c>
      <c r="H1463" s="116"/>
      <c r="I1463" s="889" t="s">
        <v>66</v>
      </c>
      <c r="J1463" s="890">
        <f>SUMIFS('Level of Efficiency Assumptions'!J:J,'Level of Efficiency Assumptions'!D:D,E1463,'Level of Efficiency Assumptions'!F:F,F1463,'Level of Efficiency Assumptions'!I:I,I1463)</f>
        <v>0.5</v>
      </c>
      <c r="K1463" s="383" t="s">
        <v>78</v>
      </c>
      <c r="L1463" s="257" t="s">
        <v>66</v>
      </c>
      <c r="M1463" s="879">
        <f>Q1465</f>
        <v>0</v>
      </c>
      <c r="N1463" s="880">
        <f>IFERROR(M1463/M1464,"-")</f>
        <v>0</v>
      </c>
      <c r="O1463" s="881">
        <f>SUMIFS('Data Entry'!T:T,'Data Entry'!K:K,G1463)</f>
        <v>0</v>
      </c>
      <c r="P1463" s="267" t="s">
        <v>176</v>
      </c>
      <c r="Q1463" s="895">
        <v>1</v>
      </c>
      <c r="R1463" s="883"/>
      <c r="S1463" s="883"/>
      <c r="T1463" s="883"/>
      <c r="U1463" s="883"/>
      <c r="V1463" s="114" t="s">
        <v>185</v>
      </c>
      <c r="W1463" s="114"/>
      <c r="X1463" s="884"/>
      <c r="Y1463" s="270"/>
      <c r="Z1463" s="114"/>
      <c r="AA1463" s="114"/>
      <c r="AB1463" s="85"/>
      <c r="AC1463" s="85"/>
      <c r="AD1463" s="85"/>
      <c r="AE1463" s="85"/>
    </row>
    <row r="1464" spans="3:31" x14ac:dyDescent="0.3">
      <c r="C1464" s="450"/>
      <c r="D1464" s="182"/>
      <c r="E1464" s="182"/>
      <c r="F1464" s="182"/>
      <c r="G1464" s="450" t="str">
        <f t="shared" ref="G1464:G1527" si="69">C1464&amp;"-"&amp;E1464&amp;"-"&amp;F1464</f>
        <v>--</v>
      </c>
      <c r="H1464" s="182"/>
      <c r="I1464" s="440"/>
      <c r="J1464" s="892"/>
      <c r="K1464" s="259"/>
      <c r="L1464" s="259" t="s">
        <v>46</v>
      </c>
      <c r="M1464" s="893">
        <f>SUM(M1461:M1463)</f>
        <v>1</v>
      </c>
      <c r="N1464" s="894"/>
      <c r="O1464" s="894">
        <f>SUM(O1461:O1463)</f>
        <v>0</v>
      </c>
      <c r="P1464" s="256" t="s">
        <v>173</v>
      </c>
      <c r="Q1464" s="895">
        <v>0</v>
      </c>
      <c r="R1464" s="883"/>
      <c r="S1464" s="883"/>
      <c r="T1464" s="883"/>
      <c r="U1464" s="883"/>
      <c r="V1464" s="114" t="s">
        <v>186</v>
      </c>
      <c r="W1464" s="114"/>
      <c r="X1464" s="884"/>
      <c r="Y1464" s="270"/>
      <c r="Z1464" s="114"/>
      <c r="AA1464" s="114"/>
      <c r="AB1464" s="85"/>
      <c r="AC1464" s="85"/>
      <c r="AD1464" s="85"/>
      <c r="AE1464" s="85"/>
    </row>
    <row r="1465" spans="3:31" x14ac:dyDescent="0.3">
      <c r="C1465" s="450"/>
      <c r="D1465" s="182"/>
      <c r="E1465" s="182"/>
      <c r="F1465" s="182"/>
      <c r="G1465" s="450" t="str">
        <f t="shared" si="69"/>
        <v>--</v>
      </c>
      <c r="H1465" s="182"/>
      <c r="I1465" s="892"/>
      <c r="J1465" s="288"/>
      <c r="K1465" s="182"/>
      <c r="L1465" s="114"/>
      <c r="M1465" s="114"/>
      <c r="N1465" s="905"/>
      <c r="O1465" s="905"/>
      <c r="P1465" s="258" t="s">
        <v>172</v>
      </c>
      <c r="Q1465" s="895">
        <v>0</v>
      </c>
      <c r="R1465" s="883"/>
      <c r="S1465" s="883"/>
      <c r="T1465" s="883"/>
      <c r="U1465" s="883"/>
      <c r="V1465" s="114"/>
      <c r="W1465" s="114"/>
      <c r="X1465" s="884"/>
      <c r="Y1465" s="270"/>
      <c r="Z1465" s="114"/>
      <c r="AA1465" s="114"/>
      <c r="AB1465" s="85"/>
      <c r="AC1465" s="85"/>
      <c r="AD1465" s="85"/>
      <c r="AE1465" s="85"/>
    </row>
    <row r="1466" spans="3:31" x14ac:dyDescent="0.3">
      <c r="C1466" s="450"/>
      <c r="D1466" s="182"/>
      <c r="E1466" s="182"/>
      <c r="F1466" s="182"/>
      <c r="G1466" s="450" t="str">
        <f t="shared" si="69"/>
        <v>--</v>
      </c>
      <c r="H1466" s="182"/>
      <c r="I1466" s="892"/>
      <c r="J1466" s="288"/>
      <c r="K1466" s="182"/>
      <c r="L1466" s="181"/>
      <c r="M1466" s="181"/>
      <c r="N1466" s="892"/>
      <c r="O1466" s="892"/>
      <c r="P1466" s="263" t="s">
        <v>46</v>
      </c>
      <c r="Q1466" s="897">
        <f>SUM(Q1460:Q1465)</f>
        <v>1</v>
      </c>
      <c r="R1466" s="899"/>
      <c r="S1466" s="899"/>
      <c r="T1466" s="899"/>
      <c r="U1466" s="899"/>
      <c r="V1466" s="899"/>
      <c r="W1466" s="899"/>
      <c r="X1466" s="900"/>
      <c r="Y1466" s="270"/>
      <c r="Z1466" s="114"/>
      <c r="AA1466" s="114"/>
      <c r="AB1466" s="85"/>
      <c r="AC1466" s="85"/>
      <c r="AD1466" s="85"/>
      <c r="AE1466" s="85"/>
    </row>
    <row r="1467" spans="3:31" x14ac:dyDescent="0.3">
      <c r="C1467" s="450"/>
      <c r="D1467" s="182"/>
      <c r="E1467" s="182"/>
      <c r="F1467" s="182"/>
      <c r="G1467" s="450" t="str">
        <f t="shared" si="69"/>
        <v>--</v>
      </c>
      <c r="H1467" s="182"/>
      <c r="I1467" s="892"/>
      <c r="J1467" s="288"/>
      <c r="K1467" s="182"/>
      <c r="L1467" s="181"/>
      <c r="M1467" s="181"/>
      <c r="N1467" s="892"/>
      <c r="O1467" s="892"/>
      <c r="P1467" s="262"/>
      <c r="Q1467" s="114"/>
      <c r="R1467" s="114"/>
      <c r="S1467" s="114"/>
      <c r="T1467" s="114"/>
      <c r="U1467" s="114"/>
      <c r="V1467" s="114"/>
      <c r="W1467" s="270"/>
      <c r="X1467" s="270"/>
      <c r="Y1467" s="270"/>
      <c r="Z1467" s="114"/>
      <c r="AA1467" s="114"/>
      <c r="AB1467" s="85"/>
      <c r="AC1467" s="85"/>
      <c r="AD1467" s="85"/>
      <c r="AE1467" s="85"/>
    </row>
    <row r="1468" spans="3:31" ht="15" thickBot="1" x14ac:dyDescent="0.35">
      <c r="C1468" s="450"/>
      <c r="D1468" s="182"/>
      <c r="E1468" s="182"/>
      <c r="F1468" s="182"/>
      <c r="G1468" s="450" t="str">
        <f t="shared" si="69"/>
        <v>--</v>
      </c>
      <c r="H1468" s="182"/>
      <c r="I1468" s="892"/>
      <c r="J1468" s="892"/>
      <c r="K1468" s="182"/>
      <c r="L1468" s="182"/>
      <c r="M1468" s="901" t="s">
        <v>155</v>
      </c>
      <c r="N1468" s="870" t="s">
        <v>188</v>
      </c>
      <c r="O1468" s="870"/>
      <c r="P1468" s="265" t="s">
        <v>33</v>
      </c>
      <c r="Q1468" s="871" t="s">
        <v>155</v>
      </c>
      <c r="R1468" s="872" t="s">
        <v>168</v>
      </c>
      <c r="S1468" s="872" t="s">
        <v>169</v>
      </c>
      <c r="T1468" s="872" t="s">
        <v>170</v>
      </c>
      <c r="U1468" s="872" t="s">
        <v>171</v>
      </c>
      <c r="V1468" s="902"/>
      <c r="W1468" s="902"/>
      <c r="X1468" s="874"/>
      <c r="Y1468" s="270"/>
      <c r="Z1468" s="114"/>
      <c r="AA1468" s="114"/>
      <c r="AB1468" s="85"/>
      <c r="AC1468" s="85"/>
      <c r="AD1468" s="85"/>
      <c r="AE1468" s="85"/>
    </row>
    <row r="1469" spans="3:31" ht="15" thickBot="1" x14ac:dyDescent="0.35">
      <c r="C1469" s="566" t="s">
        <v>421</v>
      </c>
      <c r="D1469" s="875" t="str">
        <f>VLOOKUP(C1469,'Airport Mapping'!$C$5:$D$39,2,FALSE)</f>
        <v xml:space="preserve"> </v>
      </c>
      <c r="E1469" s="567" t="s">
        <v>5</v>
      </c>
      <c r="F1469" s="567" t="s">
        <v>33</v>
      </c>
      <c r="G1469" s="450" t="str">
        <f t="shared" si="69"/>
        <v>Ground Transportation A-Break rooms-Faucets</v>
      </c>
      <c r="H1469" s="567" t="s">
        <v>6</v>
      </c>
      <c r="I1469" s="877" t="s">
        <v>64</v>
      </c>
      <c r="J1469" s="878">
        <f>SUMIFS('Level of Efficiency Assumptions'!J:J,'Level of Efficiency Assumptions'!D:D,E1469,'Level of Efficiency Assumptions'!F:F,F1469,'Level of Efficiency Assumptions'!I:I,I1469)</f>
        <v>2</v>
      </c>
      <c r="K1469" s="383" t="s">
        <v>78</v>
      </c>
      <c r="L1469" s="253" t="s">
        <v>64</v>
      </c>
      <c r="M1469" s="879">
        <f>Q1469+Q1470</f>
        <v>0</v>
      </c>
      <c r="N1469" s="880">
        <f>IFERROR(M1469/M1472,"-")</f>
        <v>0</v>
      </c>
      <c r="O1469" s="881">
        <f>SUMIFS('Data Entry'!R:R,'Data Entry'!K:K,G1469)</f>
        <v>0</v>
      </c>
      <c r="P1469" s="266" t="s">
        <v>180</v>
      </c>
      <c r="Q1469" s="895">
        <v>0</v>
      </c>
      <c r="R1469" s="883"/>
      <c r="S1469" s="883"/>
      <c r="T1469" s="883"/>
      <c r="U1469" s="883"/>
      <c r="V1469" s="114" t="s">
        <v>182</v>
      </c>
      <c r="W1469" s="114"/>
      <c r="X1469" s="884"/>
      <c r="Y1469" s="270"/>
      <c r="Z1469" s="114"/>
      <c r="AA1469" s="114"/>
      <c r="AB1469" s="85"/>
      <c r="AC1469" s="85"/>
      <c r="AD1469" s="85"/>
      <c r="AE1469" s="85"/>
    </row>
    <row r="1470" spans="3:31" ht="15" thickBot="1" x14ac:dyDescent="0.35">
      <c r="C1470" s="494" t="s">
        <v>421</v>
      </c>
      <c r="D1470" s="577"/>
      <c r="E1470" s="577" t="s">
        <v>5</v>
      </c>
      <c r="F1470" s="577" t="s">
        <v>33</v>
      </c>
      <c r="G1470" s="450" t="str">
        <f t="shared" si="69"/>
        <v>Ground Transportation A-Break rooms-Faucets</v>
      </c>
      <c r="H1470" s="577"/>
      <c r="I1470" s="887" t="s">
        <v>65</v>
      </c>
      <c r="J1470" s="878">
        <f>SUMIFS('Level of Efficiency Assumptions'!J:J,'Level of Efficiency Assumptions'!D:D,E1470,'Level of Efficiency Assumptions'!F:F,F1470,'Level of Efficiency Assumptions'!I:I,I1470)</f>
        <v>1</v>
      </c>
      <c r="K1470" s="383" t="s">
        <v>78</v>
      </c>
      <c r="L1470" s="255" t="s">
        <v>65</v>
      </c>
      <c r="M1470" s="879">
        <f>Q1471+Q1472</f>
        <v>1</v>
      </c>
      <c r="N1470" s="880">
        <f>IFERROR(M1470/M1472,"-")</f>
        <v>1</v>
      </c>
      <c r="O1470" s="881">
        <f>SUMIFS('Data Entry'!S:S,'Data Entry'!K:K,G1470)</f>
        <v>0</v>
      </c>
      <c r="P1470" s="266" t="s">
        <v>178</v>
      </c>
      <c r="Q1470" s="895">
        <v>0</v>
      </c>
      <c r="R1470" s="883"/>
      <c r="S1470" s="883"/>
      <c r="T1470" s="883"/>
      <c r="U1470" s="883"/>
      <c r="V1470" s="114" t="s">
        <v>184</v>
      </c>
      <c r="W1470" s="114"/>
      <c r="X1470" s="884"/>
      <c r="Y1470" s="270"/>
      <c r="Z1470" s="114"/>
      <c r="AA1470" s="114"/>
      <c r="AB1470" s="85"/>
      <c r="AC1470" s="85"/>
      <c r="AD1470" s="85"/>
      <c r="AE1470" s="85"/>
    </row>
    <row r="1471" spans="3:31" ht="15" thickBot="1" x14ac:dyDescent="0.35">
      <c r="C1471" s="501" t="s">
        <v>421</v>
      </c>
      <c r="D1471" s="116"/>
      <c r="E1471" s="116" t="s">
        <v>5</v>
      </c>
      <c r="F1471" s="116" t="s">
        <v>33</v>
      </c>
      <c r="G1471" s="450" t="str">
        <f t="shared" si="69"/>
        <v>Ground Transportation A-Break rooms-Faucets</v>
      </c>
      <c r="H1471" s="116"/>
      <c r="I1471" s="889" t="s">
        <v>66</v>
      </c>
      <c r="J1471" s="890">
        <f>SUMIFS('Level of Efficiency Assumptions'!J:J,'Level of Efficiency Assumptions'!D:D,E1471,'Level of Efficiency Assumptions'!F:F,F1471,'Level of Efficiency Assumptions'!I:I,I1471)</f>
        <v>0.5</v>
      </c>
      <c r="K1471" s="383" t="s">
        <v>78</v>
      </c>
      <c r="L1471" s="257" t="s">
        <v>66</v>
      </c>
      <c r="M1471" s="879">
        <f>Q1473</f>
        <v>0</v>
      </c>
      <c r="N1471" s="880">
        <f>IFERROR(M1471/M1472,"-")</f>
        <v>0</v>
      </c>
      <c r="O1471" s="881">
        <f>SUMIFS('Data Entry'!T:T,'Data Entry'!K:K,G1471)</f>
        <v>0</v>
      </c>
      <c r="P1471" s="267" t="s">
        <v>176</v>
      </c>
      <c r="Q1471" s="895">
        <v>1</v>
      </c>
      <c r="R1471" s="883"/>
      <c r="S1471" s="883"/>
      <c r="T1471" s="883"/>
      <c r="U1471" s="883"/>
      <c r="V1471" s="114" t="s">
        <v>185</v>
      </c>
      <c r="W1471" s="114"/>
      <c r="X1471" s="884"/>
      <c r="Y1471" s="270"/>
      <c r="Z1471" s="114"/>
      <c r="AA1471" s="114"/>
      <c r="AB1471" s="85"/>
      <c r="AC1471" s="85"/>
      <c r="AD1471" s="85"/>
      <c r="AE1471" s="85"/>
    </row>
    <row r="1472" spans="3:31" x14ac:dyDescent="0.3">
      <c r="C1472" s="450"/>
      <c r="D1472" s="182"/>
      <c r="E1472" s="182"/>
      <c r="F1472" s="182"/>
      <c r="G1472" s="450" t="str">
        <f t="shared" si="69"/>
        <v>--</v>
      </c>
      <c r="H1472" s="182"/>
      <c r="I1472" s="440"/>
      <c r="J1472" s="892"/>
      <c r="K1472" s="259"/>
      <c r="L1472" s="259" t="s">
        <v>46</v>
      </c>
      <c r="M1472" s="893">
        <f>SUM(M1469:M1471)</f>
        <v>1</v>
      </c>
      <c r="N1472" s="894"/>
      <c r="O1472" s="894">
        <f>SUM(O1469:O1471)</f>
        <v>0</v>
      </c>
      <c r="P1472" s="256" t="s">
        <v>173</v>
      </c>
      <c r="Q1472" s="895">
        <v>0</v>
      </c>
      <c r="R1472" s="883"/>
      <c r="S1472" s="883"/>
      <c r="T1472" s="883"/>
      <c r="U1472" s="883"/>
      <c r="V1472" s="114" t="s">
        <v>186</v>
      </c>
      <c r="W1472" s="114"/>
      <c r="X1472" s="884"/>
      <c r="Y1472" s="270"/>
      <c r="Z1472" s="114"/>
      <c r="AA1472" s="114"/>
      <c r="AB1472" s="85"/>
      <c r="AC1472" s="85"/>
      <c r="AD1472" s="85"/>
      <c r="AE1472" s="85"/>
    </row>
    <row r="1473" spans="3:31" x14ac:dyDescent="0.3">
      <c r="C1473" s="450"/>
      <c r="D1473" s="182"/>
      <c r="E1473" s="182"/>
      <c r="F1473" s="182"/>
      <c r="G1473" s="450" t="str">
        <f t="shared" si="69"/>
        <v>--</v>
      </c>
      <c r="H1473" s="182"/>
      <c r="I1473" s="892"/>
      <c r="J1473" s="288"/>
      <c r="K1473" s="288"/>
      <c r="L1473" s="182"/>
      <c r="M1473" s="270"/>
      <c r="N1473" s="892"/>
      <c r="O1473" s="892"/>
      <c r="P1473" s="258" t="s">
        <v>172</v>
      </c>
      <c r="Q1473" s="895">
        <v>0</v>
      </c>
      <c r="R1473" s="883"/>
      <c r="S1473" s="883"/>
      <c r="T1473" s="883"/>
      <c r="U1473" s="883"/>
      <c r="V1473" s="114"/>
      <c r="W1473" s="114"/>
      <c r="X1473" s="884"/>
      <c r="Y1473" s="270"/>
      <c r="Z1473" s="114"/>
      <c r="AA1473" s="114"/>
      <c r="AB1473" s="85"/>
      <c r="AC1473" s="85"/>
      <c r="AD1473" s="85"/>
      <c r="AE1473" s="85"/>
    </row>
    <row r="1474" spans="3:31" x14ac:dyDescent="0.3">
      <c r="C1474" s="450"/>
      <c r="D1474" s="182"/>
      <c r="E1474" s="182"/>
      <c r="F1474" s="182"/>
      <c r="G1474" s="450" t="str">
        <f t="shared" si="69"/>
        <v>--</v>
      </c>
      <c r="H1474" s="182"/>
      <c r="I1474" s="892"/>
      <c r="J1474" s="288"/>
      <c r="K1474" s="288"/>
      <c r="L1474" s="182"/>
      <c r="M1474" s="270"/>
      <c r="N1474" s="892"/>
      <c r="O1474" s="892"/>
      <c r="P1474" s="263" t="s">
        <v>46</v>
      </c>
      <c r="Q1474" s="897">
        <f>SUM(Q1468:Q1473)</f>
        <v>1</v>
      </c>
      <c r="R1474" s="899"/>
      <c r="S1474" s="899"/>
      <c r="T1474" s="899"/>
      <c r="U1474" s="899"/>
      <c r="V1474" s="899"/>
      <c r="W1474" s="899"/>
      <c r="X1474" s="900"/>
      <c r="Y1474" s="270"/>
      <c r="Z1474" s="114"/>
      <c r="AA1474" s="114"/>
      <c r="AB1474" s="85"/>
      <c r="AC1474" s="85"/>
      <c r="AD1474" s="85"/>
      <c r="AE1474" s="85"/>
    </row>
    <row r="1475" spans="3:31" x14ac:dyDescent="0.3">
      <c r="C1475" s="450"/>
      <c r="D1475" s="182"/>
      <c r="E1475" s="182"/>
      <c r="F1475" s="182"/>
      <c r="G1475" s="450" t="str">
        <f t="shared" si="69"/>
        <v>--</v>
      </c>
      <c r="H1475" s="182"/>
      <c r="I1475" s="892"/>
      <c r="J1475" s="288"/>
      <c r="K1475" s="288"/>
      <c r="L1475" s="182"/>
      <c r="M1475" s="270"/>
      <c r="N1475" s="892"/>
      <c r="O1475" s="892"/>
      <c r="P1475" s="259"/>
      <c r="Q1475" s="114"/>
      <c r="R1475" s="114"/>
      <c r="S1475" s="114"/>
      <c r="T1475" s="114"/>
      <c r="U1475" s="114"/>
      <c r="V1475" s="114"/>
      <c r="W1475" s="270"/>
      <c r="X1475" s="270"/>
      <c r="Y1475" s="270"/>
      <c r="Z1475" s="114"/>
      <c r="AA1475" s="114"/>
      <c r="AB1475" s="85"/>
      <c r="AC1475" s="85"/>
      <c r="AD1475" s="85"/>
      <c r="AE1475" s="85"/>
    </row>
    <row r="1476" spans="3:31" x14ac:dyDescent="0.3">
      <c r="C1476" s="450"/>
      <c r="D1476" s="182"/>
      <c r="E1476" s="182"/>
      <c r="F1476" s="182"/>
      <c r="G1476" s="450" t="str">
        <f t="shared" si="69"/>
        <v>--</v>
      </c>
      <c r="H1476" s="182"/>
      <c r="I1476" s="892"/>
      <c r="J1476" s="288"/>
      <c r="K1476" s="288"/>
      <c r="L1476" s="182"/>
      <c r="M1476" s="270"/>
      <c r="N1476" s="892"/>
      <c r="O1476" s="892"/>
      <c r="P1476" s="276" t="s">
        <v>42</v>
      </c>
      <c r="Q1476" s="902"/>
      <c r="R1476" s="902"/>
      <c r="S1476" s="902"/>
      <c r="T1476" s="271"/>
      <c r="U1476" s="114"/>
      <c r="V1476" s="114"/>
      <c r="W1476" s="270"/>
      <c r="X1476" s="270"/>
      <c r="Y1476" s="270"/>
      <c r="Z1476" s="114"/>
      <c r="AA1476" s="114"/>
      <c r="AB1476" s="85"/>
      <c r="AC1476" s="85"/>
      <c r="AD1476" s="85"/>
      <c r="AE1476" s="85"/>
    </row>
    <row r="1477" spans="3:31" ht="15" thickBot="1" x14ac:dyDescent="0.35">
      <c r="C1477" s="450"/>
      <c r="D1477" s="182"/>
      <c r="E1477" s="182"/>
      <c r="F1477" s="182"/>
      <c r="G1477" s="450" t="str">
        <f t="shared" si="69"/>
        <v>--</v>
      </c>
      <c r="H1477" s="182"/>
      <c r="I1477" s="892"/>
      <c r="J1477" s="892"/>
      <c r="K1477" s="182"/>
      <c r="L1477" s="182"/>
      <c r="M1477" s="901" t="s">
        <v>155</v>
      </c>
      <c r="N1477" s="870" t="s">
        <v>188</v>
      </c>
      <c r="O1477" s="870"/>
      <c r="P1477" s="277" t="s">
        <v>818</v>
      </c>
      <c r="Q1477" s="871" t="s">
        <v>155</v>
      </c>
      <c r="R1477" s="114"/>
      <c r="S1477" s="114"/>
      <c r="T1477" s="271"/>
      <c r="U1477" s="114"/>
      <c r="V1477" s="114"/>
      <c r="W1477" s="270"/>
      <c r="X1477" s="270"/>
      <c r="Y1477" s="270"/>
      <c r="Z1477" s="114"/>
      <c r="AA1477" s="114"/>
      <c r="AB1477" s="85"/>
      <c r="AC1477" s="85"/>
      <c r="AD1477" s="85"/>
      <c r="AE1477" s="85"/>
    </row>
    <row r="1478" spans="3:31" ht="15" thickBot="1" x14ac:dyDescent="0.35">
      <c r="C1478" s="566" t="s">
        <v>421</v>
      </c>
      <c r="D1478" s="875" t="str">
        <f>VLOOKUP(C1478,'Airport Mapping'!$C$5:$D$39,2,FALSE)</f>
        <v xml:space="preserve"> </v>
      </c>
      <c r="E1478" s="567" t="s">
        <v>39</v>
      </c>
      <c r="F1478" s="567" t="s">
        <v>42</v>
      </c>
      <c r="G1478" s="450" t="str">
        <f t="shared" si="69"/>
        <v>Ground Transportation A-Landscaping-Outdoor irrigation</v>
      </c>
      <c r="H1478" s="567" t="s">
        <v>32</v>
      </c>
      <c r="I1478" s="877" t="s">
        <v>64</v>
      </c>
      <c r="J1478" s="878">
        <f>SUMIFS('Level of Efficiency Assumptions'!J:J,'Level of Efficiency Assumptions'!D:D,E1478,'Level of Efficiency Assumptions'!F:F,F1478,'Level of Efficiency Assumptions'!I:I,I1478)</f>
        <v>28.6</v>
      </c>
      <c r="K1478" s="383" t="s">
        <v>816</v>
      </c>
      <c r="L1478" s="253" t="s">
        <v>64</v>
      </c>
      <c r="M1478" s="879">
        <f>SUM(Q1478:Q1479)</f>
        <v>0</v>
      </c>
      <c r="N1478" s="880">
        <f>IFERROR(M1478/M1481,"-")</f>
        <v>0</v>
      </c>
      <c r="O1478" s="881">
        <f>SUMIFS('Data Entry'!R:R,'Data Entry'!K:K,G1478)</f>
        <v>0</v>
      </c>
      <c r="P1478" s="272" t="s">
        <v>237</v>
      </c>
      <c r="Q1478" s="895">
        <v>0</v>
      </c>
      <c r="R1478" s="114"/>
      <c r="S1478" s="114"/>
      <c r="T1478" s="271"/>
      <c r="U1478" s="114"/>
      <c r="V1478" s="114"/>
      <c r="W1478" s="270"/>
      <c r="X1478" s="270"/>
      <c r="Y1478" s="270"/>
      <c r="Z1478" s="114"/>
      <c r="AA1478" s="114"/>
      <c r="AB1478" s="85"/>
      <c r="AC1478" s="85"/>
      <c r="AD1478" s="85"/>
      <c r="AE1478" s="85"/>
    </row>
    <row r="1479" spans="3:31" ht="15" thickBot="1" x14ac:dyDescent="0.35">
      <c r="C1479" s="494" t="s">
        <v>421</v>
      </c>
      <c r="D1479" s="577"/>
      <c r="E1479" s="577" t="s">
        <v>39</v>
      </c>
      <c r="F1479" s="577" t="s">
        <v>42</v>
      </c>
      <c r="G1479" s="450" t="str">
        <f t="shared" si="69"/>
        <v>Ground Transportation A-Landscaping-Outdoor irrigation</v>
      </c>
      <c r="H1479" s="577"/>
      <c r="I1479" s="887" t="s">
        <v>65</v>
      </c>
      <c r="J1479" s="878">
        <f>SUMIFS('Level of Efficiency Assumptions'!J:J,'Level of Efficiency Assumptions'!D:D,E1479,'Level of Efficiency Assumptions'!F:F,F1479,'Level of Efficiency Assumptions'!I:I,I1479)</f>
        <v>13.980821518350929</v>
      </c>
      <c r="K1479" s="383" t="s">
        <v>816</v>
      </c>
      <c r="L1479" s="255" t="s">
        <v>65</v>
      </c>
      <c r="M1479" s="879">
        <f>Q1480+Q1481</f>
        <v>1</v>
      </c>
      <c r="N1479" s="880">
        <f>IFERROR(M1479/M1481,"-")</f>
        <v>1</v>
      </c>
      <c r="O1479" s="881">
        <f>SUMIFS('Data Entry'!S:S,'Data Entry'!K:K,G1479)</f>
        <v>0</v>
      </c>
      <c r="P1479" s="272" t="s">
        <v>232</v>
      </c>
      <c r="Q1479" s="895">
        <v>0</v>
      </c>
      <c r="R1479" s="114"/>
      <c r="S1479" s="114"/>
      <c r="T1479" s="271"/>
      <c r="U1479" s="114"/>
      <c r="V1479" s="114"/>
      <c r="W1479" s="270"/>
      <c r="X1479" s="270"/>
      <c r="Y1479" s="270"/>
      <c r="Z1479" s="114"/>
      <c r="AA1479" s="114"/>
      <c r="AB1479" s="85"/>
      <c r="AC1479" s="85"/>
      <c r="AD1479" s="85"/>
      <c r="AE1479" s="85"/>
    </row>
    <row r="1480" spans="3:31" ht="15" thickBot="1" x14ac:dyDescent="0.35">
      <c r="C1480" s="501" t="s">
        <v>421</v>
      </c>
      <c r="D1480" s="116"/>
      <c r="E1480" s="116" t="s">
        <v>39</v>
      </c>
      <c r="F1480" s="116" t="s">
        <v>42</v>
      </c>
      <c r="G1480" s="450" t="str">
        <f t="shared" si="69"/>
        <v>Ground Transportation A-Landscaping-Outdoor irrigation</v>
      </c>
      <c r="H1480" s="116"/>
      <c r="I1480" s="889" t="s">
        <v>66</v>
      </c>
      <c r="J1480" s="890">
        <f>SUMIFS('Level of Efficiency Assumptions'!J:J,'Level of Efficiency Assumptions'!D:D,E1480,'Level of Efficiency Assumptions'!F:F,F1480,'Level of Efficiency Assumptions'!I:I,I1480)</f>
        <v>0.59137254901960778</v>
      </c>
      <c r="K1480" s="383" t="s">
        <v>816</v>
      </c>
      <c r="L1480" s="257" t="s">
        <v>66</v>
      </c>
      <c r="M1480" s="879">
        <f>Q1482+Q1483</f>
        <v>0</v>
      </c>
      <c r="N1480" s="880">
        <f>IFERROR(M1480/M1481,"-")</f>
        <v>0</v>
      </c>
      <c r="O1480" s="881">
        <f>SUMIFS('Data Entry'!T:T,'Data Entry'!K:K,G1480)</f>
        <v>0</v>
      </c>
      <c r="P1480" s="274" t="s">
        <v>231</v>
      </c>
      <c r="Q1480" s="895">
        <v>1</v>
      </c>
      <c r="R1480" s="114"/>
      <c r="S1480" s="114"/>
      <c r="T1480" s="271"/>
      <c r="U1480" s="114"/>
      <c r="V1480" s="114"/>
      <c r="W1480" s="270"/>
      <c r="X1480" s="270"/>
      <c r="Y1480" s="270"/>
      <c r="Z1480" s="114"/>
      <c r="AA1480" s="114"/>
      <c r="AB1480" s="85"/>
      <c r="AC1480" s="85"/>
      <c r="AD1480" s="85"/>
      <c r="AE1480" s="85"/>
    </row>
    <row r="1481" spans="3:31" x14ac:dyDescent="0.3">
      <c r="C1481" s="450"/>
      <c r="D1481" s="182"/>
      <c r="E1481" s="182"/>
      <c r="F1481" s="182"/>
      <c r="G1481" s="450" t="str">
        <f t="shared" si="69"/>
        <v>--</v>
      </c>
      <c r="H1481" s="182"/>
      <c r="I1481" s="440"/>
      <c r="J1481" s="892"/>
      <c r="K1481" s="259"/>
      <c r="L1481" s="259" t="s">
        <v>46</v>
      </c>
      <c r="M1481" s="893">
        <f>SUM(M1478:M1480)</f>
        <v>1</v>
      </c>
      <c r="N1481" s="894"/>
      <c r="O1481" s="894">
        <f>SUM(O1478:O1480)</f>
        <v>0</v>
      </c>
      <c r="P1481" s="274" t="s">
        <v>230</v>
      </c>
      <c r="Q1481" s="895">
        <v>0</v>
      </c>
      <c r="R1481" s="114"/>
      <c r="S1481" s="114"/>
      <c r="T1481" s="271"/>
      <c r="U1481" s="114"/>
      <c r="V1481" s="114"/>
      <c r="W1481" s="270"/>
      <c r="X1481" s="270"/>
      <c r="Y1481" s="270"/>
      <c r="Z1481" s="114"/>
      <c r="AA1481" s="114"/>
      <c r="AB1481" s="85"/>
      <c r="AC1481" s="85"/>
      <c r="AD1481" s="85"/>
      <c r="AE1481" s="85"/>
    </row>
    <row r="1482" spans="3:31" x14ac:dyDescent="0.3">
      <c r="C1482" s="450"/>
      <c r="D1482" s="182"/>
      <c r="E1482" s="182"/>
      <c r="F1482" s="182"/>
      <c r="G1482" s="450" t="str">
        <f t="shared" si="69"/>
        <v>--</v>
      </c>
      <c r="H1482" s="182"/>
      <c r="I1482" s="892"/>
      <c r="J1482" s="288"/>
      <c r="K1482" s="288"/>
      <c r="L1482" s="182"/>
      <c r="M1482" s="270"/>
      <c r="N1482" s="892"/>
      <c r="O1482" s="892"/>
      <c r="P1482" s="275" t="s">
        <v>229</v>
      </c>
      <c r="Q1482" s="895">
        <v>0</v>
      </c>
      <c r="R1482" s="114"/>
      <c r="S1482" s="114"/>
      <c r="T1482" s="271"/>
      <c r="U1482" s="114"/>
      <c r="V1482" s="114"/>
      <c r="W1482" s="270"/>
      <c r="X1482" s="270"/>
      <c r="Y1482" s="270"/>
      <c r="Z1482" s="114"/>
      <c r="AA1482" s="114"/>
      <c r="AB1482" s="85"/>
      <c r="AC1482" s="85"/>
      <c r="AD1482" s="85"/>
      <c r="AE1482" s="85"/>
    </row>
    <row r="1483" spans="3:31" x14ac:dyDescent="0.3">
      <c r="C1483" s="450"/>
      <c r="D1483" s="182"/>
      <c r="E1483" s="182"/>
      <c r="F1483" s="182"/>
      <c r="G1483" s="450" t="str">
        <f t="shared" si="69"/>
        <v>--</v>
      </c>
      <c r="H1483" s="182"/>
      <c r="I1483" s="892"/>
      <c r="J1483" s="288"/>
      <c r="K1483" s="288"/>
      <c r="L1483" s="182"/>
      <c r="M1483" s="270"/>
      <c r="N1483" s="892"/>
      <c r="O1483" s="892"/>
      <c r="P1483" s="269" t="s">
        <v>225</v>
      </c>
      <c r="Q1483" s="895">
        <v>0</v>
      </c>
      <c r="R1483" s="114"/>
      <c r="S1483" s="114"/>
      <c r="T1483" s="271"/>
      <c r="U1483" s="114"/>
      <c r="V1483" s="114"/>
      <c r="W1483" s="270"/>
      <c r="X1483" s="270"/>
      <c r="Y1483" s="270"/>
      <c r="Z1483" s="114"/>
      <c r="AA1483" s="114"/>
      <c r="AB1483" s="85"/>
      <c r="AC1483" s="85"/>
      <c r="AD1483" s="85"/>
      <c r="AE1483" s="85"/>
    </row>
    <row r="1484" spans="3:31" x14ac:dyDescent="0.3">
      <c r="C1484" s="450"/>
      <c r="D1484" s="182"/>
      <c r="E1484" s="182"/>
      <c r="F1484" s="182"/>
      <c r="G1484" s="450" t="str">
        <f t="shared" si="69"/>
        <v>--</v>
      </c>
      <c r="H1484" s="182"/>
      <c r="I1484" s="892"/>
      <c r="J1484" s="288"/>
      <c r="K1484" s="288"/>
      <c r="L1484" s="182"/>
      <c r="M1484" s="270"/>
      <c r="N1484" s="892"/>
      <c r="O1484" s="892"/>
      <c r="P1484" s="263" t="s">
        <v>46</v>
      </c>
      <c r="Q1484" s="897">
        <f>SUM(Q1478:Q1483)</f>
        <v>1</v>
      </c>
      <c r="R1484" s="899"/>
      <c r="S1484" s="899"/>
      <c r="T1484" s="271"/>
      <c r="U1484" s="114"/>
      <c r="V1484" s="114"/>
      <c r="W1484" s="270"/>
      <c r="X1484" s="270"/>
      <c r="Y1484" s="270"/>
      <c r="Z1484" s="114"/>
      <c r="AA1484" s="114"/>
      <c r="AB1484" s="85"/>
      <c r="AC1484" s="85"/>
      <c r="AD1484" s="85"/>
      <c r="AE1484" s="85"/>
    </row>
    <row r="1485" spans="3:31" x14ac:dyDescent="0.3">
      <c r="C1485" s="450"/>
      <c r="D1485" s="182"/>
      <c r="E1485" s="182"/>
      <c r="F1485" s="182"/>
      <c r="G1485" s="450" t="str">
        <f t="shared" si="69"/>
        <v>--</v>
      </c>
      <c r="H1485" s="182"/>
      <c r="I1485" s="892"/>
      <c r="J1485" s="288"/>
      <c r="K1485" s="288"/>
      <c r="L1485" s="182"/>
      <c r="M1485" s="270"/>
      <c r="N1485" s="892"/>
      <c r="O1485" s="892"/>
      <c r="P1485" s="259"/>
      <c r="Q1485" s="114"/>
      <c r="R1485" s="270"/>
      <c r="S1485" s="270"/>
      <c r="T1485" s="270"/>
      <c r="U1485" s="270"/>
      <c r="V1485" s="270"/>
      <c r="W1485" s="270"/>
      <c r="X1485" s="270"/>
      <c r="Y1485" s="270"/>
      <c r="Z1485" s="114"/>
      <c r="AA1485" s="114"/>
      <c r="AB1485" s="85"/>
      <c r="AC1485" s="85"/>
      <c r="AD1485" s="85"/>
      <c r="AE1485" s="85"/>
    </row>
    <row r="1486" spans="3:31" ht="15" thickBot="1" x14ac:dyDescent="0.35">
      <c r="C1486" s="450"/>
      <c r="D1486" s="182"/>
      <c r="E1486" s="182"/>
      <c r="F1486" s="182"/>
      <c r="G1486" s="450" t="str">
        <f t="shared" si="69"/>
        <v>--</v>
      </c>
      <c r="H1486" s="182"/>
      <c r="I1486" s="892"/>
      <c r="J1486" s="892"/>
      <c r="K1486" s="182"/>
      <c r="L1486" s="182"/>
      <c r="M1486" s="901" t="s">
        <v>155</v>
      </c>
      <c r="N1486" s="870" t="s">
        <v>188</v>
      </c>
      <c r="O1486" s="870"/>
      <c r="P1486" s="276" t="s">
        <v>111</v>
      </c>
      <c r="Q1486" s="871" t="s">
        <v>155</v>
      </c>
      <c r="R1486" s="902"/>
      <c r="S1486" s="874"/>
      <c r="T1486" s="270"/>
      <c r="U1486" s="270"/>
      <c r="V1486" s="270"/>
      <c r="W1486" s="270"/>
      <c r="X1486" s="270"/>
      <c r="Y1486" s="270"/>
      <c r="Z1486" s="114"/>
      <c r="AA1486" s="114"/>
      <c r="AB1486" s="85"/>
      <c r="AC1486" s="85"/>
      <c r="AD1486" s="85"/>
      <c r="AE1486" s="85"/>
    </row>
    <row r="1487" spans="3:31" ht="15" thickBot="1" x14ac:dyDescent="0.35">
      <c r="C1487" s="566" t="s">
        <v>421</v>
      </c>
      <c r="D1487" s="875" t="str">
        <f>VLOOKUP(C1487,'Airport Mapping'!$C$5:$D$39,2,FALSE)</f>
        <v xml:space="preserve"> </v>
      </c>
      <c r="E1487" s="567" t="s">
        <v>43</v>
      </c>
      <c r="F1487" s="567" t="s">
        <v>111</v>
      </c>
      <c r="G1487" s="450" t="str">
        <f t="shared" si="69"/>
        <v>Ground Transportation A-Maintenance-Boiler</v>
      </c>
      <c r="H1487" s="567" t="s">
        <v>424</v>
      </c>
      <c r="I1487" s="877" t="s">
        <v>64</v>
      </c>
      <c r="J1487" s="878">
        <f>SUMIFS('Level of Efficiency Assumptions'!J:J,'Level of Efficiency Assumptions'!D:D,E1487,'Level of Efficiency Assumptions'!F:F,F1487,'Level of Efficiency Assumptions'!I:I,I1487)</f>
        <v>100</v>
      </c>
      <c r="K1487" s="383" t="s">
        <v>585</v>
      </c>
      <c r="L1487" s="253" t="s">
        <v>64</v>
      </c>
      <c r="M1487" s="879">
        <f>SUM(Q1487:Q1488)</f>
        <v>0</v>
      </c>
      <c r="N1487" s="880">
        <f>IFERROR(M1487/M1490,"-")</f>
        <v>0</v>
      </c>
      <c r="O1487" s="881">
        <f>SUMIFS('Data Entry'!R:R,'Data Entry'!K:K,G1487)</f>
        <v>0</v>
      </c>
      <c r="P1487" s="272"/>
      <c r="Q1487" s="895">
        <v>0</v>
      </c>
      <c r="R1487" s="114"/>
      <c r="S1487" s="884"/>
      <c r="T1487" s="270"/>
      <c r="U1487" s="270"/>
      <c r="V1487" s="270"/>
      <c r="W1487" s="270"/>
      <c r="X1487" s="270"/>
      <c r="Y1487" s="270"/>
      <c r="Z1487" s="114"/>
      <c r="AA1487" s="114"/>
      <c r="AB1487" s="85"/>
      <c r="AC1487" s="85"/>
      <c r="AD1487" s="85"/>
      <c r="AE1487" s="85"/>
    </row>
    <row r="1488" spans="3:31" ht="15" thickBot="1" x14ac:dyDescent="0.35">
      <c r="C1488" s="494" t="s">
        <v>421</v>
      </c>
      <c r="D1488" s="577"/>
      <c r="E1488" s="577" t="s">
        <v>43</v>
      </c>
      <c r="F1488" s="577" t="s">
        <v>111</v>
      </c>
      <c r="G1488" s="450" t="str">
        <f t="shared" si="69"/>
        <v>Ground Transportation A-Maintenance-Boiler</v>
      </c>
      <c r="H1488" s="577"/>
      <c r="I1488" s="887" t="s">
        <v>65</v>
      </c>
      <c r="J1488" s="878">
        <f>SUMIFS('Level of Efficiency Assumptions'!J:J,'Level of Efficiency Assumptions'!D:D,E1488,'Level of Efficiency Assumptions'!F:F,F1488,'Level of Efficiency Assumptions'!I:I,I1488)</f>
        <v>75</v>
      </c>
      <c r="K1488" s="383" t="s">
        <v>585</v>
      </c>
      <c r="L1488" s="255" t="s">
        <v>65</v>
      </c>
      <c r="M1488" s="879">
        <f>Q1489+Q1490</f>
        <v>1</v>
      </c>
      <c r="N1488" s="880">
        <f>IFERROR(M1488/M1490,"-")</f>
        <v>1</v>
      </c>
      <c r="O1488" s="881">
        <f>SUMIFS('Data Entry'!S:S,'Data Entry'!K:K,G1488)</f>
        <v>0</v>
      </c>
      <c r="P1488" s="272"/>
      <c r="Q1488" s="895">
        <v>0</v>
      </c>
      <c r="R1488" s="114"/>
      <c r="S1488" s="884"/>
      <c r="T1488" s="270"/>
      <c r="U1488" s="270"/>
      <c r="V1488" s="270"/>
      <c r="W1488" s="270"/>
      <c r="X1488" s="270"/>
      <c r="Y1488" s="270"/>
      <c r="Z1488" s="114"/>
      <c r="AA1488" s="114"/>
      <c r="AB1488" s="85"/>
      <c r="AC1488" s="85"/>
      <c r="AD1488" s="85"/>
      <c r="AE1488" s="85"/>
    </row>
    <row r="1489" spans="3:31" ht="15" thickBot="1" x14ac:dyDescent="0.35">
      <c r="C1489" s="501" t="s">
        <v>421</v>
      </c>
      <c r="D1489" s="116"/>
      <c r="E1489" s="116" t="s">
        <v>43</v>
      </c>
      <c r="F1489" s="116" t="s">
        <v>111</v>
      </c>
      <c r="G1489" s="450" t="str">
        <f t="shared" si="69"/>
        <v>Ground Transportation A-Maintenance-Boiler</v>
      </c>
      <c r="H1489" s="116"/>
      <c r="I1489" s="889" t="s">
        <v>66</v>
      </c>
      <c r="J1489" s="890">
        <f>SUMIFS('Level of Efficiency Assumptions'!J:J,'Level of Efficiency Assumptions'!D:D,E1489,'Level of Efficiency Assumptions'!F:F,F1489,'Level of Efficiency Assumptions'!I:I,I1489)</f>
        <v>50</v>
      </c>
      <c r="K1489" s="383" t="s">
        <v>585</v>
      </c>
      <c r="L1489" s="257" t="s">
        <v>66</v>
      </c>
      <c r="M1489" s="879">
        <f>Q1491+Q1492</f>
        <v>0</v>
      </c>
      <c r="N1489" s="880">
        <f>IFERROR(M1489/M1490,"-")</f>
        <v>0</v>
      </c>
      <c r="O1489" s="881">
        <f>SUMIFS('Data Entry'!T:T,'Data Entry'!K:K,G1489)</f>
        <v>0</v>
      </c>
      <c r="P1489" s="274"/>
      <c r="Q1489" s="895">
        <v>1</v>
      </c>
      <c r="R1489" s="114"/>
      <c r="S1489" s="884"/>
      <c r="T1489" s="270"/>
      <c r="U1489" s="270"/>
      <c r="V1489" s="270"/>
      <c r="W1489" s="270"/>
      <c r="X1489" s="270"/>
      <c r="Y1489" s="270"/>
      <c r="Z1489" s="114"/>
      <c r="AA1489" s="114"/>
      <c r="AB1489" s="85"/>
      <c r="AC1489" s="85"/>
      <c r="AD1489" s="85"/>
      <c r="AE1489" s="85"/>
    </row>
    <row r="1490" spans="3:31" x14ac:dyDescent="0.3">
      <c r="C1490" s="450"/>
      <c r="D1490" s="182"/>
      <c r="E1490" s="182"/>
      <c r="F1490" s="182"/>
      <c r="G1490" s="450" t="str">
        <f t="shared" si="69"/>
        <v>--</v>
      </c>
      <c r="H1490" s="182"/>
      <c r="I1490" s="440"/>
      <c r="J1490" s="892"/>
      <c r="K1490" s="259"/>
      <c r="L1490" s="259" t="s">
        <v>46</v>
      </c>
      <c r="M1490" s="893">
        <f>SUM(M1487:M1489)</f>
        <v>1</v>
      </c>
      <c r="N1490" s="894"/>
      <c r="O1490" s="894">
        <f>SUM(O1487:O1489)</f>
        <v>0</v>
      </c>
      <c r="P1490" s="274"/>
      <c r="Q1490" s="895">
        <v>0</v>
      </c>
      <c r="R1490" s="114"/>
      <c r="S1490" s="884"/>
      <c r="T1490" s="270"/>
      <c r="U1490" s="270"/>
      <c r="V1490" s="270"/>
      <c r="W1490" s="270"/>
      <c r="X1490" s="270"/>
      <c r="Y1490" s="270"/>
      <c r="Z1490" s="114"/>
      <c r="AA1490" s="114"/>
      <c r="AB1490" s="85"/>
      <c r="AC1490" s="85"/>
      <c r="AD1490" s="85"/>
      <c r="AE1490" s="85"/>
    </row>
    <row r="1491" spans="3:31" x14ac:dyDescent="0.3">
      <c r="C1491" s="450"/>
      <c r="D1491" s="182"/>
      <c r="E1491" s="182"/>
      <c r="F1491" s="182"/>
      <c r="G1491" s="450" t="str">
        <f t="shared" si="69"/>
        <v>--</v>
      </c>
      <c r="H1491" s="182"/>
      <c r="I1491" s="892"/>
      <c r="J1491" s="288"/>
      <c r="K1491" s="288"/>
      <c r="L1491" s="182"/>
      <c r="M1491" s="270"/>
      <c r="N1491" s="892"/>
      <c r="O1491" s="892"/>
      <c r="P1491" s="275"/>
      <c r="Q1491" s="895">
        <v>0</v>
      </c>
      <c r="R1491" s="114"/>
      <c r="S1491" s="884"/>
      <c r="T1491" s="270"/>
      <c r="U1491" s="270"/>
      <c r="V1491" s="270"/>
      <c r="W1491" s="270"/>
      <c r="X1491" s="270"/>
      <c r="Y1491" s="270"/>
      <c r="Z1491" s="114"/>
      <c r="AA1491" s="114"/>
      <c r="AB1491" s="85"/>
      <c r="AC1491" s="85"/>
      <c r="AD1491" s="85"/>
      <c r="AE1491" s="85"/>
    </row>
    <row r="1492" spans="3:31" x14ac:dyDescent="0.3">
      <c r="C1492" s="450"/>
      <c r="D1492" s="182"/>
      <c r="E1492" s="182"/>
      <c r="F1492" s="182"/>
      <c r="G1492" s="450" t="str">
        <f t="shared" si="69"/>
        <v>--</v>
      </c>
      <c r="H1492" s="182"/>
      <c r="I1492" s="892"/>
      <c r="J1492" s="288"/>
      <c r="K1492" s="288"/>
      <c r="L1492" s="182"/>
      <c r="M1492" s="270"/>
      <c r="N1492" s="892"/>
      <c r="O1492" s="892"/>
      <c r="P1492" s="269"/>
      <c r="Q1492" s="895">
        <v>0</v>
      </c>
      <c r="R1492" s="114"/>
      <c r="S1492" s="884"/>
      <c r="T1492" s="270"/>
      <c r="U1492" s="270"/>
      <c r="V1492" s="270"/>
      <c r="W1492" s="270"/>
      <c r="X1492" s="270"/>
      <c r="Y1492" s="270"/>
      <c r="Z1492" s="114"/>
      <c r="AA1492" s="114"/>
      <c r="AB1492" s="85"/>
      <c r="AC1492" s="85"/>
      <c r="AD1492" s="85"/>
      <c r="AE1492" s="85"/>
    </row>
    <row r="1493" spans="3:31" x14ac:dyDescent="0.3">
      <c r="C1493" s="450"/>
      <c r="D1493" s="182"/>
      <c r="E1493" s="182"/>
      <c r="F1493" s="182"/>
      <c r="G1493" s="450" t="str">
        <f t="shared" si="69"/>
        <v>--</v>
      </c>
      <c r="H1493" s="182"/>
      <c r="I1493" s="892"/>
      <c r="J1493" s="288"/>
      <c r="K1493" s="288"/>
      <c r="L1493" s="182"/>
      <c r="M1493" s="270"/>
      <c r="N1493" s="892"/>
      <c r="O1493" s="892"/>
      <c r="P1493" s="263" t="s">
        <v>46</v>
      </c>
      <c r="Q1493" s="897">
        <f>SUM(Q1487:Q1492)</f>
        <v>1</v>
      </c>
      <c r="R1493" s="899"/>
      <c r="S1493" s="900"/>
      <c r="T1493" s="270"/>
      <c r="U1493" s="270"/>
      <c r="V1493" s="270"/>
      <c r="W1493" s="270"/>
      <c r="X1493" s="270"/>
      <c r="Y1493" s="270"/>
      <c r="Z1493" s="114"/>
      <c r="AA1493" s="114"/>
      <c r="AB1493" s="85"/>
      <c r="AC1493" s="85"/>
      <c r="AD1493" s="85"/>
      <c r="AE1493" s="85"/>
    </row>
    <row r="1494" spans="3:31" x14ac:dyDescent="0.3">
      <c r="C1494" s="450"/>
      <c r="D1494" s="288"/>
      <c r="E1494" s="288"/>
      <c r="F1494" s="288"/>
      <c r="G1494" s="450" t="str">
        <f t="shared" si="69"/>
        <v>--</v>
      </c>
      <c r="H1494" s="182"/>
      <c r="I1494" s="892"/>
      <c r="J1494" s="288"/>
      <c r="K1494" s="288"/>
      <c r="L1494" s="182"/>
      <c r="M1494" s="270"/>
      <c r="N1494" s="892"/>
      <c r="O1494" s="892"/>
      <c r="P1494" s="259"/>
      <c r="Q1494" s="114"/>
      <c r="R1494" s="270"/>
      <c r="S1494" s="270"/>
      <c r="T1494" s="270"/>
      <c r="U1494" s="270"/>
      <c r="V1494" s="270"/>
      <c r="W1494" s="270"/>
      <c r="X1494" s="270"/>
      <c r="Y1494" s="270"/>
      <c r="Z1494" s="114"/>
      <c r="AA1494" s="114"/>
      <c r="AB1494" s="85"/>
      <c r="AC1494" s="85"/>
      <c r="AD1494" s="85"/>
      <c r="AE1494" s="85"/>
    </row>
    <row r="1495" spans="3:31" ht="15" thickBot="1" x14ac:dyDescent="0.35">
      <c r="C1495" s="450"/>
      <c r="D1495" s="182"/>
      <c r="E1495" s="182"/>
      <c r="F1495" s="182"/>
      <c r="G1495" s="450" t="str">
        <f t="shared" si="69"/>
        <v>--</v>
      </c>
      <c r="H1495" s="182"/>
      <c r="I1495" s="892"/>
      <c r="J1495" s="892"/>
      <c r="K1495" s="182"/>
      <c r="L1495" s="182"/>
      <c r="M1495" s="901" t="s">
        <v>155</v>
      </c>
      <c r="N1495" s="870" t="s">
        <v>188</v>
      </c>
      <c r="O1495" s="870"/>
      <c r="P1495" s="276" t="s">
        <v>9</v>
      </c>
      <c r="Q1495" s="871" t="s">
        <v>155</v>
      </c>
      <c r="R1495" s="902"/>
      <c r="S1495" s="874"/>
      <c r="T1495" s="270"/>
      <c r="U1495" s="270"/>
      <c r="V1495" s="270"/>
      <c r="W1495" s="270"/>
      <c r="X1495" s="270"/>
      <c r="Y1495" s="270"/>
      <c r="Z1495" s="114"/>
      <c r="AA1495" s="114"/>
      <c r="AB1495" s="85"/>
      <c r="AC1495" s="85"/>
      <c r="AD1495" s="85"/>
      <c r="AE1495" s="85"/>
    </row>
    <row r="1496" spans="3:31" ht="15" thickBot="1" x14ac:dyDescent="0.35">
      <c r="C1496" s="566" t="s">
        <v>421</v>
      </c>
      <c r="D1496" s="875" t="str">
        <f>VLOOKUP(C1496,'Airport Mapping'!$C$5:$D$39,2,FALSE)</f>
        <v xml:space="preserve"> </v>
      </c>
      <c r="E1496" s="567" t="s">
        <v>43</v>
      </c>
      <c r="F1496" s="567" t="s">
        <v>9</v>
      </c>
      <c r="G1496" s="450" t="str">
        <f t="shared" si="69"/>
        <v>Ground Transportation A-Maintenance-Vehicle washing</v>
      </c>
      <c r="H1496" s="567" t="s">
        <v>3</v>
      </c>
      <c r="I1496" s="877" t="s">
        <v>64</v>
      </c>
      <c r="J1496" s="878">
        <f>SUMIFS('Level of Efficiency Assumptions'!J:J,'Level of Efficiency Assumptions'!D:D,E1496,'Level of Efficiency Assumptions'!F:F,F1496,'Level of Efficiency Assumptions'!I:I,I1496)</f>
        <v>80</v>
      </c>
      <c r="K1496" s="383" t="s">
        <v>588</v>
      </c>
      <c r="L1496" s="253" t="s">
        <v>64</v>
      </c>
      <c r="M1496" s="879">
        <f>SUM(Q1496:Q1497)</f>
        <v>0</v>
      </c>
      <c r="N1496" s="880">
        <f>IFERROR(M1496/M1499,"-")</f>
        <v>0</v>
      </c>
      <c r="O1496" s="881">
        <f>SUMIFS('Data Entry'!R:R,'Data Entry'!K:K,G1496)</f>
        <v>0</v>
      </c>
      <c r="P1496" s="272"/>
      <c r="Q1496" s="895">
        <v>0</v>
      </c>
      <c r="R1496" s="114"/>
      <c r="S1496" s="884"/>
      <c r="T1496" s="270"/>
      <c r="U1496" s="270"/>
      <c r="V1496" s="270"/>
      <c r="W1496" s="270"/>
      <c r="X1496" s="270"/>
      <c r="Y1496" s="270"/>
      <c r="Z1496" s="114"/>
      <c r="AA1496" s="114"/>
      <c r="AB1496" s="85"/>
      <c r="AC1496" s="85"/>
      <c r="AD1496" s="85"/>
      <c r="AE1496" s="85"/>
    </row>
    <row r="1497" spans="3:31" ht="15" thickBot="1" x14ac:dyDescent="0.35">
      <c r="C1497" s="494" t="s">
        <v>421</v>
      </c>
      <c r="D1497" s="577"/>
      <c r="E1497" s="577" t="s">
        <v>43</v>
      </c>
      <c r="F1497" s="577" t="s">
        <v>9</v>
      </c>
      <c r="G1497" s="450" t="str">
        <f t="shared" si="69"/>
        <v>Ground Transportation A-Maintenance-Vehicle washing</v>
      </c>
      <c r="H1497" s="577"/>
      <c r="I1497" s="887" t="s">
        <v>65</v>
      </c>
      <c r="J1497" s="878">
        <f>SUMIFS('Level of Efficiency Assumptions'!J:J,'Level of Efficiency Assumptions'!D:D,E1497,'Level of Efficiency Assumptions'!F:F,F1497,'Level of Efficiency Assumptions'!I:I,I1497)</f>
        <v>40</v>
      </c>
      <c r="K1497" s="383" t="s">
        <v>588</v>
      </c>
      <c r="L1497" s="255" t="s">
        <v>65</v>
      </c>
      <c r="M1497" s="879">
        <f>Q1498+Q1499</f>
        <v>1</v>
      </c>
      <c r="N1497" s="880">
        <f>IFERROR(M1497/M1499,"-")</f>
        <v>1</v>
      </c>
      <c r="O1497" s="881">
        <f>SUMIFS('Data Entry'!S:S,'Data Entry'!K:K,G1497)</f>
        <v>0</v>
      </c>
      <c r="P1497" s="272"/>
      <c r="Q1497" s="895">
        <v>0</v>
      </c>
      <c r="R1497" s="114"/>
      <c r="S1497" s="884"/>
      <c r="T1497" s="270"/>
      <c r="U1497" s="270"/>
      <c r="V1497" s="270"/>
      <c r="W1497" s="270"/>
      <c r="X1497" s="270"/>
      <c r="Y1497" s="270"/>
      <c r="Z1497" s="114"/>
      <c r="AA1497" s="114"/>
      <c r="AB1497" s="85"/>
      <c r="AC1497" s="85"/>
      <c r="AD1497" s="85"/>
      <c r="AE1497" s="85"/>
    </row>
    <row r="1498" spans="3:31" ht="15" thickBot="1" x14ac:dyDescent="0.35">
      <c r="C1498" s="501" t="s">
        <v>421</v>
      </c>
      <c r="D1498" s="116"/>
      <c r="E1498" s="116" t="s">
        <v>43</v>
      </c>
      <c r="F1498" s="116" t="s">
        <v>9</v>
      </c>
      <c r="G1498" s="450" t="str">
        <f t="shared" si="69"/>
        <v>Ground Transportation A-Maintenance-Vehicle washing</v>
      </c>
      <c r="H1498" s="116"/>
      <c r="I1498" s="889" t="s">
        <v>66</v>
      </c>
      <c r="J1498" s="890">
        <f>SUMIFS('Level of Efficiency Assumptions'!J:J,'Level of Efficiency Assumptions'!D:D,E1498,'Level of Efficiency Assumptions'!F:F,F1498,'Level of Efficiency Assumptions'!I:I,I1498)</f>
        <v>30</v>
      </c>
      <c r="K1498" s="383" t="s">
        <v>588</v>
      </c>
      <c r="L1498" s="257" t="s">
        <v>66</v>
      </c>
      <c r="M1498" s="879">
        <f>Q1500+Q1501</f>
        <v>0</v>
      </c>
      <c r="N1498" s="880">
        <f>IFERROR(M1498/M1499,"-")</f>
        <v>0</v>
      </c>
      <c r="O1498" s="881">
        <f>SUMIFS('Data Entry'!T:T,'Data Entry'!K:K,G1498)</f>
        <v>0</v>
      </c>
      <c r="P1498" s="274"/>
      <c r="Q1498" s="895">
        <v>1</v>
      </c>
      <c r="R1498" s="114"/>
      <c r="S1498" s="884"/>
      <c r="T1498" s="270"/>
      <c r="U1498" s="270"/>
      <c r="V1498" s="270"/>
      <c r="W1498" s="270"/>
      <c r="X1498" s="270"/>
      <c r="Y1498" s="270"/>
      <c r="Z1498" s="114"/>
      <c r="AA1498" s="114"/>
      <c r="AB1498" s="85"/>
      <c r="AC1498" s="85"/>
      <c r="AD1498" s="85"/>
      <c r="AE1498" s="85"/>
    </row>
    <row r="1499" spans="3:31" x14ac:dyDescent="0.3">
      <c r="C1499" s="450"/>
      <c r="D1499" s="182"/>
      <c r="E1499" s="182"/>
      <c r="F1499" s="182"/>
      <c r="G1499" s="450" t="str">
        <f t="shared" si="69"/>
        <v>--</v>
      </c>
      <c r="H1499" s="182"/>
      <c r="I1499" s="440"/>
      <c r="J1499" s="892"/>
      <c r="K1499" s="259"/>
      <c r="L1499" s="259" t="s">
        <v>46</v>
      </c>
      <c r="M1499" s="893">
        <f>SUM(M1496:M1498)</f>
        <v>1</v>
      </c>
      <c r="N1499" s="894"/>
      <c r="O1499" s="894">
        <f>SUM(O1496:O1498)</f>
        <v>0</v>
      </c>
      <c r="P1499" s="274"/>
      <c r="Q1499" s="895">
        <v>0</v>
      </c>
      <c r="R1499" s="114"/>
      <c r="S1499" s="884"/>
      <c r="T1499" s="270"/>
      <c r="U1499" s="270"/>
      <c r="V1499" s="270"/>
      <c r="W1499" s="270"/>
      <c r="X1499" s="270"/>
      <c r="Y1499" s="270"/>
      <c r="Z1499" s="114"/>
      <c r="AA1499" s="114"/>
      <c r="AB1499" s="85"/>
      <c r="AC1499" s="85"/>
      <c r="AD1499" s="85"/>
      <c r="AE1499" s="85"/>
    </row>
    <row r="1500" spans="3:31" x14ac:dyDescent="0.3">
      <c r="C1500" s="450"/>
      <c r="D1500" s="182"/>
      <c r="E1500" s="182"/>
      <c r="F1500" s="182"/>
      <c r="G1500" s="450" t="str">
        <f t="shared" si="69"/>
        <v>--</v>
      </c>
      <c r="H1500" s="182"/>
      <c r="I1500" s="892"/>
      <c r="J1500" s="288"/>
      <c r="K1500" s="288"/>
      <c r="L1500" s="182"/>
      <c r="M1500" s="270"/>
      <c r="N1500" s="892"/>
      <c r="O1500" s="892"/>
      <c r="P1500" s="275"/>
      <c r="Q1500" s="895">
        <v>0</v>
      </c>
      <c r="R1500" s="114"/>
      <c r="S1500" s="884"/>
      <c r="T1500" s="270"/>
      <c r="U1500" s="270"/>
      <c r="V1500" s="270"/>
      <c r="W1500" s="270"/>
      <c r="X1500" s="270"/>
      <c r="Y1500" s="270"/>
      <c r="Z1500" s="114"/>
      <c r="AA1500" s="114"/>
      <c r="AB1500" s="85"/>
      <c r="AC1500" s="85"/>
      <c r="AD1500" s="85"/>
      <c r="AE1500" s="85"/>
    </row>
    <row r="1501" spans="3:31" x14ac:dyDescent="0.3">
      <c r="C1501" s="450"/>
      <c r="D1501" s="182"/>
      <c r="E1501" s="182"/>
      <c r="F1501" s="182"/>
      <c r="G1501" s="450" t="str">
        <f t="shared" si="69"/>
        <v>--</v>
      </c>
      <c r="H1501" s="182"/>
      <c r="I1501" s="892"/>
      <c r="J1501" s="288"/>
      <c r="K1501" s="288"/>
      <c r="L1501" s="182"/>
      <c r="M1501" s="270"/>
      <c r="N1501" s="892"/>
      <c r="O1501" s="892"/>
      <c r="P1501" s="269"/>
      <c r="Q1501" s="895">
        <v>0</v>
      </c>
      <c r="R1501" s="114"/>
      <c r="S1501" s="884"/>
      <c r="T1501" s="270"/>
      <c r="U1501" s="270"/>
      <c r="V1501" s="270"/>
      <c r="W1501" s="270"/>
      <c r="X1501" s="270"/>
      <c r="Y1501" s="270"/>
      <c r="Z1501" s="114"/>
      <c r="AA1501" s="114"/>
      <c r="AB1501" s="85"/>
      <c r="AC1501" s="85"/>
      <c r="AD1501" s="85"/>
      <c r="AE1501" s="85"/>
    </row>
    <row r="1502" spans="3:31" x14ac:dyDescent="0.3">
      <c r="C1502" s="450"/>
      <c r="D1502" s="182"/>
      <c r="E1502" s="182"/>
      <c r="F1502" s="182"/>
      <c r="G1502" s="450" t="str">
        <f t="shared" si="69"/>
        <v>--</v>
      </c>
      <c r="H1502" s="182"/>
      <c r="I1502" s="892"/>
      <c r="J1502" s="288"/>
      <c r="K1502" s="288"/>
      <c r="L1502" s="182"/>
      <c r="M1502" s="270"/>
      <c r="N1502" s="892"/>
      <c r="O1502" s="892"/>
      <c r="P1502" s="263" t="s">
        <v>46</v>
      </c>
      <c r="Q1502" s="897">
        <f>SUM(Q1496:Q1501)</f>
        <v>1</v>
      </c>
      <c r="R1502" s="899"/>
      <c r="S1502" s="900"/>
      <c r="T1502" s="270"/>
      <c r="U1502" s="270"/>
      <c r="V1502" s="270"/>
      <c r="W1502" s="270"/>
      <c r="X1502" s="270"/>
      <c r="Y1502" s="270"/>
      <c r="Z1502" s="114"/>
      <c r="AA1502" s="114"/>
      <c r="AB1502" s="85"/>
      <c r="AC1502" s="85"/>
      <c r="AD1502" s="85"/>
      <c r="AE1502" s="85"/>
    </row>
    <row r="1503" spans="3:31" x14ac:dyDescent="0.3">
      <c r="C1503" s="450"/>
      <c r="D1503" s="182"/>
      <c r="E1503" s="182"/>
      <c r="F1503" s="182"/>
      <c r="G1503" s="450" t="str">
        <f t="shared" si="69"/>
        <v>--</v>
      </c>
      <c r="H1503" s="182"/>
      <c r="I1503" s="892"/>
      <c r="J1503" s="288"/>
      <c r="K1503" s="288"/>
      <c r="L1503" s="182"/>
      <c r="M1503" s="270"/>
      <c r="N1503" s="892"/>
      <c r="O1503" s="892"/>
      <c r="P1503" s="259"/>
      <c r="Q1503" s="114"/>
      <c r="R1503" s="114"/>
      <c r="S1503" s="114"/>
      <c r="T1503" s="270"/>
      <c r="U1503" s="270"/>
      <c r="V1503" s="270"/>
      <c r="W1503" s="270"/>
      <c r="X1503" s="270"/>
      <c r="Y1503" s="270"/>
      <c r="Z1503" s="114"/>
      <c r="AA1503" s="114"/>
      <c r="AB1503" s="85"/>
      <c r="AC1503" s="85"/>
      <c r="AD1503" s="85"/>
      <c r="AE1503" s="85"/>
    </row>
    <row r="1504" spans="3:31" ht="15" thickBot="1" x14ac:dyDescent="0.35">
      <c r="C1504" s="450"/>
      <c r="D1504" s="182"/>
      <c r="E1504" s="182"/>
      <c r="F1504" s="182"/>
      <c r="G1504" s="450" t="str">
        <f t="shared" si="69"/>
        <v>--</v>
      </c>
      <c r="H1504" s="182"/>
      <c r="I1504" s="892"/>
      <c r="J1504" s="892"/>
      <c r="K1504" s="182"/>
      <c r="L1504" s="182"/>
      <c r="M1504" s="901" t="s">
        <v>155</v>
      </c>
      <c r="N1504" s="870" t="s">
        <v>188</v>
      </c>
      <c r="O1504" s="870"/>
      <c r="P1504" s="276" t="s">
        <v>426</v>
      </c>
      <c r="Q1504" s="871" t="s">
        <v>155</v>
      </c>
      <c r="R1504" s="902"/>
      <c r="S1504" s="874"/>
      <c r="T1504" s="270"/>
      <c r="U1504" s="270"/>
      <c r="V1504" s="270"/>
      <c r="W1504" s="270"/>
      <c r="X1504" s="270"/>
      <c r="Y1504" s="270"/>
      <c r="Z1504" s="114"/>
      <c r="AA1504" s="114"/>
      <c r="AB1504" s="85"/>
      <c r="AC1504" s="85"/>
      <c r="AD1504" s="85"/>
      <c r="AE1504" s="85"/>
    </row>
    <row r="1505" spans="3:31" ht="15" thickBot="1" x14ac:dyDescent="0.35">
      <c r="C1505" s="566" t="s">
        <v>421</v>
      </c>
      <c r="D1505" s="875" t="str">
        <f>VLOOKUP(C1505,'Airport Mapping'!$C$5:$D$39,2,FALSE)</f>
        <v xml:space="preserve"> </v>
      </c>
      <c r="E1505" s="567" t="s">
        <v>43</v>
      </c>
      <c r="F1505" s="567" t="s">
        <v>426</v>
      </c>
      <c r="G1505" s="450" t="str">
        <f t="shared" si="69"/>
        <v>Ground Transportation A-Maintenance-Pavement cleaning</v>
      </c>
      <c r="H1505" s="567" t="s">
        <v>3</v>
      </c>
      <c r="I1505" s="877" t="s">
        <v>64</v>
      </c>
      <c r="J1505" s="878">
        <f>SUMIFS('Level of Efficiency Assumptions'!J:J,'Level of Efficiency Assumptions'!D:D,E1505,'Level of Efficiency Assumptions'!F:F,F1505,'Level of Efficiency Assumptions'!I:I,I1505)</f>
        <v>10</v>
      </c>
      <c r="K1505" s="383" t="s">
        <v>588</v>
      </c>
      <c r="L1505" s="253" t="s">
        <v>64</v>
      </c>
      <c r="M1505" s="879">
        <f>SUM(Q1505:Q1506)</f>
        <v>0</v>
      </c>
      <c r="N1505" s="880">
        <f>IFERROR(M1505/M1508,"-")</f>
        <v>0</v>
      </c>
      <c r="O1505" s="881">
        <f>SUMIFS('Data Entry'!R:R,'Data Entry'!K:K,G1505)</f>
        <v>0</v>
      </c>
      <c r="P1505" s="272"/>
      <c r="Q1505" s="895">
        <v>0</v>
      </c>
      <c r="R1505" s="114"/>
      <c r="S1505" s="884"/>
      <c r="T1505" s="270"/>
      <c r="U1505" s="270"/>
      <c r="V1505" s="270"/>
      <c r="W1505" s="270"/>
      <c r="X1505" s="270"/>
      <c r="Y1505" s="270"/>
      <c r="Z1505" s="114"/>
      <c r="AA1505" s="114"/>
      <c r="AB1505" s="85"/>
      <c r="AC1505" s="85"/>
      <c r="AD1505" s="85"/>
      <c r="AE1505" s="85"/>
    </row>
    <row r="1506" spans="3:31" ht="15" thickBot="1" x14ac:dyDescent="0.35">
      <c r="C1506" s="494" t="s">
        <v>421</v>
      </c>
      <c r="D1506" s="577"/>
      <c r="E1506" s="577" t="s">
        <v>43</v>
      </c>
      <c r="F1506" s="577" t="s">
        <v>426</v>
      </c>
      <c r="G1506" s="450" t="str">
        <f t="shared" si="69"/>
        <v>Ground Transportation A-Maintenance-Pavement cleaning</v>
      </c>
      <c r="H1506" s="577"/>
      <c r="I1506" s="887" t="s">
        <v>65</v>
      </c>
      <c r="J1506" s="878">
        <f>SUMIFS('Level of Efficiency Assumptions'!J:J,'Level of Efficiency Assumptions'!D:D,E1506,'Level of Efficiency Assumptions'!F:F,F1506,'Level of Efficiency Assumptions'!I:I,I1506)</f>
        <v>7.5</v>
      </c>
      <c r="K1506" s="383" t="s">
        <v>588</v>
      </c>
      <c r="L1506" s="255" t="s">
        <v>65</v>
      </c>
      <c r="M1506" s="879">
        <f>Q1507+Q1508</f>
        <v>1</v>
      </c>
      <c r="N1506" s="880">
        <f>IFERROR(M1506/M1508,"-")</f>
        <v>1</v>
      </c>
      <c r="O1506" s="881">
        <f>SUMIFS('Data Entry'!S:S,'Data Entry'!K:K,G1506)</f>
        <v>0</v>
      </c>
      <c r="P1506" s="272"/>
      <c r="Q1506" s="895">
        <v>0</v>
      </c>
      <c r="R1506" s="114"/>
      <c r="S1506" s="884"/>
      <c r="T1506" s="270"/>
      <c r="U1506" s="270"/>
      <c r="V1506" s="270"/>
      <c r="W1506" s="270"/>
      <c r="X1506" s="270"/>
      <c r="Y1506" s="270"/>
      <c r="Z1506" s="114"/>
      <c r="AA1506" s="114"/>
      <c r="AB1506" s="85"/>
      <c r="AC1506" s="85"/>
      <c r="AD1506" s="85"/>
      <c r="AE1506" s="85"/>
    </row>
    <row r="1507" spans="3:31" ht="15" thickBot="1" x14ac:dyDescent="0.35">
      <c r="C1507" s="501" t="s">
        <v>421</v>
      </c>
      <c r="D1507" s="116"/>
      <c r="E1507" s="116" t="s">
        <v>43</v>
      </c>
      <c r="F1507" s="116" t="s">
        <v>426</v>
      </c>
      <c r="G1507" s="450" t="str">
        <f t="shared" si="69"/>
        <v>Ground Transportation A-Maintenance-Pavement cleaning</v>
      </c>
      <c r="H1507" s="116"/>
      <c r="I1507" s="889" t="s">
        <v>66</v>
      </c>
      <c r="J1507" s="890">
        <f>SUMIFS('Level of Efficiency Assumptions'!J:J,'Level of Efficiency Assumptions'!D:D,E1507,'Level of Efficiency Assumptions'!F:F,F1507,'Level of Efficiency Assumptions'!I:I,I1507)</f>
        <v>5</v>
      </c>
      <c r="K1507" s="383" t="s">
        <v>588</v>
      </c>
      <c r="L1507" s="257" t="s">
        <v>66</v>
      </c>
      <c r="M1507" s="879">
        <f>Q1509+Q1510</f>
        <v>0</v>
      </c>
      <c r="N1507" s="880">
        <f>IFERROR(M1507/M1508,"-")</f>
        <v>0</v>
      </c>
      <c r="O1507" s="881">
        <f>SUMIFS('Data Entry'!T:T,'Data Entry'!K:K,G1507)</f>
        <v>0</v>
      </c>
      <c r="P1507" s="274"/>
      <c r="Q1507" s="895">
        <v>1</v>
      </c>
      <c r="R1507" s="114"/>
      <c r="S1507" s="884"/>
      <c r="T1507" s="270"/>
      <c r="U1507" s="270"/>
      <c r="V1507" s="270"/>
      <c r="W1507" s="270"/>
      <c r="X1507" s="270"/>
      <c r="Y1507" s="270"/>
      <c r="Z1507" s="114"/>
      <c r="AA1507" s="114"/>
      <c r="AB1507" s="85"/>
      <c r="AC1507" s="85"/>
      <c r="AD1507" s="85"/>
      <c r="AE1507" s="85"/>
    </row>
    <row r="1508" spans="3:31" x14ac:dyDescent="0.3">
      <c r="C1508" s="450"/>
      <c r="D1508" s="182"/>
      <c r="E1508" s="182"/>
      <c r="F1508" s="182"/>
      <c r="G1508" s="450" t="str">
        <f t="shared" si="69"/>
        <v>--</v>
      </c>
      <c r="H1508" s="182"/>
      <c r="I1508" s="440"/>
      <c r="J1508" s="892"/>
      <c r="K1508" s="259"/>
      <c r="L1508" s="259" t="s">
        <v>46</v>
      </c>
      <c r="M1508" s="893">
        <f>SUM(M1505:M1507)</f>
        <v>1</v>
      </c>
      <c r="N1508" s="894"/>
      <c r="O1508" s="894">
        <f>SUM(O1505:O1507)</f>
        <v>0</v>
      </c>
      <c r="P1508" s="274"/>
      <c r="Q1508" s="895">
        <v>0</v>
      </c>
      <c r="R1508" s="114"/>
      <c r="S1508" s="884"/>
      <c r="T1508" s="270"/>
      <c r="U1508" s="270"/>
      <c r="V1508" s="270"/>
      <c r="W1508" s="270"/>
      <c r="X1508" s="270"/>
      <c r="Y1508" s="270"/>
      <c r="Z1508" s="114"/>
      <c r="AA1508" s="114"/>
      <c r="AB1508" s="85"/>
      <c r="AC1508" s="85"/>
      <c r="AD1508" s="85"/>
      <c r="AE1508" s="85"/>
    </row>
    <row r="1509" spans="3:31" x14ac:dyDescent="0.3">
      <c r="C1509" s="450"/>
      <c r="D1509" s="182"/>
      <c r="E1509" s="182"/>
      <c r="F1509" s="182"/>
      <c r="G1509" s="450" t="str">
        <f t="shared" si="69"/>
        <v>--</v>
      </c>
      <c r="H1509" s="182"/>
      <c r="I1509" s="892"/>
      <c r="J1509" s="288"/>
      <c r="K1509" s="288"/>
      <c r="L1509" s="182"/>
      <c r="M1509" s="270"/>
      <c r="N1509" s="892"/>
      <c r="O1509" s="892"/>
      <c r="P1509" s="275"/>
      <c r="Q1509" s="895">
        <v>0</v>
      </c>
      <c r="R1509" s="114"/>
      <c r="S1509" s="884"/>
      <c r="T1509" s="270"/>
      <c r="U1509" s="270"/>
      <c r="V1509" s="270"/>
      <c r="W1509" s="270"/>
      <c r="X1509" s="270"/>
      <c r="Y1509" s="270"/>
      <c r="Z1509" s="114"/>
      <c r="AA1509" s="114"/>
      <c r="AB1509" s="85"/>
      <c r="AC1509" s="85"/>
      <c r="AD1509" s="85"/>
      <c r="AE1509" s="85"/>
    </row>
    <row r="1510" spans="3:31" x14ac:dyDescent="0.3">
      <c r="C1510" s="450"/>
      <c r="D1510" s="182"/>
      <c r="E1510" s="182"/>
      <c r="F1510" s="182"/>
      <c r="G1510" s="450" t="str">
        <f t="shared" si="69"/>
        <v>--</v>
      </c>
      <c r="H1510" s="182"/>
      <c r="I1510" s="892"/>
      <c r="J1510" s="288"/>
      <c r="K1510" s="288"/>
      <c r="L1510" s="182"/>
      <c r="M1510" s="270"/>
      <c r="N1510" s="892"/>
      <c r="O1510" s="892"/>
      <c r="P1510" s="269"/>
      <c r="Q1510" s="895">
        <v>0</v>
      </c>
      <c r="R1510" s="114"/>
      <c r="S1510" s="884"/>
      <c r="T1510" s="270"/>
      <c r="U1510" s="114"/>
      <c r="V1510" s="114"/>
      <c r="W1510" s="114"/>
      <c r="X1510" s="114"/>
      <c r="Y1510" s="114"/>
      <c r="Z1510" s="114"/>
      <c r="AA1510" s="114"/>
      <c r="AB1510" s="85"/>
      <c r="AC1510" s="85"/>
      <c r="AD1510" s="85"/>
      <c r="AE1510" s="85"/>
    </row>
    <row r="1511" spans="3:31" x14ac:dyDescent="0.3">
      <c r="C1511" s="450"/>
      <c r="D1511" s="182"/>
      <c r="E1511" s="182"/>
      <c r="F1511" s="182"/>
      <c r="G1511" s="450" t="str">
        <f t="shared" si="69"/>
        <v>--</v>
      </c>
      <c r="H1511" s="182"/>
      <c r="I1511" s="892"/>
      <c r="J1511" s="288"/>
      <c r="K1511" s="288"/>
      <c r="L1511" s="182"/>
      <c r="M1511" s="270"/>
      <c r="N1511" s="892"/>
      <c r="O1511" s="892"/>
      <c r="P1511" s="263" t="s">
        <v>46</v>
      </c>
      <c r="Q1511" s="897">
        <f>SUM(Q1505:Q1510)</f>
        <v>1</v>
      </c>
      <c r="R1511" s="899"/>
      <c r="S1511" s="900"/>
      <c r="T1511" s="270"/>
      <c r="U1511" s="114"/>
      <c r="V1511" s="114"/>
      <c r="W1511" s="114"/>
      <c r="X1511" s="114"/>
      <c r="Y1511" s="114"/>
      <c r="Z1511" s="114"/>
      <c r="AA1511" s="114"/>
      <c r="AB1511" s="85"/>
      <c r="AC1511" s="85"/>
      <c r="AD1511" s="85"/>
      <c r="AE1511" s="85"/>
    </row>
    <row r="1512" spans="3:31" x14ac:dyDescent="0.3">
      <c r="C1512" s="450"/>
      <c r="D1512" s="182"/>
      <c r="E1512" s="182"/>
      <c r="F1512" s="182"/>
      <c r="G1512" s="450" t="str">
        <f t="shared" si="69"/>
        <v>--</v>
      </c>
      <c r="H1512" s="182"/>
      <c r="I1512" s="892"/>
      <c r="J1512" s="288"/>
      <c r="K1512" s="288"/>
      <c r="L1512" s="270"/>
      <c r="M1512" s="270"/>
      <c r="N1512" s="923"/>
      <c r="O1512" s="923"/>
      <c r="P1512" s="270"/>
      <c r="Q1512" s="270"/>
      <c r="R1512" s="270"/>
      <c r="S1512" s="270"/>
      <c r="T1512" s="270"/>
      <c r="U1512" s="114"/>
      <c r="V1512" s="114"/>
      <c r="W1512" s="114"/>
      <c r="X1512" s="114"/>
      <c r="Y1512" s="114"/>
      <c r="Z1512" s="114"/>
      <c r="AA1512" s="114"/>
      <c r="AB1512" s="85"/>
      <c r="AC1512" s="85"/>
      <c r="AD1512" s="85"/>
      <c r="AE1512" s="85"/>
    </row>
    <row r="1513" spans="3:31" ht="15" thickBot="1" x14ac:dyDescent="0.35">
      <c r="C1513" s="450"/>
      <c r="D1513" s="182"/>
      <c r="E1513" s="182"/>
      <c r="F1513" s="182"/>
      <c r="G1513" s="450" t="str">
        <f t="shared" si="69"/>
        <v>--</v>
      </c>
      <c r="H1513" s="182"/>
      <c r="I1513" s="892"/>
      <c r="J1513" s="892"/>
      <c r="K1513" s="182"/>
      <c r="L1513" s="182"/>
      <c r="M1513" s="901" t="s">
        <v>155</v>
      </c>
      <c r="N1513" s="870" t="s">
        <v>188</v>
      </c>
      <c r="O1513" s="870"/>
      <c r="P1513" s="276" t="s">
        <v>52</v>
      </c>
      <c r="Q1513" s="871" t="s">
        <v>155</v>
      </c>
      <c r="R1513" s="902"/>
      <c r="S1513" s="874"/>
      <c r="T1513" s="270"/>
      <c r="U1513" s="114"/>
      <c r="V1513" s="114"/>
      <c r="W1513" s="114"/>
      <c r="X1513" s="114"/>
      <c r="Y1513" s="114"/>
      <c r="Z1513" s="114"/>
      <c r="AA1513" s="114"/>
      <c r="AB1513" s="85"/>
      <c r="AC1513" s="85"/>
      <c r="AD1513" s="85"/>
      <c r="AE1513" s="85"/>
    </row>
    <row r="1514" spans="3:31" ht="15" thickBot="1" x14ac:dyDescent="0.35">
      <c r="C1514" s="566" t="s">
        <v>421</v>
      </c>
      <c r="D1514" s="875" t="str">
        <f>VLOOKUP(C1514,'Airport Mapping'!$C$5:$D$39,2,FALSE)</f>
        <v xml:space="preserve"> </v>
      </c>
      <c r="E1514" s="567" t="s">
        <v>8</v>
      </c>
      <c r="F1514" s="567" t="s">
        <v>52</v>
      </c>
      <c r="G1514" s="450" t="str">
        <f t="shared" si="69"/>
        <v>Ground Transportation A-Other-Other 1</v>
      </c>
      <c r="H1514" s="567" t="s">
        <v>362</v>
      </c>
      <c r="I1514" s="877" t="s">
        <v>64</v>
      </c>
      <c r="J1514" s="878">
        <f>SUMIFS('Level of Efficiency Assumptions'!J:J,'Level of Efficiency Assumptions'!D:D,E1514,'Level of Efficiency Assumptions'!F:F,F1514,'Level of Efficiency Assumptions'!I:I,I1514)</f>
        <v>10</v>
      </c>
      <c r="K1514" s="383" t="s">
        <v>588</v>
      </c>
      <c r="L1514" s="253" t="s">
        <v>64</v>
      </c>
      <c r="M1514" s="879">
        <f>SUM(Q1514:Q1514)</f>
        <v>0</v>
      </c>
      <c r="N1514" s="880">
        <f>IFERROR(M1514/M1517,"-")</f>
        <v>0</v>
      </c>
      <c r="O1514" s="881">
        <f>SUMIFS('Data Entry'!R:R,'Data Entry'!K:K,G1514)</f>
        <v>0</v>
      </c>
      <c r="P1514" s="272" t="s">
        <v>129</v>
      </c>
      <c r="Q1514" s="895">
        <v>0</v>
      </c>
      <c r="R1514" s="114"/>
      <c r="S1514" s="884"/>
      <c r="T1514" s="270"/>
      <c r="U1514" s="114"/>
      <c r="V1514" s="114"/>
      <c r="W1514" s="114"/>
      <c r="X1514" s="114"/>
      <c r="Y1514" s="114"/>
      <c r="Z1514" s="114"/>
      <c r="AA1514" s="114"/>
      <c r="AB1514" s="85"/>
      <c r="AC1514" s="85"/>
      <c r="AD1514" s="85"/>
      <c r="AE1514" s="85"/>
    </row>
    <row r="1515" spans="3:31" ht="15" thickBot="1" x14ac:dyDescent="0.35">
      <c r="C1515" s="494" t="s">
        <v>421</v>
      </c>
      <c r="D1515" s="577"/>
      <c r="E1515" s="577" t="s">
        <v>8</v>
      </c>
      <c r="F1515" s="577" t="s">
        <v>52</v>
      </c>
      <c r="G1515" s="450" t="str">
        <f t="shared" si="69"/>
        <v>Ground Transportation A-Other-Other 1</v>
      </c>
      <c r="H1515" s="577"/>
      <c r="I1515" s="887" t="s">
        <v>65</v>
      </c>
      <c r="J1515" s="878">
        <f>SUMIFS('Level of Efficiency Assumptions'!J:J,'Level of Efficiency Assumptions'!D:D,E1515,'Level of Efficiency Assumptions'!F:F,F1515,'Level of Efficiency Assumptions'!I:I,I1515)</f>
        <v>7.5</v>
      </c>
      <c r="K1515" s="383" t="s">
        <v>588</v>
      </c>
      <c r="L1515" s="255" t="s">
        <v>65</v>
      </c>
      <c r="M1515" s="879">
        <f t="shared" ref="M1515:M1516" si="70">SUM(Q1515:Q1515)</f>
        <v>1</v>
      </c>
      <c r="N1515" s="880">
        <f>IFERROR(M1515/M1517,"-")</f>
        <v>1</v>
      </c>
      <c r="O1515" s="881">
        <f>SUMIFS('Data Entry'!S:S,'Data Entry'!K:K,G1515)</f>
        <v>0</v>
      </c>
      <c r="P1515" s="274" t="s">
        <v>233</v>
      </c>
      <c r="Q1515" s="895">
        <v>1</v>
      </c>
      <c r="R1515" s="114"/>
      <c r="S1515" s="884"/>
      <c r="T1515" s="270"/>
      <c r="U1515" s="114"/>
      <c r="V1515" s="114"/>
      <c r="W1515" s="114"/>
      <c r="X1515" s="114"/>
      <c r="Y1515" s="114"/>
      <c r="Z1515" s="114"/>
      <c r="AA1515" s="114"/>
      <c r="AB1515" s="85"/>
      <c r="AC1515" s="85"/>
      <c r="AD1515" s="85"/>
      <c r="AE1515" s="85"/>
    </row>
    <row r="1516" spans="3:31" ht="15" thickBot="1" x14ac:dyDescent="0.35">
      <c r="C1516" s="501" t="s">
        <v>421</v>
      </c>
      <c r="D1516" s="116"/>
      <c r="E1516" s="116" t="s">
        <v>8</v>
      </c>
      <c r="F1516" s="116" t="s">
        <v>52</v>
      </c>
      <c r="G1516" s="450" t="str">
        <f t="shared" si="69"/>
        <v>Ground Transportation A-Other-Other 1</v>
      </c>
      <c r="H1516" s="116"/>
      <c r="I1516" s="889" t="s">
        <v>66</v>
      </c>
      <c r="J1516" s="890">
        <f>SUMIFS('Level of Efficiency Assumptions'!J:J,'Level of Efficiency Assumptions'!D:D,E1516,'Level of Efficiency Assumptions'!F:F,F1516,'Level of Efficiency Assumptions'!I:I,I1516)</f>
        <v>5</v>
      </c>
      <c r="K1516" s="383" t="s">
        <v>588</v>
      </c>
      <c r="L1516" s="257" t="s">
        <v>66</v>
      </c>
      <c r="M1516" s="879">
        <f t="shared" si="70"/>
        <v>0</v>
      </c>
      <c r="N1516" s="880">
        <f>IFERROR(M1516/M1517,"-")</f>
        <v>0</v>
      </c>
      <c r="O1516" s="881">
        <f>SUMIFS('Data Entry'!T:T,'Data Entry'!K:K,G1516)</f>
        <v>0</v>
      </c>
      <c r="P1516" s="269" t="s">
        <v>234</v>
      </c>
      <c r="Q1516" s="895">
        <v>0</v>
      </c>
      <c r="R1516" s="114"/>
      <c r="S1516" s="884"/>
      <c r="T1516" s="270"/>
      <c r="U1516" s="114"/>
      <c r="V1516" s="114"/>
      <c r="W1516" s="114"/>
      <c r="X1516" s="114"/>
      <c r="Y1516" s="114"/>
      <c r="Z1516" s="114"/>
      <c r="AA1516" s="114"/>
      <c r="AB1516" s="85"/>
      <c r="AC1516" s="85"/>
      <c r="AD1516" s="85"/>
      <c r="AE1516" s="85"/>
    </row>
    <row r="1517" spans="3:31" x14ac:dyDescent="0.3">
      <c r="C1517" s="450"/>
      <c r="D1517" s="182"/>
      <c r="E1517" s="182"/>
      <c r="F1517" s="182"/>
      <c r="G1517" s="450" t="str">
        <f t="shared" si="69"/>
        <v>--</v>
      </c>
      <c r="H1517" s="182"/>
      <c r="I1517" s="440"/>
      <c r="J1517" s="892"/>
      <c r="K1517" s="259"/>
      <c r="L1517" s="259" t="s">
        <v>46</v>
      </c>
      <c r="M1517" s="893">
        <f>SUM(M1514:M1516)</f>
        <v>1</v>
      </c>
      <c r="N1517" s="894"/>
      <c r="O1517" s="894">
        <f>SUM(O1514:O1516)</f>
        <v>0</v>
      </c>
      <c r="P1517" s="263" t="s">
        <v>46</v>
      </c>
      <c r="Q1517" s="897">
        <f>SUM(Q1514:Q1516)</f>
        <v>1</v>
      </c>
      <c r="R1517" s="899"/>
      <c r="S1517" s="900"/>
      <c r="T1517" s="270"/>
      <c r="U1517" s="114"/>
      <c r="V1517" s="114"/>
      <c r="W1517" s="114"/>
      <c r="X1517" s="114"/>
      <c r="Y1517" s="114"/>
      <c r="Z1517" s="114"/>
      <c r="AA1517" s="114"/>
      <c r="AB1517" s="85"/>
      <c r="AC1517" s="85"/>
      <c r="AD1517" s="85"/>
      <c r="AE1517" s="85"/>
    </row>
    <row r="1518" spans="3:31" s="45" customFormat="1" x14ac:dyDescent="0.3">
      <c r="C1518" s="450"/>
      <c r="D1518" s="182"/>
      <c r="E1518" s="182"/>
      <c r="F1518" s="182"/>
      <c r="G1518" s="450" t="str">
        <f t="shared" si="69"/>
        <v>--</v>
      </c>
      <c r="H1518" s="182"/>
      <c r="I1518" s="892"/>
      <c r="J1518" s="288"/>
      <c r="K1518" s="182"/>
      <c r="L1518" s="182"/>
      <c r="M1518" s="270"/>
      <c r="N1518" s="892"/>
      <c r="O1518" s="892"/>
      <c r="P1518" s="270"/>
      <c r="Q1518" s="270"/>
      <c r="R1518" s="270"/>
      <c r="S1518" s="270"/>
      <c r="T1518" s="270"/>
      <c r="U1518" s="114"/>
      <c r="V1518" s="114"/>
      <c r="W1518" s="114"/>
      <c r="X1518" s="114"/>
      <c r="Y1518" s="114"/>
      <c r="Z1518" s="114"/>
      <c r="AA1518" s="114"/>
      <c r="AB1518" s="85"/>
      <c r="AC1518" s="85"/>
      <c r="AD1518" s="85"/>
      <c r="AE1518" s="85"/>
    </row>
    <row r="1519" spans="3:31" s="45" customFormat="1" ht="15" thickBot="1" x14ac:dyDescent="0.35">
      <c r="C1519" s="450"/>
      <c r="D1519" s="182"/>
      <c r="E1519" s="182"/>
      <c r="F1519" s="182"/>
      <c r="G1519" s="450" t="str">
        <f t="shared" si="69"/>
        <v>--</v>
      </c>
      <c r="H1519" s="182"/>
      <c r="I1519" s="892"/>
      <c r="J1519" s="892"/>
      <c r="K1519" s="182"/>
      <c r="L1519" s="182"/>
      <c r="M1519" s="901" t="s">
        <v>155</v>
      </c>
      <c r="N1519" s="870" t="s">
        <v>188</v>
      </c>
      <c r="O1519" s="870"/>
      <c r="P1519" s="276" t="s">
        <v>53</v>
      </c>
      <c r="Q1519" s="871" t="s">
        <v>155</v>
      </c>
      <c r="R1519" s="902"/>
      <c r="S1519" s="874"/>
      <c r="T1519" s="270"/>
      <c r="U1519" s="114"/>
      <c r="V1519" s="114"/>
      <c r="W1519" s="114"/>
      <c r="X1519" s="114"/>
      <c r="Y1519" s="114"/>
      <c r="Z1519" s="114"/>
      <c r="AA1519" s="114"/>
      <c r="AB1519" s="85"/>
      <c r="AC1519" s="85"/>
      <c r="AD1519" s="85"/>
      <c r="AE1519" s="85"/>
    </row>
    <row r="1520" spans="3:31" s="45" customFormat="1" ht="15" thickBot="1" x14ac:dyDescent="0.35">
      <c r="C1520" s="566" t="s">
        <v>421</v>
      </c>
      <c r="D1520" s="875" t="str">
        <f>VLOOKUP(C1520,'Airport Mapping'!$C$5:$D$39,2,FALSE)</f>
        <v xml:space="preserve"> </v>
      </c>
      <c r="E1520" s="567" t="s">
        <v>8</v>
      </c>
      <c r="F1520" s="567" t="s">
        <v>53</v>
      </c>
      <c r="G1520" s="450" t="str">
        <f t="shared" si="69"/>
        <v>Ground Transportation A-Other-Other 2</v>
      </c>
      <c r="H1520" s="567" t="s">
        <v>363</v>
      </c>
      <c r="I1520" s="877" t="s">
        <v>64</v>
      </c>
      <c r="J1520" s="878">
        <f>SUMIFS('Level of Efficiency Assumptions'!J:J,'Level of Efficiency Assumptions'!D:D,E1520,'Level of Efficiency Assumptions'!F:F,F1520,'Level of Efficiency Assumptions'!I:I,I1520)</f>
        <v>10</v>
      </c>
      <c r="K1520" s="383" t="s">
        <v>588</v>
      </c>
      <c r="L1520" s="253" t="s">
        <v>64</v>
      </c>
      <c r="M1520" s="879">
        <f>SUM(Q1520:Q1520)</f>
        <v>0</v>
      </c>
      <c r="N1520" s="880">
        <f>IFERROR(M1520/M1523,"-")</f>
        <v>0</v>
      </c>
      <c r="O1520" s="881">
        <f>SUMIFS('Data Entry'!R:R,'Data Entry'!K:K,G1520)</f>
        <v>0</v>
      </c>
      <c r="P1520" s="272" t="s">
        <v>129</v>
      </c>
      <c r="Q1520" s="895">
        <v>0</v>
      </c>
      <c r="R1520" s="114"/>
      <c r="S1520" s="884"/>
      <c r="T1520" s="270"/>
      <c r="U1520" s="114"/>
      <c r="V1520" s="114"/>
      <c r="W1520" s="114"/>
      <c r="X1520" s="114"/>
      <c r="Y1520" s="114"/>
      <c r="Z1520" s="114"/>
      <c r="AA1520" s="114"/>
      <c r="AB1520" s="85"/>
      <c r="AC1520" s="85"/>
      <c r="AD1520" s="85"/>
      <c r="AE1520" s="85"/>
    </row>
    <row r="1521" spans="3:31" s="45" customFormat="1" ht="15" thickBot="1" x14ac:dyDescent="0.35">
      <c r="C1521" s="494" t="s">
        <v>421</v>
      </c>
      <c r="D1521" s="577"/>
      <c r="E1521" s="577" t="s">
        <v>8</v>
      </c>
      <c r="F1521" s="577" t="s">
        <v>53</v>
      </c>
      <c r="G1521" s="450" t="str">
        <f t="shared" si="69"/>
        <v>Ground Transportation A-Other-Other 2</v>
      </c>
      <c r="H1521" s="577"/>
      <c r="I1521" s="887" t="s">
        <v>65</v>
      </c>
      <c r="J1521" s="878">
        <f>SUMIFS('Level of Efficiency Assumptions'!J:J,'Level of Efficiency Assumptions'!D:D,E1521,'Level of Efficiency Assumptions'!F:F,F1521,'Level of Efficiency Assumptions'!I:I,I1521)</f>
        <v>7.5</v>
      </c>
      <c r="K1521" s="383" t="s">
        <v>588</v>
      </c>
      <c r="L1521" s="255" t="s">
        <v>65</v>
      </c>
      <c r="M1521" s="879">
        <f t="shared" ref="M1521:M1522" si="71">SUM(Q1521:Q1521)</f>
        <v>1</v>
      </c>
      <c r="N1521" s="880">
        <f>IFERROR(M1521/M1523,"-")</f>
        <v>1</v>
      </c>
      <c r="O1521" s="881">
        <f>SUMIFS('Data Entry'!S:S,'Data Entry'!K:K,G1521)</f>
        <v>0</v>
      </c>
      <c r="P1521" s="274" t="s">
        <v>233</v>
      </c>
      <c r="Q1521" s="895">
        <v>1</v>
      </c>
      <c r="R1521" s="114"/>
      <c r="S1521" s="884"/>
      <c r="T1521" s="270"/>
      <c r="U1521" s="114"/>
      <c r="V1521" s="114"/>
      <c r="W1521" s="114"/>
      <c r="X1521" s="114"/>
      <c r="Y1521" s="114"/>
      <c r="Z1521" s="114"/>
      <c r="AA1521" s="114"/>
      <c r="AB1521" s="85"/>
      <c r="AC1521" s="85"/>
      <c r="AD1521" s="85"/>
      <c r="AE1521" s="85"/>
    </row>
    <row r="1522" spans="3:31" ht="15" thickBot="1" x14ac:dyDescent="0.35">
      <c r="C1522" s="501" t="s">
        <v>421</v>
      </c>
      <c r="D1522" s="116"/>
      <c r="E1522" s="116" t="s">
        <v>8</v>
      </c>
      <c r="F1522" s="116" t="s">
        <v>53</v>
      </c>
      <c r="G1522" s="450" t="str">
        <f t="shared" si="69"/>
        <v>Ground Transportation A-Other-Other 2</v>
      </c>
      <c r="H1522" s="116"/>
      <c r="I1522" s="889" t="s">
        <v>66</v>
      </c>
      <c r="J1522" s="890">
        <f>SUMIFS('Level of Efficiency Assumptions'!J:J,'Level of Efficiency Assumptions'!D:D,E1522,'Level of Efficiency Assumptions'!F:F,F1522,'Level of Efficiency Assumptions'!I:I,I1522)</f>
        <v>5</v>
      </c>
      <c r="K1522" s="383" t="s">
        <v>588</v>
      </c>
      <c r="L1522" s="257" t="s">
        <v>66</v>
      </c>
      <c r="M1522" s="879">
        <f t="shared" si="71"/>
        <v>0</v>
      </c>
      <c r="N1522" s="880">
        <f>IFERROR(M1522/M1523,"-")</f>
        <v>0</v>
      </c>
      <c r="O1522" s="881">
        <f>SUMIFS('Data Entry'!T:T,'Data Entry'!K:K,G1522)</f>
        <v>0</v>
      </c>
      <c r="P1522" s="269" t="s">
        <v>234</v>
      </c>
      <c r="Q1522" s="895">
        <v>0</v>
      </c>
      <c r="R1522" s="114"/>
      <c r="S1522" s="884"/>
      <c r="T1522" s="270"/>
      <c r="U1522" s="114"/>
      <c r="V1522" s="114"/>
      <c r="W1522" s="114"/>
      <c r="X1522" s="114"/>
      <c r="Y1522" s="114"/>
      <c r="Z1522" s="114"/>
      <c r="AA1522" s="114"/>
      <c r="AB1522" s="85"/>
      <c r="AC1522" s="85"/>
      <c r="AD1522" s="85"/>
      <c r="AE1522" s="85"/>
    </row>
    <row r="1523" spans="3:31" x14ac:dyDescent="0.3">
      <c r="C1523" s="450"/>
      <c r="D1523" s="182"/>
      <c r="E1523" s="182"/>
      <c r="F1523" s="182"/>
      <c r="G1523" s="450" t="str">
        <f t="shared" si="69"/>
        <v>--</v>
      </c>
      <c r="H1523" s="182"/>
      <c r="I1523" s="440"/>
      <c r="J1523" s="892"/>
      <c r="K1523" s="259"/>
      <c r="L1523" s="259" t="s">
        <v>46</v>
      </c>
      <c r="M1523" s="893">
        <f>SUM(M1520:M1522)</f>
        <v>1</v>
      </c>
      <c r="N1523" s="894"/>
      <c r="O1523" s="894">
        <f>SUM(O1520:O1522)</f>
        <v>0</v>
      </c>
      <c r="P1523" s="263" t="s">
        <v>46</v>
      </c>
      <c r="Q1523" s="897">
        <f>SUM(Q1520:Q1522)</f>
        <v>1</v>
      </c>
      <c r="R1523" s="899"/>
      <c r="S1523" s="900"/>
      <c r="T1523" s="270"/>
      <c r="U1523" s="114"/>
      <c r="V1523" s="114"/>
      <c r="W1523" s="114"/>
      <c r="X1523" s="114"/>
      <c r="Y1523" s="114"/>
      <c r="Z1523" s="114"/>
      <c r="AA1523" s="114"/>
      <c r="AB1523" s="85"/>
      <c r="AC1523" s="85"/>
      <c r="AD1523" s="85"/>
      <c r="AE1523" s="85"/>
    </row>
    <row r="1524" spans="3:31" x14ac:dyDescent="0.3">
      <c r="C1524" s="450"/>
      <c r="D1524" s="182"/>
      <c r="E1524" s="182"/>
      <c r="F1524" s="182"/>
      <c r="G1524" s="450" t="str">
        <f t="shared" si="69"/>
        <v>--</v>
      </c>
      <c r="H1524" s="182"/>
      <c r="I1524" s="892"/>
      <c r="J1524" s="288"/>
      <c r="K1524" s="182"/>
      <c r="L1524" s="182"/>
      <c r="M1524" s="270"/>
      <c r="N1524" s="892"/>
      <c r="O1524" s="892"/>
      <c r="P1524" s="270"/>
      <c r="Q1524" s="270"/>
      <c r="R1524" s="270"/>
      <c r="S1524" s="270"/>
      <c r="T1524" s="270"/>
      <c r="U1524" s="114"/>
      <c r="V1524" s="114"/>
      <c r="W1524" s="114"/>
      <c r="X1524" s="114"/>
      <c r="Y1524" s="114"/>
      <c r="Z1524" s="114"/>
      <c r="AA1524" s="114"/>
      <c r="AB1524" s="85"/>
      <c r="AC1524" s="85"/>
      <c r="AD1524" s="85"/>
      <c r="AE1524" s="85"/>
    </row>
    <row r="1525" spans="3:31" ht="15" thickBot="1" x14ac:dyDescent="0.35">
      <c r="C1525" s="450"/>
      <c r="D1525" s="182"/>
      <c r="E1525" s="182"/>
      <c r="F1525" s="182"/>
      <c r="G1525" s="450" t="str">
        <f t="shared" si="69"/>
        <v>--</v>
      </c>
      <c r="H1525" s="182"/>
      <c r="I1525" s="892"/>
      <c r="J1525" s="892"/>
      <c r="K1525" s="182"/>
      <c r="L1525" s="182"/>
      <c r="M1525" s="901" t="s">
        <v>155</v>
      </c>
      <c r="N1525" s="870" t="s">
        <v>188</v>
      </c>
      <c r="O1525" s="870"/>
      <c r="P1525" s="276" t="s">
        <v>54</v>
      </c>
      <c r="Q1525" s="871" t="s">
        <v>155</v>
      </c>
      <c r="R1525" s="902"/>
      <c r="S1525" s="874"/>
      <c r="T1525" s="270"/>
      <c r="U1525" s="114"/>
      <c r="V1525" s="114"/>
      <c r="W1525" s="114"/>
      <c r="X1525" s="114"/>
      <c r="Y1525" s="114"/>
      <c r="Z1525" s="114"/>
      <c r="AA1525" s="114"/>
      <c r="AB1525" s="85"/>
      <c r="AC1525" s="85"/>
      <c r="AD1525" s="85"/>
      <c r="AE1525" s="85"/>
    </row>
    <row r="1526" spans="3:31" ht="15" thickBot="1" x14ac:dyDescent="0.35">
      <c r="C1526" s="566" t="s">
        <v>421</v>
      </c>
      <c r="D1526" s="875" t="str">
        <f>VLOOKUP(C1526,'Airport Mapping'!$C$5:$D$39,2,FALSE)</f>
        <v xml:space="preserve"> </v>
      </c>
      <c r="E1526" s="567" t="s">
        <v>8</v>
      </c>
      <c r="F1526" s="567" t="s">
        <v>54</v>
      </c>
      <c r="G1526" s="450" t="str">
        <f t="shared" si="69"/>
        <v>Ground Transportation A-Other-Other 3</v>
      </c>
      <c r="H1526" s="567" t="s">
        <v>364</v>
      </c>
      <c r="I1526" s="877" t="s">
        <v>64</v>
      </c>
      <c r="J1526" s="878">
        <f>SUMIFS('Level of Efficiency Assumptions'!J:J,'Level of Efficiency Assumptions'!D:D,E1526,'Level of Efficiency Assumptions'!F:F,F1526,'Level of Efficiency Assumptions'!I:I,I1526)</f>
        <v>10</v>
      </c>
      <c r="K1526" s="383" t="s">
        <v>588</v>
      </c>
      <c r="L1526" s="253" t="s">
        <v>64</v>
      </c>
      <c r="M1526" s="879">
        <f>SUM(Q1526:Q1526)</f>
        <v>0</v>
      </c>
      <c r="N1526" s="880">
        <f>IFERROR(M1526/M1529,"-")</f>
        <v>0</v>
      </c>
      <c r="O1526" s="881">
        <f>SUMIFS('Data Entry'!R:R,'Data Entry'!K:K,G1526)</f>
        <v>0</v>
      </c>
      <c r="P1526" s="272" t="s">
        <v>129</v>
      </c>
      <c r="Q1526" s="895">
        <v>0</v>
      </c>
      <c r="R1526" s="114"/>
      <c r="S1526" s="884"/>
      <c r="T1526" s="270"/>
      <c r="U1526" s="114"/>
      <c r="V1526" s="114"/>
      <c r="W1526" s="114"/>
      <c r="X1526" s="114"/>
      <c r="Y1526" s="114"/>
      <c r="Z1526" s="114"/>
      <c r="AA1526" s="114"/>
      <c r="AB1526" s="85"/>
      <c r="AC1526" s="85"/>
      <c r="AD1526" s="85"/>
      <c r="AE1526" s="85"/>
    </row>
    <row r="1527" spans="3:31" ht="15" thickBot="1" x14ac:dyDescent="0.35">
      <c r="C1527" s="494" t="s">
        <v>421</v>
      </c>
      <c r="D1527" s="577"/>
      <c r="E1527" s="577" t="s">
        <v>8</v>
      </c>
      <c r="F1527" s="577" t="s">
        <v>54</v>
      </c>
      <c r="G1527" s="450" t="str">
        <f t="shared" si="69"/>
        <v>Ground Transportation A-Other-Other 3</v>
      </c>
      <c r="H1527" s="577"/>
      <c r="I1527" s="887" t="s">
        <v>65</v>
      </c>
      <c r="J1527" s="878">
        <f>SUMIFS('Level of Efficiency Assumptions'!J:J,'Level of Efficiency Assumptions'!D:D,E1527,'Level of Efficiency Assumptions'!F:F,F1527,'Level of Efficiency Assumptions'!I:I,I1527)</f>
        <v>7.5</v>
      </c>
      <c r="K1527" s="383" t="s">
        <v>588</v>
      </c>
      <c r="L1527" s="255" t="s">
        <v>65</v>
      </c>
      <c r="M1527" s="879">
        <f t="shared" ref="M1527:M1528" si="72">SUM(Q1527:Q1527)</f>
        <v>1</v>
      </c>
      <c r="N1527" s="880">
        <f>IFERROR(M1527/M1529,"-")</f>
        <v>1</v>
      </c>
      <c r="O1527" s="881">
        <f>SUMIFS('Data Entry'!S:S,'Data Entry'!K:K,G1527)</f>
        <v>0</v>
      </c>
      <c r="P1527" s="274" t="s">
        <v>233</v>
      </c>
      <c r="Q1527" s="895">
        <v>1</v>
      </c>
      <c r="R1527" s="114"/>
      <c r="S1527" s="884"/>
      <c r="T1527" s="270"/>
      <c r="U1527" s="114"/>
      <c r="V1527" s="114"/>
      <c r="W1527" s="114"/>
      <c r="X1527" s="114"/>
      <c r="Y1527" s="114"/>
      <c r="Z1527" s="114"/>
      <c r="AA1527" s="114"/>
      <c r="AB1527" s="85"/>
      <c r="AC1527" s="85"/>
      <c r="AD1527" s="85"/>
      <c r="AE1527" s="85"/>
    </row>
    <row r="1528" spans="3:31" ht="15" thickBot="1" x14ac:dyDescent="0.35">
      <c r="C1528" s="501" t="s">
        <v>421</v>
      </c>
      <c r="D1528" s="116"/>
      <c r="E1528" s="116" t="s">
        <v>8</v>
      </c>
      <c r="F1528" s="116" t="s">
        <v>54</v>
      </c>
      <c r="G1528" s="450" t="str">
        <f t="shared" ref="G1528:G1587" si="73">C1528&amp;"-"&amp;E1528&amp;"-"&amp;F1528</f>
        <v>Ground Transportation A-Other-Other 3</v>
      </c>
      <c r="H1528" s="116"/>
      <c r="I1528" s="889" t="s">
        <v>66</v>
      </c>
      <c r="J1528" s="890">
        <f>SUMIFS('Level of Efficiency Assumptions'!J:J,'Level of Efficiency Assumptions'!D:D,E1528,'Level of Efficiency Assumptions'!F:F,F1528,'Level of Efficiency Assumptions'!I:I,I1528)</f>
        <v>5</v>
      </c>
      <c r="K1528" s="383" t="s">
        <v>588</v>
      </c>
      <c r="L1528" s="257" t="s">
        <v>66</v>
      </c>
      <c r="M1528" s="879">
        <f t="shared" si="72"/>
        <v>0</v>
      </c>
      <c r="N1528" s="880">
        <f>IFERROR(M1528/M1529,"-")</f>
        <v>0</v>
      </c>
      <c r="O1528" s="881">
        <f>SUMIFS('Data Entry'!T:T,'Data Entry'!K:K,G1528)</f>
        <v>0</v>
      </c>
      <c r="P1528" s="269" t="s">
        <v>234</v>
      </c>
      <c r="Q1528" s="895">
        <v>0</v>
      </c>
      <c r="R1528" s="114"/>
      <c r="S1528" s="884"/>
      <c r="T1528" s="270"/>
      <c r="U1528" s="114"/>
      <c r="V1528" s="114"/>
      <c r="W1528" s="114"/>
      <c r="X1528" s="114"/>
      <c r="Y1528" s="114"/>
      <c r="Z1528" s="114"/>
      <c r="AA1528" s="114"/>
      <c r="AB1528" s="85"/>
      <c r="AC1528" s="85"/>
      <c r="AD1528" s="85"/>
      <c r="AE1528" s="85"/>
    </row>
    <row r="1529" spans="3:31" x14ac:dyDescent="0.3">
      <c r="C1529" s="450"/>
      <c r="D1529" s="182"/>
      <c r="E1529" s="182"/>
      <c r="F1529" s="182"/>
      <c r="G1529" s="450" t="str">
        <f t="shared" si="73"/>
        <v>--</v>
      </c>
      <c r="H1529" s="182"/>
      <c r="I1529" s="440"/>
      <c r="J1529" s="892"/>
      <c r="K1529" s="259"/>
      <c r="L1529" s="259" t="s">
        <v>46</v>
      </c>
      <c r="M1529" s="893">
        <f>SUM(M1526:M1528)</f>
        <v>1</v>
      </c>
      <c r="N1529" s="894"/>
      <c r="O1529" s="894">
        <f>SUM(O1526:O1528)</f>
        <v>0</v>
      </c>
      <c r="P1529" s="263" t="s">
        <v>46</v>
      </c>
      <c r="Q1529" s="897">
        <f>SUM(Q1526:Q1528)</f>
        <v>1</v>
      </c>
      <c r="R1529" s="899"/>
      <c r="S1529" s="900"/>
      <c r="T1529" s="270"/>
      <c r="U1529" s="114"/>
      <c r="V1529" s="114"/>
      <c r="W1529" s="114"/>
      <c r="X1529" s="114"/>
      <c r="Y1529" s="114"/>
      <c r="Z1529" s="114"/>
      <c r="AA1529" s="114"/>
      <c r="AB1529" s="85"/>
      <c r="AC1529" s="85"/>
      <c r="AD1529" s="85"/>
      <c r="AE1529" s="85"/>
    </row>
    <row r="1530" spans="3:31" ht="15" thickBot="1" x14ac:dyDescent="0.35">
      <c r="C1530" s="451"/>
      <c r="D1530" s="184"/>
      <c r="E1530" s="184"/>
      <c r="F1530" s="184"/>
      <c r="G1530" s="450" t="str">
        <f t="shared" si="73"/>
        <v>--</v>
      </c>
      <c r="H1530" s="184"/>
      <c r="I1530" s="184"/>
      <c r="J1530" s="184"/>
      <c r="K1530" s="184"/>
      <c r="L1530" s="184"/>
      <c r="M1530" s="924"/>
      <c r="N1530" s="281"/>
      <c r="O1530" s="925"/>
      <c r="P1530" s="184"/>
      <c r="Q1530" s="924"/>
      <c r="R1530" s="184"/>
      <c r="S1530" s="184"/>
      <c r="T1530" s="184"/>
      <c r="U1530" s="184"/>
      <c r="V1530" s="184"/>
      <c r="W1530" s="184"/>
      <c r="X1530" s="184"/>
      <c r="Y1530" s="184"/>
      <c r="Z1530" s="184"/>
      <c r="AA1530" s="184"/>
      <c r="AB1530" s="184"/>
      <c r="AC1530" s="184"/>
      <c r="AD1530" s="184"/>
      <c r="AE1530" s="184"/>
    </row>
    <row r="1531" spans="3:31" x14ac:dyDescent="0.3">
      <c r="C1531" s="450"/>
      <c r="D1531" s="181"/>
      <c r="E1531" s="181"/>
      <c r="F1531" s="181"/>
      <c r="G1531" s="450" t="str">
        <f t="shared" si="73"/>
        <v>--</v>
      </c>
      <c r="H1531" s="181"/>
      <c r="I1531" s="892"/>
      <c r="J1531" s="892"/>
      <c r="K1531" s="181"/>
      <c r="L1531" s="259"/>
      <c r="M1531" s="114"/>
      <c r="N1531" s="905"/>
      <c r="O1531" s="905"/>
      <c r="P1531" s="259"/>
      <c r="Q1531" s="114"/>
      <c r="R1531" s="114"/>
      <c r="S1531" s="114"/>
      <c r="T1531" s="270"/>
      <c r="U1531" s="114"/>
      <c r="V1531" s="114"/>
      <c r="W1531" s="114"/>
      <c r="X1531" s="114"/>
      <c r="Y1531" s="114"/>
      <c r="Z1531" s="114"/>
      <c r="AA1531" s="114"/>
      <c r="AB1531" s="85"/>
      <c r="AC1531" s="85"/>
      <c r="AD1531" s="85"/>
      <c r="AE1531" s="85"/>
    </row>
    <row r="1532" spans="3:31" ht="15" thickBot="1" x14ac:dyDescent="0.35">
      <c r="C1532" s="450"/>
      <c r="D1532" s="182"/>
      <c r="E1532" s="182"/>
      <c r="F1532" s="182"/>
      <c r="G1532" s="450" t="str">
        <f t="shared" si="73"/>
        <v>--</v>
      </c>
      <c r="H1532" s="182"/>
      <c r="I1532" s="892"/>
      <c r="J1532" s="892"/>
      <c r="K1532" s="182"/>
      <c r="L1532" s="182"/>
      <c r="M1532" s="901" t="s">
        <v>155</v>
      </c>
      <c r="N1532" s="870" t="s">
        <v>188</v>
      </c>
      <c r="O1532" s="870"/>
      <c r="P1532" s="252" t="s">
        <v>158</v>
      </c>
      <c r="Q1532" s="871" t="s">
        <v>155</v>
      </c>
      <c r="R1532" s="872" t="s">
        <v>168</v>
      </c>
      <c r="S1532" s="872" t="s">
        <v>169</v>
      </c>
      <c r="T1532" s="873"/>
      <c r="U1532" s="874"/>
      <c r="V1532" s="270"/>
      <c r="W1532" s="270"/>
      <c r="X1532" s="270"/>
      <c r="Y1532" s="114"/>
      <c r="Z1532" s="114"/>
      <c r="AA1532" s="114"/>
      <c r="AB1532" s="85"/>
      <c r="AC1532" s="85"/>
      <c r="AD1532" s="85"/>
      <c r="AE1532" s="85"/>
    </row>
    <row r="1533" spans="3:31" ht="15" thickBot="1" x14ac:dyDescent="0.35">
      <c r="C1533" s="566" t="s">
        <v>422</v>
      </c>
      <c r="D1533" s="875" t="str">
        <f>VLOOKUP(C1533,'Airport Mapping'!$C$5:$D$39,2,FALSE)</f>
        <v xml:space="preserve"> </v>
      </c>
      <c r="E1533" s="567" t="s">
        <v>37</v>
      </c>
      <c r="F1533" s="567" t="s">
        <v>2</v>
      </c>
      <c r="G1533" s="450" t="str">
        <f t="shared" si="73"/>
        <v>Ground Transportation B-Restrooms-Toilets</v>
      </c>
      <c r="H1533" s="567" t="s">
        <v>3</v>
      </c>
      <c r="I1533" s="877" t="s">
        <v>64</v>
      </c>
      <c r="J1533" s="878">
        <f>SUMIFS('Level of Efficiency Assumptions'!J:J,'Level of Efficiency Assumptions'!D:D,E1533,'Level of Efficiency Assumptions'!F:F,F1533,'Level of Efficiency Assumptions'!I:I,I1533)</f>
        <v>3.5</v>
      </c>
      <c r="K1533" s="383" t="s">
        <v>68</v>
      </c>
      <c r="L1533" s="253" t="s">
        <v>64</v>
      </c>
      <c r="M1533" s="879">
        <f>Q1533+Q1539</f>
        <v>0</v>
      </c>
      <c r="N1533" s="880">
        <f>IFERROR(M1533/M1536,"-")</f>
        <v>0</v>
      </c>
      <c r="O1533" s="881">
        <f>SUMIFS('Data Entry'!R:R,'Data Entry'!K:K,G1533)</f>
        <v>0</v>
      </c>
      <c r="P1533" s="254" t="s">
        <v>159</v>
      </c>
      <c r="Q1533" s="882">
        <v>0</v>
      </c>
      <c r="R1533" s="883"/>
      <c r="S1533" s="883"/>
      <c r="T1533" s="114" t="s">
        <v>182</v>
      </c>
      <c r="U1533" s="884"/>
      <c r="V1533" s="270"/>
      <c r="W1533" s="270"/>
      <c r="X1533" s="270"/>
      <c r="Y1533" s="114"/>
      <c r="Z1533" s="114"/>
      <c r="AA1533" s="114"/>
      <c r="AB1533" s="85"/>
      <c r="AC1533" s="85"/>
      <c r="AD1533" s="85"/>
      <c r="AE1533" s="85"/>
    </row>
    <row r="1534" spans="3:31" ht="15" thickBot="1" x14ac:dyDescent="0.35">
      <c r="C1534" s="494" t="s">
        <v>422</v>
      </c>
      <c r="D1534" s="577"/>
      <c r="E1534" s="577" t="s">
        <v>37</v>
      </c>
      <c r="F1534" s="577" t="s">
        <v>2</v>
      </c>
      <c r="G1534" s="450" t="str">
        <f t="shared" si="73"/>
        <v>Ground Transportation B-Restrooms-Toilets</v>
      </c>
      <c r="H1534" s="577"/>
      <c r="I1534" s="887" t="s">
        <v>65</v>
      </c>
      <c r="J1534" s="878">
        <f>SUMIFS('Level of Efficiency Assumptions'!J:J,'Level of Efficiency Assumptions'!D:D,E1534,'Level of Efficiency Assumptions'!F:F,F1534,'Level of Efficiency Assumptions'!I:I,I1534)</f>
        <v>1.6</v>
      </c>
      <c r="K1534" s="383" t="s">
        <v>68</v>
      </c>
      <c r="L1534" s="255" t="s">
        <v>65</v>
      </c>
      <c r="M1534" s="879">
        <f>Q1534+Q1537+Q1540</f>
        <v>1</v>
      </c>
      <c r="N1534" s="880">
        <f>IFERROR(M1534/M1536,"-")</f>
        <v>1</v>
      </c>
      <c r="O1534" s="881">
        <f>SUMIFS('Data Entry'!S:S,'Data Entry'!K:K,G1534)</f>
        <v>0</v>
      </c>
      <c r="P1534" s="256" t="s">
        <v>161</v>
      </c>
      <c r="Q1534" s="882">
        <v>1</v>
      </c>
      <c r="R1534" s="883"/>
      <c r="S1534" s="883"/>
      <c r="T1534" s="114" t="s">
        <v>184</v>
      </c>
      <c r="U1534" s="884"/>
      <c r="V1534" s="270"/>
      <c r="W1534" s="270"/>
      <c r="X1534" s="270"/>
      <c r="Y1534" s="114"/>
      <c r="Z1534" s="114"/>
      <c r="AA1534" s="114"/>
      <c r="AB1534" s="85"/>
      <c r="AC1534" s="85"/>
      <c r="AD1534" s="85"/>
      <c r="AE1534" s="85"/>
    </row>
    <row r="1535" spans="3:31" ht="15" thickBot="1" x14ac:dyDescent="0.35">
      <c r="C1535" s="501" t="s">
        <v>422</v>
      </c>
      <c r="D1535" s="116"/>
      <c r="E1535" s="116" t="s">
        <v>37</v>
      </c>
      <c r="F1535" s="116" t="s">
        <v>2</v>
      </c>
      <c r="G1535" s="450" t="str">
        <f t="shared" si="73"/>
        <v>Ground Transportation B-Restrooms-Toilets</v>
      </c>
      <c r="H1535" s="116"/>
      <c r="I1535" s="889" t="s">
        <v>66</v>
      </c>
      <c r="J1535" s="890">
        <f>SUMIFS('Level of Efficiency Assumptions'!J:J,'Level of Efficiency Assumptions'!D:D,E1535,'Level of Efficiency Assumptions'!F:F,F1535,'Level of Efficiency Assumptions'!I:I,I1535)</f>
        <v>1.28</v>
      </c>
      <c r="K1535" s="383" t="s">
        <v>68</v>
      </c>
      <c r="L1535" s="257" t="s">
        <v>66</v>
      </c>
      <c r="M1535" s="879">
        <f>Q1535+Q1536+Q1538+Q1541+Q1542</f>
        <v>0</v>
      </c>
      <c r="N1535" s="880">
        <f>IFERROR(M1535/M1536,"-")</f>
        <v>0</v>
      </c>
      <c r="O1535" s="881">
        <f>SUMIFS('Data Entry'!T:T,'Data Entry'!K:K,G1535)</f>
        <v>0</v>
      </c>
      <c r="P1535" s="258" t="s">
        <v>163</v>
      </c>
      <c r="Q1535" s="882">
        <v>0</v>
      </c>
      <c r="R1535" s="883"/>
      <c r="S1535" s="883"/>
      <c r="T1535" s="891"/>
      <c r="U1535" s="884"/>
      <c r="V1535" s="270"/>
      <c r="W1535" s="270"/>
      <c r="X1535" s="270"/>
      <c r="Y1535" s="114"/>
      <c r="Z1535" s="114"/>
      <c r="AA1535" s="114"/>
      <c r="AB1535" s="85"/>
      <c r="AC1535" s="85"/>
      <c r="AD1535" s="85"/>
      <c r="AE1535" s="85"/>
    </row>
    <row r="1536" spans="3:31" x14ac:dyDescent="0.3">
      <c r="C1536" s="450"/>
      <c r="D1536" s="182"/>
      <c r="E1536" s="182"/>
      <c r="F1536" s="182"/>
      <c r="G1536" s="450" t="str">
        <f t="shared" si="73"/>
        <v>--</v>
      </c>
      <c r="H1536" s="182"/>
      <c r="I1536" s="440"/>
      <c r="J1536" s="892"/>
      <c r="K1536" s="259"/>
      <c r="L1536" s="259" t="s">
        <v>46</v>
      </c>
      <c r="M1536" s="893">
        <f>SUM(M1533:M1535)</f>
        <v>1</v>
      </c>
      <c r="N1536" s="894"/>
      <c r="O1536" s="894">
        <f>SUM(O1533:O1535)</f>
        <v>0</v>
      </c>
      <c r="P1536" s="258" t="s">
        <v>165</v>
      </c>
      <c r="Q1536" s="882">
        <v>0</v>
      </c>
      <c r="R1536" s="883"/>
      <c r="S1536" s="883"/>
      <c r="T1536" s="891"/>
      <c r="U1536" s="884"/>
      <c r="V1536" s="270"/>
      <c r="W1536" s="270"/>
      <c r="X1536" s="270"/>
      <c r="Y1536" s="114"/>
      <c r="Z1536" s="114"/>
      <c r="AA1536" s="114"/>
      <c r="AB1536" s="85"/>
      <c r="AC1536" s="85"/>
      <c r="AD1536" s="85"/>
      <c r="AE1536" s="85"/>
    </row>
    <row r="1537" spans="3:31" ht="15" thickBot="1" x14ac:dyDescent="0.35">
      <c r="C1537" s="450"/>
      <c r="D1537" s="182"/>
      <c r="E1537" s="182"/>
      <c r="F1537" s="182"/>
      <c r="G1537" s="450" t="str">
        <f t="shared" si="73"/>
        <v>--</v>
      </c>
      <c r="H1537" s="182"/>
      <c r="I1537" s="892"/>
      <c r="J1537" s="288"/>
      <c r="K1537" s="182"/>
      <c r="L1537" s="181"/>
      <c r="M1537" s="181"/>
      <c r="N1537" s="892"/>
      <c r="O1537" s="892"/>
      <c r="P1537" s="256" t="s">
        <v>166</v>
      </c>
      <c r="Q1537" s="895">
        <v>0</v>
      </c>
      <c r="R1537" s="883"/>
      <c r="S1537" s="883"/>
      <c r="T1537" s="891"/>
      <c r="U1537" s="896"/>
      <c r="V1537" s="891"/>
      <c r="W1537" s="270"/>
      <c r="X1537" s="270"/>
      <c r="Y1537" s="114"/>
      <c r="Z1537" s="114"/>
      <c r="AA1537" s="114"/>
      <c r="AB1537" s="85"/>
      <c r="AC1537" s="85"/>
      <c r="AD1537" s="85"/>
      <c r="AE1537" s="85"/>
    </row>
    <row r="1538" spans="3:31" x14ac:dyDescent="0.3">
      <c r="C1538" s="450"/>
      <c r="D1538" s="182"/>
      <c r="E1538" s="182"/>
      <c r="F1538" s="182"/>
      <c r="G1538" s="450" t="str">
        <f t="shared" si="73"/>
        <v>--</v>
      </c>
      <c r="H1538" s="182"/>
      <c r="I1538" s="892"/>
      <c r="J1538" s="288"/>
      <c r="K1538" s="182"/>
      <c r="L1538" s="1384" t="s">
        <v>377</v>
      </c>
      <c r="M1538" s="1385"/>
      <c r="N1538" s="1385"/>
      <c r="O1538" s="1386"/>
      <c r="P1538" s="258" t="s">
        <v>167</v>
      </c>
      <c r="Q1538" s="895">
        <v>0</v>
      </c>
      <c r="R1538" s="883"/>
      <c r="S1538" s="883"/>
      <c r="T1538" s="891"/>
      <c r="U1538" s="896"/>
      <c r="V1538" s="891"/>
      <c r="W1538" s="270"/>
      <c r="X1538" s="270"/>
      <c r="Y1538" s="270"/>
      <c r="Z1538" s="114"/>
      <c r="AA1538" s="114"/>
      <c r="AB1538" s="85"/>
      <c r="AC1538" s="85"/>
      <c r="AD1538" s="85"/>
      <c r="AE1538" s="85"/>
    </row>
    <row r="1539" spans="3:31" x14ac:dyDescent="0.3">
      <c r="C1539" s="450"/>
      <c r="D1539" s="182"/>
      <c r="E1539" s="182"/>
      <c r="F1539" s="182"/>
      <c r="G1539" s="450" t="str">
        <f t="shared" si="73"/>
        <v>--</v>
      </c>
      <c r="H1539" s="182"/>
      <c r="I1539" s="892"/>
      <c r="J1539" s="288"/>
      <c r="K1539" s="182"/>
      <c r="L1539" s="1387"/>
      <c r="M1539" s="1388"/>
      <c r="N1539" s="1388"/>
      <c r="O1539" s="1389"/>
      <c r="P1539" s="254" t="s">
        <v>160</v>
      </c>
      <c r="Q1539" s="895">
        <v>0</v>
      </c>
      <c r="R1539" s="891"/>
      <c r="S1539" s="891"/>
      <c r="T1539" s="891"/>
      <c r="U1539" s="896"/>
      <c r="V1539" s="891"/>
      <c r="W1539" s="270"/>
      <c r="X1539" s="270"/>
      <c r="Y1539" s="270"/>
      <c r="Z1539" s="114"/>
      <c r="AA1539" s="114"/>
      <c r="AB1539" s="85"/>
      <c r="AC1539" s="85"/>
      <c r="AD1539" s="85"/>
      <c r="AE1539" s="85"/>
    </row>
    <row r="1540" spans="3:31" x14ac:dyDescent="0.3">
      <c r="C1540" s="450"/>
      <c r="D1540" s="182"/>
      <c r="E1540" s="182"/>
      <c r="F1540" s="182"/>
      <c r="G1540" s="450" t="str">
        <f t="shared" si="73"/>
        <v>--</v>
      </c>
      <c r="H1540" s="182"/>
      <c r="I1540" s="892"/>
      <c r="J1540" s="288"/>
      <c r="K1540" s="182"/>
      <c r="L1540" s="1387"/>
      <c r="M1540" s="1388"/>
      <c r="N1540" s="1388"/>
      <c r="O1540" s="1389"/>
      <c r="P1540" s="256" t="s">
        <v>162</v>
      </c>
      <c r="Q1540" s="895">
        <v>0</v>
      </c>
      <c r="R1540" s="891"/>
      <c r="S1540" s="891"/>
      <c r="T1540" s="891"/>
      <c r="U1540" s="896"/>
      <c r="V1540" s="891"/>
      <c r="W1540" s="270"/>
      <c r="X1540" s="270"/>
      <c r="Y1540" s="270"/>
      <c r="Z1540" s="114"/>
      <c r="AA1540" s="114"/>
      <c r="AB1540" s="85"/>
      <c r="AC1540" s="85"/>
      <c r="AD1540" s="85"/>
      <c r="AE1540" s="85"/>
    </row>
    <row r="1541" spans="3:31" ht="15" thickBot="1" x14ac:dyDescent="0.35">
      <c r="C1541" s="450"/>
      <c r="D1541" s="182"/>
      <c r="E1541" s="182"/>
      <c r="F1541" s="182"/>
      <c r="G1541" s="450" t="str">
        <f t="shared" si="73"/>
        <v>--</v>
      </c>
      <c r="H1541" s="182"/>
      <c r="I1541" s="892"/>
      <c r="J1541" s="288"/>
      <c r="K1541" s="182"/>
      <c r="L1541" s="1390"/>
      <c r="M1541" s="1391"/>
      <c r="N1541" s="1391"/>
      <c r="O1541" s="1392"/>
      <c r="P1541" s="258" t="s">
        <v>164</v>
      </c>
      <c r="Q1541" s="895">
        <v>0</v>
      </c>
      <c r="R1541" s="114"/>
      <c r="S1541" s="891"/>
      <c r="T1541" s="114"/>
      <c r="U1541" s="884"/>
      <c r="V1541" s="114"/>
      <c r="W1541" s="270"/>
      <c r="X1541" s="270"/>
      <c r="Y1541" s="270"/>
      <c r="Z1541" s="114"/>
      <c r="AA1541" s="114"/>
      <c r="AB1541" s="85"/>
      <c r="AC1541" s="85"/>
      <c r="AD1541" s="85"/>
      <c r="AE1541" s="85"/>
    </row>
    <row r="1542" spans="3:31" x14ac:dyDescent="0.3">
      <c r="C1542" s="450"/>
      <c r="D1542" s="182"/>
      <c r="E1542" s="182"/>
      <c r="F1542" s="182"/>
      <c r="G1542" s="450" t="str">
        <f t="shared" si="73"/>
        <v>--</v>
      </c>
      <c r="H1542" s="182"/>
      <c r="I1542" s="892"/>
      <c r="J1542" s="288"/>
      <c r="K1542" s="182"/>
      <c r="L1542" s="181"/>
      <c r="M1542" s="181"/>
      <c r="N1542" s="892"/>
      <c r="O1542" s="892"/>
      <c r="P1542" s="258" t="s">
        <v>187</v>
      </c>
      <c r="Q1542" s="895">
        <v>0</v>
      </c>
      <c r="R1542" s="114"/>
      <c r="S1542" s="891"/>
      <c r="T1542" s="114"/>
      <c r="U1542" s="884"/>
      <c r="V1542" s="114"/>
      <c r="W1542" s="270"/>
      <c r="X1542" s="270"/>
      <c r="Y1542" s="270"/>
      <c r="Z1542" s="114"/>
      <c r="AA1542" s="114"/>
      <c r="AB1542" s="85"/>
      <c r="AC1542" s="85"/>
      <c r="AD1542" s="85"/>
      <c r="AE1542" s="85"/>
    </row>
    <row r="1543" spans="3:31" x14ac:dyDescent="0.3">
      <c r="C1543" s="450"/>
      <c r="D1543" s="182"/>
      <c r="E1543" s="182"/>
      <c r="F1543" s="182"/>
      <c r="G1543" s="450" t="str">
        <f t="shared" si="73"/>
        <v>--</v>
      </c>
      <c r="H1543" s="182"/>
      <c r="I1543" s="892"/>
      <c r="J1543" s="288"/>
      <c r="K1543" s="182"/>
      <c r="L1543" s="181"/>
      <c r="M1543" s="181"/>
      <c r="N1543" s="892"/>
      <c r="O1543" s="892"/>
      <c r="P1543" s="263" t="s">
        <v>46</v>
      </c>
      <c r="Q1543" s="897">
        <f>SUM(Q1533:Q1542)</f>
        <v>1</v>
      </c>
      <c r="R1543" s="898"/>
      <c r="S1543" s="898"/>
      <c r="T1543" s="899"/>
      <c r="U1543" s="900"/>
      <c r="V1543" s="114"/>
      <c r="W1543" s="270"/>
      <c r="X1543" s="270"/>
      <c r="Y1543" s="270"/>
      <c r="Z1543" s="114"/>
      <c r="AA1543" s="114"/>
      <c r="AB1543" s="85"/>
      <c r="AC1543" s="85"/>
      <c r="AD1543" s="85"/>
      <c r="AE1543" s="85"/>
    </row>
    <row r="1544" spans="3:31" x14ac:dyDescent="0.3">
      <c r="C1544" s="450"/>
      <c r="D1544" s="182"/>
      <c r="E1544" s="182"/>
      <c r="F1544" s="182"/>
      <c r="G1544" s="450" t="str">
        <f t="shared" si="73"/>
        <v>--</v>
      </c>
      <c r="H1544" s="182"/>
      <c r="I1544" s="892"/>
      <c r="J1544" s="288"/>
      <c r="K1544" s="182"/>
      <c r="L1544" s="181"/>
      <c r="M1544" s="181"/>
      <c r="N1544" s="892"/>
      <c r="O1544" s="892"/>
      <c r="P1544" s="114"/>
      <c r="Q1544" s="114"/>
      <c r="R1544" s="891"/>
      <c r="S1544" s="891"/>
      <c r="T1544" s="114"/>
      <c r="U1544" s="114"/>
      <c r="V1544" s="114"/>
      <c r="W1544" s="270"/>
      <c r="X1544" s="270"/>
      <c r="Y1544" s="270"/>
      <c r="Z1544" s="114"/>
      <c r="AA1544" s="114"/>
      <c r="AB1544" s="85"/>
      <c r="AC1544" s="85"/>
      <c r="AD1544" s="85"/>
      <c r="AE1544" s="85"/>
    </row>
    <row r="1545" spans="3:31" ht="15" thickBot="1" x14ac:dyDescent="0.35">
      <c r="C1545" s="450"/>
      <c r="D1545" s="182"/>
      <c r="E1545" s="182"/>
      <c r="F1545" s="182"/>
      <c r="G1545" s="450" t="str">
        <f t="shared" si="73"/>
        <v>--</v>
      </c>
      <c r="H1545" s="182"/>
      <c r="I1545" s="892"/>
      <c r="J1545" s="892"/>
      <c r="K1545" s="182"/>
      <c r="L1545" s="182"/>
      <c r="M1545" s="901" t="s">
        <v>155</v>
      </c>
      <c r="N1545" s="870" t="s">
        <v>188</v>
      </c>
      <c r="O1545" s="870"/>
      <c r="P1545" s="252" t="s">
        <v>175</v>
      </c>
      <c r="Q1545" s="871" t="s">
        <v>155</v>
      </c>
      <c r="R1545" s="872" t="s">
        <v>168</v>
      </c>
      <c r="S1545" s="872" t="s">
        <v>169</v>
      </c>
      <c r="T1545" s="902"/>
      <c r="U1545" s="903"/>
      <c r="V1545" s="270"/>
      <c r="W1545" s="270"/>
      <c r="X1545" s="270"/>
      <c r="Y1545" s="270"/>
      <c r="Z1545" s="114"/>
      <c r="AA1545" s="114"/>
      <c r="AB1545" s="85"/>
      <c r="AC1545" s="85"/>
      <c r="AD1545" s="85"/>
      <c r="AE1545" s="85"/>
    </row>
    <row r="1546" spans="3:31" ht="15" thickBot="1" x14ac:dyDescent="0.35">
      <c r="C1546" s="566" t="s">
        <v>422</v>
      </c>
      <c r="D1546" s="875" t="str">
        <f>VLOOKUP(C1546,'Airport Mapping'!$C$5:$D$39,2,FALSE)</f>
        <v xml:space="preserve"> </v>
      </c>
      <c r="E1546" s="567" t="s">
        <v>37</v>
      </c>
      <c r="F1546" s="567" t="s">
        <v>4</v>
      </c>
      <c r="G1546" s="450" t="str">
        <f t="shared" si="73"/>
        <v>Ground Transportation B-Restrooms-Urinals</v>
      </c>
      <c r="H1546" s="567" t="s">
        <v>3</v>
      </c>
      <c r="I1546" s="877" t="s">
        <v>64</v>
      </c>
      <c r="J1546" s="878">
        <f>SUMIFS('Level of Efficiency Assumptions'!J:J,'Level of Efficiency Assumptions'!D:D,E1546,'Level of Efficiency Assumptions'!F:F,F1546,'Level of Efficiency Assumptions'!I:I,I1546)</f>
        <v>2</v>
      </c>
      <c r="K1546" s="383" t="s">
        <v>68</v>
      </c>
      <c r="L1546" s="253" t="s">
        <v>64</v>
      </c>
      <c r="M1546" s="879">
        <f>Q1546+Q1547</f>
        <v>0</v>
      </c>
      <c r="N1546" s="880">
        <f>IFERROR(M1546/M1549,"-")</f>
        <v>0</v>
      </c>
      <c r="O1546" s="881">
        <f>SUMIFS('Data Entry'!R:R,'Data Entry'!K:K,G1546)</f>
        <v>0</v>
      </c>
      <c r="P1546" s="254" t="s">
        <v>177</v>
      </c>
      <c r="Q1546" s="882">
        <v>0</v>
      </c>
      <c r="R1546" s="883"/>
      <c r="S1546" s="883"/>
      <c r="T1546" s="114"/>
      <c r="U1546" s="904"/>
      <c r="V1546" s="270"/>
      <c r="W1546" s="270"/>
      <c r="X1546" s="270"/>
      <c r="Y1546" s="270"/>
      <c r="Z1546" s="114"/>
      <c r="AA1546" s="114"/>
      <c r="AB1546" s="85"/>
      <c r="AC1546" s="85"/>
      <c r="AD1546" s="85"/>
      <c r="AE1546" s="85"/>
    </row>
    <row r="1547" spans="3:31" ht="15" thickBot="1" x14ac:dyDescent="0.35">
      <c r="C1547" s="494" t="s">
        <v>422</v>
      </c>
      <c r="D1547" s="577"/>
      <c r="E1547" s="577" t="s">
        <v>37</v>
      </c>
      <c r="F1547" s="577" t="s">
        <v>4</v>
      </c>
      <c r="G1547" s="450" t="str">
        <f t="shared" si="73"/>
        <v>Ground Transportation B-Restrooms-Urinals</v>
      </c>
      <c r="H1547" s="577"/>
      <c r="I1547" s="887" t="s">
        <v>65</v>
      </c>
      <c r="J1547" s="878">
        <f>SUMIFS('Level of Efficiency Assumptions'!J:J,'Level of Efficiency Assumptions'!D:D,E1547,'Level of Efficiency Assumptions'!F:F,F1547,'Level of Efficiency Assumptions'!I:I,I1547)</f>
        <v>1</v>
      </c>
      <c r="K1547" s="383" t="s">
        <v>68</v>
      </c>
      <c r="L1547" s="255" t="s">
        <v>65</v>
      </c>
      <c r="M1547" s="879">
        <f>Q1548+Q1549</f>
        <v>1</v>
      </c>
      <c r="N1547" s="880">
        <f>IFERROR(M1547/M1549,"-")</f>
        <v>1</v>
      </c>
      <c r="O1547" s="881">
        <f>SUMIFS('Data Entry'!S:S,'Data Entry'!K:K,G1547)</f>
        <v>0</v>
      </c>
      <c r="P1547" s="254" t="s">
        <v>179</v>
      </c>
      <c r="Q1547" s="882">
        <v>0</v>
      </c>
      <c r="R1547" s="883"/>
      <c r="S1547" s="883"/>
      <c r="T1547" s="114"/>
      <c r="U1547" s="904"/>
      <c r="V1547" s="270"/>
      <c r="W1547" s="270"/>
      <c r="X1547" s="270"/>
      <c r="Y1547" s="270"/>
      <c r="Z1547" s="114"/>
      <c r="AA1547" s="114"/>
      <c r="AB1547" s="85"/>
      <c r="AC1547" s="85"/>
      <c r="AD1547" s="85"/>
      <c r="AE1547" s="85"/>
    </row>
    <row r="1548" spans="3:31" ht="15" thickBot="1" x14ac:dyDescent="0.35">
      <c r="C1548" s="501" t="s">
        <v>422</v>
      </c>
      <c r="D1548" s="116"/>
      <c r="E1548" s="116" t="s">
        <v>37</v>
      </c>
      <c r="F1548" s="116" t="s">
        <v>4</v>
      </c>
      <c r="G1548" s="450" t="str">
        <f t="shared" si="73"/>
        <v>Ground Transportation B-Restrooms-Urinals</v>
      </c>
      <c r="H1548" s="116"/>
      <c r="I1548" s="889" t="s">
        <v>66</v>
      </c>
      <c r="J1548" s="890">
        <f>SUMIFS('Level of Efficiency Assumptions'!J:J,'Level of Efficiency Assumptions'!D:D,E1548,'Level of Efficiency Assumptions'!F:F,F1548,'Level of Efficiency Assumptions'!I:I,I1548)</f>
        <v>0.125</v>
      </c>
      <c r="K1548" s="383" t="s">
        <v>68</v>
      </c>
      <c r="L1548" s="257" t="s">
        <v>66</v>
      </c>
      <c r="M1548" s="879">
        <f>Q1550+Q1551</f>
        <v>0</v>
      </c>
      <c r="N1548" s="880">
        <f>IFERROR(M1548/M1549,"-")</f>
        <v>0</v>
      </c>
      <c r="O1548" s="881">
        <f>SUMIFS('Data Entry'!T:T,'Data Entry'!K:K,G1548)</f>
        <v>0</v>
      </c>
      <c r="P1548" s="256" t="s">
        <v>189</v>
      </c>
      <c r="Q1548" s="882">
        <v>0</v>
      </c>
      <c r="R1548" s="883"/>
      <c r="S1548" s="883"/>
      <c r="T1548" s="114"/>
      <c r="U1548" s="904"/>
      <c r="V1548" s="270"/>
      <c r="W1548" s="270"/>
      <c r="X1548" s="270"/>
      <c r="Y1548" s="270"/>
      <c r="Z1548" s="114"/>
      <c r="AA1548" s="114"/>
      <c r="AB1548" s="85"/>
      <c r="AC1548" s="85"/>
      <c r="AD1548" s="85"/>
      <c r="AE1548" s="85"/>
    </row>
    <row r="1549" spans="3:31" x14ac:dyDescent="0.3">
      <c r="C1549" s="450"/>
      <c r="D1549" s="182"/>
      <c r="E1549" s="182"/>
      <c r="F1549" s="182"/>
      <c r="G1549" s="450" t="str">
        <f t="shared" si="73"/>
        <v>--</v>
      </c>
      <c r="H1549" s="182"/>
      <c r="I1549" s="440"/>
      <c r="J1549" s="892"/>
      <c r="K1549" s="259"/>
      <c r="L1549" s="259" t="s">
        <v>46</v>
      </c>
      <c r="M1549" s="893">
        <f>SUM(M1546:M1548)</f>
        <v>1</v>
      </c>
      <c r="N1549" s="894"/>
      <c r="O1549" s="894">
        <f>SUM(O1546:O1548)</f>
        <v>0</v>
      </c>
      <c r="P1549" s="256" t="s">
        <v>181</v>
      </c>
      <c r="Q1549" s="882">
        <v>1</v>
      </c>
      <c r="R1549" s="883"/>
      <c r="S1549" s="883"/>
      <c r="T1549" s="114"/>
      <c r="U1549" s="264"/>
      <c r="V1549" s="270"/>
      <c r="W1549" s="270"/>
      <c r="X1549" s="270"/>
      <c r="Y1549" s="270"/>
      <c r="Z1549" s="114"/>
      <c r="AA1549" s="114"/>
      <c r="AB1549" s="85"/>
      <c r="AC1549" s="85"/>
      <c r="AD1549" s="85"/>
      <c r="AE1549" s="85"/>
    </row>
    <row r="1550" spans="3:31" x14ac:dyDescent="0.3">
      <c r="C1550" s="450"/>
      <c r="D1550" s="182"/>
      <c r="E1550" s="182"/>
      <c r="F1550" s="182"/>
      <c r="G1550" s="450" t="str">
        <f t="shared" si="73"/>
        <v>--</v>
      </c>
      <c r="H1550" s="182"/>
      <c r="I1550" s="892"/>
      <c r="J1550" s="288"/>
      <c r="K1550" s="182"/>
      <c r="L1550" s="181"/>
      <c r="M1550" s="181"/>
      <c r="N1550" s="892"/>
      <c r="O1550" s="892"/>
      <c r="P1550" s="258" t="s">
        <v>183</v>
      </c>
      <c r="Q1550" s="882">
        <v>0</v>
      </c>
      <c r="R1550" s="883"/>
      <c r="S1550" s="883"/>
      <c r="T1550" s="114"/>
      <c r="U1550" s="884"/>
      <c r="V1550" s="114"/>
      <c r="W1550" s="270"/>
      <c r="X1550" s="270"/>
      <c r="Y1550" s="270"/>
      <c r="Z1550" s="114"/>
      <c r="AA1550" s="114"/>
      <c r="AB1550" s="85"/>
      <c r="AC1550" s="85"/>
      <c r="AD1550" s="85"/>
      <c r="AE1550" s="85"/>
    </row>
    <row r="1551" spans="3:31" x14ac:dyDescent="0.3">
      <c r="C1551" s="450"/>
      <c r="D1551" s="182"/>
      <c r="E1551" s="182"/>
      <c r="F1551" s="182"/>
      <c r="G1551" s="450" t="str">
        <f t="shared" si="73"/>
        <v>--</v>
      </c>
      <c r="H1551" s="182"/>
      <c r="I1551" s="892"/>
      <c r="J1551" s="288"/>
      <c r="K1551" s="182"/>
      <c r="L1551" s="181"/>
      <c r="M1551" s="181"/>
      <c r="N1551" s="892"/>
      <c r="O1551" s="892"/>
      <c r="P1551" s="258" t="s">
        <v>190</v>
      </c>
      <c r="Q1551" s="882">
        <v>0</v>
      </c>
      <c r="R1551" s="114"/>
      <c r="S1551" s="114"/>
      <c r="T1551" s="114"/>
      <c r="U1551" s="884"/>
      <c r="V1551" s="114"/>
      <c r="W1551" s="270"/>
      <c r="X1551" s="270"/>
      <c r="Y1551" s="270"/>
      <c r="Z1551" s="114"/>
      <c r="AA1551" s="114"/>
      <c r="AB1551" s="85"/>
      <c r="AC1551" s="85"/>
      <c r="AD1551" s="85"/>
      <c r="AE1551" s="85"/>
    </row>
    <row r="1552" spans="3:31" x14ac:dyDescent="0.3">
      <c r="C1552" s="450"/>
      <c r="D1552" s="182"/>
      <c r="E1552" s="182"/>
      <c r="F1552" s="182"/>
      <c r="G1552" s="450" t="str">
        <f t="shared" si="73"/>
        <v>--</v>
      </c>
      <c r="H1552" s="182"/>
      <c r="I1552" s="892"/>
      <c r="J1552" s="288"/>
      <c r="K1552" s="182"/>
      <c r="L1552" s="181"/>
      <c r="M1552" s="181"/>
      <c r="N1552" s="892"/>
      <c r="O1552" s="892"/>
      <c r="P1552" s="263" t="s">
        <v>46</v>
      </c>
      <c r="Q1552" s="897">
        <f>SUM(Q1546:Q1551)</f>
        <v>1</v>
      </c>
      <c r="R1552" s="899"/>
      <c r="S1552" s="899"/>
      <c r="T1552" s="899"/>
      <c r="U1552" s="900"/>
      <c r="V1552" s="114"/>
      <c r="W1552" s="270"/>
      <c r="X1552" s="270"/>
      <c r="Y1552" s="270"/>
      <c r="Z1552" s="114"/>
      <c r="AA1552" s="114"/>
      <c r="AB1552" s="85"/>
      <c r="AC1552" s="85"/>
      <c r="AD1552" s="85"/>
      <c r="AE1552" s="85"/>
    </row>
    <row r="1553" spans="3:31" x14ac:dyDescent="0.3">
      <c r="C1553" s="450"/>
      <c r="D1553" s="182"/>
      <c r="E1553" s="182"/>
      <c r="F1553" s="182"/>
      <c r="G1553" s="450" t="str">
        <f t="shared" si="73"/>
        <v>--</v>
      </c>
      <c r="H1553" s="182"/>
      <c r="I1553" s="892"/>
      <c r="J1553" s="288"/>
      <c r="K1553" s="182"/>
      <c r="L1553" s="181"/>
      <c r="M1553" s="181"/>
      <c r="N1553" s="892"/>
      <c r="O1553" s="892"/>
      <c r="P1553" s="262"/>
      <c r="Q1553" s="114"/>
      <c r="R1553" s="114"/>
      <c r="S1553" s="114"/>
      <c r="T1553" s="114"/>
      <c r="U1553" s="114"/>
      <c r="V1553" s="114"/>
      <c r="W1553" s="270"/>
      <c r="X1553" s="270"/>
      <c r="Y1553" s="270"/>
      <c r="Z1553" s="114"/>
      <c r="AA1553" s="114"/>
      <c r="AB1553" s="85"/>
      <c r="AC1553" s="85"/>
      <c r="AD1553" s="85"/>
      <c r="AE1553" s="85"/>
    </row>
    <row r="1554" spans="3:31" ht="15" thickBot="1" x14ac:dyDescent="0.35">
      <c r="C1554" s="450"/>
      <c r="D1554" s="182"/>
      <c r="E1554" s="182"/>
      <c r="F1554" s="182"/>
      <c r="G1554" s="450" t="str">
        <f t="shared" si="73"/>
        <v>--</v>
      </c>
      <c r="H1554" s="182"/>
      <c r="I1554" s="892"/>
      <c r="J1554" s="892"/>
      <c r="K1554" s="182"/>
      <c r="L1554" s="182"/>
      <c r="M1554" s="901" t="s">
        <v>155</v>
      </c>
      <c r="N1554" s="870" t="s">
        <v>188</v>
      </c>
      <c r="O1554" s="870"/>
      <c r="P1554" s="265" t="s">
        <v>33</v>
      </c>
      <c r="Q1554" s="871" t="s">
        <v>155</v>
      </c>
      <c r="R1554" s="872" t="s">
        <v>168</v>
      </c>
      <c r="S1554" s="872" t="s">
        <v>169</v>
      </c>
      <c r="T1554" s="872" t="s">
        <v>170</v>
      </c>
      <c r="U1554" s="872" t="s">
        <v>171</v>
      </c>
      <c r="V1554" s="902"/>
      <c r="W1554" s="902"/>
      <c r="X1554" s="874"/>
      <c r="Y1554" s="270"/>
      <c r="Z1554" s="114"/>
      <c r="AA1554" s="114"/>
      <c r="AB1554" s="85"/>
      <c r="AC1554" s="85"/>
      <c r="AD1554" s="85"/>
      <c r="AE1554" s="85"/>
    </row>
    <row r="1555" spans="3:31" ht="15" thickBot="1" x14ac:dyDescent="0.35">
      <c r="C1555" s="566" t="s">
        <v>422</v>
      </c>
      <c r="D1555" s="875" t="str">
        <f>VLOOKUP(C1555,'Airport Mapping'!$C$5:$D$39,2,FALSE)</f>
        <v xml:space="preserve"> </v>
      </c>
      <c r="E1555" s="567" t="s">
        <v>37</v>
      </c>
      <c r="F1555" s="567" t="s">
        <v>33</v>
      </c>
      <c r="G1555" s="450" t="str">
        <f t="shared" si="73"/>
        <v>Ground Transportation B-Restrooms-Faucets</v>
      </c>
      <c r="H1555" s="567" t="s">
        <v>3</v>
      </c>
      <c r="I1555" s="877" t="s">
        <v>64</v>
      </c>
      <c r="J1555" s="878">
        <f>SUMIFS('Level of Efficiency Assumptions'!J:J,'Level of Efficiency Assumptions'!D:D,E1555,'Level of Efficiency Assumptions'!F:F,F1555,'Level of Efficiency Assumptions'!I:I,I1555)</f>
        <v>2</v>
      </c>
      <c r="K1555" s="383" t="s">
        <v>78</v>
      </c>
      <c r="L1555" s="253" t="s">
        <v>64</v>
      </c>
      <c r="M1555" s="879">
        <f>Q1555+Q1556</f>
        <v>0</v>
      </c>
      <c r="N1555" s="880">
        <f>IFERROR(M1555/M1558,"-")</f>
        <v>0</v>
      </c>
      <c r="O1555" s="881">
        <f>SUMIFS('Data Entry'!R:R,'Data Entry'!K:K,G1555)</f>
        <v>0</v>
      </c>
      <c r="P1555" s="266" t="s">
        <v>180</v>
      </c>
      <c r="Q1555" s="895">
        <v>0</v>
      </c>
      <c r="R1555" s="883"/>
      <c r="S1555" s="883"/>
      <c r="T1555" s="883"/>
      <c r="U1555" s="883"/>
      <c r="V1555" s="114" t="s">
        <v>182</v>
      </c>
      <c r="W1555" s="114"/>
      <c r="X1555" s="884"/>
      <c r="Y1555" s="270"/>
      <c r="Z1555" s="114"/>
      <c r="AA1555" s="114"/>
      <c r="AB1555" s="85"/>
      <c r="AC1555" s="85"/>
      <c r="AD1555" s="85"/>
      <c r="AE1555" s="85"/>
    </row>
    <row r="1556" spans="3:31" ht="15" thickBot="1" x14ac:dyDescent="0.35">
      <c r="C1556" s="494" t="s">
        <v>422</v>
      </c>
      <c r="D1556" s="577"/>
      <c r="E1556" s="577" t="s">
        <v>37</v>
      </c>
      <c r="F1556" s="577" t="s">
        <v>33</v>
      </c>
      <c r="G1556" s="450" t="str">
        <f t="shared" si="73"/>
        <v>Ground Transportation B-Restrooms-Faucets</v>
      </c>
      <c r="H1556" s="577"/>
      <c r="I1556" s="887" t="s">
        <v>65</v>
      </c>
      <c r="J1556" s="878">
        <f>SUMIFS('Level of Efficiency Assumptions'!J:J,'Level of Efficiency Assumptions'!D:D,E1556,'Level of Efficiency Assumptions'!F:F,F1556,'Level of Efficiency Assumptions'!I:I,I1556)</f>
        <v>1</v>
      </c>
      <c r="K1556" s="383" t="s">
        <v>78</v>
      </c>
      <c r="L1556" s="255" t="s">
        <v>65</v>
      </c>
      <c r="M1556" s="879">
        <f>Q1557+Q1558</f>
        <v>1</v>
      </c>
      <c r="N1556" s="880">
        <f>IFERROR(M1556/M1558,"-")</f>
        <v>1</v>
      </c>
      <c r="O1556" s="881">
        <f>SUMIFS('Data Entry'!S:S,'Data Entry'!K:K,G1556)</f>
        <v>0</v>
      </c>
      <c r="P1556" s="266" t="s">
        <v>178</v>
      </c>
      <c r="Q1556" s="895">
        <v>0</v>
      </c>
      <c r="R1556" s="883"/>
      <c r="S1556" s="883"/>
      <c r="T1556" s="883"/>
      <c r="U1556" s="883"/>
      <c r="V1556" s="114" t="s">
        <v>184</v>
      </c>
      <c r="W1556" s="114"/>
      <c r="X1556" s="884"/>
      <c r="Y1556" s="270"/>
      <c r="Z1556" s="114"/>
      <c r="AA1556" s="114"/>
      <c r="AB1556" s="85"/>
      <c r="AC1556" s="85"/>
      <c r="AD1556" s="85"/>
      <c r="AE1556" s="85"/>
    </row>
    <row r="1557" spans="3:31" ht="15" thickBot="1" x14ac:dyDescent="0.35">
      <c r="C1557" s="501" t="s">
        <v>422</v>
      </c>
      <c r="D1557" s="116"/>
      <c r="E1557" s="116" t="s">
        <v>37</v>
      </c>
      <c r="F1557" s="116" t="s">
        <v>33</v>
      </c>
      <c r="G1557" s="450" t="str">
        <f t="shared" si="73"/>
        <v>Ground Transportation B-Restrooms-Faucets</v>
      </c>
      <c r="H1557" s="116"/>
      <c r="I1557" s="889" t="s">
        <v>66</v>
      </c>
      <c r="J1557" s="890">
        <f>SUMIFS('Level of Efficiency Assumptions'!J:J,'Level of Efficiency Assumptions'!D:D,E1557,'Level of Efficiency Assumptions'!F:F,F1557,'Level of Efficiency Assumptions'!I:I,I1557)</f>
        <v>0.5</v>
      </c>
      <c r="K1557" s="383" t="s">
        <v>78</v>
      </c>
      <c r="L1557" s="257" t="s">
        <v>66</v>
      </c>
      <c r="M1557" s="879">
        <f>Q1559</f>
        <v>0</v>
      </c>
      <c r="N1557" s="880">
        <f>IFERROR(M1557/M1558,"-")</f>
        <v>0</v>
      </c>
      <c r="O1557" s="881">
        <f>SUMIFS('Data Entry'!T:T,'Data Entry'!K:K,G1557)</f>
        <v>0</v>
      </c>
      <c r="P1557" s="267" t="s">
        <v>176</v>
      </c>
      <c r="Q1557" s="895">
        <v>1</v>
      </c>
      <c r="R1557" s="883"/>
      <c r="S1557" s="883"/>
      <c r="T1557" s="883"/>
      <c r="U1557" s="883"/>
      <c r="V1557" s="114" t="s">
        <v>185</v>
      </c>
      <c r="W1557" s="114"/>
      <c r="X1557" s="884"/>
      <c r="Y1557" s="270"/>
      <c r="Z1557" s="114"/>
      <c r="AA1557" s="114"/>
      <c r="AB1557" s="85"/>
      <c r="AC1557" s="85"/>
      <c r="AD1557" s="85"/>
      <c r="AE1557" s="85"/>
    </row>
    <row r="1558" spans="3:31" x14ac:dyDescent="0.3">
      <c r="C1558" s="450"/>
      <c r="D1558" s="182"/>
      <c r="E1558" s="182"/>
      <c r="F1558" s="182"/>
      <c r="G1558" s="450" t="str">
        <f t="shared" si="73"/>
        <v>--</v>
      </c>
      <c r="H1558" s="182"/>
      <c r="I1558" s="440"/>
      <c r="J1558" s="892"/>
      <c r="K1558" s="259"/>
      <c r="L1558" s="259" t="s">
        <v>46</v>
      </c>
      <c r="M1558" s="893">
        <f>SUM(M1555:M1557)</f>
        <v>1</v>
      </c>
      <c r="N1558" s="894"/>
      <c r="O1558" s="894">
        <f>SUM(O1555:O1557)</f>
        <v>0</v>
      </c>
      <c r="P1558" s="256" t="s">
        <v>173</v>
      </c>
      <c r="Q1558" s="895">
        <v>0</v>
      </c>
      <c r="R1558" s="883"/>
      <c r="S1558" s="883"/>
      <c r="T1558" s="883"/>
      <c r="U1558" s="883"/>
      <c r="V1558" s="114" t="s">
        <v>186</v>
      </c>
      <c r="W1558" s="114"/>
      <c r="X1558" s="884"/>
      <c r="Y1558" s="270"/>
      <c r="Z1558" s="114"/>
      <c r="AA1558" s="114"/>
      <c r="AB1558" s="85"/>
      <c r="AC1558" s="85"/>
      <c r="AD1558" s="85"/>
      <c r="AE1558" s="85"/>
    </row>
    <row r="1559" spans="3:31" x14ac:dyDescent="0.3">
      <c r="C1559" s="450"/>
      <c r="D1559" s="182"/>
      <c r="E1559" s="182"/>
      <c r="F1559" s="182"/>
      <c r="G1559" s="450" t="str">
        <f t="shared" si="73"/>
        <v>--</v>
      </c>
      <c r="H1559" s="182"/>
      <c r="I1559" s="892"/>
      <c r="J1559" s="288"/>
      <c r="K1559" s="182"/>
      <c r="L1559" s="114"/>
      <c r="M1559" s="114"/>
      <c r="N1559" s="905"/>
      <c r="O1559" s="905"/>
      <c r="P1559" s="258" t="s">
        <v>172</v>
      </c>
      <c r="Q1559" s="895">
        <v>0</v>
      </c>
      <c r="R1559" s="883"/>
      <c r="S1559" s="883"/>
      <c r="T1559" s="883"/>
      <c r="U1559" s="883"/>
      <c r="V1559" s="114"/>
      <c r="W1559" s="114"/>
      <c r="X1559" s="884"/>
      <c r="Y1559" s="270"/>
      <c r="Z1559" s="114"/>
      <c r="AA1559" s="114"/>
      <c r="AB1559" s="85"/>
      <c r="AC1559" s="85"/>
      <c r="AD1559" s="85"/>
      <c r="AE1559" s="85"/>
    </row>
    <row r="1560" spans="3:31" x14ac:dyDescent="0.3">
      <c r="C1560" s="450"/>
      <c r="D1560" s="182"/>
      <c r="E1560" s="182"/>
      <c r="F1560" s="182"/>
      <c r="G1560" s="450" t="str">
        <f t="shared" si="73"/>
        <v>--</v>
      </c>
      <c r="H1560" s="182"/>
      <c r="I1560" s="892"/>
      <c r="J1560" s="288"/>
      <c r="K1560" s="182"/>
      <c r="L1560" s="181"/>
      <c r="M1560" s="181"/>
      <c r="N1560" s="892"/>
      <c r="O1560" s="892"/>
      <c r="P1560" s="263" t="s">
        <v>46</v>
      </c>
      <c r="Q1560" s="897">
        <f>SUM(Q1554:Q1559)</f>
        <v>1</v>
      </c>
      <c r="R1560" s="899"/>
      <c r="S1560" s="899"/>
      <c r="T1560" s="899"/>
      <c r="U1560" s="899"/>
      <c r="V1560" s="899"/>
      <c r="W1560" s="899"/>
      <c r="X1560" s="900"/>
      <c r="Y1560" s="270"/>
      <c r="Z1560" s="114"/>
      <c r="AA1560" s="114"/>
      <c r="AB1560" s="85"/>
      <c r="AC1560" s="85"/>
      <c r="AD1560" s="85"/>
      <c r="AE1560" s="85"/>
    </row>
    <row r="1561" spans="3:31" x14ac:dyDescent="0.3">
      <c r="C1561" s="450"/>
      <c r="D1561" s="182"/>
      <c r="E1561" s="182"/>
      <c r="F1561" s="182"/>
      <c r="G1561" s="450" t="str">
        <f t="shared" si="73"/>
        <v>--</v>
      </c>
      <c r="H1561" s="182"/>
      <c r="I1561" s="892"/>
      <c r="J1561" s="288"/>
      <c r="K1561" s="182"/>
      <c r="L1561" s="181"/>
      <c r="M1561" s="181"/>
      <c r="N1561" s="892"/>
      <c r="O1561" s="892"/>
      <c r="P1561" s="262"/>
      <c r="Q1561" s="114"/>
      <c r="R1561" s="114"/>
      <c r="S1561" s="114"/>
      <c r="T1561" s="114"/>
      <c r="U1561" s="114"/>
      <c r="V1561" s="114"/>
      <c r="W1561" s="270"/>
      <c r="X1561" s="270"/>
      <c r="Y1561" s="270"/>
      <c r="Z1561" s="114"/>
      <c r="AA1561" s="114"/>
      <c r="AB1561" s="85"/>
      <c r="AC1561" s="85"/>
      <c r="AD1561" s="85"/>
      <c r="AE1561" s="85"/>
    </row>
    <row r="1562" spans="3:31" ht="15" thickBot="1" x14ac:dyDescent="0.35">
      <c r="C1562" s="450"/>
      <c r="D1562" s="182"/>
      <c r="E1562" s="182"/>
      <c r="F1562" s="182"/>
      <c r="G1562" s="450" t="str">
        <f t="shared" si="73"/>
        <v>--</v>
      </c>
      <c r="H1562" s="182"/>
      <c r="I1562" s="892"/>
      <c r="J1562" s="892"/>
      <c r="K1562" s="182"/>
      <c r="L1562" s="182"/>
      <c r="M1562" s="901" t="s">
        <v>155</v>
      </c>
      <c r="N1562" s="870" t="s">
        <v>188</v>
      </c>
      <c r="O1562" s="870"/>
      <c r="P1562" s="265" t="s">
        <v>33</v>
      </c>
      <c r="Q1562" s="871" t="s">
        <v>155</v>
      </c>
      <c r="R1562" s="872" t="s">
        <v>168</v>
      </c>
      <c r="S1562" s="872" t="s">
        <v>169</v>
      </c>
      <c r="T1562" s="872" t="s">
        <v>170</v>
      </c>
      <c r="U1562" s="872" t="s">
        <v>171</v>
      </c>
      <c r="V1562" s="902"/>
      <c r="W1562" s="902"/>
      <c r="X1562" s="874"/>
      <c r="Y1562" s="270"/>
      <c r="Z1562" s="114"/>
      <c r="AA1562" s="114"/>
      <c r="AB1562" s="85"/>
      <c r="AC1562" s="85"/>
      <c r="AD1562" s="85"/>
      <c r="AE1562" s="85"/>
    </row>
    <row r="1563" spans="3:31" ht="15" thickBot="1" x14ac:dyDescent="0.35">
      <c r="C1563" s="566" t="s">
        <v>422</v>
      </c>
      <c r="D1563" s="875" t="str">
        <f>VLOOKUP(C1563,'Airport Mapping'!$C$5:$D$39,2,FALSE)</f>
        <v xml:space="preserve"> </v>
      </c>
      <c r="E1563" s="567" t="s">
        <v>5</v>
      </c>
      <c r="F1563" s="567" t="s">
        <v>33</v>
      </c>
      <c r="G1563" s="450" t="str">
        <f t="shared" si="73"/>
        <v>Ground Transportation B-Break rooms-Faucets</v>
      </c>
      <c r="H1563" s="567" t="s">
        <v>6</v>
      </c>
      <c r="I1563" s="877" t="s">
        <v>64</v>
      </c>
      <c r="J1563" s="878">
        <f>SUMIFS('Level of Efficiency Assumptions'!J:J,'Level of Efficiency Assumptions'!D:D,E1563,'Level of Efficiency Assumptions'!F:F,F1563,'Level of Efficiency Assumptions'!I:I,I1563)</f>
        <v>2</v>
      </c>
      <c r="K1563" s="383" t="s">
        <v>78</v>
      </c>
      <c r="L1563" s="253" t="s">
        <v>64</v>
      </c>
      <c r="M1563" s="879">
        <f>Q1563+Q1564</f>
        <v>0</v>
      </c>
      <c r="N1563" s="880">
        <f>IFERROR(M1563/M1566,"-")</f>
        <v>0</v>
      </c>
      <c r="O1563" s="881">
        <f>SUMIFS('Data Entry'!R:R,'Data Entry'!K:K,G1563)</f>
        <v>0</v>
      </c>
      <c r="P1563" s="266" t="s">
        <v>180</v>
      </c>
      <c r="Q1563" s="895">
        <v>0</v>
      </c>
      <c r="R1563" s="883"/>
      <c r="S1563" s="883"/>
      <c r="T1563" s="883"/>
      <c r="U1563" s="883"/>
      <c r="V1563" s="114" t="s">
        <v>182</v>
      </c>
      <c r="W1563" s="114"/>
      <c r="X1563" s="884"/>
      <c r="Y1563" s="270"/>
      <c r="Z1563" s="114"/>
      <c r="AA1563" s="114"/>
      <c r="AB1563" s="85"/>
      <c r="AC1563" s="85"/>
      <c r="AD1563" s="85"/>
      <c r="AE1563" s="85"/>
    </row>
    <row r="1564" spans="3:31" ht="15" thickBot="1" x14ac:dyDescent="0.35">
      <c r="C1564" s="494" t="s">
        <v>422</v>
      </c>
      <c r="D1564" s="577"/>
      <c r="E1564" s="577" t="s">
        <v>5</v>
      </c>
      <c r="F1564" s="577" t="s">
        <v>33</v>
      </c>
      <c r="G1564" s="450" t="str">
        <f t="shared" si="73"/>
        <v>Ground Transportation B-Break rooms-Faucets</v>
      </c>
      <c r="H1564" s="577"/>
      <c r="I1564" s="887" t="s">
        <v>65</v>
      </c>
      <c r="J1564" s="878">
        <f>SUMIFS('Level of Efficiency Assumptions'!J:J,'Level of Efficiency Assumptions'!D:D,E1564,'Level of Efficiency Assumptions'!F:F,F1564,'Level of Efficiency Assumptions'!I:I,I1564)</f>
        <v>1</v>
      </c>
      <c r="K1564" s="383" t="s">
        <v>78</v>
      </c>
      <c r="L1564" s="255" t="s">
        <v>65</v>
      </c>
      <c r="M1564" s="879">
        <f>Q1565+Q1566</f>
        <v>1</v>
      </c>
      <c r="N1564" s="880">
        <f>IFERROR(M1564/M1566,"-")</f>
        <v>1</v>
      </c>
      <c r="O1564" s="881">
        <f>SUMIFS('Data Entry'!S:S,'Data Entry'!K:K,G1564)</f>
        <v>0</v>
      </c>
      <c r="P1564" s="266" t="s">
        <v>178</v>
      </c>
      <c r="Q1564" s="895">
        <v>0</v>
      </c>
      <c r="R1564" s="883"/>
      <c r="S1564" s="883"/>
      <c r="T1564" s="883"/>
      <c r="U1564" s="883"/>
      <c r="V1564" s="114" t="s">
        <v>184</v>
      </c>
      <c r="W1564" s="114"/>
      <c r="X1564" s="884"/>
      <c r="Y1564" s="270"/>
      <c r="Z1564" s="114"/>
      <c r="AA1564" s="114"/>
      <c r="AB1564" s="85"/>
      <c r="AC1564" s="85"/>
      <c r="AD1564" s="85"/>
      <c r="AE1564" s="85"/>
    </row>
    <row r="1565" spans="3:31" ht="15" thickBot="1" x14ac:dyDescent="0.35">
      <c r="C1565" s="501" t="s">
        <v>422</v>
      </c>
      <c r="D1565" s="116"/>
      <c r="E1565" s="116" t="s">
        <v>5</v>
      </c>
      <c r="F1565" s="116" t="s">
        <v>33</v>
      </c>
      <c r="G1565" s="450" t="str">
        <f t="shared" si="73"/>
        <v>Ground Transportation B-Break rooms-Faucets</v>
      </c>
      <c r="H1565" s="116"/>
      <c r="I1565" s="889" t="s">
        <v>66</v>
      </c>
      <c r="J1565" s="890">
        <f>SUMIFS('Level of Efficiency Assumptions'!J:J,'Level of Efficiency Assumptions'!D:D,E1565,'Level of Efficiency Assumptions'!F:F,F1565,'Level of Efficiency Assumptions'!I:I,I1565)</f>
        <v>0.5</v>
      </c>
      <c r="K1565" s="383" t="s">
        <v>78</v>
      </c>
      <c r="L1565" s="257" t="s">
        <v>66</v>
      </c>
      <c r="M1565" s="879">
        <f>Q1567</f>
        <v>0</v>
      </c>
      <c r="N1565" s="880">
        <f>IFERROR(M1565/M1566,"-")</f>
        <v>0</v>
      </c>
      <c r="O1565" s="881">
        <f>SUMIFS('Data Entry'!T:T,'Data Entry'!K:K,G1565)</f>
        <v>0</v>
      </c>
      <c r="P1565" s="267" t="s">
        <v>176</v>
      </c>
      <c r="Q1565" s="895">
        <v>1</v>
      </c>
      <c r="R1565" s="883"/>
      <c r="S1565" s="883"/>
      <c r="T1565" s="883"/>
      <c r="U1565" s="883"/>
      <c r="V1565" s="114" t="s">
        <v>185</v>
      </c>
      <c r="W1565" s="114"/>
      <c r="X1565" s="884"/>
      <c r="Y1565" s="270"/>
      <c r="Z1565" s="114"/>
      <c r="AA1565" s="114"/>
      <c r="AB1565" s="85"/>
      <c r="AC1565" s="85"/>
      <c r="AD1565" s="85"/>
      <c r="AE1565" s="85"/>
    </row>
    <row r="1566" spans="3:31" x14ac:dyDescent="0.3">
      <c r="C1566" s="450"/>
      <c r="D1566" s="182"/>
      <c r="E1566" s="182"/>
      <c r="F1566" s="182"/>
      <c r="G1566" s="450" t="str">
        <f t="shared" si="73"/>
        <v>--</v>
      </c>
      <c r="H1566" s="182"/>
      <c r="I1566" s="440"/>
      <c r="J1566" s="892"/>
      <c r="K1566" s="259"/>
      <c r="L1566" s="259" t="s">
        <v>46</v>
      </c>
      <c r="M1566" s="893">
        <f>SUM(M1563:M1565)</f>
        <v>1</v>
      </c>
      <c r="N1566" s="894"/>
      <c r="O1566" s="894">
        <f>SUM(O1563:O1565)</f>
        <v>0</v>
      </c>
      <c r="P1566" s="256" t="s">
        <v>173</v>
      </c>
      <c r="Q1566" s="895">
        <v>0</v>
      </c>
      <c r="R1566" s="883"/>
      <c r="S1566" s="883"/>
      <c r="T1566" s="883"/>
      <c r="U1566" s="883"/>
      <c r="V1566" s="114" t="s">
        <v>186</v>
      </c>
      <c r="W1566" s="114"/>
      <c r="X1566" s="884"/>
      <c r="Y1566" s="270"/>
      <c r="Z1566" s="114"/>
      <c r="AA1566" s="114"/>
      <c r="AB1566" s="85"/>
      <c r="AC1566" s="85"/>
      <c r="AD1566" s="85"/>
      <c r="AE1566" s="85"/>
    </row>
    <row r="1567" spans="3:31" x14ac:dyDescent="0.3">
      <c r="C1567" s="450"/>
      <c r="D1567" s="182"/>
      <c r="E1567" s="182"/>
      <c r="F1567" s="182"/>
      <c r="G1567" s="450" t="str">
        <f t="shared" si="73"/>
        <v>--</v>
      </c>
      <c r="H1567" s="182"/>
      <c r="I1567" s="892"/>
      <c r="J1567" s="288"/>
      <c r="K1567" s="288"/>
      <c r="L1567" s="182"/>
      <c r="M1567" s="270"/>
      <c r="N1567" s="892"/>
      <c r="O1567" s="892"/>
      <c r="P1567" s="258" t="s">
        <v>172</v>
      </c>
      <c r="Q1567" s="895">
        <v>0</v>
      </c>
      <c r="R1567" s="883"/>
      <c r="S1567" s="883"/>
      <c r="T1567" s="883"/>
      <c r="U1567" s="883"/>
      <c r="V1567" s="114"/>
      <c r="W1567" s="114"/>
      <c r="X1567" s="884"/>
      <c r="Y1567" s="270"/>
      <c r="Z1567" s="114"/>
      <c r="AA1567" s="114"/>
      <c r="AB1567" s="85"/>
      <c r="AC1567" s="85"/>
      <c r="AD1567" s="85"/>
      <c r="AE1567" s="85"/>
    </row>
    <row r="1568" spans="3:31" x14ac:dyDescent="0.3">
      <c r="C1568" s="450"/>
      <c r="D1568" s="182"/>
      <c r="E1568" s="182"/>
      <c r="F1568" s="182"/>
      <c r="G1568" s="450" t="str">
        <f t="shared" si="73"/>
        <v>--</v>
      </c>
      <c r="H1568" s="182"/>
      <c r="I1568" s="892"/>
      <c r="J1568" s="288"/>
      <c r="K1568" s="288"/>
      <c r="L1568" s="182"/>
      <c r="M1568" s="270"/>
      <c r="N1568" s="892"/>
      <c r="O1568" s="892"/>
      <c r="P1568" s="263" t="s">
        <v>46</v>
      </c>
      <c r="Q1568" s="897">
        <f>SUM(Q1562:Q1567)</f>
        <v>1</v>
      </c>
      <c r="R1568" s="899"/>
      <c r="S1568" s="899"/>
      <c r="T1568" s="899"/>
      <c r="U1568" s="899"/>
      <c r="V1568" s="899"/>
      <c r="W1568" s="899"/>
      <c r="X1568" s="900"/>
      <c r="Y1568" s="270"/>
      <c r="Z1568" s="114"/>
      <c r="AA1568" s="114"/>
      <c r="AB1568" s="85"/>
      <c r="AC1568" s="85"/>
      <c r="AD1568" s="85"/>
      <c r="AE1568" s="85"/>
    </row>
    <row r="1569" spans="3:31" x14ac:dyDescent="0.3">
      <c r="C1569" s="450"/>
      <c r="D1569" s="182"/>
      <c r="E1569" s="182"/>
      <c r="F1569" s="182"/>
      <c r="G1569" s="450" t="str">
        <f t="shared" si="73"/>
        <v>--</v>
      </c>
      <c r="H1569" s="182"/>
      <c r="I1569" s="892"/>
      <c r="J1569" s="288"/>
      <c r="K1569" s="288"/>
      <c r="L1569" s="182"/>
      <c r="M1569" s="270"/>
      <c r="N1569" s="892"/>
      <c r="O1569" s="892"/>
      <c r="P1569" s="259"/>
      <c r="Q1569" s="114"/>
      <c r="R1569" s="114"/>
      <c r="S1569" s="114"/>
      <c r="T1569" s="114"/>
      <c r="U1569" s="114"/>
      <c r="V1569" s="114"/>
      <c r="W1569" s="270"/>
      <c r="X1569" s="270"/>
      <c r="Y1569" s="270"/>
      <c r="Z1569" s="114"/>
      <c r="AA1569" s="114"/>
      <c r="AB1569" s="85"/>
      <c r="AC1569" s="85"/>
      <c r="AD1569" s="85"/>
      <c r="AE1569" s="85"/>
    </row>
    <row r="1570" spans="3:31" x14ac:dyDescent="0.3">
      <c r="C1570" s="450"/>
      <c r="D1570" s="182"/>
      <c r="E1570" s="182"/>
      <c r="F1570" s="182"/>
      <c r="G1570" s="450" t="str">
        <f t="shared" si="73"/>
        <v>--</v>
      </c>
      <c r="H1570" s="182"/>
      <c r="I1570" s="892"/>
      <c r="J1570" s="288"/>
      <c r="K1570" s="288"/>
      <c r="L1570" s="182"/>
      <c r="M1570" s="270"/>
      <c r="N1570" s="892"/>
      <c r="O1570" s="892"/>
      <c r="P1570" s="276" t="s">
        <v>42</v>
      </c>
      <c r="Q1570" s="902"/>
      <c r="R1570" s="902"/>
      <c r="S1570" s="902"/>
      <c r="T1570" s="271"/>
      <c r="U1570" s="114"/>
      <c r="V1570" s="114"/>
      <c r="W1570" s="270"/>
      <c r="X1570" s="270"/>
      <c r="Y1570" s="270"/>
      <c r="Z1570" s="114"/>
      <c r="AA1570" s="114"/>
      <c r="AB1570" s="85"/>
      <c r="AC1570" s="85"/>
      <c r="AD1570" s="85"/>
      <c r="AE1570" s="85"/>
    </row>
    <row r="1571" spans="3:31" ht="15" thickBot="1" x14ac:dyDescent="0.35">
      <c r="C1571" s="450"/>
      <c r="D1571" s="182"/>
      <c r="E1571" s="182"/>
      <c r="F1571" s="182"/>
      <c r="G1571" s="450" t="str">
        <f t="shared" si="73"/>
        <v>--</v>
      </c>
      <c r="H1571" s="182"/>
      <c r="I1571" s="892"/>
      <c r="J1571" s="892"/>
      <c r="K1571" s="182"/>
      <c r="L1571" s="182"/>
      <c r="M1571" s="901" t="s">
        <v>155</v>
      </c>
      <c r="N1571" s="870" t="s">
        <v>188</v>
      </c>
      <c r="O1571" s="870"/>
      <c r="P1571" s="277" t="s">
        <v>818</v>
      </c>
      <c r="Q1571" s="871" t="s">
        <v>155</v>
      </c>
      <c r="R1571" s="114"/>
      <c r="S1571" s="114"/>
      <c r="T1571" s="271"/>
      <c r="U1571" s="114"/>
      <c r="V1571" s="114"/>
      <c r="W1571" s="270"/>
      <c r="X1571" s="270"/>
      <c r="Y1571" s="270"/>
      <c r="Z1571" s="114"/>
      <c r="AA1571" s="114"/>
      <c r="AB1571" s="85"/>
      <c r="AC1571" s="85"/>
      <c r="AD1571" s="85"/>
      <c r="AE1571" s="85"/>
    </row>
    <row r="1572" spans="3:31" ht="15" thickBot="1" x14ac:dyDescent="0.35">
      <c r="C1572" s="566" t="s">
        <v>422</v>
      </c>
      <c r="D1572" s="875" t="str">
        <f>VLOOKUP(C1572,'Airport Mapping'!$C$5:$D$39,2,FALSE)</f>
        <v xml:space="preserve"> </v>
      </c>
      <c r="E1572" s="567" t="s">
        <v>39</v>
      </c>
      <c r="F1572" s="567" t="s">
        <v>42</v>
      </c>
      <c r="G1572" s="450" t="str">
        <f t="shared" si="73"/>
        <v>Ground Transportation B-Landscaping-Outdoor irrigation</v>
      </c>
      <c r="H1572" s="567" t="s">
        <v>32</v>
      </c>
      <c r="I1572" s="877" t="s">
        <v>64</v>
      </c>
      <c r="J1572" s="878">
        <f>SUMIFS('Level of Efficiency Assumptions'!J:J,'Level of Efficiency Assumptions'!D:D,E1572,'Level of Efficiency Assumptions'!F:F,F1572,'Level of Efficiency Assumptions'!I:I,I1572)</f>
        <v>28.6</v>
      </c>
      <c r="K1572" s="383" t="s">
        <v>816</v>
      </c>
      <c r="L1572" s="253" t="s">
        <v>64</v>
      </c>
      <c r="M1572" s="879">
        <f>SUM(Q1572:Q1573)</f>
        <v>0</v>
      </c>
      <c r="N1572" s="880">
        <f>IFERROR(M1572/M1575,"-")</f>
        <v>0</v>
      </c>
      <c r="O1572" s="881">
        <f>SUMIFS('Data Entry'!R:R,'Data Entry'!K:K,G1572)</f>
        <v>0</v>
      </c>
      <c r="P1572" s="272" t="s">
        <v>237</v>
      </c>
      <c r="Q1572" s="895">
        <v>0</v>
      </c>
      <c r="R1572" s="114"/>
      <c r="S1572" s="114"/>
      <c r="T1572" s="271"/>
      <c r="U1572" s="114"/>
      <c r="V1572" s="114"/>
      <c r="W1572" s="270"/>
      <c r="X1572" s="270"/>
      <c r="Y1572" s="270"/>
      <c r="Z1572" s="114"/>
      <c r="AA1572" s="114"/>
      <c r="AB1572" s="85"/>
      <c r="AC1572" s="85"/>
      <c r="AD1572" s="85"/>
      <c r="AE1572" s="85"/>
    </row>
    <row r="1573" spans="3:31" ht="15" thickBot="1" x14ac:dyDescent="0.35">
      <c r="C1573" s="494" t="s">
        <v>422</v>
      </c>
      <c r="D1573" s="577"/>
      <c r="E1573" s="577" t="s">
        <v>39</v>
      </c>
      <c r="F1573" s="577" t="s">
        <v>42</v>
      </c>
      <c r="G1573" s="450" t="str">
        <f t="shared" si="73"/>
        <v>Ground Transportation B-Landscaping-Outdoor irrigation</v>
      </c>
      <c r="H1573" s="577"/>
      <c r="I1573" s="887" t="s">
        <v>65</v>
      </c>
      <c r="J1573" s="878">
        <f>SUMIFS('Level of Efficiency Assumptions'!J:J,'Level of Efficiency Assumptions'!D:D,E1573,'Level of Efficiency Assumptions'!F:F,F1573,'Level of Efficiency Assumptions'!I:I,I1573)</f>
        <v>13.980821518350929</v>
      </c>
      <c r="K1573" s="383" t="s">
        <v>816</v>
      </c>
      <c r="L1573" s="255" t="s">
        <v>65</v>
      </c>
      <c r="M1573" s="879">
        <f>Q1574+Q1575</f>
        <v>1</v>
      </c>
      <c r="N1573" s="880">
        <f>IFERROR(M1573/M1575,"-")</f>
        <v>1</v>
      </c>
      <c r="O1573" s="881">
        <f>SUMIFS('Data Entry'!S:S,'Data Entry'!K:K,G1573)</f>
        <v>0</v>
      </c>
      <c r="P1573" s="272" t="s">
        <v>232</v>
      </c>
      <c r="Q1573" s="895">
        <v>0</v>
      </c>
      <c r="R1573" s="114"/>
      <c r="S1573" s="114"/>
      <c r="T1573" s="271"/>
      <c r="U1573" s="114"/>
      <c r="V1573" s="114"/>
      <c r="W1573" s="270"/>
      <c r="X1573" s="270"/>
      <c r="Y1573" s="270"/>
      <c r="Z1573" s="114"/>
      <c r="AA1573" s="114"/>
      <c r="AB1573" s="85"/>
      <c r="AC1573" s="85"/>
      <c r="AD1573" s="85"/>
      <c r="AE1573" s="85"/>
    </row>
    <row r="1574" spans="3:31" ht="15" thickBot="1" x14ac:dyDescent="0.35">
      <c r="C1574" s="501" t="s">
        <v>422</v>
      </c>
      <c r="D1574" s="116"/>
      <c r="E1574" s="116" t="s">
        <v>39</v>
      </c>
      <c r="F1574" s="116" t="s">
        <v>42</v>
      </c>
      <c r="G1574" s="450" t="str">
        <f t="shared" si="73"/>
        <v>Ground Transportation B-Landscaping-Outdoor irrigation</v>
      </c>
      <c r="H1574" s="116"/>
      <c r="I1574" s="889" t="s">
        <v>66</v>
      </c>
      <c r="J1574" s="890">
        <f>SUMIFS('Level of Efficiency Assumptions'!J:J,'Level of Efficiency Assumptions'!D:D,E1574,'Level of Efficiency Assumptions'!F:F,F1574,'Level of Efficiency Assumptions'!I:I,I1574)</f>
        <v>0.59137254901960778</v>
      </c>
      <c r="K1574" s="383" t="s">
        <v>816</v>
      </c>
      <c r="L1574" s="257" t="s">
        <v>66</v>
      </c>
      <c r="M1574" s="879">
        <f>Q1576+Q1577</f>
        <v>0</v>
      </c>
      <c r="N1574" s="880">
        <f>IFERROR(M1574/M1575,"-")</f>
        <v>0</v>
      </c>
      <c r="O1574" s="881">
        <f>SUMIFS('Data Entry'!T:T,'Data Entry'!K:K,G1574)</f>
        <v>0</v>
      </c>
      <c r="P1574" s="274" t="s">
        <v>231</v>
      </c>
      <c r="Q1574" s="895">
        <v>1</v>
      </c>
      <c r="R1574" s="114"/>
      <c r="S1574" s="114"/>
      <c r="T1574" s="271"/>
      <c r="U1574" s="114"/>
      <c r="V1574" s="114"/>
      <c r="W1574" s="270"/>
      <c r="X1574" s="270"/>
      <c r="Y1574" s="270"/>
      <c r="Z1574" s="114"/>
      <c r="AA1574" s="114"/>
      <c r="AB1574" s="85"/>
      <c r="AC1574" s="85"/>
      <c r="AD1574" s="85"/>
      <c r="AE1574" s="85"/>
    </row>
    <row r="1575" spans="3:31" x14ac:dyDescent="0.3">
      <c r="C1575" s="450"/>
      <c r="D1575" s="182"/>
      <c r="E1575" s="182"/>
      <c r="F1575" s="182"/>
      <c r="G1575" s="450" t="str">
        <f t="shared" si="73"/>
        <v>--</v>
      </c>
      <c r="H1575" s="182"/>
      <c r="I1575" s="440"/>
      <c r="J1575" s="892"/>
      <c r="K1575" s="259"/>
      <c r="L1575" s="259" t="s">
        <v>46</v>
      </c>
      <c r="M1575" s="893">
        <f>SUM(M1572:M1574)</f>
        <v>1</v>
      </c>
      <c r="N1575" s="894"/>
      <c r="O1575" s="894">
        <f>SUM(O1572:O1574)</f>
        <v>0</v>
      </c>
      <c r="P1575" s="274" t="s">
        <v>230</v>
      </c>
      <c r="Q1575" s="895">
        <v>0</v>
      </c>
      <c r="R1575" s="114"/>
      <c r="S1575" s="114"/>
      <c r="T1575" s="271"/>
      <c r="U1575" s="114"/>
      <c r="V1575" s="114"/>
      <c r="W1575" s="270"/>
      <c r="X1575" s="270"/>
      <c r="Y1575" s="270"/>
      <c r="Z1575" s="114"/>
      <c r="AA1575" s="114"/>
      <c r="AB1575" s="85"/>
      <c r="AC1575" s="85"/>
      <c r="AD1575" s="85"/>
      <c r="AE1575" s="85"/>
    </row>
    <row r="1576" spans="3:31" x14ac:dyDescent="0.3">
      <c r="C1576" s="450"/>
      <c r="D1576" s="182"/>
      <c r="E1576" s="182"/>
      <c r="F1576" s="182"/>
      <c r="G1576" s="450" t="str">
        <f t="shared" si="73"/>
        <v>--</v>
      </c>
      <c r="H1576" s="182"/>
      <c r="I1576" s="892"/>
      <c r="J1576" s="288"/>
      <c r="K1576" s="288"/>
      <c r="L1576" s="182"/>
      <c r="M1576" s="270"/>
      <c r="N1576" s="892"/>
      <c r="O1576" s="892"/>
      <c r="P1576" s="275" t="s">
        <v>229</v>
      </c>
      <c r="Q1576" s="895">
        <v>0</v>
      </c>
      <c r="R1576" s="114"/>
      <c r="S1576" s="114"/>
      <c r="T1576" s="271"/>
      <c r="U1576" s="114"/>
      <c r="V1576" s="114"/>
      <c r="W1576" s="270"/>
      <c r="X1576" s="270"/>
      <c r="Y1576" s="270"/>
      <c r="Z1576" s="114"/>
      <c r="AA1576" s="114"/>
      <c r="AB1576" s="85"/>
      <c r="AC1576" s="85"/>
      <c r="AD1576" s="85"/>
      <c r="AE1576" s="85"/>
    </row>
    <row r="1577" spans="3:31" x14ac:dyDescent="0.3">
      <c r="C1577" s="450"/>
      <c r="D1577" s="182"/>
      <c r="E1577" s="182"/>
      <c r="F1577" s="182"/>
      <c r="G1577" s="450" t="str">
        <f t="shared" si="73"/>
        <v>--</v>
      </c>
      <c r="H1577" s="182"/>
      <c r="I1577" s="892"/>
      <c r="J1577" s="288"/>
      <c r="K1577" s="288"/>
      <c r="L1577" s="182"/>
      <c r="M1577" s="270"/>
      <c r="N1577" s="892"/>
      <c r="O1577" s="892"/>
      <c r="P1577" s="269" t="s">
        <v>225</v>
      </c>
      <c r="Q1577" s="895">
        <v>0</v>
      </c>
      <c r="R1577" s="114"/>
      <c r="S1577" s="114"/>
      <c r="T1577" s="271"/>
      <c r="U1577" s="114"/>
      <c r="V1577" s="114"/>
      <c r="W1577" s="270"/>
      <c r="X1577" s="270"/>
      <c r="Y1577" s="270"/>
      <c r="Z1577" s="114"/>
      <c r="AA1577" s="114"/>
      <c r="AB1577" s="85"/>
      <c r="AC1577" s="85"/>
      <c r="AD1577" s="85"/>
      <c r="AE1577" s="85"/>
    </row>
    <row r="1578" spans="3:31" x14ac:dyDescent="0.3">
      <c r="C1578" s="450"/>
      <c r="D1578" s="182"/>
      <c r="E1578" s="182"/>
      <c r="F1578" s="182"/>
      <c r="G1578" s="450" t="str">
        <f t="shared" si="73"/>
        <v>--</v>
      </c>
      <c r="H1578" s="182"/>
      <c r="I1578" s="892"/>
      <c r="J1578" s="288"/>
      <c r="K1578" s="288"/>
      <c r="L1578" s="182"/>
      <c r="M1578" s="270"/>
      <c r="N1578" s="892"/>
      <c r="O1578" s="892"/>
      <c r="P1578" s="263" t="s">
        <v>46</v>
      </c>
      <c r="Q1578" s="897">
        <f>SUM(Q1572:Q1577)</f>
        <v>1</v>
      </c>
      <c r="R1578" s="899"/>
      <c r="S1578" s="899"/>
      <c r="T1578" s="271"/>
      <c r="U1578" s="114"/>
      <c r="V1578" s="114"/>
      <c r="W1578" s="270"/>
      <c r="X1578" s="270"/>
      <c r="Y1578" s="270"/>
      <c r="Z1578" s="114"/>
      <c r="AA1578" s="114"/>
      <c r="AB1578" s="85"/>
      <c r="AC1578" s="85"/>
      <c r="AD1578" s="85"/>
      <c r="AE1578" s="85"/>
    </row>
    <row r="1579" spans="3:31" x14ac:dyDescent="0.3">
      <c r="C1579" s="450"/>
      <c r="D1579" s="182"/>
      <c r="E1579" s="182"/>
      <c r="F1579" s="182"/>
      <c r="G1579" s="450" t="str">
        <f t="shared" si="73"/>
        <v>--</v>
      </c>
      <c r="H1579" s="182"/>
      <c r="I1579" s="892"/>
      <c r="J1579" s="288"/>
      <c r="K1579" s="288"/>
      <c r="L1579" s="182"/>
      <c r="M1579" s="270"/>
      <c r="N1579" s="892"/>
      <c r="O1579" s="892"/>
      <c r="P1579" s="259"/>
      <c r="Q1579" s="114"/>
      <c r="R1579" s="270"/>
      <c r="S1579" s="270"/>
      <c r="T1579" s="270"/>
      <c r="U1579" s="270"/>
      <c r="V1579" s="270"/>
      <c r="W1579" s="270"/>
      <c r="X1579" s="270"/>
      <c r="Y1579" s="270"/>
      <c r="Z1579" s="114"/>
      <c r="AA1579" s="114"/>
      <c r="AB1579" s="85"/>
      <c r="AC1579" s="85"/>
      <c r="AD1579" s="85"/>
      <c r="AE1579" s="85"/>
    </row>
    <row r="1580" spans="3:31" ht="15" thickBot="1" x14ac:dyDescent="0.35">
      <c r="C1580" s="450"/>
      <c r="D1580" s="182"/>
      <c r="E1580" s="182"/>
      <c r="F1580" s="182"/>
      <c r="G1580" s="450" t="str">
        <f t="shared" si="73"/>
        <v>--</v>
      </c>
      <c r="H1580" s="182"/>
      <c r="I1580" s="892"/>
      <c r="J1580" s="892"/>
      <c r="K1580" s="182"/>
      <c r="L1580" s="182"/>
      <c r="M1580" s="901" t="s">
        <v>155</v>
      </c>
      <c r="N1580" s="870" t="s">
        <v>188</v>
      </c>
      <c r="O1580" s="870"/>
      <c r="P1580" s="276" t="s">
        <v>111</v>
      </c>
      <c r="Q1580" s="871" t="s">
        <v>155</v>
      </c>
      <c r="R1580" s="902"/>
      <c r="S1580" s="874"/>
      <c r="T1580" s="270"/>
      <c r="U1580" s="270"/>
      <c r="V1580" s="270"/>
      <c r="W1580" s="270"/>
      <c r="X1580" s="270"/>
      <c r="Y1580" s="270"/>
      <c r="Z1580" s="114"/>
      <c r="AA1580" s="114"/>
      <c r="AB1580" s="85"/>
      <c r="AC1580" s="85"/>
      <c r="AD1580" s="85"/>
      <c r="AE1580" s="85"/>
    </row>
    <row r="1581" spans="3:31" ht="15" thickBot="1" x14ac:dyDescent="0.35">
      <c r="C1581" s="566" t="s">
        <v>422</v>
      </c>
      <c r="D1581" s="875" t="str">
        <f>VLOOKUP(C1581,'Airport Mapping'!$C$5:$D$39,2,FALSE)</f>
        <v xml:space="preserve"> </v>
      </c>
      <c r="E1581" s="567" t="s">
        <v>43</v>
      </c>
      <c r="F1581" s="567" t="s">
        <v>111</v>
      </c>
      <c r="G1581" s="450" t="str">
        <f t="shared" si="73"/>
        <v>Ground Transportation B-Maintenance-Boiler</v>
      </c>
      <c r="H1581" s="567" t="s">
        <v>424</v>
      </c>
      <c r="I1581" s="877" t="s">
        <v>64</v>
      </c>
      <c r="J1581" s="878">
        <f>SUMIFS('Level of Efficiency Assumptions'!J:J,'Level of Efficiency Assumptions'!D:D,E1581,'Level of Efficiency Assumptions'!F:F,F1581,'Level of Efficiency Assumptions'!I:I,I1581)</f>
        <v>100</v>
      </c>
      <c r="K1581" s="383" t="s">
        <v>585</v>
      </c>
      <c r="L1581" s="253" t="s">
        <v>64</v>
      </c>
      <c r="M1581" s="879">
        <f>SUM(Q1581:Q1582)</f>
        <v>0</v>
      </c>
      <c r="N1581" s="880">
        <f>IFERROR(M1581/M1584,"-")</f>
        <v>0</v>
      </c>
      <c r="O1581" s="881">
        <f>SUMIFS('Data Entry'!R:R,'Data Entry'!K:K,G1581)</f>
        <v>0</v>
      </c>
      <c r="P1581" s="272"/>
      <c r="Q1581" s="895">
        <v>0</v>
      </c>
      <c r="R1581" s="114"/>
      <c r="S1581" s="884"/>
      <c r="T1581" s="270"/>
      <c r="U1581" s="270"/>
      <c r="V1581" s="270"/>
      <c r="W1581" s="270"/>
      <c r="X1581" s="270"/>
      <c r="Y1581" s="270"/>
      <c r="Z1581" s="114"/>
      <c r="AA1581" s="114"/>
      <c r="AB1581" s="85"/>
      <c r="AC1581" s="85"/>
      <c r="AD1581" s="85"/>
      <c r="AE1581" s="85"/>
    </row>
    <row r="1582" spans="3:31" ht="15" thickBot="1" x14ac:dyDescent="0.35">
      <c r="C1582" s="494" t="s">
        <v>422</v>
      </c>
      <c r="D1582" s="577"/>
      <c r="E1582" s="577" t="s">
        <v>43</v>
      </c>
      <c r="F1582" s="577" t="s">
        <v>111</v>
      </c>
      <c r="G1582" s="450" t="str">
        <f t="shared" si="73"/>
        <v>Ground Transportation B-Maintenance-Boiler</v>
      </c>
      <c r="H1582" s="577"/>
      <c r="I1582" s="887" t="s">
        <v>65</v>
      </c>
      <c r="J1582" s="878">
        <f>SUMIFS('Level of Efficiency Assumptions'!J:J,'Level of Efficiency Assumptions'!D:D,E1582,'Level of Efficiency Assumptions'!F:F,F1582,'Level of Efficiency Assumptions'!I:I,I1582)</f>
        <v>75</v>
      </c>
      <c r="K1582" s="383" t="s">
        <v>585</v>
      </c>
      <c r="L1582" s="255" t="s">
        <v>65</v>
      </c>
      <c r="M1582" s="879">
        <f>Q1583+Q1584</f>
        <v>1</v>
      </c>
      <c r="N1582" s="880">
        <f>IFERROR(M1582/M1584,"-")</f>
        <v>1</v>
      </c>
      <c r="O1582" s="881">
        <f>SUMIFS('Data Entry'!S:S,'Data Entry'!K:K,G1582)</f>
        <v>0</v>
      </c>
      <c r="P1582" s="272"/>
      <c r="Q1582" s="895">
        <v>0</v>
      </c>
      <c r="R1582" s="114"/>
      <c r="S1582" s="884"/>
      <c r="T1582" s="270"/>
      <c r="U1582" s="270"/>
      <c r="V1582" s="270"/>
      <c r="W1582" s="270"/>
      <c r="X1582" s="270"/>
      <c r="Y1582" s="270"/>
      <c r="Z1582" s="114"/>
      <c r="AA1582" s="114"/>
      <c r="AB1582" s="85"/>
      <c r="AC1582" s="85"/>
      <c r="AD1582" s="85"/>
      <c r="AE1582" s="85"/>
    </row>
    <row r="1583" spans="3:31" ht="15" thickBot="1" x14ac:dyDescent="0.35">
      <c r="C1583" s="501" t="s">
        <v>422</v>
      </c>
      <c r="D1583" s="116"/>
      <c r="E1583" s="116" t="s">
        <v>43</v>
      </c>
      <c r="F1583" s="116" t="s">
        <v>111</v>
      </c>
      <c r="G1583" s="450" t="str">
        <f t="shared" si="73"/>
        <v>Ground Transportation B-Maintenance-Boiler</v>
      </c>
      <c r="H1583" s="116"/>
      <c r="I1583" s="889" t="s">
        <v>66</v>
      </c>
      <c r="J1583" s="890">
        <f>SUMIFS('Level of Efficiency Assumptions'!J:J,'Level of Efficiency Assumptions'!D:D,E1583,'Level of Efficiency Assumptions'!F:F,F1583,'Level of Efficiency Assumptions'!I:I,I1583)</f>
        <v>50</v>
      </c>
      <c r="K1583" s="383" t="s">
        <v>585</v>
      </c>
      <c r="L1583" s="257" t="s">
        <v>66</v>
      </c>
      <c r="M1583" s="879">
        <f>Q1585+Q1586</f>
        <v>0</v>
      </c>
      <c r="N1583" s="880">
        <f>IFERROR(M1583/M1584,"-")</f>
        <v>0</v>
      </c>
      <c r="O1583" s="881">
        <f>SUMIFS('Data Entry'!T:T,'Data Entry'!K:K,G1583)</f>
        <v>0</v>
      </c>
      <c r="P1583" s="274"/>
      <c r="Q1583" s="895">
        <v>1</v>
      </c>
      <c r="R1583" s="114"/>
      <c r="S1583" s="884"/>
      <c r="T1583" s="270"/>
      <c r="U1583" s="270"/>
      <c r="V1583" s="270"/>
      <c r="W1583" s="270"/>
      <c r="X1583" s="270"/>
      <c r="Y1583" s="270"/>
      <c r="Z1583" s="114"/>
      <c r="AA1583" s="114"/>
      <c r="AB1583" s="85"/>
      <c r="AC1583" s="85"/>
      <c r="AD1583" s="85"/>
      <c r="AE1583" s="85"/>
    </row>
    <row r="1584" spans="3:31" x14ac:dyDescent="0.3">
      <c r="C1584" s="450"/>
      <c r="D1584" s="182"/>
      <c r="E1584" s="182"/>
      <c r="F1584" s="182"/>
      <c r="G1584" s="450" t="str">
        <f t="shared" si="73"/>
        <v>--</v>
      </c>
      <c r="H1584" s="182"/>
      <c r="I1584" s="440"/>
      <c r="J1584" s="892"/>
      <c r="K1584" s="259"/>
      <c r="L1584" s="259" t="s">
        <v>46</v>
      </c>
      <c r="M1584" s="893">
        <f>SUM(M1581:M1583)</f>
        <v>1</v>
      </c>
      <c r="N1584" s="894"/>
      <c r="O1584" s="894">
        <f>SUM(O1581:O1583)</f>
        <v>0</v>
      </c>
      <c r="P1584" s="274"/>
      <c r="Q1584" s="895">
        <v>0</v>
      </c>
      <c r="R1584" s="114"/>
      <c r="S1584" s="884"/>
      <c r="T1584" s="270"/>
      <c r="U1584" s="270"/>
      <c r="V1584" s="270"/>
      <c r="W1584" s="270"/>
      <c r="X1584" s="270"/>
      <c r="Y1584" s="270"/>
      <c r="Z1584" s="114"/>
      <c r="AA1584" s="114"/>
      <c r="AB1584" s="85"/>
      <c r="AC1584" s="85"/>
      <c r="AD1584" s="85"/>
      <c r="AE1584" s="85"/>
    </row>
    <row r="1585" spans="3:31" x14ac:dyDescent="0.3">
      <c r="C1585" s="450"/>
      <c r="D1585" s="182"/>
      <c r="E1585" s="182"/>
      <c r="F1585" s="182"/>
      <c r="G1585" s="450" t="str">
        <f t="shared" si="73"/>
        <v>--</v>
      </c>
      <c r="H1585" s="182"/>
      <c r="I1585" s="892"/>
      <c r="J1585" s="288"/>
      <c r="K1585" s="288"/>
      <c r="L1585" s="182"/>
      <c r="M1585" s="270"/>
      <c r="N1585" s="892"/>
      <c r="O1585" s="892"/>
      <c r="P1585" s="275"/>
      <c r="Q1585" s="895">
        <v>0</v>
      </c>
      <c r="R1585" s="114"/>
      <c r="S1585" s="884"/>
      <c r="T1585" s="270"/>
      <c r="U1585" s="270"/>
      <c r="V1585" s="270"/>
      <c r="W1585" s="270"/>
      <c r="X1585" s="270"/>
      <c r="Y1585" s="270"/>
      <c r="Z1585" s="114"/>
      <c r="AA1585" s="114"/>
      <c r="AB1585" s="85"/>
      <c r="AC1585" s="85"/>
      <c r="AD1585" s="85"/>
      <c r="AE1585" s="85"/>
    </row>
    <row r="1586" spans="3:31" x14ac:dyDescent="0.3">
      <c r="C1586" s="450"/>
      <c r="D1586" s="182"/>
      <c r="E1586" s="182"/>
      <c r="F1586" s="182"/>
      <c r="G1586" s="450" t="str">
        <f t="shared" si="73"/>
        <v>--</v>
      </c>
      <c r="H1586" s="182"/>
      <c r="I1586" s="892"/>
      <c r="J1586" s="288"/>
      <c r="K1586" s="288"/>
      <c r="L1586" s="182"/>
      <c r="M1586" s="270"/>
      <c r="N1586" s="892"/>
      <c r="O1586" s="892"/>
      <c r="P1586" s="269"/>
      <c r="Q1586" s="895">
        <v>0</v>
      </c>
      <c r="R1586" s="114"/>
      <c r="S1586" s="884"/>
      <c r="T1586" s="270"/>
      <c r="U1586" s="270"/>
      <c r="V1586" s="270"/>
      <c r="W1586" s="270"/>
      <c r="X1586" s="270"/>
      <c r="Y1586" s="270"/>
      <c r="Z1586" s="114"/>
      <c r="AA1586" s="114"/>
      <c r="AB1586" s="85"/>
      <c r="AC1586" s="85"/>
      <c r="AD1586" s="85"/>
      <c r="AE1586" s="85"/>
    </row>
    <row r="1587" spans="3:31" x14ac:dyDescent="0.3">
      <c r="C1587" s="450"/>
      <c r="D1587" s="182"/>
      <c r="E1587" s="182"/>
      <c r="F1587" s="182"/>
      <c r="G1587" s="450" t="str">
        <f t="shared" si="73"/>
        <v>--</v>
      </c>
      <c r="H1587" s="182"/>
      <c r="I1587" s="892"/>
      <c r="J1587" s="288"/>
      <c r="K1587" s="288"/>
      <c r="L1587" s="182"/>
      <c r="M1587" s="270"/>
      <c r="N1587" s="892"/>
      <c r="O1587" s="892"/>
      <c r="P1587" s="263" t="s">
        <v>46</v>
      </c>
      <c r="Q1587" s="897">
        <f>SUM(Q1581:Q1586)</f>
        <v>1</v>
      </c>
      <c r="R1587" s="899"/>
      <c r="S1587" s="900"/>
      <c r="T1587" s="270"/>
      <c r="U1587" s="270"/>
      <c r="V1587" s="270"/>
      <c r="W1587" s="270"/>
      <c r="X1587" s="270"/>
      <c r="Y1587" s="270"/>
      <c r="Z1587" s="114"/>
      <c r="AA1587" s="114"/>
      <c r="AB1587" s="85"/>
      <c r="AC1587" s="85"/>
      <c r="AD1587" s="85"/>
      <c r="AE1587" s="85"/>
    </row>
    <row r="1588" spans="3:31" x14ac:dyDescent="0.3">
      <c r="C1588" s="450"/>
      <c r="D1588" s="288"/>
      <c r="E1588" s="288"/>
      <c r="F1588" s="288"/>
      <c r="G1588" s="450" t="str">
        <f t="shared" ref="G1588:G1647" si="74">C1588&amp;"-"&amp;E1588&amp;"-"&amp;F1588</f>
        <v>--</v>
      </c>
      <c r="H1588" s="182"/>
      <c r="I1588" s="892"/>
      <c r="J1588" s="288"/>
      <c r="K1588" s="288"/>
      <c r="L1588" s="182"/>
      <c r="M1588" s="270"/>
      <c r="N1588" s="892"/>
      <c r="O1588" s="892"/>
      <c r="P1588" s="259"/>
      <c r="Q1588" s="114"/>
      <c r="R1588" s="270"/>
      <c r="S1588" s="270"/>
      <c r="T1588" s="270"/>
      <c r="U1588" s="270"/>
      <c r="V1588" s="270"/>
      <c r="W1588" s="270"/>
      <c r="X1588" s="270"/>
      <c r="Y1588" s="270"/>
      <c r="Z1588" s="114"/>
      <c r="AA1588" s="114"/>
      <c r="AB1588" s="85"/>
      <c r="AC1588" s="85"/>
      <c r="AD1588" s="85"/>
      <c r="AE1588" s="85"/>
    </row>
    <row r="1589" spans="3:31" ht="15" thickBot="1" x14ac:dyDescent="0.35">
      <c r="C1589" s="450"/>
      <c r="D1589" s="182"/>
      <c r="E1589" s="182"/>
      <c r="F1589" s="182"/>
      <c r="G1589" s="450" t="str">
        <f t="shared" si="74"/>
        <v>--</v>
      </c>
      <c r="H1589" s="182"/>
      <c r="I1589" s="892"/>
      <c r="J1589" s="892"/>
      <c r="K1589" s="182"/>
      <c r="L1589" s="182"/>
      <c r="M1589" s="901" t="s">
        <v>155</v>
      </c>
      <c r="N1589" s="870" t="s">
        <v>188</v>
      </c>
      <c r="O1589" s="870"/>
      <c r="P1589" s="276" t="s">
        <v>9</v>
      </c>
      <c r="Q1589" s="871" t="s">
        <v>155</v>
      </c>
      <c r="R1589" s="902"/>
      <c r="S1589" s="874"/>
      <c r="T1589" s="270"/>
      <c r="U1589" s="270"/>
      <c r="V1589" s="270"/>
      <c r="W1589" s="270"/>
      <c r="X1589" s="270"/>
      <c r="Y1589" s="270"/>
      <c r="Z1589" s="114"/>
      <c r="AA1589" s="114"/>
      <c r="AB1589" s="85"/>
      <c r="AC1589" s="85"/>
      <c r="AD1589" s="85"/>
      <c r="AE1589" s="85"/>
    </row>
    <row r="1590" spans="3:31" ht="15" thickBot="1" x14ac:dyDescent="0.35">
      <c r="C1590" s="566" t="s">
        <v>422</v>
      </c>
      <c r="D1590" s="875" t="str">
        <f>VLOOKUP(C1590,'Airport Mapping'!$C$5:$D$39,2,FALSE)</f>
        <v xml:space="preserve"> </v>
      </c>
      <c r="E1590" s="567" t="s">
        <v>43</v>
      </c>
      <c r="F1590" s="567" t="s">
        <v>9</v>
      </c>
      <c r="G1590" s="450" t="str">
        <f t="shared" si="74"/>
        <v>Ground Transportation B-Maintenance-Vehicle washing</v>
      </c>
      <c r="H1590" s="567" t="s">
        <v>3</v>
      </c>
      <c r="I1590" s="877" t="s">
        <v>64</v>
      </c>
      <c r="J1590" s="878">
        <f>SUMIFS('Level of Efficiency Assumptions'!J:J,'Level of Efficiency Assumptions'!D:D,E1590,'Level of Efficiency Assumptions'!F:F,F1590,'Level of Efficiency Assumptions'!I:I,I1590)</f>
        <v>80</v>
      </c>
      <c r="K1590" s="383" t="s">
        <v>588</v>
      </c>
      <c r="L1590" s="253" t="s">
        <v>64</v>
      </c>
      <c r="M1590" s="879">
        <f>SUM(Q1590:Q1591)</f>
        <v>0</v>
      </c>
      <c r="N1590" s="880">
        <f>IFERROR(M1590/M1593,"-")</f>
        <v>0</v>
      </c>
      <c r="O1590" s="881">
        <f>SUMIFS('Data Entry'!R:R,'Data Entry'!K:K,G1590)</f>
        <v>0</v>
      </c>
      <c r="P1590" s="272"/>
      <c r="Q1590" s="895">
        <v>0</v>
      </c>
      <c r="R1590" s="114"/>
      <c r="S1590" s="884"/>
      <c r="T1590" s="270"/>
      <c r="U1590" s="270"/>
      <c r="V1590" s="270"/>
      <c r="W1590" s="270"/>
      <c r="X1590" s="270"/>
      <c r="Y1590" s="270"/>
      <c r="Z1590" s="114"/>
      <c r="AA1590" s="114"/>
      <c r="AB1590" s="85"/>
      <c r="AC1590" s="85"/>
      <c r="AD1590" s="85"/>
      <c r="AE1590" s="85"/>
    </row>
    <row r="1591" spans="3:31" ht="15" thickBot="1" x14ac:dyDescent="0.35">
      <c r="C1591" s="494" t="s">
        <v>422</v>
      </c>
      <c r="D1591" s="577"/>
      <c r="E1591" s="577" t="s">
        <v>43</v>
      </c>
      <c r="F1591" s="577" t="s">
        <v>9</v>
      </c>
      <c r="G1591" s="450" t="str">
        <f t="shared" si="74"/>
        <v>Ground Transportation B-Maintenance-Vehicle washing</v>
      </c>
      <c r="H1591" s="577"/>
      <c r="I1591" s="887" t="s">
        <v>65</v>
      </c>
      <c r="J1591" s="878">
        <f>SUMIFS('Level of Efficiency Assumptions'!J:J,'Level of Efficiency Assumptions'!D:D,E1591,'Level of Efficiency Assumptions'!F:F,F1591,'Level of Efficiency Assumptions'!I:I,I1591)</f>
        <v>40</v>
      </c>
      <c r="K1591" s="383" t="s">
        <v>588</v>
      </c>
      <c r="L1591" s="255" t="s">
        <v>65</v>
      </c>
      <c r="M1591" s="879">
        <f>Q1592+Q1593</f>
        <v>1</v>
      </c>
      <c r="N1591" s="880">
        <f>IFERROR(M1591/M1593,"-")</f>
        <v>1</v>
      </c>
      <c r="O1591" s="881">
        <f>SUMIFS('Data Entry'!S:S,'Data Entry'!K:K,G1591)</f>
        <v>0</v>
      </c>
      <c r="P1591" s="272"/>
      <c r="Q1591" s="895">
        <v>0</v>
      </c>
      <c r="R1591" s="114"/>
      <c r="S1591" s="884"/>
      <c r="T1591" s="270"/>
      <c r="U1591" s="270"/>
      <c r="V1591" s="270"/>
      <c r="W1591" s="270"/>
      <c r="X1591" s="270"/>
      <c r="Y1591" s="270"/>
      <c r="Z1591" s="114"/>
      <c r="AA1591" s="114"/>
      <c r="AB1591" s="85"/>
      <c r="AC1591" s="85"/>
      <c r="AD1591" s="85"/>
      <c r="AE1591" s="85"/>
    </row>
    <row r="1592" spans="3:31" ht="15" thickBot="1" x14ac:dyDescent="0.35">
      <c r="C1592" s="501" t="s">
        <v>422</v>
      </c>
      <c r="D1592" s="116"/>
      <c r="E1592" s="116" t="s">
        <v>43</v>
      </c>
      <c r="F1592" s="116" t="s">
        <v>9</v>
      </c>
      <c r="G1592" s="450" t="str">
        <f t="shared" si="74"/>
        <v>Ground Transportation B-Maintenance-Vehicle washing</v>
      </c>
      <c r="H1592" s="116"/>
      <c r="I1592" s="889" t="s">
        <v>66</v>
      </c>
      <c r="J1592" s="890">
        <f>SUMIFS('Level of Efficiency Assumptions'!J:J,'Level of Efficiency Assumptions'!D:D,E1592,'Level of Efficiency Assumptions'!F:F,F1592,'Level of Efficiency Assumptions'!I:I,I1592)</f>
        <v>30</v>
      </c>
      <c r="K1592" s="383" t="s">
        <v>588</v>
      </c>
      <c r="L1592" s="257" t="s">
        <v>66</v>
      </c>
      <c r="M1592" s="879">
        <f>Q1594+Q1595</f>
        <v>0</v>
      </c>
      <c r="N1592" s="880">
        <f>IFERROR(M1592/M1593,"-")</f>
        <v>0</v>
      </c>
      <c r="O1592" s="881">
        <f>SUMIFS('Data Entry'!T:T,'Data Entry'!K:K,G1592)</f>
        <v>0</v>
      </c>
      <c r="P1592" s="274"/>
      <c r="Q1592" s="895">
        <v>1</v>
      </c>
      <c r="R1592" s="114"/>
      <c r="S1592" s="884"/>
      <c r="T1592" s="270"/>
      <c r="U1592" s="270"/>
      <c r="V1592" s="270"/>
      <c r="W1592" s="270"/>
      <c r="X1592" s="270"/>
      <c r="Y1592" s="270"/>
      <c r="Z1592" s="114"/>
      <c r="AA1592" s="114"/>
      <c r="AB1592" s="85"/>
      <c r="AC1592" s="85"/>
      <c r="AD1592" s="85"/>
      <c r="AE1592" s="85"/>
    </row>
    <row r="1593" spans="3:31" x14ac:dyDescent="0.3">
      <c r="C1593" s="450"/>
      <c r="D1593" s="182"/>
      <c r="E1593" s="182"/>
      <c r="F1593" s="182"/>
      <c r="G1593" s="450" t="str">
        <f t="shared" si="74"/>
        <v>--</v>
      </c>
      <c r="H1593" s="182"/>
      <c r="I1593" s="440"/>
      <c r="J1593" s="892"/>
      <c r="K1593" s="259"/>
      <c r="L1593" s="259" t="s">
        <v>46</v>
      </c>
      <c r="M1593" s="893">
        <f>SUM(M1590:M1592)</f>
        <v>1</v>
      </c>
      <c r="N1593" s="894"/>
      <c r="O1593" s="894">
        <f>SUM(O1590:O1592)</f>
        <v>0</v>
      </c>
      <c r="P1593" s="274"/>
      <c r="Q1593" s="895">
        <v>0</v>
      </c>
      <c r="R1593" s="114"/>
      <c r="S1593" s="884"/>
      <c r="T1593" s="270"/>
      <c r="U1593" s="270"/>
      <c r="V1593" s="270"/>
      <c r="W1593" s="270"/>
      <c r="X1593" s="270"/>
      <c r="Y1593" s="270"/>
      <c r="Z1593" s="114"/>
      <c r="AA1593" s="114"/>
      <c r="AB1593" s="85"/>
      <c r="AC1593" s="85"/>
      <c r="AD1593" s="85"/>
      <c r="AE1593" s="85"/>
    </row>
    <row r="1594" spans="3:31" x14ac:dyDescent="0.3">
      <c r="C1594" s="450"/>
      <c r="D1594" s="182"/>
      <c r="E1594" s="182"/>
      <c r="F1594" s="182"/>
      <c r="G1594" s="450" t="str">
        <f t="shared" si="74"/>
        <v>--</v>
      </c>
      <c r="H1594" s="182"/>
      <c r="I1594" s="892"/>
      <c r="J1594" s="288"/>
      <c r="K1594" s="288"/>
      <c r="L1594" s="182"/>
      <c r="M1594" s="270"/>
      <c r="N1594" s="892"/>
      <c r="O1594" s="892"/>
      <c r="P1594" s="275"/>
      <c r="Q1594" s="895">
        <v>0</v>
      </c>
      <c r="R1594" s="114"/>
      <c r="S1594" s="884"/>
      <c r="T1594" s="270"/>
      <c r="U1594" s="270"/>
      <c r="V1594" s="270"/>
      <c r="W1594" s="270"/>
      <c r="X1594" s="270"/>
      <c r="Y1594" s="270"/>
      <c r="Z1594" s="114"/>
      <c r="AA1594" s="114"/>
      <c r="AB1594" s="85"/>
      <c r="AC1594" s="85"/>
      <c r="AD1594" s="85"/>
      <c r="AE1594" s="85"/>
    </row>
    <row r="1595" spans="3:31" x14ac:dyDescent="0.3">
      <c r="C1595" s="450"/>
      <c r="D1595" s="182"/>
      <c r="E1595" s="182"/>
      <c r="F1595" s="182"/>
      <c r="G1595" s="450" t="str">
        <f t="shared" si="74"/>
        <v>--</v>
      </c>
      <c r="H1595" s="182"/>
      <c r="I1595" s="892"/>
      <c r="J1595" s="288"/>
      <c r="K1595" s="288"/>
      <c r="L1595" s="182"/>
      <c r="M1595" s="270"/>
      <c r="N1595" s="892"/>
      <c r="O1595" s="892"/>
      <c r="P1595" s="269"/>
      <c r="Q1595" s="895">
        <v>0</v>
      </c>
      <c r="R1595" s="114"/>
      <c r="S1595" s="884"/>
      <c r="T1595" s="270"/>
      <c r="U1595" s="270"/>
      <c r="V1595" s="270"/>
      <c r="W1595" s="270"/>
      <c r="X1595" s="270"/>
      <c r="Y1595" s="270"/>
      <c r="Z1595" s="114"/>
      <c r="AA1595" s="114"/>
      <c r="AB1595" s="85"/>
      <c r="AC1595" s="85"/>
      <c r="AD1595" s="85"/>
      <c r="AE1595" s="85"/>
    </row>
    <row r="1596" spans="3:31" x14ac:dyDescent="0.3">
      <c r="C1596" s="450"/>
      <c r="D1596" s="182"/>
      <c r="E1596" s="182"/>
      <c r="F1596" s="182"/>
      <c r="G1596" s="450" t="str">
        <f t="shared" si="74"/>
        <v>--</v>
      </c>
      <c r="H1596" s="182"/>
      <c r="I1596" s="892"/>
      <c r="J1596" s="288"/>
      <c r="K1596" s="288"/>
      <c r="L1596" s="182"/>
      <c r="M1596" s="270"/>
      <c r="N1596" s="892"/>
      <c r="O1596" s="892"/>
      <c r="P1596" s="263" t="s">
        <v>46</v>
      </c>
      <c r="Q1596" s="897">
        <f>SUM(Q1590:Q1595)</f>
        <v>1</v>
      </c>
      <c r="R1596" s="899"/>
      <c r="S1596" s="900"/>
      <c r="T1596" s="270"/>
      <c r="U1596" s="270"/>
      <c r="V1596" s="270"/>
      <c r="W1596" s="270"/>
      <c r="X1596" s="270"/>
      <c r="Y1596" s="270"/>
      <c r="Z1596" s="114"/>
      <c r="AA1596" s="114"/>
      <c r="AB1596" s="85"/>
      <c r="AC1596" s="85"/>
      <c r="AD1596" s="85"/>
      <c r="AE1596" s="85"/>
    </row>
    <row r="1597" spans="3:31" x14ac:dyDescent="0.3">
      <c r="C1597" s="450"/>
      <c r="D1597" s="182"/>
      <c r="E1597" s="182"/>
      <c r="F1597" s="182"/>
      <c r="G1597" s="450" t="str">
        <f t="shared" si="74"/>
        <v>--</v>
      </c>
      <c r="H1597" s="182"/>
      <c r="I1597" s="892"/>
      <c r="J1597" s="288"/>
      <c r="K1597" s="288"/>
      <c r="L1597" s="182"/>
      <c r="M1597" s="270"/>
      <c r="N1597" s="892"/>
      <c r="O1597" s="892"/>
      <c r="P1597" s="259"/>
      <c r="Q1597" s="114"/>
      <c r="R1597" s="114"/>
      <c r="S1597" s="114"/>
      <c r="T1597" s="270"/>
      <c r="U1597" s="270"/>
      <c r="V1597" s="270"/>
      <c r="W1597" s="270"/>
      <c r="X1597" s="270"/>
      <c r="Y1597" s="270"/>
      <c r="Z1597" s="114"/>
      <c r="AA1597" s="114"/>
      <c r="AB1597" s="85"/>
      <c r="AC1597" s="85"/>
      <c r="AD1597" s="85"/>
      <c r="AE1597" s="85"/>
    </row>
    <row r="1598" spans="3:31" ht="15" thickBot="1" x14ac:dyDescent="0.35">
      <c r="C1598" s="450"/>
      <c r="D1598" s="182"/>
      <c r="E1598" s="182"/>
      <c r="F1598" s="182"/>
      <c r="G1598" s="450" t="str">
        <f t="shared" si="74"/>
        <v>--</v>
      </c>
      <c r="H1598" s="182"/>
      <c r="I1598" s="892"/>
      <c r="J1598" s="892"/>
      <c r="K1598" s="182"/>
      <c r="L1598" s="182"/>
      <c r="M1598" s="901" t="s">
        <v>155</v>
      </c>
      <c r="N1598" s="870" t="s">
        <v>188</v>
      </c>
      <c r="O1598" s="870"/>
      <c r="P1598" s="276" t="s">
        <v>426</v>
      </c>
      <c r="Q1598" s="871" t="s">
        <v>155</v>
      </c>
      <c r="R1598" s="902"/>
      <c r="S1598" s="874"/>
      <c r="T1598" s="270"/>
      <c r="U1598" s="270"/>
      <c r="V1598" s="270"/>
      <c r="W1598" s="270"/>
      <c r="X1598" s="270"/>
      <c r="Y1598" s="270"/>
      <c r="Z1598" s="114"/>
      <c r="AA1598" s="114"/>
      <c r="AB1598" s="85"/>
      <c r="AC1598" s="85"/>
      <c r="AD1598" s="85"/>
      <c r="AE1598" s="85"/>
    </row>
    <row r="1599" spans="3:31" ht="15" thickBot="1" x14ac:dyDescent="0.35">
      <c r="C1599" s="566" t="s">
        <v>422</v>
      </c>
      <c r="D1599" s="875" t="str">
        <f>VLOOKUP(C1599,'Airport Mapping'!$C$5:$D$39,2,FALSE)</f>
        <v xml:space="preserve"> </v>
      </c>
      <c r="E1599" s="567" t="s">
        <v>43</v>
      </c>
      <c r="F1599" s="567" t="s">
        <v>426</v>
      </c>
      <c r="G1599" s="450" t="str">
        <f t="shared" si="74"/>
        <v>Ground Transportation B-Maintenance-Pavement cleaning</v>
      </c>
      <c r="H1599" s="567" t="s">
        <v>3</v>
      </c>
      <c r="I1599" s="877" t="s">
        <v>64</v>
      </c>
      <c r="J1599" s="878">
        <f>SUMIFS('Level of Efficiency Assumptions'!J:J,'Level of Efficiency Assumptions'!D:D,E1599,'Level of Efficiency Assumptions'!F:F,F1599,'Level of Efficiency Assumptions'!I:I,I1599)</f>
        <v>10</v>
      </c>
      <c r="K1599" s="383" t="s">
        <v>588</v>
      </c>
      <c r="L1599" s="253" t="s">
        <v>64</v>
      </c>
      <c r="M1599" s="879">
        <f>SUM(Q1599:Q1600)</f>
        <v>0</v>
      </c>
      <c r="N1599" s="880">
        <f>IFERROR(M1599/M1602,"-")</f>
        <v>0</v>
      </c>
      <c r="O1599" s="881">
        <f>SUMIFS('Data Entry'!R:R,'Data Entry'!K:K,G1599)</f>
        <v>0</v>
      </c>
      <c r="P1599" s="272"/>
      <c r="Q1599" s="895">
        <v>0</v>
      </c>
      <c r="R1599" s="114"/>
      <c r="S1599" s="884"/>
      <c r="T1599" s="270"/>
      <c r="U1599" s="270"/>
      <c r="V1599" s="270"/>
      <c r="W1599" s="270"/>
      <c r="X1599" s="270"/>
      <c r="Y1599" s="270"/>
      <c r="Z1599" s="114"/>
      <c r="AA1599" s="114"/>
      <c r="AB1599" s="85"/>
      <c r="AC1599" s="85"/>
      <c r="AD1599" s="85"/>
      <c r="AE1599" s="85"/>
    </row>
    <row r="1600" spans="3:31" ht="15" thickBot="1" x14ac:dyDescent="0.35">
      <c r="C1600" s="494" t="s">
        <v>422</v>
      </c>
      <c r="D1600" s="577"/>
      <c r="E1600" s="577" t="s">
        <v>43</v>
      </c>
      <c r="F1600" s="577" t="s">
        <v>426</v>
      </c>
      <c r="G1600" s="450" t="str">
        <f t="shared" si="74"/>
        <v>Ground Transportation B-Maintenance-Pavement cleaning</v>
      </c>
      <c r="H1600" s="577"/>
      <c r="I1600" s="887" t="s">
        <v>65</v>
      </c>
      <c r="J1600" s="878">
        <f>SUMIFS('Level of Efficiency Assumptions'!J:J,'Level of Efficiency Assumptions'!D:D,E1600,'Level of Efficiency Assumptions'!F:F,F1600,'Level of Efficiency Assumptions'!I:I,I1600)</f>
        <v>7.5</v>
      </c>
      <c r="K1600" s="383" t="s">
        <v>588</v>
      </c>
      <c r="L1600" s="255" t="s">
        <v>65</v>
      </c>
      <c r="M1600" s="879">
        <f>Q1601+Q1602</f>
        <v>1</v>
      </c>
      <c r="N1600" s="880">
        <f>IFERROR(M1600/M1602,"-")</f>
        <v>1</v>
      </c>
      <c r="O1600" s="881">
        <f>SUMIFS('Data Entry'!S:S,'Data Entry'!K:K,G1600)</f>
        <v>0</v>
      </c>
      <c r="P1600" s="272"/>
      <c r="Q1600" s="895">
        <v>0</v>
      </c>
      <c r="R1600" s="114"/>
      <c r="S1600" s="884"/>
      <c r="T1600" s="270"/>
      <c r="U1600" s="270"/>
      <c r="V1600" s="270"/>
      <c r="W1600" s="270"/>
      <c r="X1600" s="270"/>
      <c r="Y1600" s="270"/>
      <c r="Z1600" s="114"/>
      <c r="AA1600" s="114"/>
      <c r="AB1600" s="85"/>
      <c r="AC1600" s="85"/>
      <c r="AD1600" s="85"/>
      <c r="AE1600" s="85"/>
    </row>
    <row r="1601" spans="3:31" ht="15" thickBot="1" x14ac:dyDescent="0.35">
      <c r="C1601" s="501" t="s">
        <v>422</v>
      </c>
      <c r="D1601" s="116"/>
      <c r="E1601" s="116" t="s">
        <v>43</v>
      </c>
      <c r="F1601" s="116" t="s">
        <v>426</v>
      </c>
      <c r="G1601" s="450" t="str">
        <f t="shared" si="74"/>
        <v>Ground Transportation B-Maintenance-Pavement cleaning</v>
      </c>
      <c r="H1601" s="116"/>
      <c r="I1601" s="889" t="s">
        <v>66</v>
      </c>
      <c r="J1601" s="890">
        <f>SUMIFS('Level of Efficiency Assumptions'!J:J,'Level of Efficiency Assumptions'!D:D,E1601,'Level of Efficiency Assumptions'!F:F,F1601,'Level of Efficiency Assumptions'!I:I,I1601)</f>
        <v>5</v>
      </c>
      <c r="K1601" s="383" t="s">
        <v>588</v>
      </c>
      <c r="L1601" s="257" t="s">
        <v>66</v>
      </c>
      <c r="M1601" s="879">
        <f>Q1603+Q1604</f>
        <v>0</v>
      </c>
      <c r="N1601" s="880">
        <f>IFERROR(M1601/M1602,"-")</f>
        <v>0</v>
      </c>
      <c r="O1601" s="881">
        <f>SUMIFS('Data Entry'!T:T,'Data Entry'!K:K,G1601)</f>
        <v>0</v>
      </c>
      <c r="P1601" s="274"/>
      <c r="Q1601" s="895">
        <v>1</v>
      </c>
      <c r="R1601" s="114"/>
      <c r="S1601" s="884"/>
      <c r="T1601" s="270"/>
      <c r="U1601" s="270"/>
      <c r="V1601" s="270"/>
      <c r="W1601" s="270"/>
      <c r="X1601" s="270"/>
      <c r="Y1601" s="270"/>
      <c r="Z1601" s="114"/>
      <c r="AA1601" s="114"/>
      <c r="AB1601" s="85"/>
      <c r="AC1601" s="85"/>
      <c r="AD1601" s="85"/>
      <c r="AE1601" s="85"/>
    </row>
    <row r="1602" spans="3:31" x14ac:dyDescent="0.3">
      <c r="C1602" s="450"/>
      <c r="D1602" s="182"/>
      <c r="E1602" s="182"/>
      <c r="F1602" s="182"/>
      <c r="G1602" s="450" t="str">
        <f t="shared" si="74"/>
        <v>--</v>
      </c>
      <c r="H1602" s="182"/>
      <c r="I1602" s="440"/>
      <c r="J1602" s="892"/>
      <c r="K1602" s="259"/>
      <c r="L1602" s="259" t="s">
        <v>46</v>
      </c>
      <c r="M1602" s="893">
        <f>SUM(M1599:M1601)</f>
        <v>1</v>
      </c>
      <c r="N1602" s="894"/>
      <c r="O1602" s="894">
        <f>SUM(O1599:O1601)</f>
        <v>0</v>
      </c>
      <c r="P1602" s="274"/>
      <c r="Q1602" s="895">
        <v>0</v>
      </c>
      <c r="R1602" s="114"/>
      <c r="S1602" s="884"/>
      <c r="T1602" s="270"/>
      <c r="U1602" s="270"/>
      <c r="V1602" s="270"/>
      <c r="W1602" s="270"/>
      <c r="X1602" s="270"/>
      <c r="Y1602" s="270"/>
      <c r="Z1602" s="114"/>
      <c r="AA1602" s="114"/>
      <c r="AB1602" s="85"/>
      <c r="AC1602" s="85"/>
      <c r="AD1602" s="85"/>
      <c r="AE1602" s="85"/>
    </row>
    <row r="1603" spans="3:31" x14ac:dyDescent="0.3">
      <c r="C1603" s="450"/>
      <c r="D1603" s="182"/>
      <c r="E1603" s="182"/>
      <c r="F1603" s="182"/>
      <c r="G1603" s="450" t="str">
        <f t="shared" si="74"/>
        <v>--</v>
      </c>
      <c r="H1603" s="182"/>
      <c r="I1603" s="892"/>
      <c r="J1603" s="288"/>
      <c r="K1603" s="288"/>
      <c r="L1603" s="182"/>
      <c r="M1603" s="270"/>
      <c r="N1603" s="892"/>
      <c r="O1603" s="892"/>
      <c r="P1603" s="275"/>
      <c r="Q1603" s="895">
        <v>0</v>
      </c>
      <c r="R1603" s="114"/>
      <c r="S1603" s="884"/>
      <c r="T1603" s="270"/>
      <c r="U1603" s="270"/>
      <c r="V1603" s="270"/>
      <c r="W1603" s="270"/>
      <c r="X1603" s="270"/>
      <c r="Y1603" s="270"/>
      <c r="Z1603" s="114"/>
      <c r="AA1603" s="114"/>
      <c r="AB1603" s="85"/>
      <c r="AC1603" s="85"/>
      <c r="AD1603" s="85"/>
      <c r="AE1603" s="85"/>
    </row>
    <row r="1604" spans="3:31" x14ac:dyDescent="0.3">
      <c r="C1604" s="450"/>
      <c r="D1604" s="182"/>
      <c r="E1604" s="182"/>
      <c r="F1604" s="182"/>
      <c r="G1604" s="450" t="str">
        <f t="shared" si="74"/>
        <v>--</v>
      </c>
      <c r="H1604" s="182"/>
      <c r="I1604" s="892"/>
      <c r="J1604" s="288"/>
      <c r="K1604" s="288"/>
      <c r="L1604" s="182"/>
      <c r="M1604" s="270"/>
      <c r="N1604" s="892"/>
      <c r="O1604" s="892"/>
      <c r="P1604" s="269"/>
      <c r="Q1604" s="895">
        <v>0</v>
      </c>
      <c r="R1604" s="114"/>
      <c r="S1604" s="884"/>
      <c r="T1604" s="270"/>
      <c r="U1604" s="114"/>
      <c r="V1604" s="114"/>
      <c r="W1604" s="114"/>
      <c r="X1604" s="114"/>
      <c r="Y1604" s="114"/>
      <c r="Z1604" s="114"/>
      <c r="AA1604" s="114"/>
      <c r="AB1604" s="85"/>
      <c r="AC1604" s="85"/>
      <c r="AD1604" s="85"/>
      <c r="AE1604" s="85"/>
    </row>
    <row r="1605" spans="3:31" x14ac:dyDescent="0.3">
      <c r="C1605" s="450"/>
      <c r="D1605" s="182"/>
      <c r="E1605" s="182"/>
      <c r="F1605" s="182"/>
      <c r="G1605" s="450" t="str">
        <f t="shared" si="74"/>
        <v>--</v>
      </c>
      <c r="H1605" s="182"/>
      <c r="I1605" s="892"/>
      <c r="J1605" s="288"/>
      <c r="K1605" s="288"/>
      <c r="L1605" s="182"/>
      <c r="M1605" s="270"/>
      <c r="N1605" s="892"/>
      <c r="O1605" s="892"/>
      <c r="P1605" s="263" t="s">
        <v>46</v>
      </c>
      <c r="Q1605" s="897">
        <f>SUM(Q1599:Q1604)</f>
        <v>1</v>
      </c>
      <c r="R1605" s="899"/>
      <c r="S1605" s="900"/>
      <c r="T1605" s="270"/>
      <c r="U1605" s="114"/>
      <c r="V1605" s="114"/>
      <c r="W1605" s="114"/>
      <c r="X1605" s="114"/>
      <c r="Y1605" s="114"/>
      <c r="Z1605" s="114"/>
      <c r="AA1605" s="114"/>
      <c r="AB1605" s="85"/>
      <c r="AC1605" s="85"/>
      <c r="AD1605" s="85"/>
      <c r="AE1605" s="85"/>
    </row>
    <row r="1606" spans="3:31" x14ac:dyDescent="0.3">
      <c r="C1606" s="450"/>
      <c r="D1606" s="182"/>
      <c r="E1606" s="182"/>
      <c r="F1606" s="182"/>
      <c r="G1606" s="450" t="str">
        <f t="shared" si="74"/>
        <v>--</v>
      </c>
      <c r="H1606" s="182"/>
      <c r="I1606" s="892"/>
      <c r="J1606" s="288"/>
      <c r="K1606" s="288"/>
      <c r="L1606" s="270"/>
      <c r="M1606" s="270"/>
      <c r="N1606" s="923"/>
      <c r="O1606" s="923"/>
      <c r="P1606" s="270"/>
      <c r="Q1606" s="270"/>
      <c r="R1606" s="270"/>
      <c r="S1606" s="270"/>
      <c r="T1606" s="270"/>
      <c r="U1606" s="114"/>
      <c r="V1606" s="114"/>
      <c r="W1606" s="114"/>
      <c r="X1606" s="114"/>
      <c r="Y1606" s="114"/>
      <c r="Z1606" s="114"/>
      <c r="AA1606" s="114"/>
      <c r="AB1606" s="85"/>
      <c r="AC1606" s="85"/>
      <c r="AD1606" s="85"/>
      <c r="AE1606" s="85"/>
    </row>
    <row r="1607" spans="3:31" ht="15" thickBot="1" x14ac:dyDescent="0.35">
      <c r="C1607" s="450"/>
      <c r="D1607" s="182"/>
      <c r="E1607" s="182"/>
      <c r="F1607" s="182"/>
      <c r="G1607" s="450" t="str">
        <f t="shared" si="74"/>
        <v>--</v>
      </c>
      <c r="H1607" s="182"/>
      <c r="I1607" s="892"/>
      <c r="J1607" s="892"/>
      <c r="K1607" s="182"/>
      <c r="L1607" s="182"/>
      <c r="M1607" s="901" t="s">
        <v>155</v>
      </c>
      <c r="N1607" s="870" t="s">
        <v>188</v>
      </c>
      <c r="O1607" s="870"/>
      <c r="P1607" s="276" t="s">
        <v>52</v>
      </c>
      <c r="Q1607" s="871" t="s">
        <v>155</v>
      </c>
      <c r="R1607" s="902"/>
      <c r="S1607" s="874"/>
      <c r="T1607" s="270"/>
      <c r="U1607" s="114"/>
      <c r="V1607" s="114"/>
      <c r="W1607" s="114"/>
      <c r="X1607" s="114"/>
      <c r="Y1607" s="114"/>
      <c r="Z1607" s="114"/>
      <c r="AA1607" s="114"/>
      <c r="AB1607" s="85"/>
      <c r="AC1607" s="85"/>
      <c r="AD1607" s="85"/>
      <c r="AE1607" s="85"/>
    </row>
    <row r="1608" spans="3:31" ht="15" thickBot="1" x14ac:dyDescent="0.35">
      <c r="C1608" s="566" t="s">
        <v>422</v>
      </c>
      <c r="D1608" s="875" t="str">
        <f>VLOOKUP(C1608,'Airport Mapping'!$C$5:$D$39,2,FALSE)</f>
        <v xml:space="preserve"> </v>
      </c>
      <c r="E1608" s="567" t="s">
        <v>8</v>
      </c>
      <c r="F1608" s="567" t="s">
        <v>52</v>
      </c>
      <c r="G1608" s="450" t="str">
        <f t="shared" si="74"/>
        <v>Ground Transportation B-Other-Other 1</v>
      </c>
      <c r="H1608" s="567" t="s">
        <v>362</v>
      </c>
      <c r="I1608" s="877" t="s">
        <v>64</v>
      </c>
      <c r="J1608" s="878">
        <f>SUMIFS('Level of Efficiency Assumptions'!J:J,'Level of Efficiency Assumptions'!D:D,E1608,'Level of Efficiency Assumptions'!F:F,F1608,'Level of Efficiency Assumptions'!I:I,I1608)</f>
        <v>10</v>
      </c>
      <c r="K1608" s="383" t="s">
        <v>588</v>
      </c>
      <c r="L1608" s="253" t="s">
        <v>64</v>
      </c>
      <c r="M1608" s="879">
        <f>SUM(Q1608:Q1608)</f>
        <v>0</v>
      </c>
      <c r="N1608" s="880">
        <f>IFERROR(M1608/M1611,"-")</f>
        <v>0</v>
      </c>
      <c r="O1608" s="881">
        <f>SUMIFS('Data Entry'!R:R,'Data Entry'!K:K,G1608)</f>
        <v>0</v>
      </c>
      <c r="P1608" s="272" t="s">
        <v>129</v>
      </c>
      <c r="Q1608" s="895">
        <v>0</v>
      </c>
      <c r="R1608" s="114"/>
      <c r="S1608" s="884"/>
      <c r="T1608" s="270"/>
      <c r="U1608" s="114"/>
      <c r="V1608" s="114"/>
      <c r="W1608" s="114"/>
      <c r="X1608" s="114"/>
      <c r="Y1608" s="114"/>
      <c r="Z1608" s="114"/>
      <c r="AA1608" s="114"/>
      <c r="AB1608" s="85"/>
      <c r="AC1608" s="85"/>
      <c r="AD1608" s="85"/>
      <c r="AE1608" s="85"/>
    </row>
    <row r="1609" spans="3:31" ht="15" thickBot="1" x14ac:dyDescent="0.35">
      <c r="C1609" s="494" t="s">
        <v>422</v>
      </c>
      <c r="D1609" s="577"/>
      <c r="E1609" s="577" t="s">
        <v>8</v>
      </c>
      <c r="F1609" s="577" t="s">
        <v>52</v>
      </c>
      <c r="G1609" s="450" t="str">
        <f t="shared" si="74"/>
        <v>Ground Transportation B-Other-Other 1</v>
      </c>
      <c r="H1609" s="577"/>
      <c r="I1609" s="887" t="s">
        <v>65</v>
      </c>
      <c r="J1609" s="878">
        <f>SUMIFS('Level of Efficiency Assumptions'!J:J,'Level of Efficiency Assumptions'!D:D,E1609,'Level of Efficiency Assumptions'!F:F,F1609,'Level of Efficiency Assumptions'!I:I,I1609)</f>
        <v>7.5</v>
      </c>
      <c r="K1609" s="383" t="s">
        <v>588</v>
      </c>
      <c r="L1609" s="255" t="s">
        <v>65</v>
      </c>
      <c r="M1609" s="879">
        <f t="shared" ref="M1609:M1610" si="75">SUM(Q1609:Q1609)</f>
        <v>1</v>
      </c>
      <c r="N1609" s="880">
        <f>IFERROR(M1609/M1611,"-")</f>
        <v>1</v>
      </c>
      <c r="O1609" s="881">
        <f>SUMIFS('Data Entry'!S:S,'Data Entry'!K:K,G1609)</f>
        <v>0</v>
      </c>
      <c r="P1609" s="274" t="s">
        <v>233</v>
      </c>
      <c r="Q1609" s="895">
        <v>1</v>
      </c>
      <c r="R1609" s="114"/>
      <c r="S1609" s="884"/>
      <c r="T1609" s="270"/>
      <c r="U1609" s="114"/>
      <c r="V1609" s="114"/>
      <c r="W1609" s="114"/>
      <c r="X1609" s="114"/>
      <c r="Y1609" s="114"/>
      <c r="Z1609" s="114"/>
      <c r="AA1609" s="114"/>
      <c r="AB1609" s="85"/>
      <c r="AC1609" s="85"/>
      <c r="AD1609" s="85"/>
      <c r="AE1609" s="85"/>
    </row>
    <row r="1610" spans="3:31" s="45" customFormat="1" ht="15" thickBot="1" x14ac:dyDescent="0.35">
      <c r="C1610" s="501" t="s">
        <v>422</v>
      </c>
      <c r="D1610" s="116"/>
      <c r="E1610" s="116" t="s">
        <v>8</v>
      </c>
      <c r="F1610" s="116" t="s">
        <v>52</v>
      </c>
      <c r="G1610" s="450" t="str">
        <f t="shared" si="74"/>
        <v>Ground Transportation B-Other-Other 1</v>
      </c>
      <c r="H1610" s="116"/>
      <c r="I1610" s="889" t="s">
        <v>66</v>
      </c>
      <c r="J1610" s="890">
        <f>SUMIFS('Level of Efficiency Assumptions'!J:J,'Level of Efficiency Assumptions'!D:D,E1610,'Level of Efficiency Assumptions'!F:F,F1610,'Level of Efficiency Assumptions'!I:I,I1610)</f>
        <v>5</v>
      </c>
      <c r="K1610" s="383" t="s">
        <v>588</v>
      </c>
      <c r="L1610" s="257" t="s">
        <v>66</v>
      </c>
      <c r="M1610" s="879">
        <f t="shared" si="75"/>
        <v>0</v>
      </c>
      <c r="N1610" s="880">
        <f>IFERROR(M1610/M1611,"-")</f>
        <v>0</v>
      </c>
      <c r="O1610" s="881">
        <f>SUMIFS('Data Entry'!T:T,'Data Entry'!K:K,G1610)</f>
        <v>0</v>
      </c>
      <c r="P1610" s="269" t="s">
        <v>234</v>
      </c>
      <c r="Q1610" s="895">
        <v>0</v>
      </c>
      <c r="R1610" s="114"/>
      <c r="S1610" s="884"/>
      <c r="T1610" s="270"/>
      <c r="U1610" s="114"/>
      <c r="V1610" s="114"/>
      <c r="W1610" s="114"/>
      <c r="X1610" s="114"/>
      <c r="Y1610" s="114"/>
      <c r="Z1610" s="114"/>
      <c r="AA1610" s="114"/>
      <c r="AB1610" s="85"/>
      <c r="AC1610" s="85"/>
      <c r="AD1610" s="85"/>
      <c r="AE1610" s="85"/>
    </row>
    <row r="1611" spans="3:31" s="45" customFormat="1" x14ac:dyDescent="0.3">
      <c r="C1611" s="450"/>
      <c r="D1611" s="182"/>
      <c r="E1611" s="182"/>
      <c r="F1611" s="182"/>
      <c r="G1611" s="450" t="str">
        <f t="shared" si="74"/>
        <v>--</v>
      </c>
      <c r="H1611" s="182"/>
      <c r="I1611" s="440"/>
      <c r="J1611" s="892"/>
      <c r="K1611" s="259"/>
      <c r="L1611" s="259" t="s">
        <v>46</v>
      </c>
      <c r="M1611" s="893">
        <f>SUM(M1608:M1610)</f>
        <v>1</v>
      </c>
      <c r="N1611" s="894"/>
      <c r="O1611" s="894">
        <f>SUM(O1608:O1610)</f>
        <v>0</v>
      </c>
      <c r="P1611" s="263" t="s">
        <v>46</v>
      </c>
      <c r="Q1611" s="897">
        <f>SUM(Q1608:Q1610)</f>
        <v>1</v>
      </c>
      <c r="R1611" s="899"/>
      <c r="S1611" s="900"/>
      <c r="T1611" s="270"/>
      <c r="U1611" s="114"/>
      <c r="V1611" s="114"/>
      <c r="W1611" s="114"/>
      <c r="X1611" s="114"/>
      <c r="Y1611" s="114"/>
      <c r="Z1611" s="114"/>
      <c r="AA1611" s="114"/>
      <c r="AB1611" s="85"/>
      <c r="AC1611" s="85"/>
      <c r="AD1611" s="85"/>
      <c r="AE1611" s="85"/>
    </row>
    <row r="1612" spans="3:31" s="45" customFormat="1" x14ac:dyDescent="0.3">
      <c r="C1612" s="450"/>
      <c r="D1612" s="182"/>
      <c r="E1612" s="182"/>
      <c r="F1612" s="182"/>
      <c r="G1612" s="450" t="str">
        <f t="shared" si="74"/>
        <v>--</v>
      </c>
      <c r="H1612" s="182"/>
      <c r="I1612" s="892"/>
      <c r="J1612" s="288"/>
      <c r="K1612" s="182"/>
      <c r="L1612" s="182"/>
      <c r="M1612" s="270"/>
      <c r="N1612" s="892"/>
      <c r="O1612" s="892"/>
      <c r="P1612" s="270"/>
      <c r="Q1612" s="270"/>
      <c r="R1612" s="270"/>
      <c r="S1612" s="270"/>
      <c r="T1612" s="270"/>
      <c r="U1612" s="114"/>
      <c r="V1612" s="114"/>
      <c r="W1612" s="114"/>
      <c r="X1612" s="114"/>
      <c r="Y1612" s="114"/>
      <c r="Z1612" s="114"/>
      <c r="AA1612" s="114"/>
      <c r="AB1612" s="85"/>
      <c r="AC1612" s="85"/>
      <c r="AD1612" s="85"/>
      <c r="AE1612" s="85"/>
    </row>
    <row r="1613" spans="3:31" s="45" customFormat="1" ht="15" thickBot="1" x14ac:dyDescent="0.35">
      <c r="C1613" s="450"/>
      <c r="D1613" s="182"/>
      <c r="E1613" s="182"/>
      <c r="F1613" s="182"/>
      <c r="G1613" s="450" t="str">
        <f t="shared" si="74"/>
        <v>--</v>
      </c>
      <c r="H1613" s="182"/>
      <c r="I1613" s="892"/>
      <c r="J1613" s="892"/>
      <c r="K1613" s="182"/>
      <c r="L1613" s="182"/>
      <c r="M1613" s="901" t="s">
        <v>155</v>
      </c>
      <c r="N1613" s="870" t="s">
        <v>188</v>
      </c>
      <c r="O1613" s="870"/>
      <c r="P1613" s="276" t="s">
        <v>53</v>
      </c>
      <c r="Q1613" s="871" t="s">
        <v>155</v>
      </c>
      <c r="R1613" s="902"/>
      <c r="S1613" s="874"/>
      <c r="T1613" s="270"/>
      <c r="U1613" s="114"/>
      <c r="V1613" s="114"/>
      <c r="W1613" s="114"/>
      <c r="X1613" s="114"/>
      <c r="Y1613" s="114"/>
      <c r="Z1613" s="114"/>
      <c r="AA1613" s="114"/>
      <c r="AB1613" s="85"/>
      <c r="AC1613" s="85"/>
      <c r="AD1613" s="85"/>
      <c r="AE1613" s="85"/>
    </row>
    <row r="1614" spans="3:31" s="45" customFormat="1" ht="15" thickBot="1" x14ac:dyDescent="0.35">
      <c r="C1614" s="566" t="s">
        <v>422</v>
      </c>
      <c r="D1614" s="875" t="str">
        <f>VLOOKUP(C1614,'Airport Mapping'!$C$5:$D$39,2,FALSE)</f>
        <v xml:space="preserve"> </v>
      </c>
      <c r="E1614" s="567" t="s">
        <v>8</v>
      </c>
      <c r="F1614" s="567" t="s">
        <v>53</v>
      </c>
      <c r="G1614" s="450" t="str">
        <f t="shared" si="74"/>
        <v>Ground Transportation B-Other-Other 2</v>
      </c>
      <c r="H1614" s="567" t="s">
        <v>363</v>
      </c>
      <c r="I1614" s="877" t="s">
        <v>64</v>
      </c>
      <c r="J1614" s="878">
        <f>SUMIFS('Level of Efficiency Assumptions'!J:J,'Level of Efficiency Assumptions'!D:D,E1614,'Level of Efficiency Assumptions'!F:F,F1614,'Level of Efficiency Assumptions'!I:I,I1614)</f>
        <v>10</v>
      </c>
      <c r="K1614" s="383" t="s">
        <v>588</v>
      </c>
      <c r="L1614" s="253" t="s">
        <v>64</v>
      </c>
      <c r="M1614" s="879">
        <f>SUM(Q1614:Q1614)</f>
        <v>0</v>
      </c>
      <c r="N1614" s="880">
        <f>IFERROR(M1614/M1617,"-")</f>
        <v>0</v>
      </c>
      <c r="O1614" s="881">
        <f>SUMIFS('Data Entry'!R:R,'Data Entry'!K:K,G1614)</f>
        <v>0</v>
      </c>
      <c r="P1614" s="272" t="s">
        <v>129</v>
      </c>
      <c r="Q1614" s="895">
        <v>0</v>
      </c>
      <c r="R1614" s="114"/>
      <c r="S1614" s="884"/>
      <c r="T1614" s="270"/>
      <c r="U1614" s="114"/>
      <c r="V1614" s="114"/>
      <c r="W1614" s="114"/>
      <c r="X1614" s="114"/>
      <c r="Y1614" s="114"/>
      <c r="Z1614" s="114"/>
      <c r="AA1614" s="114"/>
      <c r="AB1614" s="85"/>
      <c r="AC1614" s="85"/>
      <c r="AD1614" s="85"/>
      <c r="AE1614" s="85"/>
    </row>
    <row r="1615" spans="3:31" s="45" customFormat="1" ht="15" thickBot="1" x14ac:dyDescent="0.35">
      <c r="C1615" s="494" t="s">
        <v>422</v>
      </c>
      <c r="D1615" s="577"/>
      <c r="E1615" s="577" t="s">
        <v>8</v>
      </c>
      <c r="F1615" s="577" t="s">
        <v>53</v>
      </c>
      <c r="G1615" s="450" t="str">
        <f t="shared" si="74"/>
        <v>Ground Transportation B-Other-Other 2</v>
      </c>
      <c r="H1615" s="577"/>
      <c r="I1615" s="887" t="s">
        <v>65</v>
      </c>
      <c r="J1615" s="878">
        <f>SUMIFS('Level of Efficiency Assumptions'!J:J,'Level of Efficiency Assumptions'!D:D,E1615,'Level of Efficiency Assumptions'!F:F,F1615,'Level of Efficiency Assumptions'!I:I,I1615)</f>
        <v>7.5</v>
      </c>
      <c r="K1615" s="383" t="s">
        <v>588</v>
      </c>
      <c r="L1615" s="255" t="s">
        <v>65</v>
      </c>
      <c r="M1615" s="879">
        <f t="shared" ref="M1615:M1616" si="76">SUM(Q1615:Q1615)</f>
        <v>1</v>
      </c>
      <c r="N1615" s="880">
        <f>IFERROR(M1615/M1617,"-")</f>
        <v>1</v>
      </c>
      <c r="O1615" s="881">
        <f>SUMIFS('Data Entry'!S:S,'Data Entry'!K:K,G1615)</f>
        <v>0</v>
      </c>
      <c r="P1615" s="274" t="s">
        <v>233</v>
      </c>
      <c r="Q1615" s="895">
        <v>1</v>
      </c>
      <c r="R1615" s="114"/>
      <c r="S1615" s="884"/>
      <c r="T1615" s="270"/>
      <c r="U1615" s="114"/>
      <c r="V1615" s="114"/>
      <c r="W1615" s="114"/>
      <c r="X1615" s="114"/>
      <c r="Y1615" s="114"/>
      <c r="Z1615" s="114"/>
      <c r="AA1615" s="114"/>
      <c r="AB1615" s="85"/>
      <c r="AC1615" s="85"/>
      <c r="AD1615" s="85"/>
      <c r="AE1615" s="85"/>
    </row>
    <row r="1616" spans="3:31" s="45" customFormat="1" ht="15" thickBot="1" x14ac:dyDescent="0.35">
      <c r="C1616" s="501" t="s">
        <v>422</v>
      </c>
      <c r="D1616" s="116"/>
      <c r="E1616" s="116" t="s">
        <v>8</v>
      </c>
      <c r="F1616" s="116" t="s">
        <v>53</v>
      </c>
      <c r="G1616" s="450" t="str">
        <f t="shared" si="74"/>
        <v>Ground Transportation B-Other-Other 2</v>
      </c>
      <c r="H1616" s="116"/>
      <c r="I1616" s="889" t="s">
        <v>66</v>
      </c>
      <c r="J1616" s="890">
        <f>SUMIFS('Level of Efficiency Assumptions'!J:J,'Level of Efficiency Assumptions'!D:D,E1616,'Level of Efficiency Assumptions'!F:F,F1616,'Level of Efficiency Assumptions'!I:I,I1616)</f>
        <v>5</v>
      </c>
      <c r="K1616" s="383" t="s">
        <v>588</v>
      </c>
      <c r="L1616" s="257" t="s">
        <v>66</v>
      </c>
      <c r="M1616" s="879">
        <f t="shared" si="76"/>
        <v>0</v>
      </c>
      <c r="N1616" s="880">
        <f>IFERROR(M1616/M1617,"-")</f>
        <v>0</v>
      </c>
      <c r="O1616" s="881">
        <f>SUMIFS('Data Entry'!T:T,'Data Entry'!K:K,G1616)</f>
        <v>0</v>
      </c>
      <c r="P1616" s="269" t="s">
        <v>234</v>
      </c>
      <c r="Q1616" s="895">
        <v>0</v>
      </c>
      <c r="R1616" s="114"/>
      <c r="S1616" s="884"/>
      <c r="T1616" s="270"/>
      <c r="U1616" s="114"/>
      <c r="V1616" s="114"/>
      <c r="W1616" s="114"/>
      <c r="X1616" s="114"/>
      <c r="Y1616" s="114"/>
      <c r="Z1616" s="114"/>
      <c r="AA1616" s="114"/>
      <c r="AB1616" s="85"/>
      <c r="AC1616" s="85"/>
      <c r="AD1616" s="85"/>
      <c r="AE1616" s="85"/>
    </row>
    <row r="1617" spans="3:31" s="45" customFormat="1" x14ac:dyDescent="0.3">
      <c r="C1617" s="450"/>
      <c r="D1617" s="182"/>
      <c r="E1617" s="182"/>
      <c r="F1617" s="182"/>
      <c r="G1617" s="450" t="str">
        <f t="shared" si="74"/>
        <v>--</v>
      </c>
      <c r="H1617" s="182"/>
      <c r="I1617" s="440"/>
      <c r="J1617" s="892"/>
      <c r="K1617" s="259"/>
      <c r="L1617" s="259" t="s">
        <v>46</v>
      </c>
      <c r="M1617" s="893">
        <f>SUM(M1614:M1616)</f>
        <v>1</v>
      </c>
      <c r="N1617" s="894"/>
      <c r="O1617" s="894">
        <f>SUM(O1614:O1616)</f>
        <v>0</v>
      </c>
      <c r="P1617" s="263" t="s">
        <v>46</v>
      </c>
      <c r="Q1617" s="897">
        <f>SUM(Q1614:Q1616)</f>
        <v>1</v>
      </c>
      <c r="R1617" s="899"/>
      <c r="S1617" s="900"/>
      <c r="T1617" s="270"/>
      <c r="U1617" s="114"/>
      <c r="V1617" s="114"/>
      <c r="W1617" s="114"/>
      <c r="X1617" s="114"/>
      <c r="Y1617" s="114"/>
      <c r="Z1617" s="114"/>
      <c r="AA1617" s="114"/>
      <c r="AB1617" s="85"/>
      <c r="AC1617" s="85"/>
      <c r="AD1617" s="85"/>
      <c r="AE1617" s="85"/>
    </row>
    <row r="1618" spans="3:31" s="45" customFormat="1" x14ac:dyDescent="0.3">
      <c r="C1618" s="450"/>
      <c r="D1618" s="182"/>
      <c r="E1618" s="182"/>
      <c r="F1618" s="182"/>
      <c r="G1618" s="450" t="str">
        <f t="shared" si="74"/>
        <v>--</v>
      </c>
      <c r="H1618" s="182"/>
      <c r="I1618" s="892"/>
      <c r="J1618" s="288"/>
      <c r="K1618" s="182"/>
      <c r="L1618" s="182"/>
      <c r="M1618" s="270"/>
      <c r="N1618" s="892"/>
      <c r="O1618" s="892"/>
      <c r="P1618" s="270"/>
      <c r="Q1618" s="270"/>
      <c r="R1618" s="270"/>
      <c r="S1618" s="270"/>
      <c r="T1618" s="270"/>
      <c r="U1618" s="114"/>
      <c r="V1618" s="114"/>
      <c r="W1618" s="114"/>
      <c r="X1618" s="114"/>
      <c r="Y1618" s="114"/>
      <c r="Z1618" s="114"/>
      <c r="AA1618" s="114"/>
      <c r="AB1618" s="85"/>
      <c r="AC1618" s="85"/>
      <c r="AD1618" s="85"/>
      <c r="AE1618" s="85"/>
    </row>
    <row r="1619" spans="3:31" ht="15" thickBot="1" x14ac:dyDescent="0.35">
      <c r="C1619" s="450"/>
      <c r="D1619" s="182"/>
      <c r="E1619" s="182"/>
      <c r="F1619" s="182"/>
      <c r="G1619" s="450" t="str">
        <f t="shared" si="74"/>
        <v>--</v>
      </c>
      <c r="H1619" s="182"/>
      <c r="I1619" s="892"/>
      <c r="J1619" s="892"/>
      <c r="K1619" s="182"/>
      <c r="L1619" s="182"/>
      <c r="M1619" s="901" t="s">
        <v>155</v>
      </c>
      <c r="N1619" s="870" t="s">
        <v>188</v>
      </c>
      <c r="O1619" s="870"/>
      <c r="P1619" s="276" t="s">
        <v>54</v>
      </c>
      <c r="Q1619" s="871" t="s">
        <v>155</v>
      </c>
      <c r="R1619" s="902"/>
      <c r="S1619" s="874"/>
      <c r="T1619" s="270"/>
      <c r="U1619" s="114"/>
      <c r="V1619" s="114"/>
      <c r="W1619" s="114"/>
      <c r="X1619" s="114"/>
      <c r="Y1619" s="114"/>
      <c r="Z1619" s="114"/>
      <c r="AA1619" s="114"/>
      <c r="AB1619" s="85"/>
      <c r="AC1619" s="85"/>
      <c r="AD1619" s="85"/>
      <c r="AE1619" s="85"/>
    </row>
    <row r="1620" spans="3:31" ht="15" thickBot="1" x14ac:dyDescent="0.35">
      <c r="C1620" s="566" t="s">
        <v>422</v>
      </c>
      <c r="D1620" s="875" t="str">
        <f>VLOOKUP(C1620,'Airport Mapping'!$C$5:$D$39,2,FALSE)</f>
        <v xml:space="preserve"> </v>
      </c>
      <c r="E1620" s="567" t="s">
        <v>8</v>
      </c>
      <c r="F1620" s="567" t="s">
        <v>54</v>
      </c>
      <c r="G1620" s="450" t="str">
        <f t="shared" si="74"/>
        <v>Ground Transportation B-Other-Other 3</v>
      </c>
      <c r="H1620" s="567" t="s">
        <v>364</v>
      </c>
      <c r="I1620" s="877" t="s">
        <v>64</v>
      </c>
      <c r="J1620" s="878">
        <f>SUMIFS('Level of Efficiency Assumptions'!J:J,'Level of Efficiency Assumptions'!D:D,E1620,'Level of Efficiency Assumptions'!F:F,F1620,'Level of Efficiency Assumptions'!I:I,I1620)</f>
        <v>10</v>
      </c>
      <c r="K1620" s="383" t="s">
        <v>588</v>
      </c>
      <c r="L1620" s="253" t="s">
        <v>64</v>
      </c>
      <c r="M1620" s="879">
        <f>SUM(Q1620:Q1620)</f>
        <v>0</v>
      </c>
      <c r="N1620" s="880">
        <f>IFERROR(M1620/M1623,"-")</f>
        <v>0</v>
      </c>
      <c r="O1620" s="881">
        <f>SUMIFS('Data Entry'!R:R,'Data Entry'!K:K,G1620)</f>
        <v>0</v>
      </c>
      <c r="P1620" s="272" t="s">
        <v>129</v>
      </c>
      <c r="Q1620" s="895">
        <v>0</v>
      </c>
      <c r="R1620" s="114"/>
      <c r="S1620" s="884"/>
      <c r="T1620" s="270"/>
      <c r="U1620" s="114"/>
      <c r="V1620" s="114"/>
      <c r="W1620" s="114"/>
      <c r="X1620" s="114"/>
      <c r="Y1620" s="114"/>
      <c r="Z1620" s="114"/>
      <c r="AA1620" s="114"/>
      <c r="AB1620" s="85"/>
      <c r="AC1620" s="85"/>
      <c r="AD1620" s="85"/>
      <c r="AE1620" s="85"/>
    </row>
    <row r="1621" spans="3:31" ht="15" thickBot="1" x14ac:dyDescent="0.35">
      <c r="C1621" s="494" t="s">
        <v>422</v>
      </c>
      <c r="D1621" s="577"/>
      <c r="E1621" s="577" t="s">
        <v>8</v>
      </c>
      <c r="F1621" s="577" t="s">
        <v>54</v>
      </c>
      <c r="G1621" s="450" t="str">
        <f t="shared" si="74"/>
        <v>Ground Transportation B-Other-Other 3</v>
      </c>
      <c r="H1621" s="577"/>
      <c r="I1621" s="887" t="s">
        <v>65</v>
      </c>
      <c r="J1621" s="878">
        <f>SUMIFS('Level of Efficiency Assumptions'!J:J,'Level of Efficiency Assumptions'!D:D,E1621,'Level of Efficiency Assumptions'!F:F,F1621,'Level of Efficiency Assumptions'!I:I,I1621)</f>
        <v>7.5</v>
      </c>
      <c r="K1621" s="383" t="s">
        <v>588</v>
      </c>
      <c r="L1621" s="255" t="s">
        <v>65</v>
      </c>
      <c r="M1621" s="879">
        <f t="shared" ref="M1621:M1622" si="77">SUM(Q1621:Q1621)</f>
        <v>1</v>
      </c>
      <c r="N1621" s="880">
        <f>IFERROR(M1621/M1623,"-")</f>
        <v>1</v>
      </c>
      <c r="O1621" s="881">
        <f>SUMIFS('Data Entry'!S:S,'Data Entry'!K:K,G1621)</f>
        <v>0</v>
      </c>
      <c r="P1621" s="274" t="s">
        <v>233</v>
      </c>
      <c r="Q1621" s="895">
        <v>1</v>
      </c>
      <c r="R1621" s="114"/>
      <c r="S1621" s="884"/>
      <c r="T1621" s="270"/>
      <c r="U1621" s="114"/>
      <c r="V1621" s="114"/>
      <c r="W1621" s="114"/>
      <c r="X1621" s="114"/>
      <c r="Y1621" s="114"/>
      <c r="Z1621" s="114"/>
      <c r="AA1621" s="114"/>
      <c r="AB1621" s="85"/>
      <c r="AC1621" s="85"/>
      <c r="AD1621" s="85"/>
      <c r="AE1621" s="85"/>
    </row>
    <row r="1622" spans="3:31" ht="15" thickBot="1" x14ac:dyDescent="0.35">
      <c r="C1622" s="501" t="s">
        <v>422</v>
      </c>
      <c r="D1622" s="116"/>
      <c r="E1622" s="116" t="s">
        <v>8</v>
      </c>
      <c r="F1622" s="116" t="s">
        <v>54</v>
      </c>
      <c r="G1622" s="450" t="str">
        <f t="shared" si="74"/>
        <v>Ground Transportation B-Other-Other 3</v>
      </c>
      <c r="H1622" s="116"/>
      <c r="I1622" s="889" t="s">
        <v>66</v>
      </c>
      <c r="J1622" s="890">
        <f>SUMIFS('Level of Efficiency Assumptions'!J:J,'Level of Efficiency Assumptions'!D:D,E1622,'Level of Efficiency Assumptions'!F:F,F1622,'Level of Efficiency Assumptions'!I:I,I1622)</f>
        <v>5</v>
      </c>
      <c r="K1622" s="383" t="s">
        <v>588</v>
      </c>
      <c r="L1622" s="257" t="s">
        <v>66</v>
      </c>
      <c r="M1622" s="879">
        <f t="shared" si="77"/>
        <v>0</v>
      </c>
      <c r="N1622" s="880">
        <f>IFERROR(M1622/M1623,"-")</f>
        <v>0</v>
      </c>
      <c r="O1622" s="881">
        <f>SUMIFS('Data Entry'!T:T,'Data Entry'!K:K,G1622)</f>
        <v>0</v>
      </c>
      <c r="P1622" s="269" t="s">
        <v>234</v>
      </c>
      <c r="Q1622" s="895">
        <v>0</v>
      </c>
      <c r="R1622" s="114"/>
      <c r="S1622" s="884"/>
      <c r="T1622" s="270"/>
      <c r="U1622" s="114"/>
      <c r="V1622" s="114"/>
      <c r="W1622" s="114"/>
      <c r="X1622" s="114"/>
      <c r="Y1622" s="114"/>
      <c r="Z1622" s="114"/>
      <c r="AA1622" s="114"/>
      <c r="AB1622" s="85"/>
      <c r="AC1622" s="85"/>
      <c r="AD1622" s="85"/>
      <c r="AE1622" s="85"/>
    </row>
    <row r="1623" spans="3:31" x14ac:dyDescent="0.3">
      <c r="C1623" s="450"/>
      <c r="D1623" s="182"/>
      <c r="E1623" s="182"/>
      <c r="F1623" s="182"/>
      <c r="G1623" s="450" t="str">
        <f t="shared" si="74"/>
        <v>--</v>
      </c>
      <c r="H1623" s="182"/>
      <c r="I1623" s="440"/>
      <c r="J1623" s="892"/>
      <c r="K1623" s="259"/>
      <c r="L1623" s="259" t="s">
        <v>46</v>
      </c>
      <c r="M1623" s="893">
        <f>SUM(M1620:M1622)</f>
        <v>1</v>
      </c>
      <c r="N1623" s="894"/>
      <c r="O1623" s="894">
        <f>SUM(O1620:O1622)</f>
        <v>0</v>
      </c>
      <c r="P1623" s="263" t="s">
        <v>46</v>
      </c>
      <c r="Q1623" s="897">
        <f>SUM(Q1620:Q1622)</f>
        <v>1</v>
      </c>
      <c r="R1623" s="899"/>
      <c r="S1623" s="900"/>
      <c r="T1623" s="270"/>
      <c r="U1623" s="114"/>
      <c r="V1623" s="114"/>
      <c r="W1623" s="114"/>
      <c r="X1623" s="114"/>
      <c r="Y1623" s="114"/>
      <c r="Z1623" s="114"/>
      <c r="AA1623" s="114"/>
      <c r="AB1623" s="85"/>
      <c r="AC1623" s="85"/>
      <c r="AD1623" s="85"/>
      <c r="AE1623" s="85"/>
    </row>
    <row r="1624" spans="3:31" ht="15" thickBot="1" x14ac:dyDescent="0.35">
      <c r="C1624" s="451"/>
      <c r="D1624" s="184"/>
      <c r="E1624" s="184"/>
      <c r="F1624" s="184"/>
      <c r="G1624" s="450" t="str">
        <f t="shared" si="74"/>
        <v>--</v>
      </c>
      <c r="H1624" s="184"/>
      <c r="I1624" s="281"/>
      <c r="J1624" s="281"/>
      <c r="K1624" s="281"/>
      <c r="L1624" s="281"/>
      <c r="M1624" s="281"/>
      <c r="N1624" s="281"/>
      <c r="O1624" s="281"/>
      <c r="P1624" s="281"/>
      <c r="Q1624" s="281"/>
      <c r="R1624" s="281"/>
      <c r="S1624" s="281"/>
      <c r="T1624" s="281"/>
      <c r="U1624" s="281"/>
      <c r="V1624" s="114"/>
      <c r="W1624" s="114"/>
      <c r="X1624" s="114"/>
      <c r="Y1624" s="114"/>
      <c r="Z1624" s="114"/>
      <c r="AA1624" s="114"/>
      <c r="AB1624" s="85"/>
      <c r="AC1624" s="85"/>
      <c r="AD1624" s="85"/>
      <c r="AE1624" s="85"/>
    </row>
    <row r="1625" spans="3:31" x14ac:dyDescent="0.3">
      <c r="C1625" s="450"/>
      <c r="D1625" s="182"/>
      <c r="E1625" s="182"/>
      <c r="F1625" s="182"/>
      <c r="G1625" s="450" t="str">
        <f t="shared" si="74"/>
        <v>--</v>
      </c>
      <c r="H1625" s="182"/>
      <c r="I1625" s="892"/>
      <c r="J1625" s="892"/>
      <c r="K1625" s="182"/>
      <c r="L1625" s="181"/>
      <c r="M1625" s="114"/>
      <c r="N1625" s="892"/>
      <c r="O1625" s="892"/>
      <c r="P1625" s="114"/>
      <c r="Q1625" s="114"/>
      <c r="R1625" s="114"/>
      <c r="S1625" s="114"/>
      <c r="T1625" s="114"/>
      <c r="U1625" s="114"/>
      <c r="V1625" s="114"/>
      <c r="W1625" s="114"/>
      <c r="X1625" s="114"/>
      <c r="Y1625" s="114"/>
      <c r="Z1625" s="114"/>
      <c r="AA1625" s="114"/>
      <c r="AB1625" s="85"/>
      <c r="AC1625" s="85"/>
      <c r="AD1625" s="85"/>
      <c r="AE1625" s="85"/>
    </row>
    <row r="1626" spans="3:31" x14ac:dyDescent="0.3">
      <c r="C1626" s="450"/>
      <c r="D1626" s="182"/>
      <c r="E1626" s="182"/>
      <c r="F1626" s="182"/>
      <c r="G1626" s="450" t="str">
        <f t="shared" si="74"/>
        <v>--</v>
      </c>
      <c r="H1626" s="182"/>
      <c r="I1626" s="892"/>
      <c r="J1626" s="892"/>
      <c r="K1626" s="182"/>
      <c r="L1626" s="182"/>
      <c r="M1626" s="270"/>
      <c r="N1626" s="892"/>
      <c r="O1626" s="892"/>
      <c r="P1626" s="276" t="s">
        <v>42</v>
      </c>
      <c r="Q1626" s="902"/>
      <c r="R1626" s="902"/>
      <c r="S1626" s="902"/>
      <c r="T1626" s="271"/>
      <c r="U1626" s="114"/>
      <c r="V1626" s="114"/>
      <c r="W1626" s="114"/>
      <c r="X1626" s="114"/>
      <c r="Y1626" s="114"/>
      <c r="Z1626" s="114"/>
      <c r="AA1626" s="114"/>
      <c r="AB1626" s="85"/>
      <c r="AC1626" s="85"/>
      <c r="AD1626" s="85"/>
      <c r="AE1626" s="85"/>
    </row>
    <row r="1627" spans="3:31" ht="15" thickBot="1" x14ac:dyDescent="0.35">
      <c r="C1627" s="450"/>
      <c r="D1627" s="182"/>
      <c r="E1627" s="182"/>
      <c r="F1627" s="182"/>
      <c r="G1627" s="450" t="str">
        <f t="shared" si="74"/>
        <v>--</v>
      </c>
      <c r="H1627" s="182"/>
      <c r="I1627" s="892"/>
      <c r="J1627" s="892"/>
      <c r="K1627" s="182"/>
      <c r="L1627" s="182"/>
      <c r="M1627" s="901" t="s">
        <v>155</v>
      </c>
      <c r="N1627" s="870" t="s">
        <v>188</v>
      </c>
      <c r="O1627" s="870"/>
      <c r="P1627" s="277" t="s">
        <v>818</v>
      </c>
      <c r="Q1627" s="871" t="s">
        <v>155</v>
      </c>
      <c r="R1627" s="114"/>
      <c r="S1627" s="114"/>
      <c r="T1627" s="271"/>
      <c r="U1627" s="114"/>
      <c r="V1627" s="114"/>
      <c r="W1627" s="270"/>
      <c r="X1627" s="270"/>
      <c r="Y1627" s="114"/>
      <c r="Z1627" s="114"/>
      <c r="AA1627" s="114"/>
      <c r="AB1627" s="85"/>
      <c r="AC1627" s="85"/>
      <c r="AD1627" s="85"/>
      <c r="AE1627" s="85"/>
    </row>
    <row r="1628" spans="3:31" ht="15" thickBot="1" x14ac:dyDescent="0.35">
      <c r="C1628" s="566" t="s">
        <v>91</v>
      </c>
      <c r="D1628" s="875" t="str">
        <f>VLOOKUP(C1628,'Airport Mapping'!$C$5:$D$39,2,FALSE)</f>
        <v xml:space="preserve"> </v>
      </c>
      <c r="E1628" s="567" t="s">
        <v>39</v>
      </c>
      <c r="F1628" s="567" t="s">
        <v>42</v>
      </c>
      <c r="G1628" s="450" t="str">
        <f t="shared" si="74"/>
        <v>Parking A-Landscaping-Outdoor irrigation</v>
      </c>
      <c r="H1628" s="567" t="s">
        <v>32</v>
      </c>
      <c r="I1628" s="877" t="s">
        <v>64</v>
      </c>
      <c r="J1628" s="878">
        <f>SUMIFS('Level of Efficiency Assumptions'!J:J,'Level of Efficiency Assumptions'!D:D,E1628,'Level of Efficiency Assumptions'!F:F,F1628,'Level of Efficiency Assumptions'!I:I,I1628)</f>
        <v>28.6</v>
      </c>
      <c r="K1628" s="383" t="s">
        <v>816</v>
      </c>
      <c r="L1628" s="253" t="s">
        <v>64</v>
      </c>
      <c r="M1628" s="879">
        <f>SUM(Q1628:Q1629)</f>
        <v>0</v>
      </c>
      <c r="N1628" s="880">
        <f>IFERROR(M1628/M1631,"-")</f>
        <v>0</v>
      </c>
      <c r="O1628" s="881">
        <f>SUMIFS('Data Entry'!R:R,'Data Entry'!K:K,G1628)</f>
        <v>0</v>
      </c>
      <c r="P1628" s="272" t="s">
        <v>237</v>
      </c>
      <c r="Q1628" s="895">
        <v>0</v>
      </c>
      <c r="R1628" s="114"/>
      <c r="S1628" s="114"/>
      <c r="T1628" s="271"/>
      <c r="U1628" s="114"/>
      <c r="V1628" s="114"/>
      <c r="W1628" s="270"/>
      <c r="X1628" s="270"/>
      <c r="Y1628" s="114"/>
      <c r="Z1628" s="114"/>
      <c r="AA1628" s="114"/>
      <c r="AB1628" s="85"/>
      <c r="AC1628" s="85"/>
      <c r="AD1628" s="85"/>
      <c r="AE1628" s="85"/>
    </row>
    <row r="1629" spans="3:31" ht="15" thickBot="1" x14ac:dyDescent="0.35">
      <c r="C1629" s="494" t="s">
        <v>91</v>
      </c>
      <c r="D1629" s="577"/>
      <c r="E1629" s="577" t="s">
        <v>39</v>
      </c>
      <c r="F1629" s="577" t="s">
        <v>42</v>
      </c>
      <c r="G1629" s="450" t="str">
        <f t="shared" si="74"/>
        <v>Parking A-Landscaping-Outdoor irrigation</v>
      </c>
      <c r="H1629" s="577"/>
      <c r="I1629" s="887" t="s">
        <v>65</v>
      </c>
      <c r="J1629" s="878">
        <f>SUMIFS('Level of Efficiency Assumptions'!J:J,'Level of Efficiency Assumptions'!D:D,E1629,'Level of Efficiency Assumptions'!F:F,F1629,'Level of Efficiency Assumptions'!I:I,I1629)</f>
        <v>13.980821518350929</v>
      </c>
      <c r="K1629" s="383" t="s">
        <v>816</v>
      </c>
      <c r="L1629" s="255" t="s">
        <v>65</v>
      </c>
      <c r="M1629" s="879">
        <f>Q1630+Q1631</f>
        <v>1</v>
      </c>
      <c r="N1629" s="880">
        <f>IFERROR(M1629/M1631,"-")</f>
        <v>1</v>
      </c>
      <c r="O1629" s="881">
        <f>SUMIFS('Data Entry'!S:S,'Data Entry'!K:K,G1629)</f>
        <v>0</v>
      </c>
      <c r="P1629" s="272" t="s">
        <v>232</v>
      </c>
      <c r="Q1629" s="895">
        <v>0</v>
      </c>
      <c r="R1629" s="114"/>
      <c r="S1629" s="114"/>
      <c r="T1629" s="271"/>
      <c r="U1629" s="114"/>
      <c r="V1629" s="114"/>
      <c r="W1629" s="270"/>
      <c r="X1629" s="270"/>
      <c r="Y1629" s="114"/>
      <c r="Z1629" s="114"/>
      <c r="AA1629" s="114"/>
      <c r="AB1629" s="85"/>
      <c r="AC1629" s="85"/>
      <c r="AD1629" s="85"/>
      <c r="AE1629" s="85"/>
    </row>
    <row r="1630" spans="3:31" ht="15" thickBot="1" x14ac:dyDescent="0.35">
      <c r="C1630" s="501" t="s">
        <v>91</v>
      </c>
      <c r="D1630" s="116"/>
      <c r="E1630" s="116" t="s">
        <v>39</v>
      </c>
      <c r="F1630" s="116" t="s">
        <v>42</v>
      </c>
      <c r="G1630" s="450" t="str">
        <f t="shared" si="74"/>
        <v>Parking A-Landscaping-Outdoor irrigation</v>
      </c>
      <c r="H1630" s="116"/>
      <c r="I1630" s="889" t="s">
        <v>66</v>
      </c>
      <c r="J1630" s="890">
        <f>SUMIFS('Level of Efficiency Assumptions'!J:J,'Level of Efficiency Assumptions'!D:D,E1630,'Level of Efficiency Assumptions'!F:F,F1630,'Level of Efficiency Assumptions'!I:I,I1630)</f>
        <v>0.59137254901960778</v>
      </c>
      <c r="K1630" s="383" t="s">
        <v>816</v>
      </c>
      <c r="L1630" s="257" t="s">
        <v>66</v>
      </c>
      <c r="M1630" s="879">
        <f>Q1632+Q1633</f>
        <v>0</v>
      </c>
      <c r="N1630" s="880">
        <f>IFERROR(M1630/M1631,"-")</f>
        <v>0</v>
      </c>
      <c r="O1630" s="881">
        <f>SUMIFS('Data Entry'!T:T,'Data Entry'!K:K,G1630)</f>
        <v>0</v>
      </c>
      <c r="P1630" s="274" t="s">
        <v>231</v>
      </c>
      <c r="Q1630" s="895">
        <v>1</v>
      </c>
      <c r="R1630" s="114"/>
      <c r="S1630" s="114"/>
      <c r="T1630" s="271"/>
      <c r="U1630" s="114"/>
      <c r="V1630" s="114"/>
      <c r="W1630" s="270"/>
      <c r="X1630" s="270"/>
      <c r="Y1630" s="114"/>
      <c r="Z1630" s="114"/>
      <c r="AA1630" s="114"/>
      <c r="AB1630" s="85"/>
      <c r="AC1630" s="85"/>
      <c r="AD1630" s="85"/>
      <c r="AE1630" s="85"/>
    </row>
    <row r="1631" spans="3:31" x14ac:dyDescent="0.3">
      <c r="C1631" s="450"/>
      <c r="D1631" s="182"/>
      <c r="E1631" s="182"/>
      <c r="F1631" s="182"/>
      <c r="G1631" s="450" t="str">
        <f t="shared" si="74"/>
        <v>--</v>
      </c>
      <c r="H1631" s="182"/>
      <c r="I1631" s="440"/>
      <c r="J1631" s="892"/>
      <c r="K1631" s="259"/>
      <c r="L1631" s="259" t="s">
        <v>46</v>
      </c>
      <c r="M1631" s="893">
        <f>SUM(M1628:M1630)</f>
        <v>1</v>
      </c>
      <c r="N1631" s="894"/>
      <c r="O1631" s="894">
        <f>SUM(O1628:O1630)</f>
        <v>0</v>
      </c>
      <c r="P1631" s="274" t="s">
        <v>230</v>
      </c>
      <c r="Q1631" s="895">
        <v>0</v>
      </c>
      <c r="R1631" s="114"/>
      <c r="S1631" s="114"/>
      <c r="T1631" s="271"/>
      <c r="U1631" s="114"/>
      <c r="V1631" s="114"/>
      <c r="W1631" s="270"/>
      <c r="X1631" s="270"/>
      <c r="Y1631" s="114"/>
      <c r="Z1631" s="114"/>
      <c r="AA1631" s="114"/>
      <c r="AB1631" s="85"/>
      <c r="AC1631" s="85"/>
      <c r="AD1631" s="85"/>
      <c r="AE1631" s="85"/>
    </row>
    <row r="1632" spans="3:31" x14ac:dyDescent="0.3">
      <c r="C1632" s="450"/>
      <c r="D1632" s="182"/>
      <c r="E1632" s="182"/>
      <c r="F1632" s="182"/>
      <c r="G1632" s="450" t="str">
        <f t="shared" si="74"/>
        <v>--</v>
      </c>
      <c r="H1632" s="182"/>
      <c r="I1632" s="892"/>
      <c r="J1632" s="288"/>
      <c r="K1632" s="182"/>
      <c r="L1632" s="182"/>
      <c r="M1632" s="270"/>
      <c r="N1632" s="892"/>
      <c r="O1632" s="892"/>
      <c r="P1632" s="275" t="s">
        <v>229</v>
      </c>
      <c r="Q1632" s="895">
        <v>0</v>
      </c>
      <c r="R1632" s="114"/>
      <c r="S1632" s="114"/>
      <c r="T1632" s="271"/>
      <c r="U1632" s="114"/>
      <c r="V1632" s="114"/>
      <c r="W1632" s="270"/>
      <c r="X1632" s="270"/>
      <c r="Y1632" s="114"/>
      <c r="Z1632" s="114"/>
      <c r="AA1632" s="114"/>
      <c r="AB1632" s="85"/>
      <c r="AC1632" s="85"/>
      <c r="AD1632" s="85"/>
      <c r="AE1632" s="85"/>
    </row>
    <row r="1633" spans="3:31" x14ac:dyDescent="0.3">
      <c r="C1633" s="450"/>
      <c r="D1633" s="182"/>
      <c r="E1633" s="182"/>
      <c r="F1633" s="182"/>
      <c r="G1633" s="450" t="str">
        <f t="shared" si="74"/>
        <v>--</v>
      </c>
      <c r="H1633" s="182"/>
      <c r="I1633" s="892"/>
      <c r="J1633" s="288"/>
      <c r="K1633" s="182"/>
      <c r="L1633" s="182"/>
      <c r="M1633" s="270"/>
      <c r="N1633" s="892"/>
      <c r="O1633" s="892"/>
      <c r="P1633" s="269" t="s">
        <v>225</v>
      </c>
      <c r="Q1633" s="895">
        <v>0</v>
      </c>
      <c r="R1633" s="114"/>
      <c r="S1633" s="114"/>
      <c r="T1633" s="271"/>
      <c r="U1633" s="114"/>
      <c r="V1633" s="114"/>
      <c r="W1633" s="270"/>
      <c r="X1633" s="270"/>
      <c r="Y1633" s="270"/>
      <c r="Z1633" s="114"/>
      <c r="AA1633" s="114"/>
      <c r="AB1633" s="85"/>
      <c r="AC1633" s="85"/>
      <c r="AD1633" s="85"/>
      <c r="AE1633" s="85"/>
    </row>
    <row r="1634" spans="3:31" x14ac:dyDescent="0.3">
      <c r="C1634" s="450"/>
      <c r="D1634" s="182"/>
      <c r="E1634" s="182"/>
      <c r="F1634" s="182"/>
      <c r="G1634" s="450" t="str">
        <f t="shared" si="74"/>
        <v>--</v>
      </c>
      <c r="H1634" s="182"/>
      <c r="I1634" s="892"/>
      <c r="J1634" s="288"/>
      <c r="K1634" s="182"/>
      <c r="L1634" s="182"/>
      <c r="M1634" s="270"/>
      <c r="N1634" s="892"/>
      <c r="O1634" s="892"/>
      <c r="P1634" s="263" t="s">
        <v>46</v>
      </c>
      <c r="Q1634" s="897">
        <f>SUM(Q1628:Q1633)</f>
        <v>1</v>
      </c>
      <c r="R1634" s="899"/>
      <c r="S1634" s="899"/>
      <c r="T1634" s="271"/>
      <c r="U1634" s="114"/>
      <c r="V1634" s="114"/>
      <c r="W1634" s="270"/>
      <c r="X1634" s="270"/>
      <c r="Y1634" s="270"/>
      <c r="Z1634" s="114"/>
      <c r="AA1634" s="114"/>
      <c r="AB1634" s="85"/>
      <c r="AC1634" s="85"/>
      <c r="AD1634" s="85"/>
      <c r="AE1634" s="85"/>
    </row>
    <row r="1635" spans="3:31" x14ac:dyDescent="0.3">
      <c r="C1635" s="450"/>
      <c r="D1635" s="182"/>
      <c r="E1635" s="182"/>
      <c r="F1635" s="182"/>
      <c r="G1635" s="450" t="str">
        <f t="shared" si="74"/>
        <v>--</v>
      </c>
      <c r="H1635" s="182"/>
      <c r="I1635" s="892"/>
      <c r="J1635" s="288"/>
      <c r="K1635" s="182"/>
      <c r="L1635" s="182"/>
      <c r="M1635" s="270"/>
      <c r="N1635" s="892"/>
      <c r="O1635" s="892"/>
      <c r="P1635" s="259"/>
      <c r="Q1635" s="114"/>
      <c r="R1635" s="270"/>
      <c r="S1635" s="270"/>
      <c r="T1635" s="270"/>
      <c r="U1635" s="270"/>
      <c r="V1635" s="270"/>
      <c r="W1635" s="270"/>
      <c r="X1635" s="270"/>
      <c r="Y1635" s="270"/>
      <c r="Z1635" s="114"/>
      <c r="AA1635" s="114"/>
      <c r="AB1635" s="85"/>
      <c r="AC1635" s="85"/>
      <c r="AD1635" s="85"/>
      <c r="AE1635" s="85"/>
    </row>
    <row r="1636" spans="3:31" ht="15" thickBot="1" x14ac:dyDescent="0.35">
      <c r="C1636" s="450"/>
      <c r="D1636" s="182"/>
      <c r="E1636" s="182"/>
      <c r="F1636" s="182"/>
      <c r="G1636" s="450" t="str">
        <f t="shared" si="74"/>
        <v>--</v>
      </c>
      <c r="H1636" s="182"/>
      <c r="I1636" s="892"/>
      <c r="J1636" s="892"/>
      <c r="K1636" s="182"/>
      <c r="L1636" s="182"/>
      <c r="M1636" s="901" t="s">
        <v>155</v>
      </c>
      <c r="N1636" s="870" t="s">
        <v>188</v>
      </c>
      <c r="O1636" s="870"/>
      <c r="P1636" s="276" t="s">
        <v>9</v>
      </c>
      <c r="Q1636" s="871" t="s">
        <v>155</v>
      </c>
      <c r="R1636" s="902"/>
      <c r="S1636" s="874"/>
      <c r="T1636" s="270"/>
      <c r="U1636" s="270"/>
      <c r="V1636" s="270"/>
      <c r="W1636" s="270"/>
      <c r="X1636" s="270"/>
      <c r="Y1636" s="270"/>
      <c r="Z1636" s="114"/>
      <c r="AA1636" s="114"/>
      <c r="AB1636" s="85"/>
      <c r="AC1636" s="85"/>
      <c r="AD1636" s="85"/>
      <c r="AE1636" s="85"/>
    </row>
    <row r="1637" spans="3:31" ht="15" thickBot="1" x14ac:dyDescent="0.35">
      <c r="C1637" s="566" t="s">
        <v>91</v>
      </c>
      <c r="D1637" s="875" t="str">
        <f>VLOOKUP(C1637,'Airport Mapping'!$C$5:$D$39,2,FALSE)</f>
        <v xml:space="preserve"> </v>
      </c>
      <c r="E1637" s="567" t="s">
        <v>43</v>
      </c>
      <c r="F1637" s="567" t="s">
        <v>9</v>
      </c>
      <c r="G1637" s="450" t="str">
        <f t="shared" si="74"/>
        <v>Parking A-Maintenance-Vehicle washing</v>
      </c>
      <c r="H1637" s="567" t="s">
        <v>282</v>
      </c>
      <c r="I1637" s="877" t="s">
        <v>64</v>
      </c>
      <c r="J1637" s="878">
        <f>SUMIFS('Level of Efficiency Assumptions'!J:J,'Level of Efficiency Assumptions'!D:D,E1637,'Level of Efficiency Assumptions'!F:F,F1637,'Level of Efficiency Assumptions'!I:I,I1637)</f>
        <v>80</v>
      </c>
      <c r="K1637" s="383" t="s">
        <v>588</v>
      </c>
      <c r="L1637" s="253" t="s">
        <v>64</v>
      </c>
      <c r="M1637" s="879">
        <f>SUM(Q1637:Q1638)</f>
        <v>0</v>
      </c>
      <c r="N1637" s="880">
        <f>IFERROR(M1637/M1640,"-")</f>
        <v>0</v>
      </c>
      <c r="O1637" s="881">
        <f>SUMIFS('Data Entry'!R:R,'Data Entry'!K:K,G1637)</f>
        <v>0</v>
      </c>
      <c r="P1637" s="272"/>
      <c r="Q1637" s="895">
        <v>0</v>
      </c>
      <c r="R1637" s="114"/>
      <c r="S1637" s="884"/>
      <c r="T1637" s="270"/>
      <c r="U1637" s="270"/>
      <c r="V1637" s="270"/>
      <c r="W1637" s="270"/>
      <c r="X1637" s="270"/>
      <c r="Y1637" s="270"/>
      <c r="Z1637" s="114"/>
      <c r="AA1637" s="114"/>
      <c r="AB1637" s="85"/>
      <c r="AC1637" s="85"/>
      <c r="AD1637" s="85"/>
      <c r="AE1637" s="85"/>
    </row>
    <row r="1638" spans="3:31" ht="15" thickBot="1" x14ac:dyDescent="0.35">
      <c r="C1638" s="494" t="s">
        <v>91</v>
      </c>
      <c r="D1638" s="577"/>
      <c r="E1638" s="577" t="s">
        <v>43</v>
      </c>
      <c r="F1638" s="577" t="s">
        <v>9</v>
      </c>
      <c r="G1638" s="450" t="str">
        <f t="shared" si="74"/>
        <v>Parking A-Maintenance-Vehicle washing</v>
      </c>
      <c r="H1638" s="577"/>
      <c r="I1638" s="887" t="s">
        <v>65</v>
      </c>
      <c r="J1638" s="878">
        <f>SUMIFS('Level of Efficiency Assumptions'!J:J,'Level of Efficiency Assumptions'!D:D,E1638,'Level of Efficiency Assumptions'!F:F,F1638,'Level of Efficiency Assumptions'!I:I,I1638)</f>
        <v>40</v>
      </c>
      <c r="K1638" s="383" t="s">
        <v>588</v>
      </c>
      <c r="L1638" s="255" t="s">
        <v>65</v>
      </c>
      <c r="M1638" s="879">
        <f>Q1639+Q1640</f>
        <v>1</v>
      </c>
      <c r="N1638" s="880">
        <f>IFERROR(M1638/M1640,"-")</f>
        <v>1</v>
      </c>
      <c r="O1638" s="881">
        <f>SUMIFS('Data Entry'!S:S,'Data Entry'!K:K,G1638)</f>
        <v>0</v>
      </c>
      <c r="P1638" s="272"/>
      <c r="Q1638" s="895">
        <v>0</v>
      </c>
      <c r="R1638" s="114"/>
      <c r="S1638" s="884"/>
      <c r="T1638" s="270"/>
      <c r="U1638" s="270"/>
      <c r="V1638" s="270"/>
      <c r="W1638" s="270"/>
      <c r="X1638" s="270"/>
      <c r="Y1638" s="270"/>
      <c r="Z1638" s="114"/>
      <c r="AA1638" s="114"/>
      <c r="AB1638" s="85"/>
      <c r="AC1638" s="85"/>
      <c r="AD1638" s="85"/>
      <c r="AE1638" s="85"/>
    </row>
    <row r="1639" spans="3:31" ht="15" thickBot="1" x14ac:dyDescent="0.35">
      <c r="C1639" s="501" t="s">
        <v>91</v>
      </c>
      <c r="D1639" s="116"/>
      <c r="E1639" s="116" t="s">
        <v>43</v>
      </c>
      <c r="F1639" s="116" t="s">
        <v>9</v>
      </c>
      <c r="G1639" s="450" t="str">
        <f t="shared" si="74"/>
        <v>Parking A-Maintenance-Vehicle washing</v>
      </c>
      <c r="H1639" s="116"/>
      <c r="I1639" s="889" t="s">
        <v>66</v>
      </c>
      <c r="J1639" s="890">
        <f>SUMIFS('Level of Efficiency Assumptions'!J:J,'Level of Efficiency Assumptions'!D:D,E1639,'Level of Efficiency Assumptions'!F:F,F1639,'Level of Efficiency Assumptions'!I:I,I1639)</f>
        <v>30</v>
      </c>
      <c r="K1639" s="383" t="s">
        <v>588</v>
      </c>
      <c r="L1639" s="257" t="s">
        <v>66</v>
      </c>
      <c r="M1639" s="879">
        <f>Q1641+Q1642</f>
        <v>0</v>
      </c>
      <c r="N1639" s="880">
        <f>IFERROR(M1639/M1640,"-")</f>
        <v>0</v>
      </c>
      <c r="O1639" s="881">
        <f>SUMIFS('Data Entry'!T:T,'Data Entry'!K:K,G1639)</f>
        <v>0</v>
      </c>
      <c r="P1639" s="274"/>
      <c r="Q1639" s="895">
        <v>1</v>
      </c>
      <c r="R1639" s="114"/>
      <c r="S1639" s="884"/>
      <c r="T1639" s="270"/>
      <c r="U1639" s="270"/>
      <c r="V1639" s="270"/>
      <c r="W1639" s="270"/>
      <c r="X1639" s="270"/>
      <c r="Y1639" s="270"/>
      <c r="Z1639" s="114"/>
      <c r="AA1639" s="114"/>
      <c r="AB1639" s="85"/>
      <c r="AC1639" s="85"/>
      <c r="AD1639" s="85"/>
      <c r="AE1639" s="85"/>
    </row>
    <row r="1640" spans="3:31" x14ac:dyDescent="0.3">
      <c r="C1640" s="450"/>
      <c r="D1640" s="182"/>
      <c r="E1640" s="182"/>
      <c r="F1640" s="182"/>
      <c r="G1640" s="450" t="str">
        <f t="shared" si="74"/>
        <v>--</v>
      </c>
      <c r="H1640" s="182"/>
      <c r="I1640" s="440"/>
      <c r="J1640" s="892"/>
      <c r="K1640" s="259"/>
      <c r="L1640" s="259" t="s">
        <v>46</v>
      </c>
      <c r="M1640" s="893">
        <f>SUM(M1637:M1639)</f>
        <v>1</v>
      </c>
      <c r="N1640" s="894"/>
      <c r="O1640" s="894">
        <f>SUM(O1637:O1639)</f>
        <v>0</v>
      </c>
      <c r="P1640" s="274"/>
      <c r="Q1640" s="895">
        <v>0</v>
      </c>
      <c r="R1640" s="114"/>
      <c r="S1640" s="884"/>
      <c r="T1640" s="270"/>
      <c r="U1640" s="270"/>
      <c r="V1640" s="270"/>
      <c r="W1640" s="270"/>
      <c r="X1640" s="270"/>
      <c r="Y1640" s="270"/>
      <c r="Z1640" s="114"/>
      <c r="AA1640" s="114"/>
      <c r="AB1640" s="85"/>
      <c r="AC1640" s="85"/>
      <c r="AD1640" s="85"/>
      <c r="AE1640" s="85"/>
    </row>
    <row r="1641" spans="3:31" x14ac:dyDescent="0.3">
      <c r="C1641" s="450"/>
      <c r="D1641" s="182"/>
      <c r="E1641" s="182"/>
      <c r="F1641" s="182"/>
      <c r="G1641" s="450" t="str">
        <f t="shared" si="74"/>
        <v>--</v>
      </c>
      <c r="H1641" s="182"/>
      <c r="I1641" s="892"/>
      <c r="J1641" s="288"/>
      <c r="K1641" s="182"/>
      <c r="L1641" s="182"/>
      <c r="M1641" s="270"/>
      <c r="N1641" s="892"/>
      <c r="O1641" s="892"/>
      <c r="P1641" s="275"/>
      <c r="Q1641" s="895">
        <v>0</v>
      </c>
      <c r="R1641" s="114"/>
      <c r="S1641" s="884"/>
      <c r="T1641" s="270"/>
      <c r="U1641" s="270"/>
      <c r="V1641" s="270"/>
      <c r="W1641" s="270"/>
      <c r="X1641" s="270"/>
      <c r="Y1641" s="270"/>
      <c r="Z1641" s="114"/>
      <c r="AA1641" s="114"/>
      <c r="AB1641" s="85"/>
      <c r="AC1641" s="85"/>
      <c r="AD1641" s="85"/>
      <c r="AE1641" s="85"/>
    </row>
    <row r="1642" spans="3:31" x14ac:dyDescent="0.3">
      <c r="C1642" s="450"/>
      <c r="D1642" s="182"/>
      <c r="E1642" s="182"/>
      <c r="F1642" s="182"/>
      <c r="G1642" s="450" t="str">
        <f t="shared" si="74"/>
        <v>--</v>
      </c>
      <c r="H1642" s="182"/>
      <c r="I1642" s="892"/>
      <c r="J1642" s="288"/>
      <c r="K1642" s="182"/>
      <c r="L1642" s="182"/>
      <c r="M1642" s="270"/>
      <c r="N1642" s="892"/>
      <c r="O1642" s="892"/>
      <c r="P1642" s="269"/>
      <c r="Q1642" s="895">
        <v>0</v>
      </c>
      <c r="R1642" s="114"/>
      <c r="S1642" s="884"/>
      <c r="T1642" s="270"/>
      <c r="U1642" s="270"/>
      <c r="V1642" s="270"/>
      <c r="W1642" s="270"/>
      <c r="X1642" s="270"/>
      <c r="Y1642" s="270"/>
      <c r="Z1642" s="114"/>
      <c r="AA1642" s="114"/>
      <c r="AB1642" s="85"/>
      <c r="AC1642" s="85"/>
      <c r="AD1642" s="85"/>
      <c r="AE1642" s="85"/>
    </row>
    <row r="1643" spans="3:31" x14ac:dyDescent="0.3">
      <c r="C1643" s="450"/>
      <c r="D1643" s="182"/>
      <c r="E1643" s="182"/>
      <c r="F1643" s="182"/>
      <c r="G1643" s="450" t="str">
        <f t="shared" si="74"/>
        <v>--</v>
      </c>
      <c r="H1643" s="182"/>
      <c r="I1643" s="892"/>
      <c r="J1643" s="288"/>
      <c r="K1643" s="182"/>
      <c r="L1643" s="182"/>
      <c r="M1643" s="270"/>
      <c r="N1643" s="892"/>
      <c r="O1643" s="892"/>
      <c r="P1643" s="263" t="s">
        <v>46</v>
      </c>
      <c r="Q1643" s="897">
        <f>SUM(Q1637:Q1642)</f>
        <v>1</v>
      </c>
      <c r="R1643" s="899"/>
      <c r="S1643" s="900"/>
      <c r="T1643" s="270"/>
      <c r="U1643" s="270"/>
      <c r="V1643" s="270"/>
      <c r="W1643" s="270"/>
      <c r="X1643" s="270"/>
      <c r="Y1643" s="270"/>
      <c r="Z1643" s="114"/>
      <c r="AA1643" s="114"/>
      <c r="AB1643" s="85"/>
      <c r="AC1643" s="85"/>
      <c r="AD1643" s="85"/>
      <c r="AE1643" s="85"/>
    </row>
    <row r="1644" spans="3:31" x14ac:dyDescent="0.3">
      <c r="C1644" s="450"/>
      <c r="D1644" s="182"/>
      <c r="E1644" s="182"/>
      <c r="F1644" s="182"/>
      <c r="G1644" s="450" t="str">
        <f t="shared" si="74"/>
        <v>--</v>
      </c>
      <c r="H1644" s="182"/>
      <c r="I1644" s="892"/>
      <c r="J1644" s="288"/>
      <c r="K1644" s="182"/>
      <c r="L1644" s="182"/>
      <c r="M1644" s="270"/>
      <c r="N1644" s="892"/>
      <c r="O1644" s="892"/>
      <c r="P1644" s="259"/>
      <c r="Q1644" s="114"/>
      <c r="R1644" s="114"/>
      <c r="S1644" s="114"/>
      <c r="T1644" s="270"/>
      <c r="U1644" s="270"/>
      <c r="V1644" s="270"/>
      <c r="W1644" s="270"/>
      <c r="X1644" s="270"/>
      <c r="Y1644" s="270"/>
      <c r="Z1644" s="114"/>
      <c r="AA1644" s="114"/>
      <c r="AB1644" s="85"/>
      <c r="AC1644" s="85"/>
      <c r="AD1644" s="85"/>
      <c r="AE1644" s="85"/>
    </row>
    <row r="1645" spans="3:31" ht="15" thickBot="1" x14ac:dyDescent="0.35">
      <c r="C1645" s="450"/>
      <c r="D1645" s="182"/>
      <c r="E1645" s="182"/>
      <c r="F1645" s="182"/>
      <c r="G1645" s="450" t="str">
        <f t="shared" si="74"/>
        <v>--</v>
      </c>
      <c r="H1645" s="182"/>
      <c r="I1645" s="892"/>
      <c r="J1645" s="892"/>
      <c r="K1645" s="182"/>
      <c r="L1645" s="182"/>
      <c r="M1645" s="901" t="s">
        <v>155</v>
      </c>
      <c r="N1645" s="870" t="s">
        <v>188</v>
      </c>
      <c r="O1645" s="870"/>
      <c r="P1645" s="276" t="s">
        <v>426</v>
      </c>
      <c r="Q1645" s="871" t="s">
        <v>155</v>
      </c>
      <c r="R1645" s="902"/>
      <c r="S1645" s="874"/>
      <c r="T1645" s="270"/>
      <c r="U1645" s="270"/>
      <c r="V1645" s="270"/>
      <c r="W1645" s="270"/>
      <c r="X1645" s="270"/>
      <c r="Y1645" s="270"/>
      <c r="Z1645" s="114"/>
      <c r="AA1645" s="114"/>
      <c r="AB1645" s="85"/>
      <c r="AC1645" s="85"/>
      <c r="AD1645" s="85"/>
      <c r="AE1645" s="85"/>
    </row>
    <row r="1646" spans="3:31" ht="15" thickBot="1" x14ac:dyDescent="0.35">
      <c r="C1646" s="566" t="s">
        <v>91</v>
      </c>
      <c r="D1646" s="875" t="str">
        <f>VLOOKUP(C1646,'Airport Mapping'!$C$5:$D$39,2,FALSE)</f>
        <v xml:space="preserve"> </v>
      </c>
      <c r="E1646" s="567" t="s">
        <v>43</v>
      </c>
      <c r="F1646" s="567" t="s">
        <v>426</v>
      </c>
      <c r="G1646" s="450" t="str">
        <f t="shared" si="74"/>
        <v>Parking A-Maintenance-Pavement cleaning</v>
      </c>
      <c r="H1646" s="567" t="s">
        <v>282</v>
      </c>
      <c r="I1646" s="877" t="s">
        <v>64</v>
      </c>
      <c r="J1646" s="878">
        <f>SUMIFS('Level of Efficiency Assumptions'!J:J,'Level of Efficiency Assumptions'!D:D,E1646,'Level of Efficiency Assumptions'!F:F,F1646,'Level of Efficiency Assumptions'!I:I,I1646)</f>
        <v>10</v>
      </c>
      <c r="K1646" s="383" t="s">
        <v>588</v>
      </c>
      <c r="L1646" s="253" t="s">
        <v>64</v>
      </c>
      <c r="M1646" s="879">
        <f>SUM(Q1646:Q1647)</f>
        <v>0</v>
      </c>
      <c r="N1646" s="880">
        <f>IFERROR(M1646/M1649,"-")</f>
        <v>0</v>
      </c>
      <c r="O1646" s="881">
        <f>SUMIFS('Data Entry'!R:R,'Data Entry'!K:K,G1646)</f>
        <v>0</v>
      </c>
      <c r="P1646" s="272"/>
      <c r="Q1646" s="895">
        <v>0</v>
      </c>
      <c r="R1646" s="114"/>
      <c r="S1646" s="884"/>
      <c r="T1646" s="270"/>
      <c r="U1646" s="270"/>
      <c r="V1646" s="270"/>
      <c r="W1646" s="270"/>
      <c r="X1646" s="270"/>
      <c r="Y1646" s="270"/>
      <c r="Z1646" s="114"/>
      <c r="AA1646" s="114"/>
      <c r="AB1646" s="85"/>
      <c r="AC1646" s="85"/>
      <c r="AD1646" s="85"/>
      <c r="AE1646" s="85"/>
    </row>
    <row r="1647" spans="3:31" ht="15" thickBot="1" x14ac:dyDescent="0.35">
      <c r="C1647" s="494" t="s">
        <v>91</v>
      </c>
      <c r="D1647" s="577"/>
      <c r="E1647" s="577" t="s">
        <v>43</v>
      </c>
      <c r="F1647" s="577" t="s">
        <v>426</v>
      </c>
      <c r="G1647" s="450" t="str">
        <f t="shared" si="74"/>
        <v>Parking A-Maintenance-Pavement cleaning</v>
      </c>
      <c r="H1647" s="577"/>
      <c r="I1647" s="887" t="s">
        <v>65</v>
      </c>
      <c r="J1647" s="878">
        <f>SUMIFS('Level of Efficiency Assumptions'!J:J,'Level of Efficiency Assumptions'!D:D,E1647,'Level of Efficiency Assumptions'!F:F,F1647,'Level of Efficiency Assumptions'!I:I,I1647)</f>
        <v>7.5</v>
      </c>
      <c r="K1647" s="383" t="s">
        <v>588</v>
      </c>
      <c r="L1647" s="255" t="s">
        <v>65</v>
      </c>
      <c r="M1647" s="879">
        <f>Q1648+Q1649</f>
        <v>1</v>
      </c>
      <c r="N1647" s="880">
        <f>IFERROR(M1647/M1649,"-")</f>
        <v>1</v>
      </c>
      <c r="O1647" s="881">
        <f>SUMIFS('Data Entry'!S:S,'Data Entry'!K:K,G1647)</f>
        <v>0</v>
      </c>
      <c r="P1647" s="272"/>
      <c r="Q1647" s="895">
        <v>0</v>
      </c>
      <c r="R1647" s="114"/>
      <c r="S1647" s="884"/>
      <c r="T1647" s="270"/>
      <c r="U1647" s="270"/>
      <c r="V1647" s="270"/>
      <c r="W1647" s="270"/>
      <c r="X1647" s="270"/>
      <c r="Y1647" s="270"/>
      <c r="Z1647" s="114"/>
      <c r="AA1647" s="114"/>
      <c r="AB1647" s="85"/>
      <c r="AC1647" s="85"/>
      <c r="AD1647" s="85"/>
      <c r="AE1647" s="85"/>
    </row>
    <row r="1648" spans="3:31" ht="15" thickBot="1" x14ac:dyDescent="0.35">
      <c r="C1648" s="501" t="s">
        <v>91</v>
      </c>
      <c r="D1648" s="116"/>
      <c r="E1648" s="116" t="s">
        <v>43</v>
      </c>
      <c r="F1648" s="116" t="s">
        <v>426</v>
      </c>
      <c r="G1648" s="450" t="str">
        <f t="shared" ref="G1648:G1709" si="78">C1648&amp;"-"&amp;E1648&amp;"-"&amp;F1648</f>
        <v>Parking A-Maintenance-Pavement cleaning</v>
      </c>
      <c r="H1648" s="116"/>
      <c r="I1648" s="889" t="s">
        <v>66</v>
      </c>
      <c r="J1648" s="890">
        <f>SUMIFS('Level of Efficiency Assumptions'!J:J,'Level of Efficiency Assumptions'!D:D,E1648,'Level of Efficiency Assumptions'!F:F,F1648,'Level of Efficiency Assumptions'!I:I,I1648)</f>
        <v>5</v>
      </c>
      <c r="K1648" s="383" t="s">
        <v>588</v>
      </c>
      <c r="L1648" s="257" t="s">
        <v>66</v>
      </c>
      <c r="M1648" s="879">
        <f>Q1650+Q1651</f>
        <v>0</v>
      </c>
      <c r="N1648" s="880">
        <f>IFERROR(M1648/M1649,"-")</f>
        <v>0</v>
      </c>
      <c r="O1648" s="881">
        <f>SUMIFS('Data Entry'!T:T,'Data Entry'!K:K,G1648)</f>
        <v>0</v>
      </c>
      <c r="P1648" s="274"/>
      <c r="Q1648" s="895">
        <v>1</v>
      </c>
      <c r="R1648" s="114"/>
      <c r="S1648" s="884"/>
      <c r="T1648" s="270"/>
      <c r="U1648" s="270"/>
      <c r="V1648" s="270"/>
      <c r="W1648" s="270"/>
      <c r="X1648" s="270"/>
      <c r="Y1648" s="270"/>
      <c r="Z1648" s="114"/>
      <c r="AA1648" s="114"/>
      <c r="AB1648" s="85"/>
      <c r="AC1648" s="85"/>
      <c r="AD1648" s="85"/>
      <c r="AE1648" s="85"/>
    </row>
    <row r="1649" spans="3:31" x14ac:dyDescent="0.3">
      <c r="C1649" s="450"/>
      <c r="D1649" s="182"/>
      <c r="E1649" s="182"/>
      <c r="F1649" s="182"/>
      <c r="G1649" s="450" t="str">
        <f t="shared" si="78"/>
        <v>--</v>
      </c>
      <c r="H1649" s="182"/>
      <c r="I1649" s="440"/>
      <c r="J1649" s="892"/>
      <c r="K1649" s="259"/>
      <c r="L1649" s="259" t="s">
        <v>46</v>
      </c>
      <c r="M1649" s="893">
        <f>SUM(M1646:M1648)</f>
        <v>1</v>
      </c>
      <c r="N1649" s="894"/>
      <c r="O1649" s="894">
        <f>SUM(O1646:O1648)</f>
        <v>0</v>
      </c>
      <c r="P1649" s="274"/>
      <c r="Q1649" s="895">
        <v>0</v>
      </c>
      <c r="R1649" s="114"/>
      <c r="S1649" s="884"/>
      <c r="T1649" s="270"/>
      <c r="U1649" s="270"/>
      <c r="V1649" s="270"/>
      <c r="W1649" s="270"/>
      <c r="X1649" s="270"/>
      <c r="Y1649" s="270"/>
      <c r="Z1649" s="114"/>
      <c r="AA1649" s="114"/>
      <c r="AB1649" s="85"/>
      <c r="AC1649" s="85"/>
      <c r="AD1649" s="85"/>
      <c r="AE1649" s="85"/>
    </row>
    <row r="1650" spans="3:31" x14ac:dyDescent="0.3">
      <c r="C1650" s="450"/>
      <c r="D1650" s="182"/>
      <c r="E1650" s="182"/>
      <c r="F1650" s="182"/>
      <c r="G1650" s="450" t="str">
        <f t="shared" si="78"/>
        <v>--</v>
      </c>
      <c r="H1650" s="182"/>
      <c r="I1650" s="892"/>
      <c r="J1650" s="288"/>
      <c r="K1650" s="182"/>
      <c r="L1650" s="182"/>
      <c r="M1650" s="270"/>
      <c r="N1650" s="892"/>
      <c r="O1650" s="892"/>
      <c r="P1650" s="275"/>
      <c r="Q1650" s="895">
        <v>0</v>
      </c>
      <c r="R1650" s="114"/>
      <c r="S1650" s="884"/>
      <c r="T1650" s="270"/>
      <c r="U1650" s="270"/>
      <c r="V1650" s="270"/>
      <c r="W1650" s="270"/>
      <c r="X1650" s="270"/>
      <c r="Y1650" s="270"/>
      <c r="Z1650" s="114"/>
      <c r="AA1650" s="114"/>
      <c r="AB1650" s="85"/>
      <c r="AC1650" s="85"/>
      <c r="AD1650" s="85"/>
      <c r="AE1650" s="85"/>
    </row>
    <row r="1651" spans="3:31" x14ac:dyDescent="0.3">
      <c r="C1651" s="450"/>
      <c r="D1651" s="182"/>
      <c r="E1651" s="182"/>
      <c r="F1651" s="182"/>
      <c r="G1651" s="450" t="str">
        <f t="shared" si="78"/>
        <v>--</v>
      </c>
      <c r="H1651" s="182"/>
      <c r="I1651" s="892"/>
      <c r="J1651" s="288"/>
      <c r="K1651" s="182"/>
      <c r="L1651" s="182"/>
      <c r="M1651" s="270"/>
      <c r="N1651" s="892"/>
      <c r="O1651" s="892"/>
      <c r="P1651" s="269"/>
      <c r="Q1651" s="895">
        <v>0</v>
      </c>
      <c r="R1651" s="114"/>
      <c r="S1651" s="884"/>
      <c r="T1651" s="270"/>
      <c r="U1651" s="270"/>
      <c r="V1651" s="270"/>
      <c r="W1651" s="270"/>
      <c r="X1651" s="270"/>
      <c r="Y1651" s="270"/>
      <c r="Z1651" s="114"/>
      <c r="AA1651" s="114"/>
      <c r="AB1651" s="85"/>
      <c r="AC1651" s="85"/>
      <c r="AD1651" s="85"/>
      <c r="AE1651" s="85"/>
    </row>
    <row r="1652" spans="3:31" x14ac:dyDescent="0.3">
      <c r="C1652" s="450"/>
      <c r="D1652" s="182"/>
      <c r="E1652" s="182"/>
      <c r="F1652" s="182"/>
      <c r="G1652" s="450" t="str">
        <f t="shared" si="78"/>
        <v>--</v>
      </c>
      <c r="H1652" s="182"/>
      <c r="I1652" s="892"/>
      <c r="J1652" s="288"/>
      <c r="K1652" s="182"/>
      <c r="L1652" s="182"/>
      <c r="M1652" s="270"/>
      <c r="N1652" s="892"/>
      <c r="O1652" s="892"/>
      <c r="P1652" s="263" t="s">
        <v>46</v>
      </c>
      <c r="Q1652" s="897">
        <f>SUM(Q1646:Q1651)</f>
        <v>1</v>
      </c>
      <c r="R1652" s="899"/>
      <c r="S1652" s="900"/>
      <c r="T1652" s="270"/>
      <c r="U1652" s="270"/>
      <c r="V1652" s="270"/>
      <c r="W1652" s="270"/>
      <c r="X1652" s="270"/>
      <c r="Y1652" s="270"/>
      <c r="Z1652" s="114"/>
      <c r="AA1652" s="114"/>
      <c r="AB1652" s="85"/>
      <c r="AC1652" s="85"/>
      <c r="AD1652" s="85"/>
      <c r="AE1652" s="85"/>
    </row>
    <row r="1653" spans="3:31" x14ac:dyDescent="0.3">
      <c r="C1653" s="450"/>
      <c r="D1653" s="182"/>
      <c r="E1653" s="182"/>
      <c r="F1653" s="182"/>
      <c r="G1653" s="450" t="str">
        <f t="shared" si="78"/>
        <v>--</v>
      </c>
      <c r="H1653" s="182"/>
      <c r="I1653" s="892"/>
      <c r="J1653" s="288"/>
      <c r="K1653" s="182"/>
      <c r="L1653" s="270"/>
      <c r="M1653" s="270"/>
      <c r="N1653" s="923"/>
      <c r="O1653" s="923"/>
      <c r="P1653" s="270"/>
      <c r="Q1653" s="270"/>
      <c r="R1653" s="270"/>
      <c r="S1653" s="270"/>
      <c r="T1653" s="270"/>
      <c r="U1653" s="270"/>
      <c r="V1653" s="270"/>
      <c r="W1653" s="270"/>
      <c r="X1653" s="270"/>
      <c r="Y1653" s="270"/>
      <c r="Z1653" s="114"/>
      <c r="AA1653" s="114"/>
      <c r="AB1653" s="85"/>
      <c r="AC1653" s="85"/>
      <c r="AD1653" s="85"/>
      <c r="AE1653" s="85"/>
    </row>
    <row r="1654" spans="3:31" ht="15" thickBot="1" x14ac:dyDescent="0.35">
      <c r="C1654" s="450"/>
      <c r="D1654" s="182"/>
      <c r="E1654" s="182"/>
      <c r="F1654" s="182"/>
      <c r="G1654" s="450" t="str">
        <f t="shared" si="78"/>
        <v>--</v>
      </c>
      <c r="H1654" s="182"/>
      <c r="I1654" s="892"/>
      <c r="J1654" s="892"/>
      <c r="K1654" s="182"/>
      <c r="L1654" s="182"/>
      <c r="M1654" s="901" t="s">
        <v>155</v>
      </c>
      <c r="N1654" s="870" t="s">
        <v>188</v>
      </c>
      <c r="O1654" s="870"/>
      <c r="P1654" s="276" t="s">
        <v>52</v>
      </c>
      <c r="Q1654" s="871" t="s">
        <v>155</v>
      </c>
      <c r="R1654" s="902"/>
      <c r="S1654" s="874"/>
      <c r="T1654" s="270"/>
      <c r="U1654" s="270"/>
      <c r="V1654" s="270"/>
      <c r="W1654" s="270"/>
      <c r="X1654" s="270"/>
      <c r="Y1654" s="270"/>
      <c r="Z1654" s="114"/>
      <c r="AA1654" s="114"/>
      <c r="AB1654" s="85"/>
      <c r="AC1654" s="85"/>
      <c r="AD1654" s="85"/>
      <c r="AE1654" s="85"/>
    </row>
    <row r="1655" spans="3:31" ht="15" thickBot="1" x14ac:dyDescent="0.35">
      <c r="C1655" s="566" t="s">
        <v>91</v>
      </c>
      <c r="D1655" s="875" t="str">
        <f>VLOOKUP(C1655,'Airport Mapping'!$C$5:$D$39,2,FALSE)</f>
        <v xml:space="preserve"> </v>
      </c>
      <c r="E1655" s="567" t="s">
        <v>8</v>
      </c>
      <c r="F1655" s="567" t="s">
        <v>52</v>
      </c>
      <c r="G1655" s="450" t="str">
        <f t="shared" si="78"/>
        <v>Parking A-Other-Other 1</v>
      </c>
      <c r="H1655" s="567" t="s">
        <v>362</v>
      </c>
      <c r="I1655" s="877" t="s">
        <v>64</v>
      </c>
      <c r="J1655" s="878">
        <f>SUMIFS('Level of Efficiency Assumptions'!J:J,'Level of Efficiency Assumptions'!D:D,E1655,'Level of Efficiency Assumptions'!F:F,F1655,'Level of Efficiency Assumptions'!I:I,I1655)</f>
        <v>10</v>
      </c>
      <c r="K1655" s="383" t="s">
        <v>588</v>
      </c>
      <c r="L1655" s="253" t="s">
        <v>64</v>
      </c>
      <c r="M1655" s="879">
        <f>SUM(Q1655:Q1655)</f>
        <v>0</v>
      </c>
      <c r="N1655" s="880">
        <f>IFERROR(M1655/M1658,"-")</f>
        <v>0</v>
      </c>
      <c r="O1655" s="881">
        <f>SUMIFS('Data Entry'!R:R,'Data Entry'!K:K,G1655)</f>
        <v>0</v>
      </c>
      <c r="P1655" s="272" t="s">
        <v>129</v>
      </c>
      <c r="Q1655" s="895">
        <v>0</v>
      </c>
      <c r="R1655" s="114"/>
      <c r="S1655" s="884"/>
      <c r="T1655" s="270"/>
      <c r="U1655" s="270"/>
      <c r="V1655" s="270"/>
      <c r="W1655" s="270"/>
      <c r="X1655" s="270"/>
      <c r="Y1655" s="270"/>
      <c r="Z1655" s="114"/>
      <c r="AA1655" s="114"/>
      <c r="AB1655" s="85"/>
      <c r="AC1655" s="85"/>
      <c r="AD1655" s="85"/>
      <c r="AE1655" s="85"/>
    </row>
    <row r="1656" spans="3:31" ht="15" thickBot="1" x14ac:dyDescent="0.35">
      <c r="C1656" s="494" t="s">
        <v>91</v>
      </c>
      <c r="D1656" s="577"/>
      <c r="E1656" s="577" t="s">
        <v>8</v>
      </c>
      <c r="F1656" s="577" t="s">
        <v>52</v>
      </c>
      <c r="G1656" s="450" t="str">
        <f t="shared" si="78"/>
        <v>Parking A-Other-Other 1</v>
      </c>
      <c r="H1656" s="577"/>
      <c r="I1656" s="887" t="s">
        <v>65</v>
      </c>
      <c r="J1656" s="878">
        <f>SUMIFS('Level of Efficiency Assumptions'!J:J,'Level of Efficiency Assumptions'!D:D,E1656,'Level of Efficiency Assumptions'!F:F,F1656,'Level of Efficiency Assumptions'!I:I,I1656)</f>
        <v>7.5</v>
      </c>
      <c r="K1656" s="383" t="s">
        <v>588</v>
      </c>
      <c r="L1656" s="255" t="s">
        <v>65</v>
      </c>
      <c r="M1656" s="879">
        <f t="shared" ref="M1656:M1657" si="79">SUM(Q1656:Q1656)</f>
        <v>1</v>
      </c>
      <c r="N1656" s="880">
        <f>IFERROR(M1656/M1658,"-")</f>
        <v>1</v>
      </c>
      <c r="O1656" s="881">
        <f>SUMIFS('Data Entry'!S:S,'Data Entry'!K:K,G1656)</f>
        <v>0</v>
      </c>
      <c r="P1656" s="274" t="s">
        <v>233</v>
      </c>
      <c r="Q1656" s="895">
        <v>1</v>
      </c>
      <c r="R1656" s="114"/>
      <c r="S1656" s="884"/>
      <c r="T1656" s="270"/>
      <c r="U1656" s="270"/>
      <c r="V1656" s="270"/>
      <c r="W1656" s="270"/>
      <c r="X1656" s="270"/>
      <c r="Y1656" s="270"/>
      <c r="Z1656" s="114"/>
      <c r="AA1656" s="114"/>
      <c r="AB1656" s="85"/>
      <c r="AC1656" s="85"/>
      <c r="AD1656" s="85"/>
      <c r="AE1656" s="85"/>
    </row>
    <row r="1657" spans="3:31" ht="15" thickBot="1" x14ac:dyDescent="0.35">
      <c r="C1657" s="501" t="s">
        <v>91</v>
      </c>
      <c r="D1657" s="116"/>
      <c r="E1657" s="116" t="s">
        <v>8</v>
      </c>
      <c r="F1657" s="116" t="s">
        <v>52</v>
      </c>
      <c r="G1657" s="450" t="str">
        <f t="shared" si="78"/>
        <v>Parking A-Other-Other 1</v>
      </c>
      <c r="H1657" s="116"/>
      <c r="I1657" s="889" t="s">
        <v>66</v>
      </c>
      <c r="J1657" s="890">
        <f>SUMIFS('Level of Efficiency Assumptions'!J:J,'Level of Efficiency Assumptions'!D:D,E1657,'Level of Efficiency Assumptions'!F:F,F1657,'Level of Efficiency Assumptions'!I:I,I1657)</f>
        <v>5</v>
      </c>
      <c r="K1657" s="383" t="s">
        <v>588</v>
      </c>
      <c r="L1657" s="257" t="s">
        <v>66</v>
      </c>
      <c r="M1657" s="879">
        <f t="shared" si="79"/>
        <v>0</v>
      </c>
      <c r="N1657" s="880">
        <f>IFERROR(M1657/M1658,"-")</f>
        <v>0</v>
      </c>
      <c r="O1657" s="881">
        <f>SUMIFS('Data Entry'!T:T,'Data Entry'!K:K,G1657)</f>
        <v>0</v>
      </c>
      <c r="P1657" s="269" t="s">
        <v>234</v>
      </c>
      <c r="Q1657" s="895">
        <v>0</v>
      </c>
      <c r="R1657" s="114"/>
      <c r="S1657" s="884"/>
      <c r="T1657" s="270"/>
      <c r="U1657" s="270"/>
      <c r="V1657" s="270"/>
      <c r="W1657" s="270"/>
      <c r="X1657" s="270"/>
      <c r="Y1657" s="270"/>
      <c r="Z1657" s="114"/>
      <c r="AA1657" s="114"/>
      <c r="AB1657" s="85"/>
      <c r="AC1657" s="85"/>
      <c r="AD1657" s="85"/>
      <c r="AE1657" s="85"/>
    </row>
    <row r="1658" spans="3:31" s="45" customFormat="1" x14ac:dyDescent="0.3">
      <c r="C1658" s="450"/>
      <c r="D1658" s="182"/>
      <c r="E1658" s="182"/>
      <c r="F1658" s="182"/>
      <c r="G1658" s="450" t="str">
        <f t="shared" si="78"/>
        <v>--</v>
      </c>
      <c r="H1658" s="182"/>
      <c r="I1658" s="440"/>
      <c r="J1658" s="892"/>
      <c r="K1658" s="259"/>
      <c r="L1658" s="259" t="s">
        <v>46</v>
      </c>
      <c r="M1658" s="893">
        <f>SUM(M1655:M1657)</f>
        <v>1</v>
      </c>
      <c r="N1658" s="894"/>
      <c r="O1658" s="894">
        <f>SUM(O1655:O1657)</f>
        <v>0</v>
      </c>
      <c r="P1658" s="263" t="s">
        <v>46</v>
      </c>
      <c r="Q1658" s="897">
        <f>SUM(Q1655:Q1657)</f>
        <v>1</v>
      </c>
      <c r="R1658" s="899"/>
      <c r="S1658" s="900"/>
      <c r="T1658" s="270"/>
      <c r="U1658" s="270"/>
      <c r="V1658" s="270"/>
      <c r="W1658" s="270"/>
      <c r="X1658" s="270"/>
      <c r="Y1658" s="270"/>
      <c r="Z1658" s="114"/>
      <c r="AA1658" s="114"/>
      <c r="AB1658" s="85"/>
      <c r="AC1658" s="85"/>
      <c r="AD1658" s="85"/>
      <c r="AE1658" s="85"/>
    </row>
    <row r="1659" spans="3:31" s="45" customFormat="1" x14ac:dyDescent="0.3">
      <c r="C1659" s="450"/>
      <c r="D1659" s="182"/>
      <c r="E1659" s="182"/>
      <c r="F1659" s="182"/>
      <c r="G1659" s="450" t="str">
        <f t="shared" si="78"/>
        <v>--</v>
      </c>
      <c r="H1659" s="182"/>
      <c r="I1659" s="892"/>
      <c r="J1659" s="288"/>
      <c r="K1659" s="182"/>
      <c r="L1659" s="182"/>
      <c r="M1659" s="270"/>
      <c r="N1659" s="892"/>
      <c r="O1659" s="892"/>
      <c r="P1659" s="270"/>
      <c r="Q1659" s="270"/>
      <c r="R1659" s="270"/>
      <c r="S1659" s="270"/>
      <c r="T1659" s="270"/>
      <c r="U1659" s="270"/>
      <c r="V1659" s="270"/>
      <c r="W1659" s="270"/>
      <c r="X1659" s="270"/>
      <c r="Y1659" s="270"/>
      <c r="Z1659" s="114"/>
      <c r="AA1659" s="114"/>
      <c r="AB1659" s="85"/>
      <c r="AC1659" s="85"/>
      <c r="AD1659" s="85"/>
      <c r="AE1659" s="85"/>
    </row>
    <row r="1660" spans="3:31" s="45" customFormat="1" ht="15" thickBot="1" x14ac:dyDescent="0.35">
      <c r="C1660" s="450"/>
      <c r="D1660" s="182"/>
      <c r="E1660" s="182"/>
      <c r="F1660" s="182"/>
      <c r="G1660" s="450" t="str">
        <f t="shared" si="78"/>
        <v>--</v>
      </c>
      <c r="H1660" s="182"/>
      <c r="I1660" s="892"/>
      <c r="J1660" s="892"/>
      <c r="K1660" s="182"/>
      <c r="L1660" s="182"/>
      <c r="M1660" s="901" t="s">
        <v>155</v>
      </c>
      <c r="N1660" s="870" t="s">
        <v>188</v>
      </c>
      <c r="O1660" s="870"/>
      <c r="P1660" s="276" t="s">
        <v>53</v>
      </c>
      <c r="Q1660" s="871" t="s">
        <v>155</v>
      </c>
      <c r="R1660" s="902"/>
      <c r="S1660" s="874"/>
      <c r="T1660" s="270"/>
      <c r="U1660" s="114"/>
      <c r="V1660" s="114"/>
      <c r="W1660" s="270"/>
      <c r="X1660" s="270"/>
      <c r="Y1660" s="270"/>
      <c r="Z1660" s="114"/>
      <c r="AA1660" s="114"/>
      <c r="AB1660" s="85"/>
      <c r="AC1660" s="85"/>
      <c r="AD1660" s="85"/>
      <c r="AE1660" s="85"/>
    </row>
    <row r="1661" spans="3:31" s="45" customFormat="1" ht="15" thickBot="1" x14ac:dyDescent="0.35">
      <c r="C1661" s="566" t="s">
        <v>91</v>
      </c>
      <c r="D1661" s="875" t="str">
        <f>VLOOKUP(C1661,'Airport Mapping'!$C$5:$D$39,2,FALSE)</f>
        <v xml:space="preserve"> </v>
      </c>
      <c r="E1661" s="567" t="s">
        <v>8</v>
      </c>
      <c r="F1661" s="567" t="s">
        <v>53</v>
      </c>
      <c r="G1661" s="450" t="str">
        <f t="shared" si="78"/>
        <v>Parking A-Other-Other 2</v>
      </c>
      <c r="H1661" s="567" t="s">
        <v>363</v>
      </c>
      <c r="I1661" s="877" t="s">
        <v>64</v>
      </c>
      <c r="J1661" s="878">
        <f>SUMIFS('Level of Efficiency Assumptions'!J:J,'Level of Efficiency Assumptions'!D:D,E1661,'Level of Efficiency Assumptions'!F:F,F1661,'Level of Efficiency Assumptions'!I:I,I1661)</f>
        <v>10</v>
      </c>
      <c r="K1661" s="383" t="s">
        <v>588</v>
      </c>
      <c r="L1661" s="253" t="s">
        <v>64</v>
      </c>
      <c r="M1661" s="879">
        <f>SUM(Q1661:Q1661)</f>
        <v>0</v>
      </c>
      <c r="N1661" s="880">
        <f>IFERROR(M1661/M1664,"-")</f>
        <v>0</v>
      </c>
      <c r="O1661" s="881">
        <f>SUMIFS('Data Entry'!R:R,'Data Entry'!K:K,G1661)</f>
        <v>0</v>
      </c>
      <c r="P1661" s="272" t="s">
        <v>129</v>
      </c>
      <c r="Q1661" s="895">
        <v>0</v>
      </c>
      <c r="R1661" s="114"/>
      <c r="S1661" s="884"/>
      <c r="T1661" s="270"/>
      <c r="U1661" s="114"/>
      <c r="V1661" s="114"/>
      <c r="W1661" s="270"/>
      <c r="X1661" s="270"/>
      <c r="Y1661" s="270"/>
      <c r="Z1661" s="114"/>
      <c r="AA1661" s="114"/>
      <c r="AB1661" s="85"/>
      <c r="AC1661" s="85"/>
      <c r="AD1661" s="85"/>
      <c r="AE1661" s="85"/>
    </row>
    <row r="1662" spans="3:31" s="45" customFormat="1" ht="15" thickBot="1" x14ac:dyDescent="0.35">
      <c r="C1662" s="494" t="s">
        <v>91</v>
      </c>
      <c r="D1662" s="577"/>
      <c r="E1662" s="577" t="s">
        <v>8</v>
      </c>
      <c r="F1662" s="577" t="s">
        <v>53</v>
      </c>
      <c r="G1662" s="450" t="str">
        <f t="shared" si="78"/>
        <v>Parking A-Other-Other 2</v>
      </c>
      <c r="H1662" s="577"/>
      <c r="I1662" s="887" t="s">
        <v>65</v>
      </c>
      <c r="J1662" s="878">
        <f>SUMIFS('Level of Efficiency Assumptions'!J:J,'Level of Efficiency Assumptions'!D:D,E1662,'Level of Efficiency Assumptions'!F:F,F1662,'Level of Efficiency Assumptions'!I:I,I1662)</f>
        <v>7.5</v>
      </c>
      <c r="K1662" s="383" t="s">
        <v>588</v>
      </c>
      <c r="L1662" s="255" t="s">
        <v>65</v>
      </c>
      <c r="M1662" s="879">
        <f t="shared" ref="M1662:M1663" si="80">SUM(Q1662:Q1662)</f>
        <v>1</v>
      </c>
      <c r="N1662" s="880">
        <f>IFERROR(M1662/M1664,"-")</f>
        <v>1</v>
      </c>
      <c r="O1662" s="881">
        <f>SUMIFS('Data Entry'!S:S,'Data Entry'!K:K,G1662)</f>
        <v>0</v>
      </c>
      <c r="P1662" s="274" t="s">
        <v>233</v>
      </c>
      <c r="Q1662" s="895">
        <v>1</v>
      </c>
      <c r="R1662" s="114"/>
      <c r="S1662" s="884"/>
      <c r="T1662" s="270"/>
      <c r="U1662" s="114"/>
      <c r="V1662" s="114"/>
      <c r="W1662" s="114"/>
      <c r="X1662" s="114"/>
      <c r="Y1662" s="270"/>
      <c r="Z1662" s="114"/>
      <c r="AA1662" s="114"/>
      <c r="AB1662" s="85"/>
      <c r="AC1662" s="85"/>
      <c r="AD1662" s="85"/>
      <c r="AE1662" s="85"/>
    </row>
    <row r="1663" spans="3:31" ht="15" thickBot="1" x14ac:dyDescent="0.35">
      <c r="C1663" s="501" t="s">
        <v>91</v>
      </c>
      <c r="D1663" s="116"/>
      <c r="E1663" s="116" t="s">
        <v>8</v>
      </c>
      <c r="F1663" s="116" t="s">
        <v>53</v>
      </c>
      <c r="G1663" s="450" t="str">
        <f t="shared" si="78"/>
        <v>Parking A-Other-Other 2</v>
      </c>
      <c r="H1663" s="116"/>
      <c r="I1663" s="889" t="s">
        <v>66</v>
      </c>
      <c r="J1663" s="890">
        <f>SUMIFS('Level of Efficiency Assumptions'!J:J,'Level of Efficiency Assumptions'!D:D,E1663,'Level of Efficiency Assumptions'!F:F,F1663,'Level of Efficiency Assumptions'!I:I,I1663)</f>
        <v>5</v>
      </c>
      <c r="K1663" s="383" t="s">
        <v>588</v>
      </c>
      <c r="L1663" s="257" t="s">
        <v>66</v>
      </c>
      <c r="M1663" s="879">
        <f t="shared" si="80"/>
        <v>0</v>
      </c>
      <c r="N1663" s="880">
        <f>IFERROR(M1663/M1664,"-")</f>
        <v>0</v>
      </c>
      <c r="O1663" s="881">
        <f>SUMIFS('Data Entry'!T:T,'Data Entry'!K:K,G1663)</f>
        <v>0</v>
      </c>
      <c r="P1663" s="269" t="s">
        <v>234</v>
      </c>
      <c r="Q1663" s="895">
        <v>0</v>
      </c>
      <c r="R1663" s="114"/>
      <c r="S1663" s="884"/>
      <c r="T1663" s="270"/>
      <c r="U1663" s="114"/>
      <c r="V1663" s="114"/>
      <c r="W1663" s="114"/>
      <c r="X1663" s="114"/>
      <c r="Y1663" s="270"/>
      <c r="Z1663" s="114"/>
      <c r="AA1663" s="114"/>
      <c r="AB1663" s="85"/>
      <c r="AC1663" s="85"/>
      <c r="AD1663" s="85"/>
      <c r="AE1663" s="85"/>
    </row>
    <row r="1664" spans="3:31" x14ac:dyDescent="0.3">
      <c r="C1664" s="450"/>
      <c r="D1664" s="182"/>
      <c r="E1664" s="182"/>
      <c r="F1664" s="182"/>
      <c r="G1664" s="450" t="str">
        <f t="shared" si="78"/>
        <v>--</v>
      </c>
      <c r="H1664" s="182"/>
      <c r="I1664" s="440"/>
      <c r="J1664" s="892"/>
      <c r="K1664" s="259"/>
      <c r="L1664" s="259" t="s">
        <v>46</v>
      </c>
      <c r="M1664" s="893">
        <f>SUM(M1661:M1663)</f>
        <v>1</v>
      </c>
      <c r="N1664" s="894"/>
      <c r="O1664" s="894">
        <f>SUM(O1661:O1663)</f>
        <v>0</v>
      </c>
      <c r="P1664" s="263" t="s">
        <v>46</v>
      </c>
      <c r="Q1664" s="897">
        <f>SUM(Q1661:Q1663)</f>
        <v>1</v>
      </c>
      <c r="R1664" s="899"/>
      <c r="S1664" s="900"/>
      <c r="T1664" s="270"/>
      <c r="U1664" s="114"/>
      <c r="V1664" s="114"/>
      <c r="W1664" s="114"/>
      <c r="X1664" s="114"/>
      <c r="Y1664" s="270"/>
      <c r="Z1664" s="114"/>
      <c r="AA1664" s="114"/>
      <c r="AB1664" s="85"/>
      <c r="AC1664" s="85"/>
      <c r="AD1664" s="85"/>
      <c r="AE1664" s="85"/>
    </row>
    <row r="1665" spans="3:31" x14ac:dyDescent="0.3">
      <c r="C1665" s="450"/>
      <c r="D1665" s="182"/>
      <c r="E1665" s="182"/>
      <c r="F1665" s="182"/>
      <c r="G1665" s="450" t="str">
        <f t="shared" si="78"/>
        <v>--</v>
      </c>
      <c r="H1665" s="182"/>
      <c r="I1665" s="892"/>
      <c r="J1665" s="288"/>
      <c r="K1665" s="182"/>
      <c r="L1665" s="182"/>
      <c r="M1665" s="270"/>
      <c r="N1665" s="892"/>
      <c r="O1665" s="892"/>
      <c r="P1665" s="270"/>
      <c r="Q1665" s="270"/>
      <c r="R1665" s="270"/>
      <c r="S1665" s="270"/>
      <c r="T1665" s="270"/>
      <c r="U1665" s="114"/>
      <c r="V1665" s="114"/>
      <c r="W1665" s="114"/>
      <c r="X1665" s="114"/>
      <c r="Y1665" s="270"/>
      <c r="Z1665" s="114"/>
      <c r="AA1665" s="114"/>
      <c r="AB1665" s="85"/>
      <c r="AC1665" s="85"/>
      <c r="AD1665" s="85"/>
      <c r="AE1665" s="85"/>
    </row>
    <row r="1666" spans="3:31" ht="15" thickBot="1" x14ac:dyDescent="0.35">
      <c r="C1666" s="450"/>
      <c r="D1666" s="182"/>
      <c r="E1666" s="182"/>
      <c r="F1666" s="182"/>
      <c r="G1666" s="450" t="str">
        <f t="shared" si="78"/>
        <v>--</v>
      </c>
      <c r="H1666" s="182"/>
      <c r="I1666" s="892"/>
      <c r="J1666" s="892"/>
      <c r="K1666" s="182"/>
      <c r="L1666" s="182"/>
      <c r="M1666" s="901" t="s">
        <v>155</v>
      </c>
      <c r="N1666" s="870" t="s">
        <v>188</v>
      </c>
      <c r="O1666" s="870"/>
      <c r="P1666" s="276" t="s">
        <v>54</v>
      </c>
      <c r="Q1666" s="871" t="s">
        <v>155</v>
      </c>
      <c r="R1666" s="902"/>
      <c r="S1666" s="874"/>
      <c r="T1666" s="270"/>
      <c r="U1666" s="114"/>
      <c r="V1666" s="114"/>
      <c r="W1666" s="114"/>
      <c r="X1666" s="114"/>
      <c r="Y1666" s="270"/>
      <c r="Z1666" s="114"/>
      <c r="AA1666" s="114"/>
      <c r="AB1666" s="85"/>
      <c r="AC1666" s="85"/>
      <c r="AD1666" s="85"/>
      <c r="AE1666" s="85"/>
    </row>
    <row r="1667" spans="3:31" ht="15" thickBot="1" x14ac:dyDescent="0.35">
      <c r="C1667" s="566" t="s">
        <v>91</v>
      </c>
      <c r="D1667" s="875" t="str">
        <f>VLOOKUP(C1667,'Airport Mapping'!$C$5:$D$39,2,FALSE)</f>
        <v xml:space="preserve"> </v>
      </c>
      <c r="E1667" s="567" t="s">
        <v>8</v>
      </c>
      <c r="F1667" s="567" t="s">
        <v>54</v>
      </c>
      <c r="G1667" s="450" t="str">
        <f t="shared" si="78"/>
        <v>Parking A-Other-Other 3</v>
      </c>
      <c r="H1667" s="567" t="s">
        <v>364</v>
      </c>
      <c r="I1667" s="877" t="s">
        <v>64</v>
      </c>
      <c r="J1667" s="878">
        <f>SUMIFS('Level of Efficiency Assumptions'!J:J,'Level of Efficiency Assumptions'!D:D,E1667,'Level of Efficiency Assumptions'!F:F,F1667,'Level of Efficiency Assumptions'!I:I,I1667)</f>
        <v>10</v>
      </c>
      <c r="K1667" s="383" t="s">
        <v>588</v>
      </c>
      <c r="L1667" s="253" t="s">
        <v>64</v>
      </c>
      <c r="M1667" s="879">
        <f>SUM(Q1667:Q1667)</f>
        <v>0</v>
      </c>
      <c r="N1667" s="880">
        <f>IFERROR(M1667/M1670,"-")</f>
        <v>0</v>
      </c>
      <c r="O1667" s="881">
        <f>SUMIFS('Data Entry'!R:R,'Data Entry'!K:K,G1667)</f>
        <v>0</v>
      </c>
      <c r="P1667" s="272" t="s">
        <v>129</v>
      </c>
      <c r="Q1667" s="895">
        <v>0</v>
      </c>
      <c r="R1667" s="114"/>
      <c r="S1667" s="884"/>
      <c r="T1667" s="270"/>
      <c r="U1667" s="114"/>
      <c r="V1667" s="114"/>
      <c r="W1667" s="114"/>
      <c r="X1667" s="114"/>
      <c r="Y1667" s="270"/>
      <c r="Z1667" s="114"/>
      <c r="AA1667" s="114"/>
      <c r="AB1667" s="85"/>
      <c r="AC1667" s="85"/>
      <c r="AD1667" s="85"/>
      <c r="AE1667" s="85"/>
    </row>
    <row r="1668" spans="3:31" ht="15" thickBot="1" x14ac:dyDescent="0.35">
      <c r="C1668" s="494" t="s">
        <v>91</v>
      </c>
      <c r="D1668" s="577"/>
      <c r="E1668" s="577" t="s">
        <v>8</v>
      </c>
      <c r="F1668" s="577" t="s">
        <v>54</v>
      </c>
      <c r="G1668" s="450" t="str">
        <f t="shared" si="78"/>
        <v>Parking A-Other-Other 3</v>
      </c>
      <c r="H1668" s="577"/>
      <c r="I1668" s="887" t="s">
        <v>65</v>
      </c>
      <c r="J1668" s="878">
        <f>SUMIFS('Level of Efficiency Assumptions'!J:J,'Level of Efficiency Assumptions'!D:D,E1668,'Level of Efficiency Assumptions'!F:F,F1668,'Level of Efficiency Assumptions'!I:I,I1668)</f>
        <v>7.5</v>
      </c>
      <c r="K1668" s="383" t="s">
        <v>588</v>
      </c>
      <c r="L1668" s="255" t="s">
        <v>65</v>
      </c>
      <c r="M1668" s="879">
        <f t="shared" ref="M1668:M1669" si="81">SUM(Q1668:Q1668)</f>
        <v>1</v>
      </c>
      <c r="N1668" s="880">
        <f>IFERROR(M1668/M1670,"-")</f>
        <v>1</v>
      </c>
      <c r="O1668" s="881">
        <f>SUMIFS('Data Entry'!S:S,'Data Entry'!K:K,G1668)</f>
        <v>0</v>
      </c>
      <c r="P1668" s="274" t="s">
        <v>233</v>
      </c>
      <c r="Q1668" s="895">
        <v>1</v>
      </c>
      <c r="R1668" s="114"/>
      <c r="S1668" s="884"/>
      <c r="T1668" s="270"/>
      <c r="U1668" s="114"/>
      <c r="V1668" s="114"/>
      <c r="W1668" s="114"/>
      <c r="X1668" s="114"/>
      <c r="Y1668" s="270"/>
      <c r="Z1668" s="114"/>
      <c r="AA1668" s="114"/>
      <c r="AB1668" s="85"/>
      <c r="AC1668" s="85"/>
      <c r="AD1668" s="85"/>
      <c r="AE1668" s="85"/>
    </row>
    <row r="1669" spans="3:31" ht="15" thickBot="1" x14ac:dyDescent="0.35">
      <c r="C1669" s="501" t="s">
        <v>91</v>
      </c>
      <c r="D1669" s="116"/>
      <c r="E1669" s="116" t="s">
        <v>8</v>
      </c>
      <c r="F1669" s="116" t="s">
        <v>54</v>
      </c>
      <c r="G1669" s="450" t="str">
        <f t="shared" si="78"/>
        <v>Parking A-Other-Other 3</v>
      </c>
      <c r="H1669" s="116"/>
      <c r="I1669" s="889" t="s">
        <v>66</v>
      </c>
      <c r="J1669" s="890">
        <f>SUMIFS('Level of Efficiency Assumptions'!J:J,'Level of Efficiency Assumptions'!D:D,E1669,'Level of Efficiency Assumptions'!F:F,F1669,'Level of Efficiency Assumptions'!I:I,I1669)</f>
        <v>5</v>
      </c>
      <c r="K1669" s="383" t="s">
        <v>588</v>
      </c>
      <c r="L1669" s="257" t="s">
        <v>66</v>
      </c>
      <c r="M1669" s="879">
        <f t="shared" si="81"/>
        <v>0</v>
      </c>
      <c r="N1669" s="880">
        <f>IFERROR(M1669/M1670,"-")</f>
        <v>0</v>
      </c>
      <c r="O1669" s="881">
        <f>SUMIFS('Data Entry'!T:T,'Data Entry'!K:K,G1669)</f>
        <v>0</v>
      </c>
      <c r="P1669" s="269" t="s">
        <v>234</v>
      </c>
      <c r="Q1669" s="895">
        <v>0</v>
      </c>
      <c r="R1669" s="114"/>
      <c r="S1669" s="884"/>
      <c r="T1669" s="270"/>
      <c r="U1669" s="114"/>
      <c r="V1669" s="114"/>
      <c r="W1669" s="114"/>
      <c r="X1669" s="114"/>
      <c r="Y1669" s="270"/>
      <c r="Z1669" s="114"/>
      <c r="AA1669" s="114"/>
      <c r="AB1669" s="85"/>
      <c r="AC1669" s="85"/>
      <c r="AD1669" s="85"/>
      <c r="AE1669" s="85"/>
    </row>
    <row r="1670" spans="3:31" x14ac:dyDescent="0.3">
      <c r="C1670" s="450"/>
      <c r="D1670" s="182"/>
      <c r="E1670" s="182"/>
      <c r="F1670" s="182"/>
      <c r="G1670" s="450" t="str">
        <f t="shared" si="78"/>
        <v>--</v>
      </c>
      <c r="H1670" s="182"/>
      <c r="I1670" s="440"/>
      <c r="J1670" s="892"/>
      <c r="K1670" s="259"/>
      <c r="L1670" s="259" t="s">
        <v>46</v>
      </c>
      <c r="M1670" s="893">
        <f>SUM(M1667:M1669)</f>
        <v>1</v>
      </c>
      <c r="N1670" s="894"/>
      <c r="O1670" s="894">
        <f>SUM(O1667:O1669)</f>
        <v>0</v>
      </c>
      <c r="P1670" s="263" t="s">
        <v>46</v>
      </c>
      <c r="Q1670" s="897">
        <f>SUM(Q1667:Q1669)</f>
        <v>1</v>
      </c>
      <c r="R1670" s="899"/>
      <c r="S1670" s="900"/>
      <c r="T1670" s="270"/>
      <c r="U1670" s="114"/>
      <c r="V1670" s="114"/>
      <c r="W1670" s="114"/>
      <c r="X1670" s="114"/>
      <c r="Y1670" s="270"/>
      <c r="Z1670" s="114"/>
      <c r="AA1670" s="114"/>
      <c r="AB1670" s="85"/>
      <c r="AC1670" s="85"/>
      <c r="AD1670" s="85"/>
      <c r="AE1670" s="85"/>
    </row>
    <row r="1671" spans="3:31" ht="15" thickBot="1" x14ac:dyDescent="0.35">
      <c r="C1671" s="451"/>
      <c r="D1671" s="184"/>
      <c r="E1671" s="184"/>
      <c r="F1671" s="184"/>
      <c r="G1671" s="450" t="str">
        <f t="shared" si="78"/>
        <v>--</v>
      </c>
      <c r="H1671" s="184"/>
      <c r="I1671" s="184"/>
      <c r="J1671" s="184"/>
      <c r="K1671" s="184"/>
      <c r="L1671" s="184"/>
      <c r="M1671" s="924"/>
      <c r="N1671" s="281"/>
      <c r="O1671" s="925"/>
      <c r="P1671" s="184"/>
      <c r="Q1671" s="924"/>
      <c r="R1671" s="184"/>
      <c r="S1671" s="184"/>
      <c r="T1671" s="184"/>
      <c r="U1671" s="184"/>
      <c r="V1671" s="184"/>
      <c r="W1671" s="184"/>
      <c r="X1671" s="184"/>
      <c r="Y1671" s="184"/>
      <c r="Z1671" s="184"/>
      <c r="AA1671" s="184"/>
      <c r="AB1671" s="184"/>
      <c r="AC1671" s="184"/>
      <c r="AD1671" s="184"/>
      <c r="AE1671" s="184"/>
    </row>
    <row r="1672" spans="3:31" x14ac:dyDescent="0.3">
      <c r="C1672" s="450"/>
      <c r="D1672" s="182"/>
      <c r="E1672" s="182"/>
      <c r="F1672" s="182"/>
      <c r="G1672" s="450" t="str">
        <f t="shared" si="78"/>
        <v>--</v>
      </c>
      <c r="H1672" s="182"/>
      <c r="I1672" s="892"/>
      <c r="J1672" s="892"/>
      <c r="K1672" s="182"/>
      <c r="L1672" s="181"/>
      <c r="M1672" s="114"/>
      <c r="N1672" s="892"/>
      <c r="O1672" s="892"/>
      <c r="P1672" s="114"/>
      <c r="Q1672" s="114"/>
      <c r="R1672" s="114"/>
      <c r="S1672" s="114"/>
      <c r="T1672" s="114"/>
      <c r="U1672" s="114"/>
      <c r="V1672" s="114"/>
      <c r="W1672" s="114"/>
      <c r="X1672" s="114"/>
      <c r="Y1672" s="270"/>
      <c r="Z1672" s="114"/>
      <c r="AA1672" s="114"/>
      <c r="AB1672" s="85"/>
      <c r="AC1672" s="85"/>
      <c r="AD1672" s="85"/>
      <c r="AE1672" s="85"/>
    </row>
    <row r="1673" spans="3:31" x14ac:dyDescent="0.3">
      <c r="C1673" s="450"/>
      <c r="D1673" s="182"/>
      <c r="E1673" s="182"/>
      <c r="F1673" s="182"/>
      <c r="G1673" s="450" t="str">
        <f t="shared" si="78"/>
        <v>--</v>
      </c>
      <c r="H1673" s="182"/>
      <c r="I1673" s="892"/>
      <c r="J1673" s="892"/>
      <c r="K1673" s="182"/>
      <c r="L1673" s="182"/>
      <c r="M1673" s="270"/>
      <c r="N1673" s="892"/>
      <c r="O1673" s="892"/>
      <c r="P1673" s="276" t="s">
        <v>42</v>
      </c>
      <c r="Q1673" s="902"/>
      <c r="R1673" s="902"/>
      <c r="S1673" s="902"/>
      <c r="T1673" s="271"/>
      <c r="U1673" s="114"/>
      <c r="V1673" s="114"/>
      <c r="W1673" s="114"/>
      <c r="X1673" s="114"/>
      <c r="Y1673" s="270"/>
      <c r="Z1673" s="114"/>
      <c r="AA1673" s="114"/>
      <c r="AB1673" s="85"/>
      <c r="AC1673" s="85"/>
      <c r="AD1673" s="85"/>
      <c r="AE1673" s="85"/>
    </row>
    <row r="1674" spans="3:31" ht="15" thickBot="1" x14ac:dyDescent="0.35">
      <c r="C1674" s="450"/>
      <c r="D1674" s="182"/>
      <c r="E1674" s="182"/>
      <c r="F1674" s="182"/>
      <c r="G1674" s="450" t="str">
        <f t="shared" si="78"/>
        <v>--</v>
      </c>
      <c r="H1674" s="182"/>
      <c r="I1674" s="892"/>
      <c r="J1674" s="892"/>
      <c r="K1674" s="182"/>
      <c r="L1674" s="182"/>
      <c r="M1674" s="901" t="s">
        <v>155</v>
      </c>
      <c r="N1674" s="870" t="s">
        <v>188</v>
      </c>
      <c r="O1674" s="870"/>
      <c r="P1674" s="277" t="s">
        <v>818</v>
      </c>
      <c r="Q1674" s="871" t="s">
        <v>155</v>
      </c>
      <c r="R1674" s="114"/>
      <c r="S1674" s="114"/>
      <c r="T1674" s="271"/>
      <c r="U1674" s="114"/>
      <c r="V1674" s="114"/>
      <c r="W1674" s="114"/>
      <c r="X1674" s="114"/>
      <c r="Y1674" s="270"/>
      <c r="Z1674" s="114"/>
      <c r="AA1674" s="114"/>
      <c r="AB1674" s="85"/>
      <c r="AC1674" s="85"/>
      <c r="AD1674" s="85"/>
      <c r="AE1674" s="85"/>
    </row>
    <row r="1675" spans="3:31" ht="15" thickBot="1" x14ac:dyDescent="0.35">
      <c r="C1675" s="566" t="s">
        <v>92</v>
      </c>
      <c r="D1675" s="875" t="str">
        <f>VLOOKUP(C1675,'Airport Mapping'!$C$5:$D$39,2,FALSE)</f>
        <v xml:space="preserve"> </v>
      </c>
      <c r="E1675" s="567" t="s">
        <v>39</v>
      </c>
      <c r="F1675" s="567" t="s">
        <v>42</v>
      </c>
      <c r="G1675" s="450" t="str">
        <f t="shared" si="78"/>
        <v>Parking B-Landscaping-Outdoor irrigation</v>
      </c>
      <c r="H1675" s="567" t="s">
        <v>32</v>
      </c>
      <c r="I1675" s="877" t="s">
        <v>64</v>
      </c>
      <c r="J1675" s="878">
        <f>SUMIFS('Level of Efficiency Assumptions'!J:J,'Level of Efficiency Assumptions'!D:D,E1675,'Level of Efficiency Assumptions'!F:F,F1675,'Level of Efficiency Assumptions'!I:I,I1675)</f>
        <v>28.6</v>
      </c>
      <c r="K1675" s="383" t="s">
        <v>816</v>
      </c>
      <c r="L1675" s="253" t="s">
        <v>64</v>
      </c>
      <c r="M1675" s="879">
        <f>SUM(Q1675:Q1676)</f>
        <v>0</v>
      </c>
      <c r="N1675" s="880">
        <f>IFERROR(M1675/M1678,"-")</f>
        <v>0</v>
      </c>
      <c r="O1675" s="881">
        <f>SUMIFS('Data Entry'!R:R,'Data Entry'!K:K,G1675)</f>
        <v>0</v>
      </c>
      <c r="P1675" s="272" t="s">
        <v>237</v>
      </c>
      <c r="Q1675" s="895">
        <v>0</v>
      </c>
      <c r="R1675" s="114"/>
      <c r="S1675" s="114"/>
      <c r="T1675" s="271"/>
      <c r="U1675" s="114"/>
      <c r="V1675" s="114"/>
      <c r="W1675" s="114"/>
      <c r="X1675" s="114"/>
      <c r="Y1675" s="270"/>
      <c r="Z1675" s="114"/>
      <c r="AA1675" s="114"/>
      <c r="AB1675" s="85"/>
      <c r="AC1675" s="85"/>
      <c r="AD1675" s="85"/>
      <c r="AE1675" s="85"/>
    </row>
    <row r="1676" spans="3:31" ht="15" thickBot="1" x14ac:dyDescent="0.35">
      <c r="C1676" s="494" t="s">
        <v>92</v>
      </c>
      <c r="D1676" s="577"/>
      <c r="E1676" s="577" t="s">
        <v>39</v>
      </c>
      <c r="F1676" s="577" t="s">
        <v>42</v>
      </c>
      <c r="G1676" s="450" t="str">
        <f t="shared" si="78"/>
        <v>Parking B-Landscaping-Outdoor irrigation</v>
      </c>
      <c r="H1676" s="577"/>
      <c r="I1676" s="887" t="s">
        <v>65</v>
      </c>
      <c r="J1676" s="878">
        <f>SUMIFS('Level of Efficiency Assumptions'!J:J,'Level of Efficiency Assumptions'!D:D,E1676,'Level of Efficiency Assumptions'!F:F,F1676,'Level of Efficiency Assumptions'!I:I,I1676)</f>
        <v>13.980821518350929</v>
      </c>
      <c r="K1676" s="383" t="s">
        <v>816</v>
      </c>
      <c r="L1676" s="255" t="s">
        <v>65</v>
      </c>
      <c r="M1676" s="879">
        <f>Q1677+Q1678</f>
        <v>1</v>
      </c>
      <c r="N1676" s="880">
        <f>IFERROR(M1676/M1678,"-")</f>
        <v>1</v>
      </c>
      <c r="O1676" s="881">
        <f>SUMIFS('Data Entry'!S:S,'Data Entry'!K:K,G1676)</f>
        <v>0</v>
      </c>
      <c r="P1676" s="272" t="s">
        <v>232</v>
      </c>
      <c r="Q1676" s="895">
        <v>0</v>
      </c>
      <c r="R1676" s="114"/>
      <c r="S1676" s="114"/>
      <c r="T1676" s="271"/>
      <c r="U1676" s="114"/>
      <c r="V1676" s="114"/>
      <c r="W1676" s="114"/>
      <c r="X1676" s="114"/>
      <c r="Y1676" s="270"/>
      <c r="Z1676" s="114"/>
      <c r="AA1676" s="114"/>
      <c r="AB1676" s="85"/>
      <c r="AC1676" s="85"/>
      <c r="AD1676" s="85"/>
      <c r="AE1676" s="85"/>
    </row>
    <row r="1677" spans="3:31" ht="15" thickBot="1" x14ac:dyDescent="0.35">
      <c r="C1677" s="501" t="s">
        <v>92</v>
      </c>
      <c r="D1677" s="116"/>
      <c r="E1677" s="116" t="s">
        <v>39</v>
      </c>
      <c r="F1677" s="116" t="s">
        <v>42</v>
      </c>
      <c r="G1677" s="450" t="str">
        <f t="shared" si="78"/>
        <v>Parking B-Landscaping-Outdoor irrigation</v>
      </c>
      <c r="H1677" s="116"/>
      <c r="I1677" s="889" t="s">
        <v>66</v>
      </c>
      <c r="J1677" s="890">
        <f>SUMIFS('Level of Efficiency Assumptions'!J:J,'Level of Efficiency Assumptions'!D:D,E1677,'Level of Efficiency Assumptions'!F:F,F1677,'Level of Efficiency Assumptions'!I:I,I1677)</f>
        <v>0.59137254901960778</v>
      </c>
      <c r="K1677" s="383" t="s">
        <v>816</v>
      </c>
      <c r="L1677" s="257" t="s">
        <v>66</v>
      </c>
      <c r="M1677" s="879">
        <f>Q1679+Q1680</f>
        <v>0</v>
      </c>
      <c r="N1677" s="880">
        <f>IFERROR(M1677/M1678,"-")</f>
        <v>0</v>
      </c>
      <c r="O1677" s="881">
        <f>SUMIFS('Data Entry'!T:T,'Data Entry'!K:K,G1677)</f>
        <v>0</v>
      </c>
      <c r="P1677" s="274" t="s">
        <v>231</v>
      </c>
      <c r="Q1677" s="895">
        <v>1</v>
      </c>
      <c r="R1677" s="114"/>
      <c r="S1677" s="114"/>
      <c r="T1677" s="271"/>
      <c r="U1677" s="114"/>
      <c r="V1677" s="114"/>
      <c r="W1677" s="114"/>
      <c r="X1677" s="114"/>
      <c r="Y1677" s="270"/>
      <c r="Z1677" s="114"/>
      <c r="AA1677" s="114"/>
      <c r="AB1677" s="85"/>
      <c r="AC1677" s="85"/>
      <c r="AD1677" s="85"/>
      <c r="AE1677" s="85"/>
    </row>
    <row r="1678" spans="3:31" x14ac:dyDescent="0.3">
      <c r="C1678" s="450"/>
      <c r="D1678" s="182"/>
      <c r="E1678" s="182"/>
      <c r="F1678" s="182"/>
      <c r="G1678" s="450" t="str">
        <f t="shared" si="78"/>
        <v>--</v>
      </c>
      <c r="H1678" s="182"/>
      <c r="I1678" s="440"/>
      <c r="J1678" s="892"/>
      <c r="K1678" s="259"/>
      <c r="L1678" s="259" t="s">
        <v>46</v>
      </c>
      <c r="M1678" s="893">
        <f>SUM(M1675:M1677)</f>
        <v>1</v>
      </c>
      <c r="N1678" s="894"/>
      <c r="O1678" s="894">
        <f>SUM(O1675:O1677)</f>
        <v>0</v>
      </c>
      <c r="P1678" s="274" t="s">
        <v>230</v>
      </c>
      <c r="Q1678" s="895">
        <v>0</v>
      </c>
      <c r="R1678" s="114"/>
      <c r="S1678" s="114"/>
      <c r="T1678" s="271"/>
      <c r="U1678" s="114"/>
      <c r="V1678" s="114"/>
      <c r="W1678" s="114"/>
      <c r="X1678" s="114"/>
      <c r="Y1678" s="270"/>
      <c r="Z1678" s="114"/>
      <c r="AA1678" s="114"/>
      <c r="AB1678" s="85"/>
      <c r="AC1678" s="85"/>
      <c r="AD1678" s="85"/>
      <c r="AE1678" s="85"/>
    </row>
    <row r="1679" spans="3:31" x14ac:dyDescent="0.3">
      <c r="C1679" s="450"/>
      <c r="D1679" s="182"/>
      <c r="E1679" s="182"/>
      <c r="F1679" s="182"/>
      <c r="G1679" s="450" t="str">
        <f t="shared" si="78"/>
        <v>--</v>
      </c>
      <c r="H1679" s="182"/>
      <c r="I1679" s="892"/>
      <c r="J1679" s="288"/>
      <c r="K1679" s="182"/>
      <c r="L1679" s="182"/>
      <c r="M1679" s="270"/>
      <c r="N1679" s="892"/>
      <c r="O1679" s="892"/>
      <c r="P1679" s="275" t="s">
        <v>229</v>
      </c>
      <c r="Q1679" s="895">
        <v>0</v>
      </c>
      <c r="R1679" s="114"/>
      <c r="S1679" s="114"/>
      <c r="T1679" s="271"/>
      <c r="U1679" s="114"/>
      <c r="V1679" s="114"/>
      <c r="W1679" s="114"/>
      <c r="X1679" s="114"/>
      <c r="Y1679" s="270"/>
      <c r="Z1679" s="114"/>
      <c r="AA1679" s="114"/>
      <c r="AB1679" s="85"/>
      <c r="AC1679" s="85"/>
      <c r="AD1679" s="85"/>
      <c r="AE1679" s="85"/>
    </row>
    <row r="1680" spans="3:31" x14ac:dyDescent="0.3">
      <c r="C1680" s="450"/>
      <c r="D1680" s="182"/>
      <c r="E1680" s="182"/>
      <c r="F1680" s="182"/>
      <c r="G1680" s="450" t="str">
        <f t="shared" si="78"/>
        <v>--</v>
      </c>
      <c r="H1680" s="182"/>
      <c r="I1680" s="892"/>
      <c r="J1680" s="288"/>
      <c r="K1680" s="182"/>
      <c r="L1680" s="182"/>
      <c r="M1680" s="270"/>
      <c r="N1680" s="892"/>
      <c r="O1680" s="892"/>
      <c r="P1680" s="269" t="s">
        <v>225</v>
      </c>
      <c r="Q1680" s="895">
        <v>0</v>
      </c>
      <c r="R1680" s="114"/>
      <c r="S1680" s="114"/>
      <c r="T1680" s="271"/>
      <c r="U1680" s="114"/>
      <c r="V1680" s="114"/>
      <c r="W1680" s="114"/>
      <c r="X1680" s="114"/>
      <c r="Y1680" s="270"/>
      <c r="Z1680" s="114"/>
      <c r="AA1680" s="114"/>
      <c r="AB1680" s="85"/>
      <c r="AC1680" s="85"/>
      <c r="AD1680" s="85"/>
      <c r="AE1680" s="85"/>
    </row>
    <row r="1681" spans="3:31" x14ac:dyDescent="0.3">
      <c r="C1681" s="450"/>
      <c r="D1681" s="182"/>
      <c r="E1681" s="182"/>
      <c r="F1681" s="182"/>
      <c r="G1681" s="450" t="str">
        <f t="shared" si="78"/>
        <v>--</v>
      </c>
      <c r="H1681" s="182"/>
      <c r="I1681" s="892"/>
      <c r="J1681" s="288"/>
      <c r="K1681" s="182"/>
      <c r="L1681" s="182"/>
      <c r="M1681" s="270"/>
      <c r="N1681" s="892"/>
      <c r="O1681" s="892"/>
      <c r="P1681" s="263" t="s">
        <v>46</v>
      </c>
      <c r="Q1681" s="897">
        <f>SUM(Q1675:Q1680)</f>
        <v>1</v>
      </c>
      <c r="R1681" s="899"/>
      <c r="S1681" s="899"/>
      <c r="T1681" s="271"/>
      <c r="U1681" s="114"/>
      <c r="V1681" s="114"/>
      <c r="W1681" s="114"/>
      <c r="X1681" s="114"/>
      <c r="Y1681" s="270"/>
      <c r="Z1681" s="114"/>
      <c r="AA1681" s="114"/>
      <c r="AB1681" s="85"/>
      <c r="AC1681" s="85"/>
      <c r="AD1681" s="85"/>
      <c r="AE1681" s="85"/>
    </row>
    <row r="1682" spans="3:31" x14ac:dyDescent="0.3">
      <c r="C1682" s="450"/>
      <c r="D1682" s="182"/>
      <c r="E1682" s="182"/>
      <c r="F1682" s="182"/>
      <c r="G1682" s="450" t="str">
        <f t="shared" si="78"/>
        <v>--</v>
      </c>
      <c r="H1682" s="182"/>
      <c r="I1682" s="892"/>
      <c r="J1682" s="288"/>
      <c r="K1682" s="182"/>
      <c r="L1682" s="182"/>
      <c r="M1682" s="270"/>
      <c r="N1682" s="892"/>
      <c r="O1682" s="892"/>
      <c r="P1682" s="259"/>
      <c r="Q1682" s="114"/>
      <c r="R1682" s="270"/>
      <c r="S1682" s="270"/>
      <c r="T1682" s="270"/>
      <c r="U1682" s="270"/>
      <c r="V1682" s="270"/>
      <c r="W1682" s="114"/>
      <c r="X1682" s="114"/>
      <c r="Y1682" s="270"/>
      <c r="Z1682" s="114"/>
      <c r="AA1682" s="114"/>
      <c r="AB1682" s="85"/>
      <c r="AC1682" s="85"/>
      <c r="AD1682" s="85"/>
      <c r="AE1682" s="85"/>
    </row>
    <row r="1683" spans="3:31" ht="15" thickBot="1" x14ac:dyDescent="0.35">
      <c r="C1683" s="450"/>
      <c r="D1683" s="182"/>
      <c r="E1683" s="182"/>
      <c r="F1683" s="182"/>
      <c r="G1683" s="450" t="str">
        <f t="shared" si="78"/>
        <v>--</v>
      </c>
      <c r="H1683" s="182"/>
      <c r="I1683" s="892"/>
      <c r="J1683" s="892"/>
      <c r="K1683" s="182"/>
      <c r="L1683" s="182"/>
      <c r="M1683" s="901" t="s">
        <v>155</v>
      </c>
      <c r="N1683" s="870" t="s">
        <v>188</v>
      </c>
      <c r="O1683" s="870"/>
      <c r="P1683" s="276" t="s">
        <v>9</v>
      </c>
      <c r="Q1683" s="871" t="s">
        <v>155</v>
      </c>
      <c r="R1683" s="902"/>
      <c r="S1683" s="874"/>
      <c r="T1683" s="270"/>
      <c r="U1683" s="270"/>
      <c r="V1683" s="270"/>
      <c r="W1683" s="114"/>
      <c r="X1683" s="114"/>
      <c r="Y1683" s="270"/>
      <c r="Z1683" s="114"/>
      <c r="AA1683" s="114"/>
      <c r="AB1683" s="85"/>
      <c r="AC1683" s="85"/>
      <c r="AD1683" s="85"/>
      <c r="AE1683" s="85"/>
    </row>
    <row r="1684" spans="3:31" ht="15" thickBot="1" x14ac:dyDescent="0.35">
      <c r="C1684" s="566" t="s">
        <v>92</v>
      </c>
      <c r="D1684" s="875" t="str">
        <f>VLOOKUP(C1684,'Airport Mapping'!$C$5:$D$39,2,FALSE)</f>
        <v xml:space="preserve"> </v>
      </c>
      <c r="E1684" s="567" t="s">
        <v>43</v>
      </c>
      <c r="F1684" s="567" t="s">
        <v>9</v>
      </c>
      <c r="G1684" s="450" t="str">
        <f t="shared" si="78"/>
        <v>Parking B-Maintenance-Vehicle washing</v>
      </c>
      <c r="H1684" s="567" t="s">
        <v>282</v>
      </c>
      <c r="I1684" s="877" t="s">
        <v>64</v>
      </c>
      <c r="J1684" s="878">
        <f>SUMIFS('Level of Efficiency Assumptions'!J:J,'Level of Efficiency Assumptions'!D:D,E1684,'Level of Efficiency Assumptions'!F:F,F1684,'Level of Efficiency Assumptions'!I:I,I1684)</f>
        <v>80</v>
      </c>
      <c r="K1684" s="383" t="s">
        <v>588</v>
      </c>
      <c r="L1684" s="253" t="s">
        <v>64</v>
      </c>
      <c r="M1684" s="879">
        <f>SUM(Q1684:Q1685)</f>
        <v>0</v>
      </c>
      <c r="N1684" s="880">
        <f>IFERROR(M1684/M1687,"-")</f>
        <v>0</v>
      </c>
      <c r="O1684" s="881">
        <f>SUMIFS('Data Entry'!R:R,'Data Entry'!K:K,G1684)</f>
        <v>0</v>
      </c>
      <c r="P1684" s="272"/>
      <c r="Q1684" s="895">
        <v>0</v>
      </c>
      <c r="R1684" s="114"/>
      <c r="S1684" s="884"/>
      <c r="T1684" s="270"/>
      <c r="U1684" s="270"/>
      <c r="V1684" s="270"/>
      <c r="W1684" s="114"/>
      <c r="X1684" s="114"/>
      <c r="Y1684" s="270"/>
      <c r="Z1684" s="114"/>
      <c r="AA1684" s="114"/>
      <c r="AB1684" s="85"/>
      <c r="AC1684" s="85"/>
      <c r="AD1684" s="85"/>
      <c r="AE1684" s="85"/>
    </row>
    <row r="1685" spans="3:31" ht="15" thickBot="1" x14ac:dyDescent="0.35">
      <c r="C1685" s="494" t="s">
        <v>92</v>
      </c>
      <c r="D1685" s="577"/>
      <c r="E1685" s="577" t="s">
        <v>43</v>
      </c>
      <c r="F1685" s="577" t="s">
        <v>9</v>
      </c>
      <c r="G1685" s="450" t="str">
        <f t="shared" si="78"/>
        <v>Parking B-Maintenance-Vehicle washing</v>
      </c>
      <c r="H1685" s="577"/>
      <c r="I1685" s="887" t="s">
        <v>65</v>
      </c>
      <c r="J1685" s="878">
        <f>SUMIFS('Level of Efficiency Assumptions'!J:J,'Level of Efficiency Assumptions'!D:D,E1685,'Level of Efficiency Assumptions'!F:F,F1685,'Level of Efficiency Assumptions'!I:I,I1685)</f>
        <v>40</v>
      </c>
      <c r="K1685" s="383" t="s">
        <v>588</v>
      </c>
      <c r="L1685" s="255" t="s">
        <v>65</v>
      </c>
      <c r="M1685" s="879">
        <f>Q1686+Q1687</f>
        <v>1</v>
      </c>
      <c r="N1685" s="880">
        <f>IFERROR(M1685/M1687,"-")</f>
        <v>1</v>
      </c>
      <c r="O1685" s="881">
        <f>SUMIFS('Data Entry'!S:S,'Data Entry'!K:K,G1685)</f>
        <v>0</v>
      </c>
      <c r="P1685" s="272"/>
      <c r="Q1685" s="895">
        <v>0</v>
      </c>
      <c r="R1685" s="114"/>
      <c r="S1685" s="884"/>
      <c r="T1685" s="270"/>
      <c r="U1685" s="270"/>
      <c r="V1685" s="270"/>
      <c r="W1685" s="114"/>
      <c r="X1685" s="114"/>
      <c r="Y1685" s="270"/>
      <c r="Z1685" s="114"/>
      <c r="AA1685" s="114"/>
      <c r="AB1685" s="85"/>
      <c r="AC1685" s="85"/>
      <c r="AD1685" s="85"/>
      <c r="AE1685" s="85"/>
    </row>
    <row r="1686" spans="3:31" ht="15" thickBot="1" x14ac:dyDescent="0.35">
      <c r="C1686" s="501" t="s">
        <v>92</v>
      </c>
      <c r="D1686" s="116"/>
      <c r="E1686" s="116" t="s">
        <v>43</v>
      </c>
      <c r="F1686" s="116" t="s">
        <v>9</v>
      </c>
      <c r="G1686" s="450" t="str">
        <f t="shared" si="78"/>
        <v>Parking B-Maintenance-Vehicle washing</v>
      </c>
      <c r="H1686" s="116"/>
      <c r="I1686" s="889" t="s">
        <v>66</v>
      </c>
      <c r="J1686" s="890">
        <f>SUMIFS('Level of Efficiency Assumptions'!J:J,'Level of Efficiency Assumptions'!D:D,E1686,'Level of Efficiency Assumptions'!F:F,F1686,'Level of Efficiency Assumptions'!I:I,I1686)</f>
        <v>30</v>
      </c>
      <c r="K1686" s="383" t="s">
        <v>588</v>
      </c>
      <c r="L1686" s="257" t="s">
        <v>66</v>
      </c>
      <c r="M1686" s="879">
        <f>Q1688+Q1689</f>
        <v>0</v>
      </c>
      <c r="N1686" s="880">
        <f>IFERROR(M1686/M1687,"-")</f>
        <v>0</v>
      </c>
      <c r="O1686" s="881">
        <f>SUMIFS('Data Entry'!T:T,'Data Entry'!K:K,G1686)</f>
        <v>0</v>
      </c>
      <c r="P1686" s="274"/>
      <c r="Q1686" s="895">
        <v>1</v>
      </c>
      <c r="R1686" s="114"/>
      <c r="S1686" s="884"/>
      <c r="T1686" s="270"/>
      <c r="U1686" s="270"/>
      <c r="V1686" s="270"/>
      <c r="W1686" s="114"/>
      <c r="X1686" s="114"/>
      <c r="Y1686" s="270"/>
      <c r="Z1686" s="114"/>
      <c r="AA1686" s="114"/>
      <c r="AB1686" s="85"/>
      <c r="AC1686" s="85"/>
      <c r="AD1686" s="85"/>
      <c r="AE1686" s="85"/>
    </row>
    <row r="1687" spans="3:31" x14ac:dyDescent="0.3">
      <c r="C1687" s="450"/>
      <c r="D1687" s="182"/>
      <c r="E1687" s="182"/>
      <c r="F1687" s="182"/>
      <c r="G1687" s="450" t="str">
        <f t="shared" si="78"/>
        <v>--</v>
      </c>
      <c r="H1687" s="182"/>
      <c r="I1687" s="440"/>
      <c r="J1687" s="892"/>
      <c r="K1687" s="259"/>
      <c r="L1687" s="259" t="s">
        <v>46</v>
      </c>
      <c r="M1687" s="893">
        <f>SUM(M1684:M1686)</f>
        <v>1</v>
      </c>
      <c r="N1687" s="894"/>
      <c r="O1687" s="894">
        <f>SUM(O1684:O1686)</f>
        <v>0</v>
      </c>
      <c r="P1687" s="274"/>
      <c r="Q1687" s="895">
        <v>0</v>
      </c>
      <c r="R1687" s="114"/>
      <c r="S1687" s="884"/>
      <c r="T1687" s="270"/>
      <c r="U1687" s="270"/>
      <c r="V1687" s="270"/>
      <c r="W1687" s="114"/>
      <c r="X1687" s="114"/>
      <c r="Y1687" s="270"/>
      <c r="Z1687" s="114"/>
      <c r="AA1687" s="114"/>
      <c r="AB1687" s="85"/>
      <c r="AC1687" s="85"/>
      <c r="AD1687" s="85"/>
      <c r="AE1687" s="85"/>
    </row>
    <row r="1688" spans="3:31" x14ac:dyDescent="0.3">
      <c r="C1688" s="450"/>
      <c r="D1688" s="182"/>
      <c r="E1688" s="182"/>
      <c r="F1688" s="182"/>
      <c r="G1688" s="450" t="str">
        <f t="shared" si="78"/>
        <v>--</v>
      </c>
      <c r="H1688" s="182"/>
      <c r="I1688" s="892"/>
      <c r="J1688" s="288"/>
      <c r="K1688" s="182"/>
      <c r="L1688" s="182"/>
      <c r="M1688" s="270"/>
      <c r="N1688" s="892"/>
      <c r="O1688" s="892"/>
      <c r="P1688" s="275"/>
      <c r="Q1688" s="895">
        <v>0</v>
      </c>
      <c r="R1688" s="114"/>
      <c r="S1688" s="884"/>
      <c r="T1688" s="270"/>
      <c r="U1688" s="270"/>
      <c r="V1688" s="270"/>
      <c r="W1688" s="114"/>
      <c r="X1688" s="114"/>
      <c r="Y1688" s="270"/>
      <c r="Z1688" s="114"/>
      <c r="AA1688" s="114"/>
      <c r="AB1688" s="85"/>
      <c r="AC1688" s="85"/>
      <c r="AD1688" s="85"/>
      <c r="AE1688" s="85"/>
    </row>
    <row r="1689" spans="3:31" x14ac:dyDescent="0.3">
      <c r="C1689" s="450"/>
      <c r="D1689" s="182"/>
      <c r="E1689" s="182"/>
      <c r="F1689" s="182"/>
      <c r="G1689" s="450" t="str">
        <f t="shared" si="78"/>
        <v>--</v>
      </c>
      <c r="H1689" s="182"/>
      <c r="I1689" s="892"/>
      <c r="J1689" s="288"/>
      <c r="K1689" s="182"/>
      <c r="L1689" s="182"/>
      <c r="M1689" s="270"/>
      <c r="N1689" s="892"/>
      <c r="O1689" s="892"/>
      <c r="P1689" s="269"/>
      <c r="Q1689" s="895">
        <v>0</v>
      </c>
      <c r="R1689" s="114"/>
      <c r="S1689" s="884"/>
      <c r="T1689" s="270"/>
      <c r="U1689" s="270"/>
      <c r="V1689" s="270"/>
      <c r="W1689" s="114"/>
      <c r="X1689" s="114"/>
      <c r="Y1689" s="270"/>
      <c r="Z1689" s="114"/>
      <c r="AA1689" s="114"/>
      <c r="AB1689" s="85"/>
      <c r="AC1689" s="85"/>
      <c r="AD1689" s="85"/>
      <c r="AE1689" s="85"/>
    </row>
    <row r="1690" spans="3:31" x14ac:dyDescent="0.3">
      <c r="C1690" s="450"/>
      <c r="D1690" s="182"/>
      <c r="E1690" s="182"/>
      <c r="F1690" s="182"/>
      <c r="G1690" s="450" t="str">
        <f t="shared" si="78"/>
        <v>--</v>
      </c>
      <c r="H1690" s="182"/>
      <c r="I1690" s="892"/>
      <c r="J1690" s="288"/>
      <c r="K1690" s="182"/>
      <c r="L1690" s="182"/>
      <c r="M1690" s="270"/>
      <c r="N1690" s="892"/>
      <c r="O1690" s="892"/>
      <c r="P1690" s="263" t="s">
        <v>46</v>
      </c>
      <c r="Q1690" s="897">
        <f>SUM(Q1684:Q1689)</f>
        <v>1</v>
      </c>
      <c r="R1690" s="899"/>
      <c r="S1690" s="900"/>
      <c r="T1690" s="270"/>
      <c r="U1690" s="270"/>
      <c r="V1690" s="270"/>
      <c r="W1690" s="114"/>
      <c r="X1690" s="114"/>
      <c r="Y1690" s="270"/>
      <c r="Z1690" s="114"/>
      <c r="AA1690" s="114"/>
      <c r="AB1690" s="85"/>
      <c r="AC1690" s="85"/>
      <c r="AD1690" s="85"/>
      <c r="AE1690" s="85"/>
    </row>
    <row r="1691" spans="3:31" x14ac:dyDescent="0.3">
      <c r="C1691" s="450"/>
      <c r="D1691" s="182"/>
      <c r="E1691" s="182"/>
      <c r="F1691" s="182"/>
      <c r="G1691" s="450" t="str">
        <f t="shared" si="78"/>
        <v>--</v>
      </c>
      <c r="H1691" s="182"/>
      <c r="I1691" s="892"/>
      <c r="J1691" s="288"/>
      <c r="K1691" s="182"/>
      <c r="L1691" s="182"/>
      <c r="M1691" s="270"/>
      <c r="N1691" s="892"/>
      <c r="O1691" s="892"/>
      <c r="P1691" s="259"/>
      <c r="Q1691" s="114"/>
      <c r="R1691" s="114"/>
      <c r="S1691" s="114"/>
      <c r="T1691" s="270"/>
      <c r="U1691" s="270"/>
      <c r="V1691" s="270"/>
      <c r="W1691" s="114"/>
      <c r="X1691" s="114"/>
      <c r="Y1691" s="270"/>
      <c r="Z1691" s="114"/>
      <c r="AA1691" s="114"/>
      <c r="AB1691" s="85"/>
      <c r="AC1691" s="85"/>
      <c r="AD1691" s="85"/>
      <c r="AE1691" s="85"/>
    </row>
    <row r="1692" spans="3:31" ht="15" thickBot="1" x14ac:dyDescent="0.35">
      <c r="C1692" s="450"/>
      <c r="D1692" s="182"/>
      <c r="E1692" s="182"/>
      <c r="F1692" s="182"/>
      <c r="G1692" s="450" t="str">
        <f t="shared" si="78"/>
        <v>--</v>
      </c>
      <c r="H1692" s="182"/>
      <c r="I1692" s="892"/>
      <c r="J1692" s="892"/>
      <c r="K1692" s="182"/>
      <c r="L1692" s="182"/>
      <c r="M1692" s="901" t="s">
        <v>155</v>
      </c>
      <c r="N1692" s="870" t="s">
        <v>188</v>
      </c>
      <c r="O1692" s="870"/>
      <c r="P1692" s="276" t="s">
        <v>426</v>
      </c>
      <c r="Q1692" s="871" t="s">
        <v>155</v>
      </c>
      <c r="R1692" s="902"/>
      <c r="S1692" s="874"/>
      <c r="T1692" s="270"/>
      <c r="U1692" s="270"/>
      <c r="V1692" s="270"/>
      <c r="W1692" s="114"/>
      <c r="X1692" s="114"/>
      <c r="Y1692" s="270"/>
      <c r="Z1692" s="114"/>
      <c r="AA1692" s="114"/>
      <c r="AB1692" s="85"/>
      <c r="AC1692" s="85"/>
      <c r="AD1692" s="85"/>
      <c r="AE1692" s="85"/>
    </row>
    <row r="1693" spans="3:31" ht="15" thickBot="1" x14ac:dyDescent="0.35">
      <c r="C1693" s="566" t="s">
        <v>92</v>
      </c>
      <c r="D1693" s="875" t="str">
        <f>VLOOKUP(C1693,'Airport Mapping'!$C$5:$D$39,2,FALSE)</f>
        <v xml:space="preserve"> </v>
      </c>
      <c r="E1693" s="567" t="s">
        <v>43</v>
      </c>
      <c r="F1693" s="567" t="s">
        <v>426</v>
      </c>
      <c r="G1693" s="450" t="str">
        <f t="shared" si="78"/>
        <v>Parking B-Maintenance-Pavement cleaning</v>
      </c>
      <c r="H1693" s="567" t="s">
        <v>282</v>
      </c>
      <c r="I1693" s="877" t="s">
        <v>64</v>
      </c>
      <c r="J1693" s="878">
        <f>SUMIFS('Level of Efficiency Assumptions'!J:J,'Level of Efficiency Assumptions'!D:D,E1693,'Level of Efficiency Assumptions'!F:F,F1693,'Level of Efficiency Assumptions'!I:I,I1693)</f>
        <v>10</v>
      </c>
      <c r="K1693" s="383" t="s">
        <v>588</v>
      </c>
      <c r="L1693" s="253" t="s">
        <v>64</v>
      </c>
      <c r="M1693" s="879">
        <f>SUM(Q1693:Q1694)</f>
        <v>0</v>
      </c>
      <c r="N1693" s="880">
        <f>IFERROR(M1693/M1696,"-")</f>
        <v>0</v>
      </c>
      <c r="O1693" s="881">
        <f>SUMIFS('Data Entry'!R:R,'Data Entry'!K:K,G1693)</f>
        <v>0</v>
      </c>
      <c r="P1693" s="272"/>
      <c r="Q1693" s="895">
        <v>0</v>
      </c>
      <c r="R1693" s="114"/>
      <c r="S1693" s="884"/>
      <c r="T1693" s="270"/>
      <c r="U1693" s="270"/>
      <c r="V1693" s="270"/>
      <c r="W1693" s="114"/>
      <c r="X1693" s="114"/>
      <c r="Y1693" s="270"/>
      <c r="Z1693" s="114"/>
      <c r="AA1693" s="114"/>
      <c r="AB1693" s="85"/>
      <c r="AC1693" s="85"/>
      <c r="AD1693" s="85"/>
      <c r="AE1693" s="85"/>
    </row>
    <row r="1694" spans="3:31" ht="15" thickBot="1" x14ac:dyDescent="0.35">
      <c r="C1694" s="494" t="s">
        <v>92</v>
      </c>
      <c r="D1694" s="577"/>
      <c r="E1694" s="577" t="s">
        <v>43</v>
      </c>
      <c r="F1694" s="577" t="s">
        <v>426</v>
      </c>
      <c r="G1694" s="450" t="str">
        <f t="shared" si="78"/>
        <v>Parking B-Maintenance-Pavement cleaning</v>
      </c>
      <c r="H1694" s="577"/>
      <c r="I1694" s="887" t="s">
        <v>65</v>
      </c>
      <c r="J1694" s="878">
        <f>SUMIFS('Level of Efficiency Assumptions'!J:J,'Level of Efficiency Assumptions'!D:D,E1694,'Level of Efficiency Assumptions'!F:F,F1694,'Level of Efficiency Assumptions'!I:I,I1694)</f>
        <v>7.5</v>
      </c>
      <c r="K1694" s="383" t="s">
        <v>588</v>
      </c>
      <c r="L1694" s="255" t="s">
        <v>65</v>
      </c>
      <c r="M1694" s="879">
        <f>Q1695+Q1696</f>
        <v>1</v>
      </c>
      <c r="N1694" s="880">
        <f>IFERROR(M1694/M1696,"-")</f>
        <v>1</v>
      </c>
      <c r="O1694" s="881">
        <f>SUMIFS('Data Entry'!S:S,'Data Entry'!K:K,G1694)</f>
        <v>0</v>
      </c>
      <c r="P1694" s="272"/>
      <c r="Q1694" s="895">
        <v>0</v>
      </c>
      <c r="R1694" s="114"/>
      <c r="S1694" s="884"/>
      <c r="T1694" s="270"/>
      <c r="U1694" s="270"/>
      <c r="V1694" s="270"/>
      <c r="W1694" s="114"/>
      <c r="X1694" s="114"/>
      <c r="Y1694" s="270"/>
      <c r="Z1694" s="114"/>
      <c r="AA1694" s="114"/>
      <c r="AB1694" s="85"/>
      <c r="AC1694" s="85"/>
      <c r="AD1694" s="85"/>
      <c r="AE1694" s="85"/>
    </row>
    <row r="1695" spans="3:31" ht="15" thickBot="1" x14ac:dyDescent="0.35">
      <c r="C1695" s="501" t="s">
        <v>92</v>
      </c>
      <c r="D1695" s="116"/>
      <c r="E1695" s="116" t="s">
        <v>43</v>
      </c>
      <c r="F1695" s="116" t="s">
        <v>426</v>
      </c>
      <c r="G1695" s="450" t="str">
        <f t="shared" si="78"/>
        <v>Parking B-Maintenance-Pavement cleaning</v>
      </c>
      <c r="H1695" s="116"/>
      <c r="I1695" s="889" t="s">
        <v>66</v>
      </c>
      <c r="J1695" s="890">
        <f>SUMIFS('Level of Efficiency Assumptions'!J:J,'Level of Efficiency Assumptions'!D:D,E1695,'Level of Efficiency Assumptions'!F:F,F1695,'Level of Efficiency Assumptions'!I:I,I1695)</f>
        <v>5</v>
      </c>
      <c r="K1695" s="383" t="s">
        <v>588</v>
      </c>
      <c r="L1695" s="257" t="s">
        <v>66</v>
      </c>
      <c r="M1695" s="879">
        <f>Q1697+Q1698</f>
        <v>0</v>
      </c>
      <c r="N1695" s="880">
        <f>IFERROR(M1695/M1696,"-")</f>
        <v>0</v>
      </c>
      <c r="O1695" s="881">
        <f>SUMIFS('Data Entry'!T:T,'Data Entry'!K:K,G1695)</f>
        <v>0</v>
      </c>
      <c r="P1695" s="274"/>
      <c r="Q1695" s="895">
        <v>1</v>
      </c>
      <c r="R1695" s="114"/>
      <c r="S1695" s="884"/>
      <c r="T1695" s="270"/>
      <c r="U1695" s="270"/>
      <c r="V1695" s="270"/>
      <c r="W1695" s="114"/>
      <c r="X1695" s="114"/>
      <c r="Y1695" s="270"/>
      <c r="Z1695" s="114"/>
      <c r="AA1695" s="114"/>
      <c r="AB1695" s="85"/>
      <c r="AC1695" s="85"/>
      <c r="AD1695" s="85"/>
      <c r="AE1695" s="85"/>
    </row>
    <row r="1696" spans="3:31" x14ac:dyDescent="0.3">
      <c r="C1696" s="450"/>
      <c r="D1696" s="182"/>
      <c r="E1696" s="182"/>
      <c r="F1696" s="182"/>
      <c r="G1696" s="450" t="str">
        <f t="shared" si="78"/>
        <v>--</v>
      </c>
      <c r="H1696" s="182"/>
      <c r="I1696" s="440"/>
      <c r="J1696" s="892"/>
      <c r="K1696" s="259"/>
      <c r="L1696" s="259" t="s">
        <v>46</v>
      </c>
      <c r="M1696" s="893">
        <f>SUM(M1693:M1695)</f>
        <v>1</v>
      </c>
      <c r="N1696" s="894"/>
      <c r="O1696" s="894">
        <f>SUM(O1693:O1695)</f>
        <v>0</v>
      </c>
      <c r="P1696" s="274"/>
      <c r="Q1696" s="895">
        <v>0</v>
      </c>
      <c r="R1696" s="114"/>
      <c r="S1696" s="884"/>
      <c r="T1696" s="270"/>
      <c r="U1696" s="270"/>
      <c r="V1696" s="270"/>
      <c r="W1696" s="114"/>
      <c r="X1696" s="114"/>
      <c r="Y1696" s="270"/>
      <c r="Z1696" s="114"/>
      <c r="AA1696" s="114"/>
      <c r="AB1696" s="85"/>
      <c r="AC1696" s="85"/>
      <c r="AD1696" s="85"/>
      <c r="AE1696" s="85"/>
    </row>
    <row r="1697" spans="3:31" x14ac:dyDescent="0.3">
      <c r="C1697" s="450"/>
      <c r="D1697" s="182"/>
      <c r="E1697" s="182"/>
      <c r="F1697" s="182"/>
      <c r="G1697" s="450" t="str">
        <f t="shared" si="78"/>
        <v>--</v>
      </c>
      <c r="H1697" s="182"/>
      <c r="I1697" s="892"/>
      <c r="J1697" s="288"/>
      <c r="K1697" s="182"/>
      <c r="L1697" s="182"/>
      <c r="M1697" s="270"/>
      <c r="N1697" s="892"/>
      <c r="O1697" s="892"/>
      <c r="P1697" s="275"/>
      <c r="Q1697" s="895">
        <v>0</v>
      </c>
      <c r="R1697" s="114"/>
      <c r="S1697" s="884"/>
      <c r="T1697" s="270"/>
      <c r="U1697" s="270"/>
      <c r="V1697" s="270"/>
      <c r="W1697" s="114"/>
      <c r="X1697" s="114"/>
      <c r="Y1697" s="270"/>
      <c r="Z1697" s="114"/>
      <c r="AA1697" s="114"/>
      <c r="AB1697" s="85"/>
      <c r="AC1697" s="85"/>
      <c r="AD1697" s="85"/>
      <c r="AE1697" s="85"/>
    </row>
    <row r="1698" spans="3:31" x14ac:dyDescent="0.3">
      <c r="C1698" s="450"/>
      <c r="D1698" s="182"/>
      <c r="E1698" s="182"/>
      <c r="F1698" s="182"/>
      <c r="G1698" s="450" t="str">
        <f t="shared" si="78"/>
        <v>--</v>
      </c>
      <c r="H1698" s="182"/>
      <c r="I1698" s="892"/>
      <c r="J1698" s="288"/>
      <c r="K1698" s="182"/>
      <c r="L1698" s="182"/>
      <c r="M1698" s="270"/>
      <c r="N1698" s="892"/>
      <c r="O1698" s="892"/>
      <c r="P1698" s="269"/>
      <c r="Q1698" s="895">
        <v>0</v>
      </c>
      <c r="R1698" s="114"/>
      <c r="S1698" s="884"/>
      <c r="T1698" s="270"/>
      <c r="U1698" s="270"/>
      <c r="V1698" s="270"/>
      <c r="W1698" s="114"/>
      <c r="X1698" s="114"/>
      <c r="Y1698" s="270"/>
      <c r="Z1698" s="114"/>
      <c r="AA1698" s="114"/>
      <c r="AB1698" s="85"/>
      <c r="AC1698" s="85"/>
      <c r="AD1698" s="85"/>
      <c r="AE1698" s="85"/>
    </row>
    <row r="1699" spans="3:31" x14ac:dyDescent="0.3">
      <c r="C1699" s="450"/>
      <c r="D1699" s="182"/>
      <c r="E1699" s="182"/>
      <c r="F1699" s="182"/>
      <c r="G1699" s="450" t="str">
        <f t="shared" si="78"/>
        <v>--</v>
      </c>
      <c r="H1699" s="182"/>
      <c r="I1699" s="892"/>
      <c r="J1699" s="288"/>
      <c r="K1699" s="182"/>
      <c r="L1699" s="182"/>
      <c r="M1699" s="270"/>
      <c r="N1699" s="892"/>
      <c r="O1699" s="892"/>
      <c r="P1699" s="263" t="s">
        <v>46</v>
      </c>
      <c r="Q1699" s="897">
        <f>SUM(Q1693:Q1698)</f>
        <v>1</v>
      </c>
      <c r="R1699" s="899"/>
      <c r="S1699" s="900"/>
      <c r="T1699" s="270"/>
      <c r="U1699" s="270"/>
      <c r="V1699" s="270"/>
      <c r="W1699" s="114"/>
      <c r="X1699" s="114"/>
      <c r="Y1699" s="114"/>
      <c r="Z1699" s="114"/>
      <c r="AA1699" s="114"/>
      <c r="AB1699" s="85"/>
      <c r="AC1699" s="85"/>
      <c r="AD1699" s="85"/>
      <c r="AE1699" s="85"/>
    </row>
    <row r="1700" spans="3:31" x14ac:dyDescent="0.3">
      <c r="C1700" s="450"/>
      <c r="D1700" s="182"/>
      <c r="E1700" s="182"/>
      <c r="F1700" s="182"/>
      <c r="G1700" s="450" t="str">
        <f t="shared" si="78"/>
        <v>--</v>
      </c>
      <c r="H1700" s="182"/>
      <c r="I1700" s="892"/>
      <c r="J1700" s="288"/>
      <c r="K1700" s="182"/>
      <c r="L1700" s="270"/>
      <c r="M1700" s="270"/>
      <c r="N1700" s="923"/>
      <c r="O1700" s="923"/>
      <c r="P1700" s="270"/>
      <c r="Q1700" s="270"/>
      <c r="R1700" s="270"/>
      <c r="S1700" s="270"/>
      <c r="T1700" s="270"/>
      <c r="U1700" s="270"/>
      <c r="V1700" s="270"/>
      <c r="W1700" s="114"/>
      <c r="X1700" s="114"/>
      <c r="Y1700" s="114"/>
      <c r="Z1700" s="114"/>
      <c r="AA1700" s="114"/>
      <c r="AB1700" s="85"/>
      <c r="AC1700" s="85"/>
      <c r="AD1700" s="85"/>
      <c r="AE1700" s="85"/>
    </row>
    <row r="1701" spans="3:31" ht="15" thickBot="1" x14ac:dyDescent="0.35">
      <c r="C1701" s="450"/>
      <c r="D1701" s="182"/>
      <c r="E1701" s="182"/>
      <c r="F1701" s="182"/>
      <c r="G1701" s="450" t="str">
        <f t="shared" si="78"/>
        <v>--</v>
      </c>
      <c r="H1701" s="182"/>
      <c r="I1701" s="892"/>
      <c r="J1701" s="892"/>
      <c r="K1701" s="182"/>
      <c r="L1701" s="182"/>
      <c r="M1701" s="901" t="s">
        <v>155</v>
      </c>
      <c r="N1701" s="870" t="s">
        <v>188</v>
      </c>
      <c r="O1701" s="870"/>
      <c r="P1701" s="276" t="s">
        <v>52</v>
      </c>
      <c r="Q1701" s="871" t="s">
        <v>155</v>
      </c>
      <c r="R1701" s="902"/>
      <c r="S1701" s="874"/>
      <c r="T1701" s="270"/>
      <c r="U1701" s="270"/>
      <c r="V1701" s="270"/>
      <c r="W1701" s="114"/>
      <c r="X1701" s="114"/>
      <c r="Y1701" s="114"/>
      <c r="Z1701" s="114"/>
      <c r="AA1701" s="114"/>
      <c r="AB1701" s="85"/>
      <c r="AC1701" s="85"/>
      <c r="AD1701" s="85"/>
      <c r="AE1701" s="85"/>
    </row>
    <row r="1702" spans="3:31" ht="15" thickBot="1" x14ac:dyDescent="0.35">
      <c r="C1702" s="566" t="s">
        <v>92</v>
      </c>
      <c r="D1702" s="875" t="str">
        <f>VLOOKUP(C1702,'Airport Mapping'!$C$5:$D$39,2,FALSE)</f>
        <v xml:space="preserve"> </v>
      </c>
      <c r="E1702" s="567" t="s">
        <v>8</v>
      </c>
      <c r="F1702" s="567" t="s">
        <v>52</v>
      </c>
      <c r="G1702" s="450" t="str">
        <f t="shared" si="78"/>
        <v>Parking B-Other-Other 1</v>
      </c>
      <c r="H1702" s="567" t="s">
        <v>362</v>
      </c>
      <c r="I1702" s="877" t="s">
        <v>64</v>
      </c>
      <c r="J1702" s="878">
        <f>SUMIFS('Level of Efficiency Assumptions'!J:J,'Level of Efficiency Assumptions'!D:D,E1702,'Level of Efficiency Assumptions'!F:F,F1702,'Level of Efficiency Assumptions'!I:I,I1702)</f>
        <v>10</v>
      </c>
      <c r="K1702" s="383" t="s">
        <v>588</v>
      </c>
      <c r="L1702" s="253" t="s">
        <v>64</v>
      </c>
      <c r="M1702" s="879">
        <f>SUM(Q1702:Q1702)</f>
        <v>0</v>
      </c>
      <c r="N1702" s="880">
        <f>IFERROR(M1702/M1705,"-")</f>
        <v>0</v>
      </c>
      <c r="O1702" s="881">
        <f>SUMIFS('Data Entry'!R:R,'Data Entry'!K:K,G1702)</f>
        <v>0</v>
      </c>
      <c r="P1702" s="272" t="s">
        <v>129</v>
      </c>
      <c r="Q1702" s="895">
        <v>0</v>
      </c>
      <c r="R1702" s="114"/>
      <c r="S1702" s="884"/>
      <c r="T1702" s="270"/>
      <c r="U1702" s="270"/>
      <c r="V1702" s="270"/>
      <c r="W1702" s="114"/>
      <c r="X1702" s="114"/>
      <c r="Y1702" s="114"/>
      <c r="Z1702" s="114"/>
      <c r="AA1702" s="114"/>
      <c r="AB1702" s="85"/>
      <c r="AC1702" s="85"/>
      <c r="AD1702" s="85"/>
      <c r="AE1702" s="85"/>
    </row>
    <row r="1703" spans="3:31" ht="15" thickBot="1" x14ac:dyDescent="0.35">
      <c r="C1703" s="494" t="s">
        <v>92</v>
      </c>
      <c r="D1703" s="577"/>
      <c r="E1703" s="577" t="s">
        <v>8</v>
      </c>
      <c r="F1703" s="577" t="s">
        <v>52</v>
      </c>
      <c r="G1703" s="450" t="str">
        <f t="shared" si="78"/>
        <v>Parking B-Other-Other 1</v>
      </c>
      <c r="H1703" s="577"/>
      <c r="I1703" s="887" t="s">
        <v>65</v>
      </c>
      <c r="J1703" s="878">
        <f>SUMIFS('Level of Efficiency Assumptions'!J:J,'Level of Efficiency Assumptions'!D:D,E1703,'Level of Efficiency Assumptions'!F:F,F1703,'Level of Efficiency Assumptions'!I:I,I1703)</f>
        <v>7.5</v>
      </c>
      <c r="K1703" s="383" t="s">
        <v>588</v>
      </c>
      <c r="L1703" s="255" t="s">
        <v>65</v>
      </c>
      <c r="M1703" s="879">
        <f t="shared" ref="M1703:M1704" si="82">SUM(Q1703:Q1703)</f>
        <v>1</v>
      </c>
      <c r="N1703" s="880">
        <f>IFERROR(M1703/M1705,"-")</f>
        <v>1</v>
      </c>
      <c r="O1703" s="881">
        <f>SUMIFS('Data Entry'!S:S,'Data Entry'!K:K,G1703)</f>
        <v>0</v>
      </c>
      <c r="P1703" s="274" t="s">
        <v>233</v>
      </c>
      <c r="Q1703" s="895">
        <v>1</v>
      </c>
      <c r="R1703" s="114"/>
      <c r="S1703" s="884"/>
      <c r="T1703" s="270"/>
      <c r="U1703" s="270"/>
      <c r="V1703" s="270"/>
      <c r="W1703" s="114"/>
      <c r="X1703" s="114"/>
      <c r="Y1703" s="114"/>
      <c r="Z1703" s="114"/>
      <c r="AA1703" s="114"/>
      <c r="AB1703" s="85"/>
      <c r="AC1703" s="85"/>
      <c r="AD1703" s="85"/>
      <c r="AE1703" s="85"/>
    </row>
    <row r="1704" spans="3:31" ht="15" thickBot="1" x14ac:dyDescent="0.35">
      <c r="C1704" s="501" t="s">
        <v>92</v>
      </c>
      <c r="D1704" s="116"/>
      <c r="E1704" s="116" t="s">
        <v>8</v>
      </c>
      <c r="F1704" s="116" t="s">
        <v>52</v>
      </c>
      <c r="G1704" s="450" t="str">
        <f t="shared" si="78"/>
        <v>Parking B-Other-Other 1</v>
      </c>
      <c r="H1704" s="116"/>
      <c r="I1704" s="889" t="s">
        <v>66</v>
      </c>
      <c r="J1704" s="890">
        <f>SUMIFS('Level of Efficiency Assumptions'!J:J,'Level of Efficiency Assumptions'!D:D,E1704,'Level of Efficiency Assumptions'!F:F,F1704,'Level of Efficiency Assumptions'!I:I,I1704)</f>
        <v>5</v>
      </c>
      <c r="K1704" s="383" t="s">
        <v>588</v>
      </c>
      <c r="L1704" s="257" t="s">
        <v>66</v>
      </c>
      <c r="M1704" s="879">
        <f t="shared" si="82"/>
        <v>0</v>
      </c>
      <c r="N1704" s="880">
        <f>IFERROR(M1704/M1705,"-")</f>
        <v>0</v>
      </c>
      <c r="O1704" s="881">
        <f>SUMIFS('Data Entry'!T:T,'Data Entry'!K:K,G1704)</f>
        <v>0</v>
      </c>
      <c r="P1704" s="269" t="s">
        <v>234</v>
      </c>
      <c r="Q1704" s="895">
        <v>0</v>
      </c>
      <c r="R1704" s="114"/>
      <c r="S1704" s="884"/>
      <c r="T1704" s="270"/>
      <c r="U1704" s="270"/>
      <c r="V1704" s="270"/>
      <c r="W1704" s="114"/>
      <c r="X1704" s="114"/>
      <c r="Y1704" s="114"/>
      <c r="Z1704" s="114"/>
      <c r="AA1704" s="114"/>
      <c r="AB1704" s="85"/>
      <c r="AC1704" s="85"/>
      <c r="AD1704" s="85"/>
      <c r="AE1704" s="85"/>
    </row>
    <row r="1705" spans="3:31" x14ac:dyDescent="0.3">
      <c r="C1705" s="450"/>
      <c r="D1705" s="182"/>
      <c r="E1705" s="182"/>
      <c r="F1705" s="182"/>
      <c r="G1705" s="450" t="str">
        <f t="shared" si="78"/>
        <v>--</v>
      </c>
      <c r="H1705" s="182"/>
      <c r="I1705" s="440"/>
      <c r="J1705" s="892"/>
      <c r="K1705" s="259"/>
      <c r="L1705" s="259" t="s">
        <v>46</v>
      </c>
      <c r="M1705" s="893">
        <f>SUM(M1702:M1704)</f>
        <v>1</v>
      </c>
      <c r="N1705" s="894"/>
      <c r="O1705" s="894">
        <f>SUM(O1702:O1704)</f>
        <v>0</v>
      </c>
      <c r="P1705" s="263" t="s">
        <v>46</v>
      </c>
      <c r="Q1705" s="897">
        <f>SUM(Q1702:Q1704)</f>
        <v>1</v>
      </c>
      <c r="R1705" s="899"/>
      <c r="S1705" s="900"/>
      <c r="T1705" s="270"/>
      <c r="U1705" s="270"/>
      <c r="V1705" s="270"/>
      <c r="W1705" s="114"/>
      <c r="X1705" s="114"/>
      <c r="Y1705" s="114"/>
      <c r="Z1705" s="114"/>
      <c r="AA1705" s="114"/>
      <c r="AB1705" s="85"/>
      <c r="AC1705" s="85"/>
      <c r="AD1705" s="85"/>
      <c r="AE1705" s="85"/>
    </row>
    <row r="1706" spans="3:31" s="45" customFormat="1" x14ac:dyDescent="0.3">
      <c r="C1706" s="450"/>
      <c r="D1706" s="182"/>
      <c r="E1706" s="182"/>
      <c r="F1706" s="182"/>
      <c r="G1706" s="450" t="str">
        <f t="shared" si="78"/>
        <v>--</v>
      </c>
      <c r="H1706" s="182"/>
      <c r="I1706" s="892"/>
      <c r="J1706" s="288"/>
      <c r="K1706" s="182"/>
      <c r="L1706" s="182"/>
      <c r="M1706" s="270"/>
      <c r="N1706" s="892"/>
      <c r="O1706" s="892"/>
      <c r="P1706" s="270"/>
      <c r="Q1706" s="270"/>
      <c r="R1706" s="270"/>
      <c r="S1706" s="270"/>
      <c r="T1706" s="270"/>
      <c r="U1706" s="270"/>
      <c r="V1706" s="270"/>
      <c r="W1706" s="114"/>
      <c r="X1706" s="114"/>
      <c r="Y1706" s="114"/>
      <c r="Z1706" s="114"/>
      <c r="AA1706" s="114"/>
      <c r="AB1706" s="85"/>
      <c r="AC1706" s="85"/>
      <c r="AD1706" s="85"/>
      <c r="AE1706" s="85"/>
    </row>
    <row r="1707" spans="3:31" s="45" customFormat="1" ht="15" thickBot="1" x14ac:dyDescent="0.35">
      <c r="C1707" s="450"/>
      <c r="D1707" s="182"/>
      <c r="E1707" s="182"/>
      <c r="F1707" s="182"/>
      <c r="G1707" s="450" t="str">
        <f t="shared" si="78"/>
        <v>--</v>
      </c>
      <c r="H1707" s="182"/>
      <c r="I1707" s="892"/>
      <c r="J1707" s="892"/>
      <c r="K1707" s="182"/>
      <c r="L1707" s="182"/>
      <c r="M1707" s="901" t="s">
        <v>155</v>
      </c>
      <c r="N1707" s="870" t="s">
        <v>188</v>
      </c>
      <c r="O1707" s="870"/>
      <c r="P1707" s="276" t="s">
        <v>53</v>
      </c>
      <c r="Q1707" s="871" t="s">
        <v>155</v>
      </c>
      <c r="R1707" s="902"/>
      <c r="S1707" s="874"/>
      <c r="T1707" s="270"/>
      <c r="U1707" s="114"/>
      <c r="V1707" s="114"/>
      <c r="W1707" s="114"/>
      <c r="X1707" s="114"/>
      <c r="Y1707" s="114"/>
      <c r="Z1707" s="114"/>
      <c r="AA1707" s="114"/>
      <c r="AB1707" s="85"/>
      <c r="AC1707" s="85"/>
      <c r="AD1707" s="85"/>
      <c r="AE1707" s="85"/>
    </row>
    <row r="1708" spans="3:31" s="45" customFormat="1" ht="15" thickBot="1" x14ac:dyDescent="0.35">
      <c r="C1708" s="566" t="s">
        <v>92</v>
      </c>
      <c r="D1708" s="875" t="str">
        <f>VLOOKUP(C1708,'Airport Mapping'!$C$5:$D$39,2,FALSE)</f>
        <v xml:space="preserve"> </v>
      </c>
      <c r="E1708" s="567" t="s">
        <v>8</v>
      </c>
      <c r="F1708" s="567" t="s">
        <v>53</v>
      </c>
      <c r="G1708" s="450" t="str">
        <f t="shared" si="78"/>
        <v>Parking B-Other-Other 2</v>
      </c>
      <c r="H1708" s="567" t="s">
        <v>363</v>
      </c>
      <c r="I1708" s="877" t="s">
        <v>64</v>
      </c>
      <c r="J1708" s="878">
        <f>SUMIFS('Level of Efficiency Assumptions'!J:J,'Level of Efficiency Assumptions'!D:D,E1708,'Level of Efficiency Assumptions'!F:F,F1708,'Level of Efficiency Assumptions'!I:I,I1708)</f>
        <v>10</v>
      </c>
      <c r="K1708" s="383" t="s">
        <v>588</v>
      </c>
      <c r="L1708" s="253" t="s">
        <v>64</v>
      </c>
      <c r="M1708" s="879">
        <f>SUM(Q1708:Q1708)</f>
        <v>0</v>
      </c>
      <c r="N1708" s="880">
        <f>IFERROR(M1708/M1711,"-")</f>
        <v>0</v>
      </c>
      <c r="O1708" s="881">
        <f>SUMIFS('Data Entry'!R:R,'Data Entry'!K:K,G1708)</f>
        <v>0</v>
      </c>
      <c r="P1708" s="272" t="s">
        <v>129</v>
      </c>
      <c r="Q1708" s="895">
        <v>0</v>
      </c>
      <c r="R1708" s="114"/>
      <c r="S1708" s="884"/>
      <c r="T1708" s="270"/>
      <c r="U1708" s="114"/>
      <c r="V1708" s="114"/>
      <c r="W1708" s="114"/>
      <c r="X1708" s="114"/>
      <c r="Y1708" s="114"/>
      <c r="Z1708" s="114"/>
      <c r="AA1708" s="114"/>
      <c r="AB1708" s="85"/>
      <c r="AC1708" s="85"/>
      <c r="AD1708" s="85"/>
      <c r="AE1708" s="85"/>
    </row>
    <row r="1709" spans="3:31" s="45" customFormat="1" ht="15" thickBot="1" x14ac:dyDescent="0.35">
      <c r="C1709" s="494" t="s">
        <v>92</v>
      </c>
      <c r="D1709" s="577"/>
      <c r="E1709" s="577" t="s">
        <v>8</v>
      </c>
      <c r="F1709" s="577" t="s">
        <v>53</v>
      </c>
      <c r="G1709" s="450" t="str">
        <f t="shared" si="78"/>
        <v>Parking B-Other-Other 2</v>
      </c>
      <c r="H1709" s="577"/>
      <c r="I1709" s="887" t="s">
        <v>65</v>
      </c>
      <c r="J1709" s="878">
        <f>SUMIFS('Level of Efficiency Assumptions'!J:J,'Level of Efficiency Assumptions'!D:D,E1709,'Level of Efficiency Assumptions'!F:F,F1709,'Level of Efficiency Assumptions'!I:I,I1709)</f>
        <v>7.5</v>
      </c>
      <c r="K1709" s="383" t="s">
        <v>588</v>
      </c>
      <c r="L1709" s="255" t="s">
        <v>65</v>
      </c>
      <c r="M1709" s="879">
        <f t="shared" ref="M1709:M1710" si="83">SUM(Q1709:Q1709)</f>
        <v>1</v>
      </c>
      <c r="N1709" s="880">
        <f>IFERROR(M1709/M1711,"-")</f>
        <v>1</v>
      </c>
      <c r="O1709" s="881">
        <f>SUMIFS('Data Entry'!S:S,'Data Entry'!K:K,G1709)</f>
        <v>0</v>
      </c>
      <c r="P1709" s="274" t="s">
        <v>233</v>
      </c>
      <c r="Q1709" s="895">
        <v>1</v>
      </c>
      <c r="R1709" s="114"/>
      <c r="S1709" s="884"/>
      <c r="T1709" s="270"/>
      <c r="U1709" s="114"/>
      <c r="V1709" s="114"/>
      <c r="W1709" s="114"/>
      <c r="X1709" s="114"/>
      <c r="Y1709" s="114"/>
      <c r="Z1709" s="114"/>
      <c r="AA1709" s="114"/>
      <c r="AB1709" s="85"/>
      <c r="AC1709" s="85"/>
      <c r="AD1709" s="85"/>
      <c r="AE1709" s="85"/>
    </row>
    <row r="1710" spans="3:31" s="45" customFormat="1" ht="15" thickBot="1" x14ac:dyDescent="0.35">
      <c r="C1710" s="501" t="s">
        <v>92</v>
      </c>
      <c r="D1710" s="116"/>
      <c r="E1710" s="116" t="s">
        <v>8</v>
      </c>
      <c r="F1710" s="116" t="s">
        <v>53</v>
      </c>
      <c r="G1710" s="450" t="str">
        <f t="shared" ref="G1710:G1769" si="84">C1710&amp;"-"&amp;E1710&amp;"-"&amp;F1710</f>
        <v>Parking B-Other-Other 2</v>
      </c>
      <c r="H1710" s="116"/>
      <c r="I1710" s="889" t="s">
        <v>66</v>
      </c>
      <c r="J1710" s="890">
        <f>SUMIFS('Level of Efficiency Assumptions'!J:J,'Level of Efficiency Assumptions'!D:D,E1710,'Level of Efficiency Assumptions'!F:F,F1710,'Level of Efficiency Assumptions'!I:I,I1710)</f>
        <v>5</v>
      </c>
      <c r="K1710" s="383" t="s">
        <v>588</v>
      </c>
      <c r="L1710" s="257" t="s">
        <v>66</v>
      </c>
      <c r="M1710" s="879">
        <f t="shared" si="83"/>
        <v>0</v>
      </c>
      <c r="N1710" s="880">
        <f>IFERROR(M1710/M1711,"-")</f>
        <v>0</v>
      </c>
      <c r="O1710" s="881">
        <f>SUMIFS('Data Entry'!T:T,'Data Entry'!K:K,G1710)</f>
        <v>0</v>
      </c>
      <c r="P1710" s="269" t="s">
        <v>234</v>
      </c>
      <c r="Q1710" s="895">
        <v>0</v>
      </c>
      <c r="R1710" s="114"/>
      <c r="S1710" s="884"/>
      <c r="T1710" s="270"/>
      <c r="U1710" s="114"/>
      <c r="V1710" s="114"/>
      <c r="W1710" s="114"/>
      <c r="X1710" s="114"/>
      <c r="Y1710" s="114"/>
      <c r="Z1710" s="114"/>
      <c r="AA1710" s="114"/>
      <c r="AB1710" s="85"/>
      <c r="AC1710" s="85"/>
      <c r="AD1710" s="85"/>
      <c r="AE1710" s="85"/>
    </row>
    <row r="1711" spans="3:31" x14ac:dyDescent="0.3">
      <c r="C1711" s="450"/>
      <c r="D1711" s="182"/>
      <c r="E1711" s="182"/>
      <c r="F1711" s="182"/>
      <c r="G1711" s="450" t="str">
        <f t="shared" si="84"/>
        <v>--</v>
      </c>
      <c r="H1711" s="182"/>
      <c r="I1711" s="440"/>
      <c r="J1711" s="892"/>
      <c r="K1711" s="259"/>
      <c r="L1711" s="259" t="s">
        <v>46</v>
      </c>
      <c r="M1711" s="893">
        <f>SUM(M1708:M1710)</f>
        <v>1</v>
      </c>
      <c r="N1711" s="894"/>
      <c r="O1711" s="894">
        <f>SUM(O1708:O1710)</f>
        <v>0</v>
      </c>
      <c r="P1711" s="263" t="s">
        <v>46</v>
      </c>
      <c r="Q1711" s="897">
        <f>SUM(Q1708:Q1710)</f>
        <v>1</v>
      </c>
      <c r="R1711" s="899"/>
      <c r="S1711" s="900"/>
      <c r="T1711" s="270"/>
      <c r="U1711" s="114"/>
      <c r="V1711" s="114"/>
      <c r="W1711" s="114"/>
      <c r="X1711" s="114"/>
      <c r="Y1711" s="114"/>
      <c r="Z1711" s="114"/>
      <c r="AA1711" s="114"/>
      <c r="AB1711" s="85"/>
      <c r="AC1711" s="85"/>
      <c r="AD1711" s="85"/>
      <c r="AE1711" s="85"/>
    </row>
    <row r="1712" spans="3:31" x14ac:dyDescent="0.3">
      <c r="C1712" s="450"/>
      <c r="D1712" s="182"/>
      <c r="E1712" s="182"/>
      <c r="F1712" s="182"/>
      <c r="G1712" s="450" t="str">
        <f t="shared" si="84"/>
        <v>--</v>
      </c>
      <c r="H1712" s="182"/>
      <c r="I1712" s="892"/>
      <c r="J1712" s="288"/>
      <c r="K1712" s="182"/>
      <c r="L1712" s="182"/>
      <c r="M1712" s="270"/>
      <c r="N1712" s="892"/>
      <c r="O1712" s="892"/>
      <c r="P1712" s="270"/>
      <c r="Q1712" s="270"/>
      <c r="R1712" s="270"/>
      <c r="S1712" s="270"/>
      <c r="T1712" s="270"/>
      <c r="U1712" s="114"/>
      <c r="V1712" s="114"/>
      <c r="W1712" s="114"/>
      <c r="X1712" s="114"/>
      <c r="Y1712" s="114"/>
      <c r="Z1712" s="114"/>
      <c r="AA1712" s="114"/>
      <c r="AB1712" s="85"/>
      <c r="AC1712" s="85"/>
      <c r="AD1712" s="85"/>
      <c r="AE1712" s="85"/>
    </row>
    <row r="1713" spans="3:31" ht="15" thickBot="1" x14ac:dyDescent="0.35">
      <c r="C1713" s="450"/>
      <c r="D1713" s="182"/>
      <c r="E1713" s="182"/>
      <c r="F1713" s="182"/>
      <c r="G1713" s="450" t="str">
        <f t="shared" si="84"/>
        <v>--</v>
      </c>
      <c r="H1713" s="182"/>
      <c r="I1713" s="892"/>
      <c r="J1713" s="892"/>
      <c r="K1713" s="182"/>
      <c r="L1713" s="182"/>
      <c r="M1713" s="901" t="s">
        <v>155</v>
      </c>
      <c r="N1713" s="870" t="s">
        <v>188</v>
      </c>
      <c r="O1713" s="870"/>
      <c r="P1713" s="276" t="s">
        <v>54</v>
      </c>
      <c r="Q1713" s="871" t="s">
        <v>155</v>
      </c>
      <c r="R1713" s="902"/>
      <c r="S1713" s="874"/>
      <c r="T1713" s="270"/>
      <c r="U1713" s="114"/>
      <c r="V1713" s="114"/>
      <c r="W1713" s="114"/>
      <c r="X1713" s="114"/>
      <c r="Y1713" s="114"/>
      <c r="Z1713" s="114"/>
      <c r="AA1713" s="114"/>
      <c r="AB1713" s="85"/>
      <c r="AC1713" s="85"/>
      <c r="AD1713" s="85"/>
      <c r="AE1713" s="85"/>
    </row>
    <row r="1714" spans="3:31" ht="15" thickBot="1" x14ac:dyDescent="0.35">
      <c r="C1714" s="566" t="s">
        <v>92</v>
      </c>
      <c r="D1714" s="875" t="str">
        <f>VLOOKUP(C1714,'Airport Mapping'!$C$5:$D$39,2,FALSE)</f>
        <v xml:space="preserve"> </v>
      </c>
      <c r="E1714" s="567" t="s">
        <v>8</v>
      </c>
      <c r="F1714" s="567" t="s">
        <v>54</v>
      </c>
      <c r="G1714" s="450" t="str">
        <f t="shared" si="84"/>
        <v>Parking B-Other-Other 3</v>
      </c>
      <c r="H1714" s="567" t="s">
        <v>364</v>
      </c>
      <c r="I1714" s="877" t="s">
        <v>64</v>
      </c>
      <c r="J1714" s="878">
        <f>SUMIFS('Level of Efficiency Assumptions'!J:J,'Level of Efficiency Assumptions'!D:D,E1714,'Level of Efficiency Assumptions'!F:F,F1714,'Level of Efficiency Assumptions'!I:I,I1714)</f>
        <v>10</v>
      </c>
      <c r="K1714" s="383" t="s">
        <v>588</v>
      </c>
      <c r="L1714" s="253" t="s">
        <v>64</v>
      </c>
      <c r="M1714" s="879">
        <f>SUM(Q1714:Q1714)</f>
        <v>0</v>
      </c>
      <c r="N1714" s="880">
        <f>IFERROR(M1714/M1717,"-")</f>
        <v>0</v>
      </c>
      <c r="O1714" s="881">
        <f>SUMIFS('Data Entry'!R:R,'Data Entry'!K:K,G1714)</f>
        <v>0</v>
      </c>
      <c r="P1714" s="272" t="s">
        <v>129</v>
      </c>
      <c r="Q1714" s="895">
        <v>0</v>
      </c>
      <c r="R1714" s="114"/>
      <c r="S1714" s="884"/>
      <c r="T1714" s="270"/>
      <c r="U1714" s="114"/>
      <c r="V1714" s="114"/>
      <c r="W1714" s="114"/>
      <c r="X1714" s="114"/>
      <c r="Y1714" s="114"/>
      <c r="Z1714" s="114"/>
      <c r="AA1714" s="114"/>
      <c r="AB1714" s="85"/>
      <c r="AC1714" s="85"/>
      <c r="AD1714" s="85"/>
      <c r="AE1714" s="85"/>
    </row>
    <row r="1715" spans="3:31" ht="15" thickBot="1" x14ac:dyDescent="0.35">
      <c r="C1715" s="494" t="s">
        <v>92</v>
      </c>
      <c r="D1715" s="577"/>
      <c r="E1715" s="577" t="s">
        <v>8</v>
      </c>
      <c r="F1715" s="577" t="s">
        <v>54</v>
      </c>
      <c r="G1715" s="450" t="str">
        <f t="shared" si="84"/>
        <v>Parking B-Other-Other 3</v>
      </c>
      <c r="H1715" s="577"/>
      <c r="I1715" s="887" t="s">
        <v>65</v>
      </c>
      <c r="J1715" s="878">
        <f>SUMIFS('Level of Efficiency Assumptions'!J:J,'Level of Efficiency Assumptions'!D:D,E1715,'Level of Efficiency Assumptions'!F:F,F1715,'Level of Efficiency Assumptions'!I:I,I1715)</f>
        <v>7.5</v>
      </c>
      <c r="K1715" s="383" t="s">
        <v>588</v>
      </c>
      <c r="L1715" s="255" t="s">
        <v>65</v>
      </c>
      <c r="M1715" s="879">
        <f t="shared" ref="M1715:M1716" si="85">SUM(Q1715:Q1715)</f>
        <v>1</v>
      </c>
      <c r="N1715" s="880">
        <f>IFERROR(M1715/M1717,"-")</f>
        <v>1</v>
      </c>
      <c r="O1715" s="881">
        <f>SUMIFS('Data Entry'!S:S,'Data Entry'!K:K,G1715)</f>
        <v>0</v>
      </c>
      <c r="P1715" s="274" t="s">
        <v>233</v>
      </c>
      <c r="Q1715" s="895">
        <v>1</v>
      </c>
      <c r="R1715" s="114"/>
      <c r="S1715" s="884"/>
      <c r="T1715" s="270"/>
      <c r="U1715" s="114"/>
      <c r="V1715" s="114"/>
      <c r="W1715" s="114"/>
      <c r="X1715" s="114"/>
      <c r="Y1715" s="114"/>
      <c r="Z1715" s="114"/>
      <c r="AA1715" s="114"/>
      <c r="AB1715" s="85"/>
      <c r="AC1715" s="85"/>
      <c r="AD1715" s="85"/>
      <c r="AE1715" s="85"/>
    </row>
    <row r="1716" spans="3:31" ht="15" thickBot="1" x14ac:dyDescent="0.35">
      <c r="C1716" s="501" t="s">
        <v>92</v>
      </c>
      <c r="D1716" s="116"/>
      <c r="E1716" s="116" t="s">
        <v>8</v>
      </c>
      <c r="F1716" s="116" t="s">
        <v>54</v>
      </c>
      <c r="G1716" s="450" t="str">
        <f t="shared" si="84"/>
        <v>Parking B-Other-Other 3</v>
      </c>
      <c r="H1716" s="116"/>
      <c r="I1716" s="889" t="s">
        <v>66</v>
      </c>
      <c r="J1716" s="890">
        <f>SUMIFS('Level of Efficiency Assumptions'!J:J,'Level of Efficiency Assumptions'!D:D,E1716,'Level of Efficiency Assumptions'!F:F,F1716,'Level of Efficiency Assumptions'!I:I,I1716)</f>
        <v>5</v>
      </c>
      <c r="K1716" s="383" t="s">
        <v>588</v>
      </c>
      <c r="L1716" s="257" t="s">
        <v>66</v>
      </c>
      <c r="M1716" s="879">
        <f t="shared" si="85"/>
        <v>0</v>
      </c>
      <c r="N1716" s="880">
        <f>IFERROR(M1716/M1717,"-")</f>
        <v>0</v>
      </c>
      <c r="O1716" s="881">
        <f>SUMIFS('Data Entry'!T:T,'Data Entry'!K:K,G1716)</f>
        <v>0</v>
      </c>
      <c r="P1716" s="269" t="s">
        <v>234</v>
      </c>
      <c r="Q1716" s="895">
        <v>0</v>
      </c>
      <c r="R1716" s="114"/>
      <c r="S1716" s="884"/>
      <c r="T1716" s="270"/>
      <c r="U1716" s="114"/>
      <c r="V1716" s="114"/>
      <c r="W1716" s="114"/>
      <c r="X1716" s="114"/>
      <c r="Y1716" s="114"/>
      <c r="Z1716" s="114"/>
      <c r="AA1716" s="114"/>
      <c r="AB1716" s="85"/>
      <c r="AC1716" s="85"/>
      <c r="AD1716" s="85"/>
      <c r="AE1716" s="85"/>
    </row>
    <row r="1717" spans="3:31" x14ac:dyDescent="0.3">
      <c r="C1717" s="450"/>
      <c r="D1717" s="182"/>
      <c r="E1717" s="182"/>
      <c r="F1717" s="182"/>
      <c r="G1717" s="450" t="str">
        <f t="shared" si="84"/>
        <v>--</v>
      </c>
      <c r="H1717" s="182"/>
      <c r="I1717" s="440"/>
      <c r="J1717" s="892"/>
      <c r="K1717" s="259"/>
      <c r="L1717" s="259" t="s">
        <v>46</v>
      </c>
      <c r="M1717" s="893">
        <f>SUM(M1714:M1716)</f>
        <v>1</v>
      </c>
      <c r="N1717" s="894"/>
      <c r="O1717" s="894">
        <f>SUM(O1714:O1716)</f>
        <v>0</v>
      </c>
      <c r="P1717" s="263" t="s">
        <v>46</v>
      </c>
      <c r="Q1717" s="897">
        <f>SUM(Q1714:Q1716)</f>
        <v>1</v>
      </c>
      <c r="R1717" s="899"/>
      <c r="S1717" s="900"/>
      <c r="T1717" s="270"/>
      <c r="U1717" s="114"/>
      <c r="V1717" s="114"/>
      <c r="W1717" s="114"/>
      <c r="X1717" s="114"/>
      <c r="Y1717" s="114"/>
      <c r="Z1717" s="114"/>
      <c r="AA1717" s="114"/>
      <c r="AB1717" s="85"/>
      <c r="AC1717" s="85"/>
      <c r="AD1717" s="85"/>
      <c r="AE1717" s="85"/>
    </row>
    <row r="1718" spans="3:31" ht="15" thickBot="1" x14ac:dyDescent="0.35">
      <c r="C1718" s="451"/>
      <c r="D1718" s="184"/>
      <c r="E1718" s="184"/>
      <c r="F1718" s="184"/>
      <c r="G1718" s="450" t="str">
        <f t="shared" si="84"/>
        <v>--</v>
      </c>
      <c r="H1718" s="184"/>
      <c r="I1718" s="184"/>
      <c r="J1718" s="184"/>
      <c r="K1718" s="184"/>
      <c r="L1718" s="184"/>
      <c r="M1718" s="924"/>
      <c r="N1718" s="281"/>
      <c r="O1718" s="925"/>
      <c r="P1718" s="184"/>
      <c r="Q1718" s="924"/>
      <c r="R1718" s="184"/>
      <c r="S1718" s="184"/>
      <c r="T1718" s="184"/>
      <c r="U1718" s="184"/>
      <c r="V1718" s="184"/>
      <c r="W1718" s="184"/>
      <c r="X1718" s="184"/>
      <c r="Y1718" s="184"/>
      <c r="Z1718" s="184"/>
      <c r="AA1718" s="184"/>
      <c r="AB1718" s="184"/>
      <c r="AC1718" s="184"/>
      <c r="AD1718" s="184"/>
      <c r="AE1718" s="184"/>
    </row>
    <row r="1719" spans="3:31" x14ac:dyDescent="0.3">
      <c r="C1719" s="450"/>
      <c r="D1719" s="182"/>
      <c r="E1719" s="182"/>
      <c r="F1719" s="182"/>
      <c r="G1719" s="450" t="str">
        <f t="shared" si="84"/>
        <v>--</v>
      </c>
      <c r="H1719" s="182"/>
      <c r="I1719" s="892"/>
      <c r="J1719" s="892"/>
      <c r="K1719" s="182"/>
      <c r="L1719" s="181"/>
      <c r="M1719" s="114"/>
      <c r="N1719" s="892"/>
      <c r="O1719" s="892"/>
      <c r="P1719" s="114"/>
      <c r="Q1719" s="114"/>
      <c r="R1719" s="114"/>
      <c r="S1719" s="114"/>
      <c r="T1719" s="114"/>
      <c r="U1719" s="114"/>
      <c r="V1719" s="114"/>
      <c r="W1719" s="114"/>
      <c r="X1719" s="114"/>
      <c r="Y1719" s="114"/>
      <c r="Z1719" s="114"/>
      <c r="AA1719" s="114"/>
      <c r="AB1719" s="85"/>
      <c r="AC1719" s="85"/>
      <c r="AD1719" s="85"/>
      <c r="AE1719" s="85"/>
    </row>
    <row r="1720" spans="3:31" x14ac:dyDescent="0.3">
      <c r="C1720" s="450"/>
      <c r="D1720" s="182"/>
      <c r="E1720" s="182"/>
      <c r="F1720" s="182"/>
      <c r="G1720" s="450" t="str">
        <f t="shared" si="84"/>
        <v>--</v>
      </c>
      <c r="H1720" s="182"/>
      <c r="I1720" s="892"/>
      <c r="J1720" s="892"/>
      <c r="K1720" s="182"/>
      <c r="L1720" s="182"/>
      <c r="M1720" s="270"/>
      <c r="N1720" s="892"/>
      <c r="O1720" s="892"/>
      <c r="P1720" s="276" t="s">
        <v>42</v>
      </c>
      <c r="Q1720" s="902"/>
      <c r="R1720" s="902"/>
      <c r="S1720" s="902"/>
      <c r="T1720" s="271"/>
      <c r="U1720" s="114"/>
      <c r="V1720" s="114"/>
      <c r="W1720" s="114"/>
      <c r="X1720" s="114"/>
      <c r="Y1720" s="114"/>
      <c r="Z1720" s="114"/>
      <c r="AA1720" s="114"/>
      <c r="AB1720" s="85"/>
      <c r="AC1720" s="85"/>
      <c r="AD1720" s="85"/>
      <c r="AE1720" s="85"/>
    </row>
    <row r="1721" spans="3:31" ht="15" thickBot="1" x14ac:dyDescent="0.35">
      <c r="C1721" s="450"/>
      <c r="D1721" s="182"/>
      <c r="E1721" s="182"/>
      <c r="F1721" s="182"/>
      <c r="G1721" s="450" t="str">
        <f t="shared" si="84"/>
        <v>--</v>
      </c>
      <c r="H1721" s="182"/>
      <c r="I1721" s="892"/>
      <c r="J1721" s="892"/>
      <c r="K1721" s="182"/>
      <c r="L1721" s="182"/>
      <c r="M1721" s="901" t="s">
        <v>155</v>
      </c>
      <c r="N1721" s="870" t="s">
        <v>188</v>
      </c>
      <c r="O1721" s="870"/>
      <c r="P1721" s="277" t="s">
        <v>818</v>
      </c>
      <c r="Q1721" s="871" t="s">
        <v>155</v>
      </c>
      <c r="R1721" s="114"/>
      <c r="S1721" s="114"/>
      <c r="T1721" s="271"/>
      <c r="U1721" s="114"/>
      <c r="V1721" s="114"/>
      <c r="W1721" s="114"/>
      <c r="X1721" s="114"/>
      <c r="Y1721" s="114"/>
      <c r="Z1721" s="114"/>
      <c r="AA1721" s="114"/>
      <c r="AB1721" s="85"/>
      <c r="AC1721" s="85"/>
      <c r="AD1721" s="85"/>
      <c r="AE1721" s="85"/>
    </row>
    <row r="1722" spans="3:31" ht="15" thickBot="1" x14ac:dyDescent="0.35">
      <c r="C1722" s="566" t="s">
        <v>93</v>
      </c>
      <c r="D1722" s="875" t="str">
        <f>VLOOKUP(C1722,'Airport Mapping'!$C$5:$D$39,2,FALSE)</f>
        <v xml:space="preserve"> </v>
      </c>
      <c r="E1722" s="567" t="s">
        <v>39</v>
      </c>
      <c r="F1722" s="567" t="s">
        <v>42</v>
      </c>
      <c r="G1722" s="450" t="str">
        <f t="shared" si="84"/>
        <v>Parking C-Landscaping-Outdoor irrigation</v>
      </c>
      <c r="H1722" s="567" t="s">
        <v>32</v>
      </c>
      <c r="I1722" s="877" t="s">
        <v>64</v>
      </c>
      <c r="J1722" s="878">
        <f>SUMIFS('Level of Efficiency Assumptions'!J:J,'Level of Efficiency Assumptions'!D:D,E1722,'Level of Efficiency Assumptions'!F:F,F1722,'Level of Efficiency Assumptions'!I:I,I1722)</f>
        <v>28.6</v>
      </c>
      <c r="K1722" s="383" t="s">
        <v>816</v>
      </c>
      <c r="L1722" s="253" t="s">
        <v>64</v>
      </c>
      <c r="M1722" s="879">
        <f>SUM(Q1722:Q1723)</f>
        <v>0</v>
      </c>
      <c r="N1722" s="880">
        <f>IFERROR(M1722/M1725,"-")</f>
        <v>0</v>
      </c>
      <c r="O1722" s="881">
        <f>SUMIFS('Data Entry'!R:R,'Data Entry'!K:K,G1722)</f>
        <v>0</v>
      </c>
      <c r="P1722" s="272" t="s">
        <v>237</v>
      </c>
      <c r="Q1722" s="895">
        <v>0</v>
      </c>
      <c r="R1722" s="114"/>
      <c r="S1722" s="114"/>
      <c r="T1722" s="271"/>
      <c r="U1722" s="114"/>
      <c r="V1722" s="114"/>
      <c r="W1722" s="114"/>
      <c r="X1722" s="114"/>
      <c r="Y1722" s="114"/>
      <c r="Z1722" s="114"/>
      <c r="AA1722" s="114"/>
      <c r="AB1722" s="85"/>
      <c r="AC1722" s="85"/>
      <c r="AD1722" s="85"/>
      <c r="AE1722" s="85"/>
    </row>
    <row r="1723" spans="3:31" ht="15" thickBot="1" x14ac:dyDescent="0.35">
      <c r="C1723" s="494" t="s">
        <v>93</v>
      </c>
      <c r="D1723" s="577"/>
      <c r="E1723" s="577" t="s">
        <v>39</v>
      </c>
      <c r="F1723" s="577" t="s">
        <v>42</v>
      </c>
      <c r="G1723" s="450" t="str">
        <f t="shared" si="84"/>
        <v>Parking C-Landscaping-Outdoor irrigation</v>
      </c>
      <c r="H1723" s="577"/>
      <c r="I1723" s="887" t="s">
        <v>65</v>
      </c>
      <c r="J1723" s="878">
        <f>SUMIFS('Level of Efficiency Assumptions'!J:J,'Level of Efficiency Assumptions'!D:D,E1723,'Level of Efficiency Assumptions'!F:F,F1723,'Level of Efficiency Assumptions'!I:I,I1723)</f>
        <v>13.980821518350929</v>
      </c>
      <c r="K1723" s="383" t="s">
        <v>816</v>
      </c>
      <c r="L1723" s="255" t="s">
        <v>65</v>
      </c>
      <c r="M1723" s="879">
        <f>Q1724+Q1725</f>
        <v>1</v>
      </c>
      <c r="N1723" s="880">
        <f>IFERROR(M1723/M1725,"-")</f>
        <v>1</v>
      </c>
      <c r="O1723" s="881">
        <f>SUMIFS('Data Entry'!S:S,'Data Entry'!K:K,G1723)</f>
        <v>0</v>
      </c>
      <c r="P1723" s="272" t="s">
        <v>232</v>
      </c>
      <c r="Q1723" s="895">
        <v>0</v>
      </c>
      <c r="R1723" s="114"/>
      <c r="S1723" s="114"/>
      <c r="T1723" s="271"/>
      <c r="U1723" s="114"/>
      <c r="V1723" s="114"/>
      <c r="W1723" s="114"/>
      <c r="X1723" s="114"/>
      <c r="Y1723" s="114"/>
      <c r="Z1723" s="114"/>
      <c r="AA1723" s="114"/>
      <c r="AB1723" s="85"/>
      <c r="AC1723" s="85"/>
      <c r="AD1723" s="85"/>
      <c r="AE1723" s="85"/>
    </row>
    <row r="1724" spans="3:31" ht="15" thickBot="1" x14ac:dyDescent="0.35">
      <c r="C1724" s="501" t="s">
        <v>93</v>
      </c>
      <c r="D1724" s="116"/>
      <c r="E1724" s="116" t="s">
        <v>39</v>
      </c>
      <c r="F1724" s="116" t="s">
        <v>42</v>
      </c>
      <c r="G1724" s="450" t="str">
        <f t="shared" si="84"/>
        <v>Parking C-Landscaping-Outdoor irrigation</v>
      </c>
      <c r="H1724" s="116"/>
      <c r="I1724" s="889" t="s">
        <v>66</v>
      </c>
      <c r="J1724" s="890">
        <f>SUMIFS('Level of Efficiency Assumptions'!J:J,'Level of Efficiency Assumptions'!D:D,E1724,'Level of Efficiency Assumptions'!F:F,F1724,'Level of Efficiency Assumptions'!I:I,I1724)</f>
        <v>0.59137254901960778</v>
      </c>
      <c r="K1724" s="383" t="s">
        <v>816</v>
      </c>
      <c r="L1724" s="257" t="s">
        <v>66</v>
      </c>
      <c r="M1724" s="879">
        <f>Q1726+Q1727</f>
        <v>0</v>
      </c>
      <c r="N1724" s="880">
        <f>IFERROR(M1724/M1725,"-")</f>
        <v>0</v>
      </c>
      <c r="O1724" s="881">
        <f>SUMIFS('Data Entry'!T:T,'Data Entry'!K:K,G1724)</f>
        <v>0</v>
      </c>
      <c r="P1724" s="274" t="s">
        <v>231</v>
      </c>
      <c r="Q1724" s="895">
        <v>1</v>
      </c>
      <c r="R1724" s="114"/>
      <c r="S1724" s="114"/>
      <c r="T1724" s="271"/>
      <c r="U1724" s="114"/>
      <c r="V1724" s="114"/>
      <c r="W1724" s="114"/>
      <c r="X1724" s="114"/>
      <c r="Y1724" s="114"/>
      <c r="Z1724" s="114"/>
      <c r="AA1724" s="114"/>
      <c r="AB1724" s="85"/>
      <c r="AC1724" s="85"/>
      <c r="AD1724" s="85"/>
      <c r="AE1724" s="85"/>
    </row>
    <row r="1725" spans="3:31" x14ac:dyDescent="0.3">
      <c r="C1725" s="450"/>
      <c r="D1725" s="182"/>
      <c r="E1725" s="182"/>
      <c r="F1725" s="182"/>
      <c r="G1725" s="450" t="str">
        <f t="shared" si="84"/>
        <v>--</v>
      </c>
      <c r="H1725" s="182"/>
      <c r="I1725" s="440"/>
      <c r="J1725" s="892"/>
      <c r="K1725" s="259"/>
      <c r="L1725" s="259" t="s">
        <v>46</v>
      </c>
      <c r="M1725" s="893">
        <f>SUM(M1722:M1724)</f>
        <v>1</v>
      </c>
      <c r="N1725" s="894"/>
      <c r="O1725" s="894">
        <f>SUM(O1722:O1724)</f>
        <v>0</v>
      </c>
      <c r="P1725" s="274" t="s">
        <v>230</v>
      </c>
      <c r="Q1725" s="895">
        <v>0</v>
      </c>
      <c r="R1725" s="114"/>
      <c r="S1725" s="114"/>
      <c r="T1725" s="271"/>
      <c r="U1725" s="114"/>
      <c r="V1725" s="114"/>
      <c r="W1725" s="114"/>
      <c r="X1725" s="114"/>
      <c r="Y1725" s="114"/>
      <c r="Z1725" s="114"/>
      <c r="AA1725" s="114"/>
      <c r="AB1725" s="85"/>
      <c r="AC1725" s="85"/>
      <c r="AD1725" s="85"/>
      <c r="AE1725" s="85"/>
    </row>
    <row r="1726" spans="3:31" x14ac:dyDescent="0.3">
      <c r="C1726" s="450"/>
      <c r="D1726" s="182"/>
      <c r="E1726" s="182"/>
      <c r="F1726" s="182"/>
      <c r="G1726" s="450" t="str">
        <f t="shared" si="84"/>
        <v>--</v>
      </c>
      <c r="H1726" s="182"/>
      <c r="I1726" s="892"/>
      <c r="J1726" s="288"/>
      <c r="K1726" s="182"/>
      <c r="L1726" s="182"/>
      <c r="M1726" s="270"/>
      <c r="N1726" s="892"/>
      <c r="O1726" s="892"/>
      <c r="P1726" s="275" t="s">
        <v>229</v>
      </c>
      <c r="Q1726" s="895">
        <v>0</v>
      </c>
      <c r="R1726" s="114"/>
      <c r="S1726" s="114"/>
      <c r="T1726" s="271"/>
      <c r="U1726" s="114"/>
      <c r="V1726" s="114"/>
      <c r="W1726" s="114"/>
      <c r="X1726" s="114"/>
      <c r="Y1726" s="114"/>
      <c r="Z1726" s="114"/>
      <c r="AA1726" s="114"/>
      <c r="AB1726" s="85"/>
      <c r="AC1726" s="85"/>
      <c r="AD1726" s="85"/>
      <c r="AE1726" s="85"/>
    </row>
    <row r="1727" spans="3:31" x14ac:dyDescent="0.3">
      <c r="C1727" s="450"/>
      <c r="D1727" s="182"/>
      <c r="E1727" s="182"/>
      <c r="F1727" s="182"/>
      <c r="G1727" s="450" t="str">
        <f t="shared" si="84"/>
        <v>--</v>
      </c>
      <c r="H1727" s="182"/>
      <c r="I1727" s="892"/>
      <c r="J1727" s="288"/>
      <c r="K1727" s="182"/>
      <c r="L1727" s="182"/>
      <c r="M1727" s="270"/>
      <c r="N1727" s="892"/>
      <c r="O1727" s="892"/>
      <c r="P1727" s="269" t="s">
        <v>225</v>
      </c>
      <c r="Q1727" s="895">
        <v>0</v>
      </c>
      <c r="R1727" s="114"/>
      <c r="S1727" s="114"/>
      <c r="T1727" s="271"/>
      <c r="U1727" s="114"/>
      <c r="V1727" s="114"/>
      <c r="W1727" s="114"/>
      <c r="X1727" s="114"/>
      <c r="Y1727" s="114"/>
      <c r="Z1727" s="114"/>
      <c r="AA1727" s="114"/>
      <c r="AB1727" s="85"/>
      <c r="AC1727" s="85"/>
      <c r="AD1727" s="85"/>
      <c r="AE1727" s="85"/>
    </row>
    <row r="1728" spans="3:31" x14ac:dyDescent="0.3">
      <c r="C1728" s="450"/>
      <c r="D1728" s="182"/>
      <c r="E1728" s="182"/>
      <c r="F1728" s="182"/>
      <c r="G1728" s="450" t="str">
        <f t="shared" si="84"/>
        <v>--</v>
      </c>
      <c r="H1728" s="182"/>
      <c r="I1728" s="892"/>
      <c r="J1728" s="288"/>
      <c r="K1728" s="182"/>
      <c r="L1728" s="182"/>
      <c r="M1728" s="270"/>
      <c r="N1728" s="892"/>
      <c r="O1728" s="892"/>
      <c r="P1728" s="263" t="s">
        <v>46</v>
      </c>
      <c r="Q1728" s="897">
        <f>SUM(Q1722:Q1727)</f>
        <v>1</v>
      </c>
      <c r="R1728" s="899"/>
      <c r="S1728" s="899"/>
      <c r="T1728" s="271"/>
      <c r="U1728" s="114"/>
      <c r="V1728" s="114"/>
      <c r="W1728" s="114"/>
      <c r="X1728" s="114"/>
      <c r="Y1728" s="114"/>
      <c r="Z1728" s="114"/>
      <c r="AA1728" s="114"/>
      <c r="AB1728" s="85"/>
      <c r="AC1728" s="85"/>
      <c r="AD1728" s="85"/>
      <c r="AE1728" s="85"/>
    </row>
    <row r="1729" spans="3:31" x14ac:dyDescent="0.3">
      <c r="C1729" s="450"/>
      <c r="D1729" s="182"/>
      <c r="E1729" s="182"/>
      <c r="F1729" s="182"/>
      <c r="G1729" s="450" t="str">
        <f t="shared" si="84"/>
        <v>--</v>
      </c>
      <c r="H1729" s="182"/>
      <c r="I1729" s="892"/>
      <c r="J1729" s="288"/>
      <c r="K1729" s="182"/>
      <c r="L1729" s="182"/>
      <c r="M1729" s="270"/>
      <c r="N1729" s="892"/>
      <c r="O1729" s="892"/>
      <c r="P1729" s="259"/>
      <c r="Q1729" s="114"/>
      <c r="R1729" s="270"/>
      <c r="S1729" s="270"/>
      <c r="T1729" s="270"/>
      <c r="U1729" s="270"/>
      <c r="V1729" s="270"/>
      <c r="W1729" s="114"/>
      <c r="X1729" s="114"/>
      <c r="Y1729" s="114"/>
      <c r="Z1729" s="114"/>
      <c r="AA1729" s="114"/>
      <c r="AB1729" s="85"/>
      <c r="AC1729" s="85"/>
      <c r="AD1729" s="85"/>
      <c r="AE1729" s="85"/>
    </row>
    <row r="1730" spans="3:31" ht="15" thickBot="1" x14ac:dyDescent="0.35">
      <c r="C1730" s="450"/>
      <c r="D1730" s="182"/>
      <c r="E1730" s="182"/>
      <c r="F1730" s="182"/>
      <c r="G1730" s="450" t="str">
        <f t="shared" si="84"/>
        <v>--</v>
      </c>
      <c r="H1730" s="182"/>
      <c r="I1730" s="892"/>
      <c r="J1730" s="892"/>
      <c r="K1730" s="182"/>
      <c r="L1730" s="182"/>
      <c r="M1730" s="901" t="s">
        <v>155</v>
      </c>
      <c r="N1730" s="870" t="s">
        <v>188</v>
      </c>
      <c r="O1730" s="870"/>
      <c r="P1730" s="276" t="s">
        <v>9</v>
      </c>
      <c r="Q1730" s="871" t="s">
        <v>155</v>
      </c>
      <c r="R1730" s="902"/>
      <c r="S1730" s="874"/>
      <c r="T1730" s="270"/>
      <c r="U1730" s="270"/>
      <c r="V1730" s="270"/>
      <c r="W1730" s="114"/>
      <c r="X1730" s="114"/>
      <c r="Y1730" s="114"/>
      <c r="Z1730" s="114"/>
      <c r="AA1730" s="114"/>
      <c r="AB1730" s="85"/>
      <c r="AC1730" s="85"/>
      <c r="AD1730" s="85"/>
      <c r="AE1730" s="85"/>
    </row>
    <row r="1731" spans="3:31" ht="15" thickBot="1" x14ac:dyDescent="0.35">
      <c r="C1731" s="566" t="s">
        <v>93</v>
      </c>
      <c r="D1731" s="875" t="str">
        <f>VLOOKUP(C1731,'Airport Mapping'!$C$5:$D$39,2,FALSE)</f>
        <v xml:space="preserve"> </v>
      </c>
      <c r="E1731" s="567" t="s">
        <v>43</v>
      </c>
      <c r="F1731" s="567" t="s">
        <v>9</v>
      </c>
      <c r="G1731" s="450" t="str">
        <f t="shared" si="84"/>
        <v>Parking C-Maintenance-Vehicle washing</v>
      </c>
      <c r="H1731" s="567" t="s">
        <v>282</v>
      </c>
      <c r="I1731" s="877" t="s">
        <v>64</v>
      </c>
      <c r="J1731" s="878">
        <f>SUMIFS('Level of Efficiency Assumptions'!J:J,'Level of Efficiency Assumptions'!D:D,E1731,'Level of Efficiency Assumptions'!F:F,F1731,'Level of Efficiency Assumptions'!I:I,I1731)</f>
        <v>80</v>
      </c>
      <c r="K1731" s="383" t="s">
        <v>588</v>
      </c>
      <c r="L1731" s="253" t="s">
        <v>64</v>
      </c>
      <c r="M1731" s="879">
        <f>SUM(Q1731:Q1732)</f>
        <v>0</v>
      </c>
      <c r="N1731" s="880">
        <f>IFERROR(M1731/M1734,"-")</f>
        <v>0</v>
      </c>
      <c r="O1731" s="881">
        <f>SUMIFS('Data Entry'!R:R,'Data Entry'!K:K,G1731)</f>
        <v>0</v>
      </c>
      <c r="P1731" s="272"/>
      <c r="Q1731" s="895">
        <v>0</v>
      </c>
      <c r="R1731" s="114"/>
      <c r="S1731" s="884"/>
      <c r="T1731" s="270"/>
      <c r="U1731" s="270"/>
      <c r="V1731" s="270"/>
      <c r="W1731" s="114"/>
      <c r="X1731" s="114"/>
      <c r="Y1731" s="114"/>
      <c r="Z1731" s="114"/>
      <c r="AA1731" s="114"/>
      <c r="AB1731" s="85"/>
      <c r="AC1731" s="85"/>
      <c r="AD1731" s="85"/>
      <c r="AE1731" s="85"/>
    </row>
    <row r="1732" spans="3:31" ht="15" thickBot="1" x14ac:dyDescent="0.35">
      <c r="C1732" s="494" t="s">
        <v>93</v>
      </c>
      <c r="D1732" s="577"/>
      <c r="E1732" s="577" t="s">
        <v>43</v>
      </c>
      <c r="F1732" s="577" t="s">
        <v>9</v>
      </c>
      <c r="G1732" s="450" t="str">
        <f t="shared" si="84"/>
        <v>Parking C-Maintenance-Vehicle washing</v>
      </c>
      <c r="H1732" s="577"/>
      <c r="I1732" s="887" t="s">
        <v>65</v>
      </c>
      <c r="J1732" s="878">
        <f>SUMIFS('Level of Efficiency Assumptions'!J:J,'Level of Efficiency Assumptions'!D:D,E1732,'Level of Efficiency Assumptions'!F:F,F1732,'Level of Efficiency Assumptions'!I:I,I1732)</f>
        <v>40</v>
      </c>
      <c r="K1732" s="383" t="s">
        <v>588</v>
      </c>
      <c r="L1732" s="255" t="s">
        <v>65</v>
      </c>
      <c r="M1732" s="879">
        <f>Q1733+Q1734</f>
        <v>1</v>
      </c>
      <c r="N1732" s="880">
        <f>IFERROR(M1732/M1734,"-")</f>
        <v>1</v>
      </c>
      <c r="O1732" s="881">
        <f>SUMIFS('Data Entry'!S:S,'Data Entry'!K:K,G1732)</f>
        <v>0</v>
      </c>
      <c r="P1732" s="272"/>
      <c r="Q1732" s="895">
        <v>0</v>
      </c>
      <c r="R1732" s="114"/>
      <c r="S1732" s="884"/>
      <c r="T1732" s="270"/>
      <c r="U1732" s="270"/>
      <c r="V1732" s="270"/>
      <c r="W1732" s="114"/>
      <c r="X1732" s="114"/>
      <c r="Y1732" s="114"/>
      <c r="Z1732" s="114"/>
      <c r="AA1732" s="114"/>
      <c r="AB1732" s="85"/>
      <c r="AC1732" s="85"/>
      <c r="AD1732" s="85"/>
      <c r="AE1732" s="85"/>
    </row>
    <row r="1733" spans="3:31" ht="15" thickBot="1" x14ac:dyDescent="0.35">
      <c r="C1733" s="501" t="s">
        <v>93</v>
      </c>
      <c r="D1733" s="116"/>
      <c r="E1733" s="116" t="s">
        <v>43</v>
      </c>
      <c r="F1733" s="116" t="s">
        <v>9</v>
      </c>
      <c r="G1733" s="450" t="str">
        <f t="shared" si="84"/>
        <v>Parking C-Maintenance-Vehicle washing</v>
      </c>
      <c r="H1733" s="116"/>
      <c r="I1733" s="889" t="s">
        <v>66</v>
      </c>
      <c r="J1733" s="890">
        <f>SUMIFS('Level of Efficiency Assumptions'!J:J,'Level of Efficiency Assumptions'!D:D,E1733,'Level of Efficiency Assumptions'!F:F,F1733,'Level of Efficiency Assumptions'!I:I,I1733)</f>
        <v>30</v>
      </c>
      <c r="K1733" s="383" t="s">
        <v>588</v>
      </c>
      <c r="L1733" s="257" t="s">
        <v>66</v>
      </c>
      <c r="M1733" s="879">
        <f>Q1735+Q1736</f>
        <v>0</v>
      </c>
      <c r="N1733" s="880">
        <f>IFERROR(M1733/M1734,"-")</f>
        <v>0</v>
      </c>
      <c r="O1733" s="881">
        <f>SUMIFS('Data Entry'!T:T,'Data Entry'!K:K,G1733)</f>
        <v>0</v>
      </c>
      <c r="P1733" s="274"/>
      <c r="Q1733" s="895">
        <v>1</v>
      </c>
      <c r="R1733" s="114"/>
      <c r="S1733" s="884"/>
      <c r="T1733" s="270"/>
      <c r="U1733" s="270"/>
      <c r="V1733" s="270"/>
      <c r="W1733" s="114"/>
      <c r="X1733" s="114"/>
      <c r="Y1733" s="114"/>
      <c r="Z1733" s="114"/>
      <c r="AA1733" s="114"/>
      <c r="AB1733" s="85"/>
      <c r="AC1733" s="85"/>
      <c r="AD1733" s="85"/>
      <c r="AE1733" s="85"/>
    </row>
    <row r="1734" spans="3:31" x14ac:dyDescent="0.3">
      <c r="C1734" s="450"/>
      <c r="D1734" s="182"/>
      <c r="E1734" s="182"/>
      <c r="F1734" s="182"/>
      <c r="G1734" s="450" t="str">
        <f t="shared" si="84"/>
        <v>--</v>
      </c>
      <c r="H1734" s="182"/>
      <c r="I1734" s="440"/>
      <c r="J1734" s="892"/>
      <c r="K1734" s="259"/>
      <c r="L1734" s="259" t="s">
        <v>46</v>
      </c>
      <c r="M1734" s="893">
        <f>SUM(M1731:M1733)</f>
        <v>1</v>
      </c>
      <c r="N1734" s="894"/>
      <c r="O1734" s="894">
        <f>SUM(O1731:O1733)</f>
        <v>0</v>
      </c>
      <c r="P1734" s="274"/>
      <c r="Q1734" s="895">
        <v>0</v>
      </c>
      <c r="R1734" s="114"/>
      <c r="S1734" s="884"/>
      <c r="T1734" s="270"/>
      <c r="U1734" s="270"/>
      <c r="V1734" s="270"/>
      <c r="W1734" s="114"/>
      <c r="X1734" s="114"/>
      <c r="Y1734" s="114"/>
      <c r="Z1734" s="114"/>
      <c r="AA1734" s="114"/>
      <c r="AB1734" s="85"/>
      <c r="AC1734" s="85"/>
      <c r="AD1734" s="85"/>
      <c r="AE1734" s="85"/>
    </row>
    <row r="1735" spans="3:31" x14ac:dyDescent="0.3">
      <c r="C1735" s="450"/>
      <c r="D1735" s="182"/>
      <c r="E1735" s="182"/>
      <c r="F1735" s="182"/>
      <c r="G1735" s="450" t="str">
        <f t="shared" si="84"/>
        <v>--</v>
      </c>
      <c r="H1735" s="182"/>
      <c r="I1735" s="892"/>
      <c r="J1735" s="288"/>
      <c r="K1735" s="182"/>
      <c r="L1735" s="182"/>
      <c r="M1735" s="270"/>
      <c r="N1735" s="892"/>
      <c r="O1735" s="892"/>
      <c r="P1735" s="275"/>
      <c r="Q1735" s="895">
        <v>0</v>
      </c>
      <c r="R1735" s="114"/>
      <c r="S1735" s="884"/>
      <c r="T1735" s="270"/>
      <c r="U1735" s="270"/>
      <c r="V1735" s="270"/>
      <c r="W1735" s="114"/>
      <c r="X1735" s="114"/>
      <c r="Y1735" s="114"/>
      <c r="Z1735" s="114"/>
      <c r="AA1735" s="114"/>
      <c r="AB1735" s="85"/>
      <c r="AC1735" s="85"/>
      <c r="AD1735" s="85"/>
      <c r="AE1735" s="85"/>
    </row>
    <row r="1736" spans="3:31" x14ac:dyDescent="0.3">
      <c r="C1736" s="450"/>
      <c r="D1736" s="182"/>
      <c r="E1736" s="182"/>
      <c r="F1736" s="182"/>
      <c r="G1736" s="450" t="str">
        <f t="shared" si="84"/>
        <v>--</v>
      </c>
      <c r="H1736" s="182"/>
      <c r="I1736" s="892"/>
      <c r="J1736" s="288"/>
      <c r="K1736" s="182"/>
      <c r="L1736" s="182"/>
      <c r="M1736" s="270"/>
      <c r="N1736" s="892"/>
      <c r="O1736" s="892"/>
      <c r="P1736" s="269"/>
      <c r="Q1736" s="895">
        <v>0</v>
      </c>
      <c r="R1736" s="114"/>
      <c r="S1736" s="884"/>
      <c r="T1736" s="270"/>
      <c r="U1736" s="270"/>
      <c r="V1736" s="270"/>
      <c r="W1736" s="114"/>
      <c r="X1736" s="114"/>
      <c r="Y1736" s="114"/>
      <c r="Z1736" s="114"/>
      <c r="AA1736" s="114"/>
      <c r="AB1736" s="85"/>
      <c r="AC1736" s="85"/>
      <c r="AD1736" s="85"/>
      <c r="AE1736" s="85"/>
    </row>
    <row r="1737" spans="3:31" x14ac:dyDescent="0.3">
      <c r="C1737" s="450"/>
      <c r="D1737" s="182"/>
      <c r="E1737" s="182"/>
      <c r="F1737" s="182"/>
      <c r="G1737" s="450" t="str">
        <f t="shared" si="84"/>
        <v>--</v>
      </c>
      <c r="H1737" s="182"/>
      <c r="I1737" s="892"/>
      <c r="J1737" s="288"/>
      <c r="K1737" s="182"/>
      <c r="L1737" s="182"/>
      <c r="M1737" s="270"/>
      <c r="N1737" s="892"/>
      <c r="O1737" s="892"/>
      <c r="P1737" s="263" t="s">
        <v>46</v>
      </c>
      <c r="Q1737" s="897">
        <f>SUM(Q1731:Q1736)</f>
        <v>1</v>
      </c>
      <c r="R1737" s="899"/>
      <c r="S1737" s="900"/>
      <c r="T1737" s="270"/>
      <c r="U1737" s="270"/>
      <c r="V1737" s="270"/>
      <c r="W1737" s="114"/>
      <c r="X1737" s="114"/>
      <c r="Y1737" s="114"/>
      <c r="Z1737" s="114"/>
      <c r="AA1737" s="114"/>
      <c r="AB1737" s="85"/>
      <c r="AC1737" s="85"/>
      <c r="AD1737" s="85"/>
      <c r="AE1737" s="85"/>
    </row>
    <row r="1738" spans="3:31" x14ac:dyDescent="0.3">
      <c r="C1738" s="450"/>
      <c r="D1738" s="182"/>
      <c r="E1738" s="182"/>
      <c r="F1738" s="182"/>
      <c r="G1738" s="450" t="str">
        <f t="shared" si="84"/>
        <v>--</v>
      </c>
      <c r="H1738" s="182"/>
      <c r="I1738" s="892"/>
      <c r="J1738" s="288"/>
      <c r="K1738" s="182"/>
      <c r="L1738" s="182"/>
      <c r="M1738" s="270"/>
      <c r="N1738" s="892"/>
      <c r="O1738" s="892"/>
      <c r="P1738" s="259"/>
      <c r="Q1738" s="114"/>
      <c r="R1738" s="114"/>
      <c r="S1738" s="114"/>
      <c r="T1738" s="270"/>
      <c r="U1738" s="270"/>
      <c r="V1738" s="270"/>
      <c r="W1738" s="114"/>
      <c r="X1738" s="114"/>
      <c r="Y1738" s="114"/>
      <c r="Z1738" s="114"/>
      <c r="AA1738" s="114"/>
      <c r="AB1738" s="85"/>
      <c r="AC1738" s="85"/>
      <c r="AD1738" s="85"/>
      <c r="AE1738" s="85"/>
    </row>
    <row r="1739" spans="3:31" ht="15" thickBot="1" x14ac:dyDescent="0.35">
      <c r="C1739" s="450"/>
      <c r="D1739" s="182"/>
      <c r="E1739" s="182"/>
      <c r="F1739" s="182"/>
      <c r="G1739" s="450" t="str">
        <f t="shared" si="84"/>
        <v>--</v>
      </c>
      <c r="H1739" s="182"/>
      <c r="I1739" s="892"/>
      <c r="J1739" s="892"/>
      <c r="K1739" s="182"/>
      <c r="L1739" s="182"/>
      <c r="M1739" s="901" t="s">
        <v>155</v>
      </c>
      <c r="N1739" s="870" t="s">
        <v>188</v>
      </c>
      <c r="O1739" s="870"/>
      <c r="P1739" s="276" t="s">
        <v>426</v>
      </c>
      <c r="Q1739" s="871" t="s">
        <v>155</v>
      </c>
      <c r="R1739" s="902"/>
      <c r="S1739" s="874"/>
      <c r="T1739" s="270"/>
      <c r="U1739" s="270"/>
      <c r="V1739" s="270"/>
      <c r="W1739" s="114"/>
      <c r="X1739" s="114"/>
      <c r="Y1739" s="114"/>
      <c r="Z1739" s="114"/>
      <c r="AA1739" s="114"/>
      <c r="AB1739" s="85"/>
      <c r="AC1739" s="85"/>
      <c r="AD1739" s="85"/>
      <c r="AE1739" s="85"/>
    </row>
    <row r="1740" spans="3:31" ht="15" thickBot="1" x14ac:dyDescent="0.35">
      <c r="C1740" s="566" t="s">
        <v>93</v>
      </c>
      <c r="D1740" s="875" t="str">
        <f>VLOOKUP(C1740,'Airport Mapping'!$C$5:$D$39,2,FALSE)</f>
        <v xml:space="preserve"> </v>
      </c>
      <c r="E1740" s="567" t="s">
        <v>43</v>
      </c>
      <c r="F1740" s="567" t="s">
        <v>426</v>
      </c>
      <c r="G1740" s="450" t="str">
        <f t="shared" si="84"/>
        <v>Parking C-Maintenance-Pavement cleaning</v>
      </c>
      <c r="H1740" s="567" t="s">
        <v>282</v>
      </c>
      <c r="I1740" s="877" t="s">
        <v>64</v>
      </c>
      <c r="J1740" s="878">
        <f>SUMIFS('Level of Efficiency Assumptions'!J:J,'Level of Efficiency Assumptions'!D:D,E1740,'Level of Efficiency Assumptions'!F:F,F1740,'Level of Efficiency Assumptions'!I:I,I1740)</f>
        <v>10</v>
      </c>
      <c r="K1740" s="383" t="s">
        <v>588</v>
      </c>
      <c r="L1740" s="253" t="s">
        <v>64</v>
      </c>
      <c r="M1740" s="879">
        <f>SUM(Q1740:Q1741)</f>
        <v>0</v>
      </c>
      <c r="N1740" s="880">
        <f>IFERROR(M1740/M1743,"-")</f>
        <v>0</v>
      </c>
      <c r="O1740" s="881">
        <f>SUMIFS('Data Entry'!R:R,'Data Entry'!K:K,G1740)</f>
        <v>0</v>
      </c>
      <c r="P1740" s="272"/>
      <c r="Q1740" s="895">
        <v>0</v>
      </c>
      <c r="R1740" s="114"/>
      <c r="S1740" s="884"/>
      <c r="T1740" s="270"/>
      <c r="U1740" s="270"/>
      <c r="V1740" s="270"/>
      <c r="W1740" s="114"/>
      <c r="X1740" s="114"/>
      <c r="Y1740" s="114"/>
      <c r="Z1740" s="114"/>
      <c r="AA1740" s="114"/>
      <c r="AB1740" s="85"/>
      <c r="AC1740" s="85"/>
      <c r="AD1740" s="85"/>
      <c r="AE1740" s="85"/>
    </row>
    <row r="1741" spans="3:31" ht="15" thickBot="1" x14ac:dyDescent="0.35">
      <c r="C1741" s="494" t="s">
        <v>93</v>
      </c>
      <c r="D1741" s="577"/>
      <c r="E1741" s="577" t="s">
        <v>43</v>
      </c>
      <c r="F1741" s="577" t="s">
        <v>426</v>
      </c>
      <c r="G1741" s="450" t="str">
        <f t="shared" si="84"/>
        <v>Parking C-Maintenance-Pavement cleaning</v>
      </c>
      <c r="H1741" s="577"/>
      <c r="I1741" s="887" t="s">
        <v>65</v>
      </c>
      <c r="J1741" s="878">
        <f>SUMIFS('Level of Efficiency Assumptions'!J:J,'Level of Efficiency Assumptions'!D:D,E1741,'Level of Efficiency Assumptions'!F:F,F1741,'Level of Efficiency Assumptions'!I:I,I1741)</f>
        <v>7.5</v>
      </c>
      <c r="K1741" s="383" t="s">
        <v>588</v>
      </c>
      <c r="L1741" s="255" t="s">
        <v>65</v>
      </c>
      <c r="M1741" s="879">
        <f>Q1742+Q1743</f>
        <v>1</v>
      </c>
      <c r="N1741" s="880">
        <f>IFERROR(M1741/M1743,"-")</f>
        <v>1</v>
      </c>
      <c r="O1741" s="881">
        <f>SUMIFS('Data Entry'!S:S,'Data Entry'!K:K,G1741)</f>
        <v>0</v>
      </c>
      <c r="P1741" s="272"/>
      <c r="Q1741" s="895">
        <v>0</v>
      </c>
      <c r="R1741" s="114"/>
      <c r="S1741" s="884"/>
      <c r="T1741" s="270"/>
      <c r="U1741" s="270"/>
      <c r="V1741" s="270"/>
      <c r="W1741" s="114"/>
      <c r="X1741" s="114"/>
      <c r="Y1741" s="114"/>
      <c r="Z1741" s="114"/>
      <c r="AA1741" s="114"/>
      <c r="AB1741" s="85"/>
      <c r="AC1741" s="85"/>
      <c r="AD1741" s="85"/>
      <c r="AE1741" s="85"/>
    </row>
    <row r="1742" spans="3:31" ht="15" thickBot="1" x14ac:dyDescent="0.35">
      <c r="C1742" s="501" t="s">
        <v>93</v>
      </c>
      <c r="D1742" s="116"/>
      <c r="E1742" s="116" t="s">
        <v>43</v>
      </c>
      <c r="F1742" s="116" t="s">
        <v>426</v>
      </c>
      <c r="G1742" s="450" t="str">
        <f t="shared" si="84"/>
        <v>Parking C-Maintenance-Pavement cleaning</v>
      </c>
      <c r="H1742" s="116"/>
      <c r="I1742" s="889" t="s">
        <v>66</v>
      </c>
      <c r="J1742" s="890">
        <f>SUMIFS('Level of Efficiency Assumptions'!J:J,'Level of Efficiency Assumptions'!D:D,E1742,'Level of Efficiency Assumptions'!F:F,F1742,'Level of Efficiency Assumptions'!I:I,I1742)</f>
        <v>5</v>
      </c>
      <c r="K1742" s="383" t="s">
        <v>588</v>
      </c>
      <c r="L1742" s="257" t="s">
        <v>66</v>
      </c>
      <c r="M1742" s="879">
        <f>Q1744+Q1745</f>
        <v>0</v>
      </c>
      <c r="N1742" s="880">
        <f>IFERROR(M1742/M1743,"-")</f>
        <v>0</v>
      </c>
      <c r="O1742" s="881">
        <f>SUMIFS('Data Entry'!T:T,'Data Entry'!K:K,G1742)</f>
        <v>0</v>
      </c>
      <c r="P1742" s="274"/>
      <c r="Q1742" s="895">
        <v>1</v>
      </c>
      <c r="R1742" s="114"/>
      <c r="S1742" s="884"/>
      <c r="T1742" s="270"/>
      <c r="U1742" s="270"/>
      <c r="V1742" s="270"/>
      <c r="W1742" s="114"/>
      <c r="X1742" s="114"/>
      <c r="Y1742" s="114"/>
      <c r="Z1742" s="114"/>
      <c r="AA1742" s="114"/>
      <c r="AB1742" s="85"/>
      <c r="AC1742" s="85"/>
      <c r="AD1742" s="85"/>
      <c r="AE1742" s="85"/>
    </row>
    <row r="1743" spans="3:31" x14ac:dyDescent="0.3">
      <c r="C1743" s="450"/>
      <c r="D1743" s="182"/>
      <c r="E1743" s="182"/>
      <c r="F1743" s="182"/>
      <c r="G1743" s="450" t="str">
        <f t="shared" si="84"/>
        <v>--</v>
      </c>
      <c r="H1743" s="182"/>
      <c r="I1743" s="440"/>
      <c r="J1743" s="892"/>
      <c r="K1743" s="259"/>
      <c r="L1743" s="259" t="s">
        <v>46</v>
      </c>
      <c r="M1743" s="893">
        <f>SUM(M1740:M1742)</f>
        <v>1</v>
      </c>
      <c r="N1743" s="894"/>
      <c r="O1743" s="894">
        <f>SUM(O1740:O1742)</f>
        <v>0</v>
      </c>
      <c r="P1743" s="274"/>
      <c r="Q1743" s="895">
        <v>0</v>
      </c>
      <c r="R1743" s="114"/>
      <c r="S1743" s="884"/>
      <c r="T1743" s="270"/>
      <c r="U1743" s="270"/>
      <c r="V1743" s="270"/>
      <c r="W1743" s="114"/>
      <c r="X1743" s="114"/>
      <c r="Y1743" s="114"/>
      <c r="Z1743" s="114"/>
      <c r="AA1743" s="114"/>
      <c r="AB1743" s="85"/>
      <c r="AC1743" s="85"/>
      <c r="AD1743" s="85"/>
      <c r="AE1743" s="85"/>
    </row>
    <row r="1744" spans="3:31" x14ac:dyDescent="0.3">
      <c r="C1744" s="450"/>
      <c r="D1744" s="182"/>
      <c r="E1744" s="182"/>
      <c r="F1744" s="182"/>
      <c r="G1744" s="450" t="str">
        <f t="shared" si="84"/>
        <v>--</v>
      </c>
      <c r="H1744" s="182"/>
      <c r="I1744" s="892"/>
      <c r="J1744" s="288"/>
      <c r="K1744" s="182"/>
      <c r="L1744" s="182"/>
      <c r="M1744" s="270"/>
      <c r="N1744" s="892"/>
      <c r="O1744" s="892"/>
      <c r="P1744" s="275"/>
      <c r="Q1744" s="895">
        <v>0</v>
      </c>
      <c r="R1744" s="114"/>
      <c r="S1744" s="884"/>
      <c r="T1744" s="270"/>
      <c r="U1744" s="270"/>
      <c r="V1744" s="270"/>
      <c r="W1744" s="114"/>
      <c r="X1744" s="114"/>
      <c r="Y1744" s="114"/>
      <c r="Z1744" s="114"/>
      <c r="AA1744" s="114"/>
      <c r="AB1744" s="85"/>
      <c r="AC1744" s="85"/>
      <c r="AD1744" s="85"/>
      <c r="AE1744" s="85"/>
    </row>
    <row r="1745" spans="3:31" x14ac:dyDescent="0.3">
      <c r="C1745" s="450"/>
      <c r="D1745" s="182"/>
      <c r="E1745" s="182"/>
      <c r="F1745" s="182"/>
      <c r="G1745" s="450" t="str">
        <f t="shared" si="84"/>
        <v>--</v>
      </c>
      <c r="H1745" s="182"/>
      <c r="I1745" s="892"/>
      <c r="J1745" s="288"/>
      <c r="K1745" s="182"/>
      <c r="L1745" s="182"/>
      <c r="M1745" s="270"/>
      <c r="N1745" s="892"/>
      <c r="O1745" s="892"/>
      <c r="P1745" s="269"/>
      <c r="Q1745" s="895">
        <v>0</v>
      </c>
      <c r="R1745" s="114"/>
      <c r="S1745" s="884"/>
      <c r="T1745" s="270"/>
      <c r="U1745" s="270"/>
      <c r="V1745" s="270"/>
      <c r="W1745" s="114"/>
      <c r="X1745" s="114"/>
      <c r="Y1745" s="114"/>
      <c r="Z1745" s="114"/>
      <c r="AA1745" s="114"/>
      <c r="AB1745" s="85"/>
      <c r="AC1745" s="85"/>
      <c r="AD1745" s="85"/>
      <c r="AE1745" s="85"/>
    </row>
    <row r="1746" spans="3:31" x14ac:dyDescent="0.3">
      <c r="C1746" s="450"/>
      <c r="D1746" s="182"/>
      <c r="E1746" s="182"/>
      <c r="F1746" s="182"/>
      <c r="G1746" s="450" t="str">
        <f t="shared" si="84"/>
        <v>--</v>
      </c>
      <c r="H1746" s="182"/>
      <c r="I1746" s="892"/>
      <c r="J1746" s="288"/>
      <c r="K1746" s="182"/>
      <c r="L1746" s="182"/>
      <c r="M1746" s="270"/>
      <c r="N1746" s="892"/>
      <c r="O1746" s="892"/>
      <c r="P1746" s="263" t="s">
        <v>46</v>
      </c>
      <c r="Q1746" s="897">
        <f>SUM(Q1740:Q1745)</f>
        <v>1</v>
      </c>
      <c r="R1746" s="899"/>
      <c r="S1746" s="900"/>
      <c r="T1746" s="270"/>
      <c r="U1746" s="270"/>
      <c r="V1746" s="270"/>
      <c r="W1746" s="114"/>
      <c r="X1746" s="114"/>
      <c r="Y1746" s="114"/>
      <c r="Z1746" s="114"/>
      <c r="AA1746" s="114"/>
      <c r="AB1746" s="85"/>
      <c r="AC1746" s="85"/>
      <c r="AD1746" s="85"/>
      <c r="AE1746" s="85"/>
    </row>
    <row r="1747" spans="3:31" x14ac:dyDescent="0.3">
      <c r="C1747" s="450"/>
      <c r="D1747" s="182"/>
      <c r="E1747" s="182"/>
      <c r="F1747" s="182"/>
      <c r="G1747" s="450" t="str">
        <f t="shared" si="84"/>
        <v>--</v>
      </c>
      <c r="H1747" s="182"/>
      <c r="I1747" s="892"/>
      <c r="J1747" s="288"/>
      <c r="K1747" s="182"/>
      <c r="L1747" s="270"/>
      <c r="M1747" s="270"/>
      <c r="N1747" s="923"/>
      <c r="O1747" s="923"/>
      <c r="P1747" s="270"/>
      <c r="Q1747" s="270"/>
      <c r="R1747" s="270"/>
      <c r="S1747" s="270"/>
      <c r="T1747" s="270"/>
      <c r="U1747" s="270"/>
      <c r="V1747" s="270"/>
      <c r="W1747" s="114"/>
      <c r="X1747" s="114"/>
      <c r="Y1747" s="114"/>
      <c r="Z1747" s="114"/>
      <c r="AA1747" s="114"/>
      <c r="AB1747" s="85"/>
      <c r="AC1747" s="85"/>
      <c r="AD1747" s="85"/>
      <c r="AE1747" s="85"/>
    </row>
    <row r="1748" spans="3:31" ht="15" thickBot="1" x14ac:dyDescent="0.35">
      <c r="C1748" s="450"/>
      <c r="D1748" s="182"/>
      <c r="E1748" s="182"/>
      <c r="F1748" s="182"/>
      <c r="G1748" s="450" t="str">
        <f t="shared" si="84"/>
        <v>--</v>
      </c>
      <c r="H1748" s="182"/>
      <c r="I1748" s="892"/>
      <c r="J1748" s="892"/>
      <c r="K1748" s="182"/>
      <c r="L1748" s="182"/>
      <c r="M1748" s="901" t="s">
        <v>155</v>
      </c>
      <c r="N1748" s="870" t="s">
        <v>188</v>
      </c>
      <c r="O1748" s="870"/>
      <c r="P1748" s="276" t="s">
        <v>52</v>
      </c>
      <c r="Q1748" s="871" t="s">
        <v>155</v>
      </c>
      <c r="R1748" s="902"/>
      <c r="S1748" s="874"/>
      <c r="T1748" s="270"/>
      <c r="U1748" s="270"/>
      <c r="V1748" s="270"/>
      <c r="W1748" s="114"/>
      <c r="X1748" s="114"/>
      <c r="Y1748" s="114"/>
      <c r="Z1748" s="114"/>
      <c r="AA1748" s="114"/>
      <c r="AB1748" s="85"/>
      <c r="AC1748" s="85"/>
      <c r="AD1748" s="85"/>
      <c r="AE1748" s="85"/>
    </row>
    <row r="1749" spans="3:31" ht="15" thickBot="1" x14ac:dyDescent="0.35">
      <c r="C1749" s="566" t="s">
        <v>93</v>
      </c>
      <c r="D1749" s="875" t="str">
        <f>VLOOKUP(C1749,'Airport Mapping'!$C$5:$D$39,2,FALSE)</f>
        <v xml:space="preserve"> </v>
      </c>
      <c r="E1749" s="567" t="s">
        <v>8</v>
      </c>
      <c r="F1749" s="567" t="s">
        <v>52</v>
      </c>
      <c r="G1749" s="450" t="str">
        <f t="shared" si="84"/>
        <v>Parking C-Other-Other 1</v>
      </c>
      <c r="H1749" s="567" t="s">
        <v>362</v>
      </c>
      <c r="I1749" s="877" t="s">
        <v>64</v>
      </c>
      <c r="J1749" s="878">
        <f>SUMIFS('Level of Efficiency Assumptions'!J:J,'Level of Efficiency Assumptions'!D:D,E1749,'Level of Efficiency Assumptions'!F:F,F1749,'Level of Efficiency Assumptions'!I:I,I1749)</f>
        <v>10</v>
      </c>
      <c r="K1749" s="383" t="s">
        <v>588</v>
      </c>
      <c r="L1749" s="253" t="s">
        <v>64</v>
      </c>
      <c r="M1749" s="879">
        <f>SUM(Q1749:Q1749)</f>
        <v>0</v>
      </c>
      <c r="N1749" s="880">
        <f>IFERROR(M1749/M1752,"-")</f>
        <v>0</v>
      </c>
      <c r="O1749" s="881">
        <f>SUMIFS('Data Entry'!R:R,'Data Entry'!K:K,G1749)</f>
        <v>0</v>
      </c>
      <c r="P1749" s="272" t="s">
        <v>129</v>
      </c>
      <c r="Q1749" s="895">
        <v>0</v>
      </c>
      <c r="R1749" s="114"/>
      <c r="S1749" s="884"/>
      <c r="T1749" s="270"/>
      <c r="U1749" s="270"/>
      <c r="V1749" s="270"/>
      <c r="W1749" s="114"/>
      <c r="X1749" s="114"/>
      <c r="Y1749" s="114"/>
      <c r="Z1749" s="114"/>
      <c r="AA1749" s="114"/>
      <c r="AB1749" s="85"/>
      <c r="AC1749" s="85"/>
      <c r="AD1749" s="85"/>
      <c r="AE1749" s="85"/>
    </row>
    <row r="1750" spans="3:31" ht="15" thickBot="1" x14ac:dyDescent="0.35">
      <c r="C1750" s="494" t="s">
        <v>93</v>
      </c>
      <c r="D1750" s="577"/>
      <c r="E1750" s="577" t="s">
        <v>8</v>
      </c>
      <c r="F1750" s="577" t="s">
        <v>52</v>
      </c>
      <c r="G1750" s="450" t="str">
        <f t="shared" si="84"/>
        <v>Parking C-Other-Other 1</v>
      </c>
      <c r="H1750" s="577"/>
      <c r="I1750" s="887" t="s">
        <v>65</v>
      </c>
      <c r="J1750" s="878">
        <f>SUMIFS('Level of Efficiency Assumptions'!J:J,'Level of Efficiency Assumptions'!D:D,E1750,'Level of Efficiency Assumptions'!F:F,F1750,'Level of Efficiency Assumptions'!I:I,I1750)</f>
        <v>7.5</v>
      </c>
      <c r="K1750" s="383" t="s">
        <v>588</v>
      </c>
      <c r="L1750" s="255" t="s">
        <v>65</v>
      </c>
      <c r="M1750" s="879">
        <f t="shared" ref="M1750:M1751" si="86">SUM(Q1750:Q1750)</f>
        <v>1</v>
      </c>
      <c r="N1750" s="880">
        <f>IFERROR(M1750/M1752,"-")</f>
        <v>1</v>
      </c>
      <c r="O1750" s="881">
        <f>SUMIFS('Data Entry'!S:S,'Data Entry'!K:K,G1750)</f>
        <v>0</v>
      </c>
      <c r="P1750" s="274" t="s">
        <v>233</v>
      </c>
      <c r="Q1750" s="895">
        <v>1</v>
      </c>
      <c r="R1750" s="114"/>
      <c r="S1750" s="884"/>
      <c r="T1750" s="270"/>
      <c r="U1750" s="270"/>
      <c r="V1750" s="270"/>
      <c r="W1750" s="114"/>
      <c r="X1750" s="114"/>
      <c r="Y1750" s="114"/>
      <c r="Z1750" s="114"/>
      <c r="AA1750" s="114"/>
      <c r="AB1750" s="85"/>
      <c r="AC1750" s="85"/>
      <c r="AD1750" s="85"/>
      <c r="AE1750" s="85"/>
    </row>
    <row r="1751" spans="3:31" ht="15" thickBot="1" x14ac:dyDescent="0.35">
      <c r="C1751" s="501" t="s">
        <v>93</v>
      </c>
      <c r="D1751" s="116"/>
      <c r="E1751" s="116" t="s">
        <v>8</v>
      </c>
      <c r="F1751" s="116" t="s">
        <v>52</v>
      </c>
      <c r="G1751" s="450" t="str">
        <f t="shared" si="84"/>
        <v>Parking C-Other-Other 1</v>
      </c>
      <c r="H1751" s="116"/>
      <c r="I1751" s="889" t="s">
        <v>66</v>
      </c>
      <c r="J1751" s="890">
        <f>SUMIFS('Level of Efficiency Assumptions'!J:J,'Level of Efficiency Assumptions'!D:D,E1751,'Level of Efficiency Assumptions'!F:F,F1751,'Level of Efficiency Assumptions'!I:I,I1751)</f>
        <v>5</v>
      </c>
      <c r="K1751" s="383" t="s">
        <v>588</v>
      </c>
      <c r="L1751" s="257" t="s">
        <v>66</v>
      </c>
      <c r="M1751" s="879">
        <f t="shared" si="86"/>
        <v>0</v>
      </c>
      <c r="N1751" s="880">
        <f>IFERROR(M1751/M1752,"-")</f>
        <v>0</v>
      </c>
      <c r="O1751" s="881">
        <f>SUMIFS('Data Entry'!T:T,'Data Entry'!K:K,G1751)</f>
        <v>0</v>
      </c>
      <c r="P1751" s="269" t="s">
        <v>234</v>
      </c>
      <c r="Q1751" s="895">
        <v>0</v>
      </c>
      <c r="R1751" s="114"/>
      <c r="S1751" s="884"/>
      <c r="T1751" s="270"/>
      <c r="U1751" s="270"/>
      <c r="V1751" s="270"/>
      <c r="W1751" s="114"/>
      <c r="X1751" s="114"/>
      <c r="Y1751" s="114"/>
      <c r="Z1751" s="114"/>
      <c r="AA1751" s="114"/>
      <c r="AB1751" s="85"/>
      <c r="AC1751" s="85"/>
      <c r="AD1751" s="85"/>
      <c r="AE1751" s="85"/>
    </row>
    <row r="1752" spans="3:31" x14ac:dyDescent="0.3">
      <c r="C1752" s="450"/>
      <c r="D1752" s="182"/>
      <c r="E1752" s="182"/>
      <c r="F1752" s="182"/>
      <c r="G1752" s="450" t="str">
        <f t="shared" si="84"/>
        <v>--</v>
      </c>
      <c r="H1752" s="182"/>
      <c r="I1752" s="440"/>
      <c r="J1752" s="892"/>
      <c r="K1752" s="259"/>
      <c r="L1752" s="259" t="s">
        <v>46</v>
      </c>
      <c r="M1752" s="893">
        <f>SUM(M1749:M1751)</f>
        <v>1</v>
      </c>
      <c r="N1752" s="894"/>
      <c r="O1752" s="894">
        <f>SUM(O1749:O1751)</f>
        <v>0</v>
      </c>
      <c r="P1752" s="263" t="s">
        <v>46</v>
      </c>
      <c r="Q1752" s="897">
        <f>SUM(Q1749:Q1751)</f>
        <v>1</v>
      </c>
      <c r="R1752" s="899"/>
      <c r="S1752" s="900"/>
      <c r="T1752" s="270"/>
      <c r="U1752" s="270"/>
      <c r="V1752" s="270"/>
      <c r="W1752" s="114"/>
      <c r="X1752" s="114"/>
      <c r="Y1752" s="114"/>
      <c r="Z1752" s="114"/>
      <c r="AA1752" s="114"/>
      <c r="AB1752" s="85"/>
      <c r="AC1752" s="85"/>
      <c r="AD1752" s="85"/>
      <c r="AE1752" s="85"/>
    </row>
    <row r="1753" spans="3:31" s="85" customFormat="1" x14ac:dyDescent="0.3">
      <c r="C1753" s="450"/>
      <c r="D1753" s="182"/>
      <c r="E1753" s="182"/>
      <c r="F1753" s="182"/>
      <c r="G1753" s="450" t="str">
        <f t="shared" si="84"/>
        <v>--</v>
      </c>
      <c r="H1753" s="182"/>
      <c r="I1753" s="892"/>
      <c r="J1753" s="288"/>
      <c r="K1753" s="182"/>
      <c r="L1753" s="182"/>
      <c r="M1753" s="270"/>
      <c r="N1753" s="892"/>
      <c r="O1753" s="892"/>
      <c r="P1753" s="270"/>
      <c r="Q1753" s="270"/>
      <c r="R1753" s="270"/>
      <c r="S1753" s="270"/>
      <c r="T1753" s="270"/>
      <c r="U1753" s="270"/>
      <c r="V1753" s="270"/>
      <c r="W1753" s="114"/>
      <c r="X1753" s="114"/>
      <c r="Y1753" s="114"/>
      <c r="Z1753" s="114"/>
      <c r="AA1753" s="114"/>
    </row>
    <row r="1754" spans="3:31" s="85" customFormat="1" ht="15" thickBot="1" x14ac:dyDescent="0.35">
      <c r="C1754" s="450"/>
      <c r="D1754" s="182"/>
      <c r="E1754" s="182"/>
      <c r="F1754" s="182"/>
      <c r="G1754" s="450" t="str">
        <f t="shared" si="84"/>
        <v>--</v>
      </c>
      <c r="H1754" s="182"/>
      <c r="I1754" s="892"/>
      <c r="J1754" s="892"/>
      <c r="K1754" s="182"/>
      <c r="L1754" s="182"/>
      <c r="M1754" s="901" t="s">
        <v>155</v>
      </c>
      <c r="N1754" s="870" t="s">
        <v>188</v>
      </c>
      <c r="O1754" s="870"/>
      <c r="P1754" s="276" t="s">
        <v>53</v>
      </c>
      <c r="Q1754" s="871" t="s">
        <v>155</v>
      </c>
      <c r="R1754" s="902"/>
      <c r="S1754" s="874"/>
      <c r="T1754" s="270"/>
      <c r="U1754" s="114"/>
      <c r="V1754" s="114"/>
      <c r="W1754" s="114"/>
      <c r="X1754" s="114"/>
      <c r="Y1754" s="114"/>
      <c r="Z1754" s="114"/>
      <c r="AA1754" s="114"/>
    </row>
    <row r="1755" spans="3:31" s="85" customFormat="1" ht="15" thickBot="1" x14ac:dyDescent="0.35">
      <c r="C1755" s="566" t="s">
        <v>93</v>
      </c>
      <c r="D1755" s="875" t="str">
        <f>VLOOKUP(C1755,'Airport Mapping'!$C$5:$D$39,2,FALSE)</f>
        <v xml:space="preserve"> </v>
      </c>
      <c r="E1755" s="567" t="s">
        <v>8</v>
      </c>
      <c r="F1755" s="567" t="s">
        <v>53</v>
      </c>
      <c r="G1755" s="450" t="str">
        <f t="shared" si="84"/>
        <v>Parking C-Other-Other 2</v>
      </c>
      <c r="H1755" s="567" t="s">
        <v>363</v>
      </c>
      <c r="I1755" s="877" t="s">
        <v>64</v>
      </c>
      <c r="J1755" s="878">
        <f>SUMIFS('Level of Efficiency Assumptions'!J:J,'Level of Efficiency Assumptions'!D:D,E1755,'Level of Efficiency Assumptions'!F:F,F1755,'Level of Efficiency Assumptions'!I:I,I1755)</f>
        <v>10</v>
      </c>
      <c r="K1755" s="383" t="s">
        <v>588</v>
      </c>
      <c r="L1755" s="253" t="s">
        <v>64</v>
      </c>
      <c r="M1755" s="879">
        <f>SUM(Q1755:Q1755)</f>
        <v>0</v>
      </c>
      <c r="N1755" s="880">
        <f>IFERROR(M1755/M1758,"-")</f>
        <v>0</v>
      </c>
      <c r="O1755" s="881">
        <f>SUMIFS('Data Entry'!R:R,'Data Entry'!K:K,G1755)</f>
        <v>0</v>
      </c>
      <c r="P1755" s="272" t="s">
        <v>129</v>
      </c>
      <c r="Q1755" s="895">
        <v>0</v>
      </c>
      <c r="R1755" s="114"/>
      <c r="S1755" s="884"/>
      <c r="T1755" s="270"/>
      <c r="U1755" s="114"/>
      <c r="V1755" s="114"/>
      <c r="W1755" s="114"/>
      <c r="X1755" s="114"/>
      <c r="Y1755" s="114"/>
      <c r="Z1755" s="114"/>
      <c r="AA1755" s="114"/>
    </row>
    <row r="1756" spans="3:31" s="85" customFormat="1" ht="15" thickBot="1" x14ac:dyDescent="0.35">
      <c r="C1756" s="494" t="s">
        <v>93</v>
      </c>
      <c r="D1756" s="577"/>
      <c r="E1756" s="577" t="s">
        <v>8</v>
      </c>
      <c r="F1756" s="577" t="s">
        <v>53</v>
      </c>
      <c r="G1756" s="450" t="str">
        <f t="shared" si="84"/>
        <v>Parking C-Other-Other 2</v>
      </c>
      <c r="H1756" s="577"/>
      <c r="I1756" s="887" t="s">
        <v>65</v>
      </c>
      <c r="J1756" s="878">
        <f>SUMIFS('Level of Efficiency Assumptions'!J:J,'Level of Efficiency Assumptions'!D:D,E1756,'Level of Efficiency Assumptions'!F:F,F1756,'Level of Efficiency Assumptions'!I:I,I1756)</f>
        <v>7.5</v>
      </c>
      <c r="K1756" s="383" t="s">
        <v>588</v>
      </c>
      <c r="L1756" s="255" t="s">
        <v>65</v>
      </c>
      <c r="M1756" s="879">
        <f t="shared" ref="M1756:M1757" si="87">SUM(Q1756:Q1756)</f>
        <v>1</v>
      </c>
      <c r="N1756" s="880">
        <f>IFERROR(M1756/M1758,"-")</f>
        <v>1</v>
      </c>
      <c r="O1756" s="881">
        <f>SUMIFS('Data Entry'!S:S,'Data Entry'!K:K,G1756)</f>
        <v>0</v>
      </c>
      <c r="P1756" s="274" t="s">
        <v>233</v>
      </c>
      <c r="Q1756" s="895">
        <v>1</v>
      </c>
      <c r="R1756" s="114"/>
      <c r="S1756" s="884"/>
      <c r="T1756" s="270"/>
      <c r="U1756" s="114"/>
      <c r="V1756" s="114"/>
      <c r="W1756" s="114"/>
      <c r="X1756" s="114"/>
      <c r="Y1756" s="114"/>
      <c r="Z1756" s="114"/>
      <c r="AA1756" s="114"/>
    </row>
    <row r="1757" spans="3:31" s="85" customFormat="1" ht="15" thickBot="1" x14ac:dyDescent="0.35">
      <c r="C1757" s="501" t="s">
        <v>93</v>
      </c>
      <c r="D1757" s="116"/>
      <c r="E1757" s="116" t="s">
        <v>8</v>
      </c>
      <c r="F1757" s="116" t="s">
        <v>53</v>
      </c>
      <c r="G1757" s="450" t="str">
        <f t="shared" si="84"/>
        <v>Parking C-Other-Other 2</v>
      </c>
      <c r="H1757" s="116"/>
      <c r="I1757" s="889" t="s">
        <v>66</v>
      </c>
      <c r="J1757" s="890">
        <f>SUMIFS('Level of Efficiency Assumptions'!J:J,'Level of Efficiency Assumptions'!D:D,E1757,'Level of Efficiency Assumptions'!F:F,F1757,'Level of Efficiency Assumptions'!I:I,I1757)</f>
        <v>5</v>
      </c>
      <c r="K1757" s="383" t="s">
        <v>588</v>
      </c>
      <c r="L1757" s="257" t="s">
        <v>66</v>
      </c>
      <c r="M1757" s="879">
        <f t="shared" si="87"/>
        <v>0</v>
      </c>
      <c r="N1757" s="880">
        <f>IFERROR(M1757/M1758,"-")</f>
        <v>0</v>
      </c>
      <c r="O1757" s="881">
        <f>SUMIFS('Data Entry'!T:T,'Data Entry'!K:K,G1757)</f>
        <v>0</v>
      </c>
      <c r="P1757" s="269" t="s">
        <v>234</v>
      </c>
      <c r="Q1757" s="895">
        <v>0</v>
      </c>
      <c r="R1757" s="114"/>
      <c r="S1757" s="884"/>
      <c r="T1757" s="270"/>
      <c r="U1757" s="114"/>
      <c r="V1757" s="114"/>
      <c r="W1757" s="114"/>
      <c r="X1757" s="114"/>
      <c r="Y1757" s="114"/>
      <c r="Z1757" s="114"/>
      <c r="AA1757" s="114"/>
    </row>
    <row r="1758" spans="3:31" x14ac:dyDescent="0.3">
      <c r="C1758" s="450"/>
      <c r="D1758" s="182"/>
      <c r="E1758" s="182"/>
      <c r="F1758" s="182"/>
      <c r="G1758" s="450" t="str">
        <f t="shared" si="84"/>
        <v>--</v>
      </c>
      <c r="H1758" s="182"/>
      <c r="I1758" s="440"/>
      <c r="J1758" s="892"/>
      <c r="K1758" s="259"/>
      <c r="L1758" s="259" t="s">
        <v>46</v>
      </c>
      <c r="M1758" s="893">
        <f>SUM(M1755:M1757)</f>
        <v>1</v>
      </c>
      <c r="N1758" s="894"/>
      <c r="O1758" s="894">
        <f>SUM(O1755:O1757)</f>
        <v>0</v>
      </c>
      <c r="P1758" s="263" t="s">
        <v>46</v>
      </c>
      <c r="Q1758" s="897">
        <f>SUM(Q1755:Q1757)</f>
        <v>1</v>
      </c>
      <c r="R1758" s="899"/>
      <c r="S1758" s="900"/>
      <c r="T1758" s="270"/>
      <c r="U1758" s="114"/>
      <c r="V1758" s="114"/>
      <c r="W1758" s="114"/>
      <c r="X1758" s="114"/>
      <c r="Y1758" s="114"/>
      <c r="Z1758" s="114"/>
      <c r="AA1758" s="114"/>
      <c r="AB1758" s="85"/>
      <c r="AC1758" s="85"/>
      <c r="AD1758" s="85"/>
      <c r="AE1758" s="85"/>
    </row>
    <row r="1759" spans="3:31" x14ac:dyDescent="0.3">
      <c r="C1759" s="450"/>
      <c r="D1759" s="182"/>
      <c r="E1759" s="182"/>
      <c r="F1759" s="182"/>
      <c r="G1759" s="450" t="str">
        <f t="shared" si="84"/>
        <v>--</v>
      </c>
      <c r="H1759" s="182"/>
      <c r="I1759" s="892"/>
      <c r="J1759" s="288"/>
      <c r="K1759" s="182"/>
      <c r="L1759" s="182"/>
      <c r="M1759" s="270"/>
      <c r="N1759" s="892"/>
      <c r="O1759" s="892"/>
      <c r="P1759" s="270"/>
      <c r="Q1759" s="270"/>
      <c r="R1759" s="270"/>
      <c r="S1759" s="270"/>
      <c r="T1759" s="270"/>
      <c r="U1759" s="114"/>
      <c r="V1759" s="114"/>
      <c r="W1759" s="114"/>
      <c r="X1759" s="114"/>
      <c r="Y1759" s="114"/>
      <c r="Z1759" s="114"/>
      <c r="AA1759" s="114"/>
      <c r="AB1759" s="85"/>
      <c r="AC1759" s="85"/>
      <c r="AD1759" s="85"/>
      <c r="AE1759" s="85"/>
    </row>
    <row r="1760" spans="3:31" ht="15" thickBot="1" x14ac:dyDescent="0.35">
      <c r="C1760" s="450"/>
      <c r="D1760" s="182"/>
      <c r="E1760" s="182"/>
      <c r="F1760" s="182"/>
      <c r="G1760" s="450" t="str">
        <f t="shared" si="84"/>
        <v>--</v>
      </c>
      <c r="H1760" s="182"/>
      <c r="I1760" s="892"/>
      <c r="J1760" s="892"/>
      <c r="K1760" s="182"/>
      <c r="L1760" s="182"/>
      <c r="M1760" s="901" t="s">
        <v>155</v>
      </c>
      <c r="N1760" s="870" t="s">
        <v>188</v>
      </c>
      <c r="O1760" s="870"/>
      <c r="P1760" s="276" t="s">
        <v>54</v>
      </c>
      <c r="Q1760" s="871" t="s">
        <v>155</v>
      </c>
      <c r="R1760" s="902"/>
      <c r="S1760" s="874"/>
      <c r="T1760" s="270"/>
      <c r="U1760" s="114"/>
      <c r="V1760" s="114"/>
      <c r="W1760" s="114"/>
      <c r="X1760" s="114"/>
      <c r="Y1760" s="114"/>
      <c r="Z1760" s="114"/>
      <c r="AA1760" s="114"/>
      <c r="AB1760" s="85"/>
      <c r="AC1760" s="85"/>
      <c r="AD1760" s="85"/>
      <c r="AE1760" s="85"/>
    </row>
    <row r="1761" spans="3:31" ht="15" thickBot="1" x14ac:dyDescent="0.35">
      <c r="C1761" s="566" t="s">
        <v>93</v>
      </c>
      <c r="D1761" s="875" t="str">
        <f>VLOOKUP(C1761,'Airport Mapping'!$C$5:$D$39,2,FALSE)</f>
        <v xml:space="preserve"> </v>
      </c>
      <c r="E1761" s="567" t="s">
        <v>8</v>
      </c>
      <c r="F1761" s="567" t="s">
        <v>54</v>
      </c>
      <c r="G1761" s="450" t="str">
        <f t="shared" si="84"/>
        <v>Parking C-Other-Other 3</v>
      </c>
      <c r="H1761" s="567" t="s">
        <v>364</v>
      </c>
      <c r="I1761" s="877" t="s">
        <v>64</v>
      </c>
      <c r="J1761" s="878">
        <f>SUMIFS('Level of Efficiency Assumptions'!J:J,'Level of Efficiency Assumptions'!D:D,E1761,'Level of Efficiency Assumptions'!F:F,F1761,'Level of Efficiency Assumptions'!I:I,I1761)</f>
        <v>10</v>
      </c>
      <c r="K1761" s="383" t="s">
        <v>588</v>
      </c>
      <c r="L1761" s="253" t="s">
        <v>64</v>
      </c>
      <c r="M1761" s="879">
        <f>SUM(Q1761:Q1761)</f>
        <v>0</v>
      </c>
      <c r="N1761" s="880">
        <f>IFERROR(M1761/M1764,"-")</f>
        <v>0</v>
      </c>
      <c r="O1761" s="881">
        <f>SUMIFS('Data Entry'!R:R,'Data Entry'!K:K,G1761)</f>
        <v>0</v>
      </c>
      <c r="P1761" s="272" t="s">
        <v>129</v>
      </c>
      <c r="Q1761" s="895">
        <v>0</v>
      </c>
      <c r="R1761" s="114"/>
      <c r="S1761" s="884"/>
      <c r="T1761" s="270"/>
      <c r="U1761" s="114"/>
      <c r="V1761" s="114"/>
      <c r="W1761" s="114"/>
      <c r="X1761" s="114"/>
      <c r="Y1761" s="114"/>
      <c r="Z1761" s="114"/>
      <c r="AA1761" s="114"/>
      <c r="AB1761" s="85"/>
      <c r="AC1761" s="85"/>
      <c r="AD1761" s="85"/>
      <c r="AE1761" s="85"/>
    </row>
    <row r="1762" spans="3:31" ht="15" thickBot="1" x14ac:dyDescent="0.35">
      <c r="C1762" s="494" t="s">
        <v>93</v>
      </c>
      <c r="D1762" s="577"/>
      <c r="E1762" s="577" t="s">
        <v>8</v>
      </c>
      <c r="F1762" s="577" t="s">
        <v>54</v>
      </c>
      <c r="G1762" s="450" t="str">
        <f t="shared" si="84"/>
        <v>Parking C-Other-Other 3</v>
      </c>
      <c r="H1762" s="577"/>
      <c r="I1762" s="887" t="s">
        <v>65</v>
      </c>
      <c r="J1762" s="878">
        <f>SUMIFS('Level of Efficiency Assumptions'!J:J,'Level of Efficiency Assumptions'!D:D,E1762,'Level of Efficiency Assumptions'!F:F,F1762,'Level of Efficiency Assumptions'!I:I,I1762)</f>
        <v>7.5</v>
      </c>
      <c r="K1762" s="383" t="s">
        <v>588</v>
      </c>
      <c r="L1762" s="255" t="s">
        <v>65</v>
      </c>
      <c r="M1762" s="879">
        <f t="shared" ref="M1762:M1763" si="88">SUM(Q1762:Q1762)</f>
        <v>1</v>
      </c>
      <c r="N1762" s="880">
        <f>IFERROR(M1762/M1764,"-")</f>
        <v>1</v>
      </c>
      <c r="O1762" s="881">
        <f>SUMIFS('Data Entry'!S:S,'Data Entry'!K:K,G1762)</f>
        <v>0</v>
      </c>
      <c r="P1762" s="274" t="s">
        <v>233</v>
      </c>
      <c r="Q1762" s="895">
        <v>1</v>
      </c>
      <c r="R1762" s="114"/>
      <c r="S1762" s="884"/>
      <c r="T1762" s="270"/>
      <c r="U1762" s="114"/>
      <c r="V1762" s="114"/>
      <c r="W1762" s="114"/>
      <c r="X1762" s="114"/>
      <c r="Y1762" s="114"/>
      <c r="Z1762" s="114"/>
      <c r="AA1762" s="114"/>
      <c r="AB1762" s="85"/>
      <c r="AC1762" s="85"/>
      <c r="AD1762" s="85"/>
      <c r="AE1762" s="85"/>
    </row>
    <row r="1763" spans="3:31" ht="15" thickBot="1" x14ac:dyDescent="0.35">
      <c r="C1763" s="501" t="s">
        <v>93</v>
      </c>
      <c r="D1763" s="116"/>
      <c r="E1763" s="116" t="s">
        <v>8</v>
      </c>
      <c r="F1763" s="116" t="s">
        <v>54</v>
      </c>
      <c r="G1763" s="450" t="str">
        <f t="shared" si="84"/>
        <v>Parking C-Other-Other 3</v>
      </c>
      <c r="H1763" s="116"/>
      <c r="I1763" s="889" t="s">
        <v>66</v>
      </c>
      <c r="J1763" s="890">
        <f>SUMIFS('Level of Efficiency Assumptions'!J:J,'Level of Efficiency Assumptions'!D:D,E1763,'Level of Efficiency Assumptions'!F:F,F1763,'Level of Efficiency Assumptions'!I:I,I1763)</f>
        <v>5</v>
      </c>
      <c r="K1763" s="383" t="s">
        <v>588</v>
      </c>
      <c r="L1763" s="257" t="s">
        <v>66</v>
      </c>
      <c r="M1763" s="879">
        <f t="shared" si="88"/>
        <v>0</v>
      </c>
      <c r="N1763" s="880">
        <f>IFERROR(M1763/M1764,"-")</f>
        <v>0</v>
      </c>
      <c r="O1763" s="881">
        <f>SUMIFS('Data Entry'!T:T,'Data Entry'!K:K,G1763)</f>
        <v>0</v>
      </c>
      <c r="P1763" s="269" t="s">
        <v>234</v>
      </c>
      <c r="Q1763" s="895">
        <v>0</v>
      </c>
      <c r="R1763" s="114"/>
      <c r="S1763" s="884"/>
      <c r="T1763" s="270"/>
      <c r="U1763" s="114"/>
      <c r="V1763" s="114"/>
      <c r="W1763" s="114"/>
      <c r="X1763" s="114"/>
      <c r="Y1763" s="114"/>
      <c r="Z1763" s="114"/>
      <c r="AA1763" s="114"/>
      <c r="AB1763" s="85"/>
      <c r="AC1763" s="85"/>
      <c r="AD1763" s="85"/>
      <c r="AE1763" s="85"/>
    </row>
    <row r="1764" spans="3:31" x14ac:dyDescent="0.3">
      <c r="C1764" s="450"/>
      <c r="D1764" s="182"/>
      <c r="E1764" s="182"/>
      <c r="F1764" s="182"/>
      <c r="G1764" s="450" t="str">
        <f t="shared" si="84"/>
        <v>--</v>
      </c>
      <c r="H1764" s="182"/>
      <c r="I1764" s="440"/>
      <c r="J1764" s="892"/>
      <c r="K1764" s="259"/>
      <c r="L1764" s="259" t="s">
        <v>46</v>
      </c>
      <c r="M1764" s="893">
        <f>SUM(M1761:M1763)</f>
        <v>1</v>
      </c>
      <c r="N1764" s="894"/>
      <c r="O1764" s="894">
        <f>SUM(O1761:O1763)</f>
        <v>0</v>
      </c>
      <c r="P1764" s="263" t="s">
        <v>46</v>
      </c>
      <c r="Q1764" s="897">
        <f>SUM(Q1761:Q1763)</f>
        <v>1</v>
      </c>
      <c r="R1764" s="899"/>
      <c r="S1764" s="900"/>
      <c r="T1764" s="270"/>
      <c r="U1764" s="114"/>
      <c r="V1764" s="114"/>
      <c r="W1764" s="114"/>
      <c r="X1764" s="114"/>
      <c r="Y1764" s="114"/>
      <c r="Z1764" s="114"/>
      <c r="AA1764" s="114"/>
      <c r="AB1764" s="85"/>
      <c r="AC1764" s="85"/>
      <c r="AD1764" s="85"/>
      <c r="AE1764" s="85"/>
    </row>
    <row r="1765" spans="3:31" ht="15" thickBot="1" x14ac:dyDescent="0.35">
      <c r="C1765" s="451"/>
      <c r="D1765" s="184"/>
      <c r="E1765" s="184"/>
      <c r="F1765" s="184"/>
      <c r="G1765" s="450" t="str">
        <f t="shared" si="84"/>
        <v>--</v>
      </c>
      <c r="H1765" s="184"/>
      <c r="I1765" s="184"/>
      <c r="J1765" s="184"/>
      <c r="K1765" s="184"/>
      <c r="L1765" s="184"/>
      <c r="M1765" s="924"/>
      <c r="N1765" s="281"/>
      <c r="O1765" s="925"/>
      <c r="P1765" s="184"/>
      <c r="Q1765" s="924"/>
      <c r="R1765" s="184"/>
      <c r="S1765" s="184"/>
      <c r="T1765" s="184"/>
      <c r="U1765" s="184"/>
      <c r="V1765" s="184"/>
      <c r="W1765" s="184"/>
      <c r="X1765" s="184"/>
      <c r="Y1765" s="184"/>
      <c r="Z1765" s="184"/>
      <c r="AA1765" s="184"/>
      <c r="AB1765" s="184"/>
      <c r="AC1765" s="184"/>
      <c r="AD1765" s="184"/>
      <c r="AE1765" s="184"/>
    </row>
    <row r="1766" spans="3:31" x14ac:dyDescent="0.3">
      <c r="C1766" s="450"/>
      <c r="D1766" s="182"/>
      <c r="E1766" s="182"/>
      <c r="F1766" s="182"/>
      <c r="G1766" s="450" t="str">
        <f t="shared" si="84"/>
        <v>--</v>
      </c>
      <c r="H1766" s="182"/>
      <c r="I1766" s="892"/>
      <c r="J1766" s="892"/>
      <c r="K1766" s="182"/>
      <c r="L1766" s="181"/>
      <c r="M1766" s="114"/>
      <c r="N1766" s="892"/>
      <c r="O1766" s="892"/>
      <c r="P1766" s="114"/>
      <c r="Q1766" s="114"/>
      <c r="R1766" s="114"/>
      <c r="S1766" s="114"/>
      <c r="T1766" s="114"/>
      <c r="U1766" s="114"/>
      <c r="V1766" s="114"/>
      <c r="W1766" s="114"/>
      <c r="X1766" s="114"/>
      <c r="Y1766" s="114"/>
      <c r="Z1766" s="114"/>
      <c r="AA1766" s="114"/>
      <c r="AB1766" s="85"/>
      <c r="AC1766" s="85"/>
      <c r="AD1766" s="85"/>
      <c r="AE1766" s="85"/>
    </row>
    <row r="1767" spans="3:31" x14ac:dyDescent="0.3">
      <c r="C1767" s="450"/>
      <c r="D1767" s="182"/>
      <c r="E1767" s="182"/>
      <c r="F1767" s="182"/>
      <c r="G1767" s="450" t="str">
        <f t="shared" si="84"/>
        <v>--</v>
      </c>
      <c r="H1767" s="182"/>
      <c r="I1767" s="892"/>
      <c r="J1767" s="892"/>
      <c r="K1767" s="182"/>
      <c r="L1767" s="182"/>
      <c r="M1767" s="270"/>
      <c r="N1767" s="892"/>
      <c r="O1767" s="892"/>
      <c r="P1767" s="276" t="s">
        <v>42</v>
      </c>
      <c r="Q1767" s="902"/>
      <c r="R1767" s="902"/>
      <c r="S1767" s="902"/>
      <c r="T1767" s="271"/>
      <c r="U1767" s="114"/>
      <c r="V1767" s="114"/>
      <c r="W1767" s="114"/>
      <c r="X1767" s="114"/>
      <c r="Y1767" s="114"/>
      <c r="Z1767" s="114"/>
      <c r="AA1767" s="114"/>
      <c r="AB1767" s="85"/>
      <c r="AC1767" s="85"/>
      <c r="AD1767" s="85"/>
      <c r="AE1767" s="85"/>
    </row>
    <row r="1768" spans="3:31" ht="15" thickBot="1" x14ac:dyDescent="0.35">
      <c r="C1768" s="450"/>
      <c r="D1768" s="182"/>
      <c r="E1768" s="182"/>
      <c r="F1768" s="182"/>
      <c r="G1768" s="450" t="str">
        <f t="shared" si="84"/>
        <v>--</v>
      </c>
      <c r="H1768" s="182"/>
      <c r="I1768" s="892"/>
      <c r="J1768" s="892"/>
      <c r="K1768" s="182"/>
      <c r="L1768" s="182"/>
      <c r="M1768" s="901" t="s">
        <v>155</v>
      </c>
      <c r="N1768" s="870" t="s">
        <v>188</v>
      </c>
      <c r="O1768" s="870"/>
      <c r="P1768" s="277" t="s">
        <v>818</v>
      </c>
      <c r="Q1768" s="871" t="s">
        <v>155</v>
      </c>
      <c r="R1768" s="114"/>
      <c r="S1768" s="114"/>
      <c r="T1768" s="271"/>
      <c r="U1768" s="114"/>
      <c r="V1768" s="114"/>
      <c r="W1768" s="114"/>
      <c r="X1768" s="114"/>
      <c r="Y1768" s="114"/>
      <c r="Z1768" s="114"/>
      <c r="AA1768" s="114"/>
      <c r="AB1768" s="85"/>
      <c r="AC1768" s="85"/>
      <c r="AD1768" s="85"/>
      <c r="AE1768" s="85"/>
    </row>
    <row r="1769" spans="3:31" ht="15" thickBot="1" x14ac:dyDescent="0.35">
      <c r="C1769" s="566" t="s">
        <v>94</v>
      </c>
      <c r="D1769" s="875" t="str">
        <f>VLOOKUP(C1769,'Airport Mapping'!$C$5:$D$39,2,FALSE)</f>
        <v xml:space="preserve"> </v>
      </c>
      <c r="E1769" s="567" t="s">
        <v>39</v>
      </c>
      <c r="F1769" s="567" t="s">
        <v>42</v>
      </c>
      <c r="G1769" s="450" t="str">
        <f t="shared" si="84"/>
        <v>Parking D-Landscaping-Outdoor irrigation</v>
      </c>
      <c r="H1769" s="567" t="s">
        <v>32</v>
      </c>
      <c r="I1769" s="877" t="s">
        <v>64</v>
      </c>
      <c r="J1769" s="878">
        <f>SUMIFS('Level of Efficiency Assumptions'!J:J,'Level of Efficiency Assumptions'!D:D,E1769,'Level of Efficiency Assumptions'!F:F,F1769,'Level of Efficiency Assumptions'!I:I,I1769)</f>
        <v>28.6</v>
      </c>
      <c r="K1769" s="383" t="s">
        <v>816</v>
      </c>
      <c r="L1769" s="253" t="s">
        <v>64</v>
      </c>
      <c r="M1769" s="879">
        <f>SUM(Q1769:Q1770)</f>
        <v>0</v>
      </c>
      <c r="N1769" s="880">
        <f>IFERROR(M1769/M1772,"-")</f>
        <v>0</v>
      </c>
      <c r="O1769" s="881">
        <f>SUMIFS('Data Entry'!R:R,'Data Entry'!K:K,G1769)</f>
        <v>0</v>
      </c>
      <c r="P1769" s="272" t="s">
        <v>237</v>
      </c>
      <c r="Q1769" s="895">
        <v>0</v>
      </c>
      <c r="R1769" s="114"/>
      <c r="S1769" s="114"/>
      <c r="T1769" s="271"/>
      <c r="U1769" s="114"/>
      <c r="V1769" s="114"/>
      <c r="W1769" s="114"/>
      <c r="X1769" s="114"/>
      <c r="Y1769" s="114"/>
      <c r="Z1769" s="114"/>
      <c r="AA1769" s="114"/>
      <c r="AB1769" s="85"/>
      <c r="AC1769" s="85"/>
      <c r="AD1769" s="85"/>
      <c r="AE1769" s="85"/>
    </row>
    <row r="1770" spans="3:31" ht="15" thickBot="1" x14ac:dyDescent="0.35">
      <c r="C1770" s="494" t="s">
        <v>94</v>
      </c>
      <c r="D1770" s="577"/>
      <c r="E1770" s="577" t="s">
        <v>39</v>
      </c>
      <c r="F1770" s="577" t="s">
        <v>42</v>
      </c>
      <c r="G1770" s="450" t="str">
        <f t="shared" ref="G1770:G1831" si="89">C1770&amp;"-"&amp;E1770&amp;"-"&amp;F1770</f>
        <v>Parking D-Landscaping-Outdoor irrigation</v>
      </c>
      <c r="H1770" s="577"/>
      <c r="I1770" s="887" t="s">
        <v>65</v>
      </c>
      <c r="J1770" s="878">
        <f>SUMIFS('Level of Efficiency Assumptions'!J:J,'Level of Efficiency Assumptions'!D:D,E1770,'Level of Efficiency Assumptions'!F:F,F1770,'Level of Efficiency Assumptions'!I:I,I1770)</f>
        <v>13.980821518350929</v>
      </c>
      <c r="K1770" s="383" t="s">
        <v>816</v>
      </c>
      <c r="L1770" s="255" t="s">
        <v>65</v>
      </c>
      <c r="M1770" s="879">
        <f>Q1771+Q1772</f>
        <v>1</v>
      </c>
      <c r="N1770" s="880">
        <f>IFERROR(M1770/M1772,"-")</f>
        <v>1</v>
      </c>
      <c r="O1770" s="881">
        <f>SUMIFS('Data Entry'!S:S,'Data Entry'!K:K,G1770)</f>
        <v>0</v>
      </c>
      <c r="P1770" s="272" t="s">
        <v>232</v>
      </c>
      <c r="Q1770" s="895">
        <v>0</v>
      </c>
      <c r="R1770" s="114"/>
      <c r="S1770" s="114"/>
      <c r="T1770" s="271"/>
      <c r="U1770" s="114"/>
      <c r="V1770" s="114"/>
      <c r="W1770" s="114"/>
      <c r="X1770" s="114"/>
      <c r="Y1770" s="114"/>
      <c r="Z1770" s="114"/>
      <c r="AA1770" s="114"/>
      <c r="AB1770" s="85"/>
      <c r="AC1770" s="85"/>
      <c r="AD1770" s="85"/>
      <c r="AE1770" s="85"/>
    </row>
    <row r="1771" spans="3:31" ht="15" thickBot="1" x14ac:dyDescent="0.35">
      <c r="C1771" s="501" t="s">
        <v>94</v>
      </c>
      <c r="D1771" s="116"/>
      <c r="E1771" s="116" t="s">
        <v>39</v>
      </c>
      <c r="F1771" s="116" t="s">
        <v>42</v>
      </c>
      <c r="G1771" s="450" t="str">
        <f t="shared" si="89"/>
        <v>Parking D-Landscaping-Outdoor irrigation</v>
      </c>
      <c r="H1771" s="116"/>
      <c r="I1771" s="889" t="s">
        <v>66</v>
      </c>
      <c r="J1771" s="890">
        <f>SUMIFS('Level of Efficiency Assumptions'!J:J,'Level of Efficiency Assumptions'!D:D,E1771,'Level of Efficiency Assumptions'!F:F,F1771,'Level of Efficiency Assumptions'!I:I,I1771)</f>
        <v>0.59137254901960778</v>
      </c>
      <c r="K1771" s="383" t="s">
        <v>816</v>
      </c>
      <c r="L1771" s="257" t="s">
        <v>66</v>
      </c>
      <c r="M1771" s="879">
        <f>Q1773+Q1774</f>
        <v>0</v>
      </c>
      <c r="N1771" s="880">
        <f>IFERROR(M1771/M1772,"-")</f>
        <v>0</v>
      </c>
      <c r="O1771" s="881">
        <f>SUMIFS('Data Entry'!T:T,'Data Entry'!K:K,G1771)</f>
        <v>0</v>
      </c>
      <c r="P1771" s="274" t="s">
        <v>231</v>
      </c>
      <c r="Q1771" s="895">
        <v>1</v>
      </c>
      <c r="R1771" s="114"/>
      <c r="S1771" s="114"/>
      <c r="T1771" s="271"/>
      <c r="U1771" s="114"/>
      <c r="V1771" s="114"/>
      <c r="W1771" s="114"/>
      <c r="X1771" s="114"/>
      <c r="Y1771" s="114"/>
      <c r="Z1771" s="114"/>
      <c r="AA1771" s="114"/>
      <c r="AB1771" s="85"/>
      <c r="AC1771" s="85"/>
      <c r="AD1771" s="85"/>
      <c r="AE1771" s="85"/>
    </row>
    <row r="1772" spans="3:31" x14ac:dyDescent="0.3">
      <c r="C1772" s="450"/>
      <c r="D1772" s="182"/>
      <c r="E1772" s="182"/>
      <c r="F1772" s="182"/>
      <c r="G1772" s="450" t="str">
        <f t="shared" si="89"/>
        <v>--</v>
      </c>
      <c r="H1772" s="182"/>
      <c r="I1772" s="440"/>
      <c r="J1772" s="892"/>
      <c r="K1772" s="259"/>
      <c r="L1772" s="259" t="s">
        <v>46</v>
      </c>
      <c r="M1772" s="893">
        <f>SUM(M1769:M1771)</f>
        <v>1</v>
      </c>
      <c r="N1772" s="894"/>
      <c r="O1772" s="894">
        <f>SUM(O1769:O1771)</f>
        <v>0</v>
      </c>
      <c r="P1772" s="274" t="s">
        <v>230</v>
      </c>
      <c r="Q1772" s="895">
        <v>0</v>
      </c>
      <c r="R1772" s="114"/>
      <c r="S1772" s="114"/>
      <c r="T1772" s="271"/>
      <c r="U1772" s="114"/>
      <c r="V1772" s="114"/>
      <c r="W1772" s="114"/>
      <c r="X1772" s="114"/>
      <c r="Y1772" s="114"/>
      <c r="Z1772" s="114"/>
      <c r="AA1772" s="114"/>
      <c r="AB1772" s="85"/>
      <c r="AC1772" s="85"/>
      <c r="AD1772" s="85"/>
      <c r="AE1772" s="85"/>
    </row>
    <row r="1773" spans="3:31" x14ac:dyDescent="0.3">
      <c r="C1773" s="450"/>
      <c r="D1773" s="182"/>
      <c r="E1773" s="182"/>
      <c r="F1773" s="182"/>
      <c r="G1773" s="450" t="str">
        <f t="shared" si="89"/>
        <v>--</v>
      </c>
      <c r="H1773" s="182"/>
      <c r="I1773" s="892"/>
      <c r="J1773" s="288"/>
      <c r="K1773" s="182"/>
      <c r="L1773" s="182"/>
      <c r="M1773" s="270"/>
      <c r="N1773" s="892"/>
      <c r="O1773" s="892"/>
      <c r="P1773" s="275" t="s">
        <v>229</v>
      </c>
      <c r="Q1773" s="895">
        <v>0</v>
      </c>
      <c r="R1773" s="114"/>
      <c r="S1773" s="114"/>
      <c r="T1773" s="271"/>
      <c r="U1773" s="114"/>
      <c r="V1773" s="114"/>
      <c r="W1773" s="114"/>
      <c r="X1773" s="114"/>
      <c r="Y1773" s="114"/>
      <c r="Z1773" s="114"/>
      <c r="AA1773" s="114"/>
      <c r="AB1773" s="85"/>
      <c r="AC1773" s="85"/>
      <c r="AD1773" s="85"/>
      <c r="AE1773" s="85"/>
    </row>
    <row r="1774" spans="3:31" x14ac:dyDescent="0.3">
      <c r="C1774" s="450"/>
      <c r="D1774" s="182"/>
      <c r="E1774" s="182"/>
      <c r="F1774" s="182"/>
      <c r="G1774" s="450" t="str">
        <f t="shared" si="89"/>
        <v>--</v>
      </c>
      <c r="H1774" s="182"/>
      <c r="I1774" s="892"/>
      <c r="J1774" s="288"/>
      <c r="K1774" s="182"/>
      <c r="L1774" s="182"/>
      <c r="M1774" s="270"/>
      <c r="N1774" s="892"/>
      <c r="O1774" s="892"/>
      <c r="P1774" s="269" t="s">
        <v>225</v>
      </c>
      <c r="Q1774" s="895">
        <v>0</v>
      </c>
      <c r="R1774" s="114"/>
      <c r="S1774" s="114"/>
      <c r="T1774" s="271"/>
      <c r="U1774" s="114"/>
      <c r="V1774" s="114"/>
      <c r="W1774" s="114"/>
      <c r="X1774" s="114"/>
      <c r="Y1774" s="114"/>
      <c r="Z1774" s="114"/>
      <c r="AA1774" s="114"/>
      <c r="AB1774" s="85"/>
      <c r="AC1774" s="85"/>
      <c r="AD1774" s="85"/>
      <c r="AE1774" s="85"/>
    </row>
    <row r="1775" spans="3:31" x14ac:dyDescent="0.3">
      <c r="C1775" s="450"/>
      <c r="D1775" s="182"/>
      <c r="E1775" s="182"/>
      <c r="F1775" s="182"/>
      <c r="G1775" s="450" t="str">
        <f t="shared" si="89"/>
        <v>--</v>
      </c>
      <c r="H1775" s="182"/>
      <c r="I1775" s="892"/>
      <c r="J1775" s="288"/>
      <c r="K1775" s="182"/>
      <c r="L1775" s="182"/>
      <c r="M1775" s="270"/>
      <c r="N1775" s="892"/>
      <c r="O1775" s="892"/>
      <c r="P1775" s="263" t="s">
        <v>46</v>
      </c>
      <c r="Q1775" s="897">
        <f>SUM(Q1769:Q1774)</f>
        <v>1</v>
      </c>
      <c r="R1775" s="899"/>
      <c r="S1775" s="899"/>
      <c r="T1775" s="271"/>
      <c r="U1775" s="114"/>
      <c r="V1775" s="114"/>
      <c r="W1775" s="114"/>
      <c r="X1775" s="114"/>
      <c r="Y1775" s="114"/>
      <c r="Z1775" s="114"/>
      <c r="AA1775" s="114"/>
      <c r="AB1775" s="85"/>
      <c r="AC1775" s="85"/>
      <c r="AD1775" s="85"/>
      <c r="AE1775" s="85"/>
    </row>
    <row r="1776" spans="3:31" x14ac:dyDescent="0.3">
      <c r="C1776" s="450"/>
      <c r="D1776" s="182"/>
      <c r="E1776" s="182"/>
      <c r="F1776" s="182"/>
      <c r="G1776" s="450" t="str">
        <f t="shared" si="89"/>
        <v>--</v>
      </c>
      <c r="H1776" s="182"/>
      <c r="I1776" s="892"/>
      <c r="J1776" s="288"/>
      <c r="K1776" s="182"/>
      <c r="L1776" s="182"/>
      <c r="M1776" s="270"/>
      <c r="N1776" s="892"/>
      <c r="O1776" s="892"/>
      <c r="P1776" s="259"/>
      <c r="Q1776" s="114"/>
      <c r="R1776" s="270"/>
      <c r="S1776" s="270"/>
      <c r="T1776" s="270"/>
      <c r="U1776" s="270"/>
      <c r="V1776" s="270"/>
      <c r="W1776" s="114"/>
      <c r="X1776" s="114"/>
      <c r="Y1776" s="114"/>
      <c r="Z1776" s="114"/>
      <c r="AA1776" s="114"/>
      <c r="AB1776" s="85"/>
      <c r="AC1776" s="85"/>
      <c r="AD1776" s="85"/>
      <c r="AE1776" s="85"/>
    </row>
    <row r="1777" spans="3:31" ht="15" thickBot="1" x14ac:dyDescent="0.35">
      <c r="C1777" s="450"/>
      <c r="D1777" s="182"/>
      <c r="E1777" s="182"/>
      <c r="F1777" s="182"/>
      <c r="G1777" s="450" t="str">
        <f t="shared" si="89"/>
        <v>--</v>
      </c>
      <c r="H1777" s="182"/>
      <c r="I1777" s="892"/>
      <c r="J1777" s="892"/>
      <c r="K1777" s="182"/>
      <c r="L1777" s="182"/>
      <c r="M1777" s="901" t="s">
        <v>155</v>
      </c>
      <c r="N1777" s="870" t="s">
        <v>188</v>
      </c>
      <c r="O1777" s="870"/>
      <c r="P1777" s="276" t="s">
        <v>9</v>
      </c>
      <c r="Q1777" s="871" t="s">
        <v>155</v>
      </c>
      <c r="R1777" s="902"/>
      <c r="S1777" s="874"/>
      <c r="T1777" s="270"/>
      <c r="U1777" s="270"/>
      <c r="V1777" s="270"/>
      <c r="W1777" s="114"/>
      <c r="X1777" s="114"/>
      <c r="Y1777" s="114"/>
      <c r="Z1777" s="114"/>
      <c r="AA1777" s="114"/>
      <c r="AB1777" s="85"/>
      <c r="AC1777" s="85"/>
      <c r="AD1777" s="85"/>
      <c r="AE1777" s="85"/>
    </row>
    <row r="1778" spans="3:31" ht="15" thickBot="1" x14ac:dyDescent="0.35">
      <c r="C1778" s="566" t="s">
        <v>94</v>
      </c>
      <c r="D1778" s="875" t="str">
        <f>VLOOKUP(C1778,'Airport Mapping'!$C$5:$D$39,2,FALSE)</f>
        <v xml:space="preserve"> </v>
      </c>
      <c r="E1778" s="567" t="s">
        <v>43</v>
      </c>
      <c r="F1778" s="567" t="s">
        <v>9</v>
      </c>
      <c r="G1778" s="450" t="str">
        <f t="shared" si="89"/>
        <v>Parking D-Maintenance-Vehicle washing</v>
      </c>
      <c r="H1778" s="567" t="s">
        <v>282</v>
      </c>
      <c r="I1778" s="877" t="s">
        <v>64</v>
      </c>
      <c r="J1778" s="878">
        <f>SUMIFS('Level of Efficiency Assumptions'!J:J,'Level of Efficiency Assumptions'!D:D,E1778,'Level of Efficiency Assumptions'!F:F,F1778,'Level of Efficiency Assumptions'!I:I,I1778)</f>
        <v>80</v>
      </c>
      <c r="K1778" s="383" t="s">
        <v>588</v>
      </c>
      <c r="L1778" s="253" t="s">
        <v>64</v>
      </c>
      <c r="M1778" s="879">
        <f>SUM(Q1778:Q1779)</f>
        <v>0</v>
      </c>
      <c r="N1778" s="880">
        <f>IFERROR(M1778/M1781,"-")</f>
        <v>0</v>
      </c>
      <c r="O1778" s="881">
        <f>SUMIFS('Data Entry'!R:R,'Data Entry'!K:K,G1778)</f>
        <v>0</v>
      </c>
      <c r="P1778" s="272"/>
      <c r="Q1778" s="895">
        <v>0</v>
      </c>
      <c r="R1778" s="114"/>
      <c r="S1778" s="884"/>
      <c r="T1778" s="270"/>
      <c r="U1778" s="270"/>
      <c r="V1778" s="270"/>
      <c r="W1778" s="114"/>
      <c r="X1778" s="114"/>
      <c r="Y1778" s="114"/>
      <c r="Z1778" s="114"/>
      <c r="AA1778" s="114"/>
      <c r="AB1778" s="85"/>
      <c r="AC1778" s="85"/>
      <c r="AD1778" s="85"/>
      <c r="AE1778" s="85"/>
    </row>
    <row r="1779" spans="3:31" ht="15" thickBot="1" x14ac:dyDescent="0.35">
      <c r="C1779" s="494" t="s">
        <v>94</v>
      </c>
      <c r="D1779" s="577"/>
      <c r="E1779" s="577" t="s">
        <v>43</v>
      </c>
      <c r="F1779" s="577" t="s">
        <v>9</v>
      </c>
      <c r="G1779" s="450" t="str">
        <f t="shared" si="89"/>
        <v>Parking D-Maintenance-Vehicle washing</v>
      </c>
      <c r="H1779" s="577"/>
      <c r="I1779" s="887" t="s">
        <v>65</v>
      </c>
      <c r="J1779" s="878">
        <f>SUMIFS('Level of Efficiency Assumptions'!J:J,'Level of Efficiency Assumptions'!D:D,E1779,'Level of Efficiency Assumptions'!F:F,F1779,'Level of Efficiency Assumptions'!I:I,I1779)</f>
        <v>40</v>
      </c>
      <c r="K1779" s="383" t="s">
        <v>588</v>
      </c>
      <c r="L1779" s="255" t="s">
        <v>65</v>
      </c>
      <c r="M1779" s="879">
        <f>Q1780+Q1781</f>
        <v>1</v>
      </c>
      <c r="N1779" s="880">
        <f>IFERROR(M1779/M1781,"-")</f>
        <v>1</v>
      </c>
      <c r="O1779" s="881">
        <f>SUMIFS('Data Entry'!S:S,'Data Entry'!K:K,G1779)</f>
        <v>0</v>
      </c>
      <c r="P1779" s="272"/>
      <c r="Q1779" s="895">
        <v>0</v>
      </c>
      <c r="R1779" s="114"/>
      <c r="S1779" s="884"/>
      <c r="T1779" s="270"/>
      <c r="U1779" s="270"/>
      <c r="V1779" s="270"/>
      <c r="W1779" s="114"/>
      <c r="X1779" s="114"/>
      <c r="Y1779" s="114"/>
      <c r="Z1779" s="114"/>
      <c r="AA1779" s="114"/>
      <c r="AB1779" s="85"/>
      <c r="AC1779" s="85"/>
      <c r="AD1779" s="85"/>
      <c r="AE1779" s="85"/>
    </row>
    <row r="1780" spans="3:31" ht="15" thickBot="1" x14ac:dyDescent="0.35">
      <c r="C1780" s="501" t="s">
        <v>94</v>
      </c>
      <c r="D1780" s="116"/>
      <c r="E1780" s="116" t="s">
        <v>43</v>
      </c>
      <c r="F1780" s="116" t="s">
        <v>9</v>
      </c>
      <c r="G1780" s="450" t="str">
        <f t="shared" si="89"/>
        <v>Parking D-Maintenance-Vehicle washing</v>
      </c>
      <c r="H1780" s="116"/>
      <c r="I1780" s="889" t="s">
        <v>66</v>
      </c>
      <c r="J1780" s="890">
        <f>SUMIFS('Level of Efficiency Assumptions'!J:J,'Level of Efficiency Assumptions'!D:D,E1780,'Level of Efficiency Assumptions'!F:F,F1780,'Level of Efficiency Assumptions'!I:I,I1780)</f>
        <v>30</v>
      </c>
      <c r="K1780" s="383" t="s">
        <v>588</v>
      </c>
      <c r="L1780" s="257" t="s">
        <v>66</v>
      </c>
      <c r="M1780" s="879">
        <f>Q1782+Q1783</f>
        <v>0</v>
      </c>
      <c r="N1780" s="880">
        <f>IFERROR(M1780/M1781,"-")</f>
        <v>0</v>
      </c>
      <c r="O1780" s="881">
        <f>SUMIFS('Data Entry'!T:T,'Data Entry'!K:K,G1780)</f>
        <v>0</v>
      </c>
      <c r="P1780" s="274"/>
      <c r="Q1780" s="895">
        <v>1</v>
      </c>
      <c r="R1780" s="114"/>
      <c r="S1780" s="884"/>
      <c r="T1780" s="270"/>
      <c r="U1780" s="270"/>
      <c r="V1780" s="270"/>
      <c r="W1780" s="114"/>
      <c r="X1780" s="114"/>
      <c r="Y1780" s="114"/>
      <c r="Z1780" s="114"/>
      <c r="AA1780" s="114"/>
      <c r="AB1780" s="85"/>
      <c r="AC1780" s="85"/>
      <c r="AD1780" s="85"/>
      <c r="AE1780" s="85"/>
    </row>
    <row r="1781" spans="3:31" x14ac:dyDescent="0.3">
      <c r="C1781" s="450"/>
      <c r="D1781" s="182"/>
      <c r="E1781" s="182"/>
      <c r="F1781" s="182"/>
      <c r="G1781" s="450" t="str">
        <f t="shared" si="89"/>
        <v>--</v>
      </c>
      <c r="H1781" s="182"/>
      <c r="I1781" s="440"/>
      <c r="J1781" s="892"/>
      <c r="K1781" s="259"/>
      <c r="L1781" s="259" t="s">
        <v>46</v>
      </c>
      <c r="M1781" s="893">
        <f>SUM(M1778:M1780)</f>
        <v>1</v>
      </c>
      <c r="N1781" s="894"/>
      <c r="O1781" s="894">
        <f>SUM(O1778:O1780)</f>
        <v>0</v>
      </c>
      <c r="P1781" s="274"/>
      <c r="Q1781" s="895">
        <v>0</v>
      </c>
      <c r="R1781" s="114"/>
      <c r="S1781" s="884"/>
      <c r="T1781" s="270"/>
      <c r="U1781" s="270"/>
      <c r="V1781" s="270"/>
      <c r="W1781" s="114"/>
      <c r="X1781" s="114"/>
      <c r="Y1781" s="114"/>
      <c r="Z1781" s="114"/>
      <c r="AA1781" s="114"/>
      <c r="AB1781" s="85"/>
      <c r="AC1781" s="85"/>
      <c r="AD1781" s="85"/>
      <c r="AE1781" s="85"/>
    </row>
    <row r="1782" spans="3:31" x14ac:dyDescent="0.3">
      <c r="C1782" s="450"/>
      <c r="D1782" s="182"/>
      <c r="E1782" s="182"/>
      <c r="F1782" s="182"/>
      <c r="G1782" s="450" t="str">
        <f t="shared" si="89"/>
        <v>--</v>
      </c>
      <c r="H1782" s="182"/>
      <c r="I1782" s="892"/>
      <c r="J1782" s="288"/>
      <c r="K1782" s="182"/>
      <c r="L1782" s="182"/>
      <c r="M1782" s="270"/>
      <c r="N1782" s="892"/>
      <c r="O1782" s="892"/>
      <c r="P1782" s="275"/>
      <c r="Q1782" s="895">
        <v>0</v>
      </c>
      <c r="R1782" s="114"/>
      <c r="S1782" s="884"/>
      <c r="T1782" s="270"/>
      <c r="U1782" s="270"/>
      <c r="V1782" s="270"/>
      <c r="W1782" s="114"/>
      <c r="X1782" s="114"/>
      <c r="Y1782" s="114"/>
      <c r="Z1782" s="114"/>
      <c r="AA1782" s="114"/>
      <c r="AB1782" s="85"/>
      <c r="AC1782" s="85"/>
      <c r="AD1782" s="85"/>
      <c r="AE1782" s="85"/>
    </row>
    <row r="1783" spans="3:31" x14ac:dyDescent="0.3">
      <c r="C1783" s="450"/>
      <c r="D1783" s="182"/>
      <c r="E1783" s="182"/>
      <c r="F1783" s="182"/>
      <c r="G1783" s="450" t="str">
        <f t="shared" si="89"/>
        <v>--</v>
      </c>
      <c r="H1783" s="182"/>
      <c r="I1783" s="892"/>
      <c r="J1783" s="288"/>
      <c r="K1783" s="182"/>
      <c r="L1783" s="182"/>
      <c r="M1783" s="270"/>
      <c r="N1783" s="892"/>
      <c r="O1783" s="892"/>
      <c r="P1783" s="269"/>
      <c r="Q1783" s="895">
        <v>0</v>
      </c>
      <c r="R1783" s="114"/>
      <c r="S1783" s="884"/>
      <c r="T1783" s="270"/>
      <c r="U1783" s="270"/>
      <c r="V1783" s="270"/>
      <c r="W1783" s="114"/>
      <c r="X1783" s="114"/>
      <c r="Y1783" s="114"/>
      <c r="Z1783" s="114"/>
      <c r="AA1783" s="114"/>
      <c r="AB1783" s="85"/>
      <c r="AC1783" s="85"/>
      <c r="AD1783" s="85"/>
      <c r="AE1783" s="85"/>
    </row>
    <row r="1784" spans="3:31" x14ac:dyDescent="0.3">
      <c r="C1784" s="450"/>
      <c r="D1784" s="182"/>
      <c r="E1784" s="182"/>
      <c r="F1784" s="182"/>
      <c r="G1784" s="450" t="str">
        <f t="shared" si="89"/>
        <v>--</v>
      </c>
      <c r="H1784" s="182"/>
      <c r="I1784" s="892"/>
      <c r="J1784" s="288"/>
      <c r="K1784" s="182"/>
      <c r="L1784" s="182"/>
      <c r="M1784" s="270"/>
      <c r="N1784" s="892"/>
      <c r="O1784" s="892"/>
      <c r="P1784" s="263" t="s">
        <v>46</v>
      </c>
      <c r="Q1784" s="897">
        <f>SUM(Q1778:Q1783)</f>
        <v>1</v>
      </c>
      <c r="R1784" s="899"/>
      <c r="S1784" s="900"/>
      <c r="T1784" s="270"/>
      <c r="U1784" s="270"/>
      <c r="V1784" s="270"/>
      <c r="W1784" s="114"/>
      <c r="X1784" s="114"/>
      <c r="Y1784" s="114"/>
      <c r="Z1784" s="114"/>
      <c r="AA1784" s="114"/>
      <c r="AB1784" s="85"/>
      <c r="AC1784" s="85"/>
      <c r="AD1784" s="85"/>
      <c r="AE1784" s="85"/>
    </row>
    <row r="1785" spans="3:31" x14ac:dyDescent="0.3">
      <c r="C1785" s="450"/>
      <c r="D1785" s="182"/>
      <c r="E1785" s="182"/>
      <c r="F1785" s="182"/>
      <c r="G1785" s="450" t="str">
        <f t="shared" si="89"/>
        <v>--</v>
      </c>
      <c r="H1785" s="182"/>
      <c r="I1785" s="892"/>
      <c r="J1785" s="288"/>
      <c r="K1785" s="182"/>
      <c r="L1785" s="182"/>
      <c r="M1785" s="270"/>
      <c r="N1785" s="892"/>
      <c r="O1785" s="892"/>
      <c r="P1785" s="259"/>
      <c r="Q1785" s="114"/>
      <c r="R1785" s="114"/>
      <c r="S1785" s="114"/>
      <c r="T1785" s="270"/>
      <c r="U1785" s="270"/>
      <c r="V1785" s="270"/>
      <c r="W1785" s="114"/>
      <c r="X1785" s="114"/>
      <c r="Y1785" s="114"/>
      <c r="Z1785" s="114"/>
      <c r="AA1785" s="114"/>
      <c r="AB1785" s="85"/>
      <c r="AC1785" s="85"/>
      <c r="AD1785" s="85"/>
      <c r="AE1785" s="85"/>
    </row>
    <row r="1786" spans="3:31" ht="15" thickBot="1" x14ac:dyDescent="0.35">
      <c r="C1786" s="450"/>
      <c r="D1786" s="182"/>
      <c r="E1786" s="182"/>
      <c r="F1786" s="182"/>
      <c r="G1786" s="450" t="str">
        <f t="shared" si="89"/>
        <v>--</v>
      </c>
      <c r="H1786" s="182"/>
      <c r="I1786" s="892"/>
      <c r="J1786" s="892"/>
      <c r="K1786" s="182"/>
      <c r="L1786" s="182"/>
      <c r="M1786" s="901" t="s">
        <v>155</v>
      </c>
      <c r="N1786" s="870" t="s">
        <v>188</v>
      </c>
      <c r="O1786" s="870"/>
      <c r="P1786" s="276" t="s">
        <v>426</v>
      </c>
      <c r="Q1786" s="871" t="s">
        <v>155</v>
      </c>
      <c r="R1786" s="902"/>
      <c r="S1786" s="874"/>
      <c r="T1786" s="270"/>
      <c r="U1786" s="270"/>
      <c r="V1786" s="270"/>
      <c r="W1786" s="114"/>
      <c r="X1786" s="114"/>
      <c r="Y1786" s="114"/>
      <c r="Z1786" s="114"/>
      <c r="AA1786" s="114"/>
      <c r="AB1786" s="85"/>
      <c r="AC1786" s="85"/>
      <c r="AD1786" s="85"/>
      <c r="AE1786" s="85"/>
    </row>
    <row r="1787" spans="3:31" ht="15" thickBot="1" x14ac:dyDescent="0.35">
      <c r="C1787" s="566" t="s">
        <v>94</v>
      </c>
      <c r="D1787" s="875" t="str">
        <f>VLOOKUP(C1787,'Airport Mapping'!$C$5:$D$39,2,FALSE)</f>
        <v xml:space="preserve"> </v>
      </c>
      <c r="E1787" s="567" t="s">
        <v>43</v>
      </c>
      <c r="F1787" s="567" t="s">
        <v>426</v>
      </c>
      <c r="G1787" s="450" t="str">
        <f t="shared" si="89"/>
        <v>Parking D-Maintenance-Pavement cleaning</v>
      </c>
      <c r="H1787" s="567" t="s">
        <v>282</v>
      </c>
      <c r="I1787" s="877" t="s">
        <v>64</v>
      </c>
      <c r="J1787" s="878">
        <f>SUMIFS('Level of Efficiency Assumptions'!J:J,'Level of Efficiency Assumptions'!D:D,E1787,'Level of Efficiency Assumptions'!F:F,F1787,'Level of Efficiency Assumptions'!I:I,I1787)</f>
        <v>10</v>
      </c>
      <c r="K1787" s="383" t="s">
        <v>588</v>
      </c>
      <c r="L1787" s="253" t="s">
        <v>64</v>
      </c>
      <c r="M1787" s="879">
        <f>SUM(Q1787:Q1788)</f>
        <v>0</v>
      </c>
      <c r="N1787" s="880">
        <f>IFERROR(M1787/M1790,"-")</f>
        <v>0</v>
      </c>
      <c r="O1787" s="881">
        <f>SUMIFS('Data Entry'!R:R,'Data Entry'!K:K,G1787)</f>
        <v>0</v>
      </c>
      <c r="P1787" s="272"/>
      <c r="Q1787" s="895">
        <v>0</v>
      </c>
      <c r="R1787" s="114"/>
      <c r="S1787" s="884"/>
      <c r="T1787" s="270"/>
      <c r="U1787" s="270"/>
      <c r="V1787" s="270"/>
      <c r="W1787" s="114"/>
      <c r="X1787" s="114"/>
      <c r="Y1787" s="114"/>
      <c r="Z1787" s="114"/>
      <c r="AA1787" s="114"/>
      <c r="AB1787" s="85"/>
      <c r="AC1787" s="85"/>
      <c r="AD1787" s="85"/>
      <c r="AE1787" s="85"/>
    </row>
    <row r="1788" spans="3:31" ht="15" thickBot="1" x14ac:dyDescent="0.35">
      <c r="C1788" s="494" t="s">
        <v>94</v>
      </c>
      <c r="D1788" s="577"/>
      <c r="E1788" s="577" t="s">
        <v>43</v>
      </c>
      <c r="F1788" s="577" t="s">
        <v>426</v>
      </c>
      <c r="G1788" s="450" t="str">
        <f t="shared" si="89"/>
        <v>Parking D-Maintenance-Pavement cleaning</v>
      </c>
      <c r="H1788" s="577"/>
      <c r="I1788" s="887" t="s">
        <v>65</v>
      </c>
      <c r="J1788" s="878">
        <f>SUMIFS('Level of Efficiency Assumptions'!J:J,'Level of Efficiency Assumptions'!D:D,E1788,'Level of Efficiency Assumptions'!F:F,F1788,'Level of Efficiency Assumptions'!I:I,I1788)</f>
        <v>7.5</v>
      </c>
      <c r="K1788" s="383" t="s">
        <v>588</v>
      </c>
      <c r="L1788" s="255" t="s">
        <v>65</v>
      </c>
      <c r="M1788" s="879">
        <f>Q1789+Q1790</f>
        <v>1</v>
      </c>
      <c r="N1788" s="880">
        <f>IFERROR(M1788/M1790,"-")</f>
        <v>1</v>
      </c>
      <c r="O1788" s="881">
        <f>SUMIFS('Data Entry'!S:S,'Data Entry'!K:K,G1788)</f>
        <v>0</v>
      </c>
      <c r="P1788" s="272"/>
      <c r="Q1788" s="895">
        <v>0</v>
      </c>
      <c r="R1788" s="114"/>
      <c r="S1788" s="884"/>
      <c r="T1788" s="270"/>
      <c r="U1788" s="270"/>
      <c r="V1788" s="270"/>
      <c r="W1788" s="114"/>
      <c r="X1788" s="114"/>
      <c r="Y1788" s="114"/>
      <c r="Z1788" s="114"/>
      <c r="AA1788" s="114"/>
      <c r="AB1788" s="85"/>
      <c r="AC1788" s="85"/>
      <c r="AD1788" s="85"/>
      <c r="AE1788" s="85"/>
    </row>
    <row r="1789" spans="3:31" ht="15" thickBot="1" x14ac:dyDescent="0.35">
      <c r="C1789" s="501" t="s">
        <v>94</v>
      </c>
      <c r="D1789" s="116"/>
      <c r="E1789" s="116" t="s">
        <v>43</v>
      </c>
      <c r="F1789" s="116" t="s">
        <v>426</v>
      </c>
      <c r="G1789" s="450" t="str">
        <f t="shared" si="89"/>
        <v>Parking D-Maintenance-Pavement cleaning</v>
      </c>
      <c r="H1789" s="116"/>
      <c r="I1789" s="889" t="s">
        <v>66</v>
      </c>
      <c r="J1789" s="890">
        <f>SUMIFS('Level of Efficiency Assumptions'!J:J,'Level of Efficiency Assumptions'!D:D,E1789,'Level of Efficiency Assumptions'!F:F,F1789,'Level of Efficiency Assumptions'!I:I,I1789)</f>
        <v>5</v>
      </c>
      <c r="K1789" s="383" t="s">
        <v>588</v>
      </c>
      <c r="L1789" s="257" t="s">
        <v>66</v>
      </c>
      <c r="M1789" s="879">
        <f>Q1791+Q1792</f>
        <v>0</v>
      </c>
      <c r="N1789" s="880">
        <f>IFERROR(M1789/M1790,"-")</f>
        <v>0</v>
      </c>
      <c r="O1789" s="881">
        <f>SUMIFS('Data Entry'!T:T,'Data Entry'!K:K,G1789)</f>
        <v>0</v>
      </c>
      <c r="P1789" s="274"/>
      <c r="Q1789" s="895">
        <v>1</v>
      </c>
      <c r="R1789" s="114"/>
      <c r="S1789" s="884"/>
      <c r="T1789" s="270"/>
      <c r="U1789" s="270"/>
      <c r="V1789" s="270"/>
      <c r="W1789" s="114"/>
      <c r="X1789" s="114"/>
      <c r="Y1789" s="114"/>
      <c r="Z1789" s="114"/>
      <c r="AA1789" s="114"/>
      <c r="AB1789" s="85"/>
      <c r="AC1789" s="85"/>
      <c r="AD1789" s="85"/>
      <c r="AE1789" s="85"/>
    </row>
    <row r="1790" spans="3:31" x14ac:dyDescent="0.3">
      <c r="C1790" s="450"/>
      <c r="D1790" s="182"/>
      <c r="E1790" s="182"/>
      <c r="F1790" s="182"/>
      <c r="G1790" s="450" t="str">
        <f t="shared" si="89"/>
        <v>--</v>
      </c>
      <c r="H1790" s="182"/>
      <c r="I1790" s="440"/>
      <c r="J1790" s="892"/>
      <c r="K1790" s="259"/>
      <c r="L1790" s="259" t="s">
        <v>46</v>
      </c>
      <c r="M1790" s="893">
        <f>SUM(M1787:M1789)</f>
        <v>1</v>
      </c>
      <c r="N1790" s="894"/>
      <c r="O1790" s="894">
        <f>SUM(O1787:O1789)</f>
        <v>0</v>
      </c>
      <c r="P1790" s="274"/>
      <c r="Q1790" s="895">
        <v>0</v>
      </c>
      <c r="R1790" s="114"/>
      <c r="S1790" s="884"/>
      <c r="T1790" s="270"/>
      <c r="U1790" s="270"/>
      <c r="V1790" s="270"/>
      <c r="W1790" s="114"/>
      <c r="X1790" s="114"/>
      <c r="Y1790" s="114"/>
      <c r="Z1790" s="114"/>
      <c r="AA1790" s="114"/>
      <c r="AB1790" s="85"/>
      <c r="AC1790" s="85"/>
      <c r="AD1790" s="85"/>
      <c r="AE1790" s="85"/>
    </row>
    <row r="1791" spans="3:31" x14ac:dyDescent="0.3">
      <c r="C1791" s="450"/>
      <c r="D1791" s="182"/>
      <c r="E1791" s="182"/>
      <c r="F1791" s="182"/>
      <c r="G1791" s="450" t="str">
        <f t="shared" si="89"/>
        <v>--</v>
      </c>
      <c r="H1791" s="182"/>
      <c r="I1791" s="892"/>
      <c r="J1791" s="288"/>
      <c r="K1791" s="182"/>
      <c r="L1791" s="182"/>
      <c r="M1791" s="270"/>
      <c r="N1791" s="892"/>
      <c r="O1791" s="892"/>
      <c r="P1791" s="275"/>
      <c r="Q1791" s="895">
        <v>0</v>
      </c>
      <c r="R1791" s="114"/>
      <c r="S1791" s="884"/>
      <c r="T1791" s="270"/>
      <c r="U1791" s="270"/>
      <c r="V1791" s="270"/>
      <c r="W1791" s="114"/>
      <c r="X1791" s="114"/>
      <c r="Y1791" s="114"/>
      <c r="Z1791" s="114"/>
      <c r="AA1791" s="114"/>
      <c r="AB1791" s="85"/>
      <c r="AC1791" s="85"/>
      <c r="AD1791" s="85"/>
      <c r="AE1791" s="85"/>
    </row>
    <row r="1792" spans="3:31" x14ac:dyDescent="0.3">
      <c r="C1792" s="450"/>
      <c r="D1792" s="182"/>
      <c r="E1792" s="182"/>
      <c r="F1792" s="182"/>
      <c r="G1792" s="450" t="str">
        <f t="shared" si="89"/>
        <v>--</v>
      </c>
      <c r="H1792" s="182"/>
      <c r="I1792" s="892"/>
      <c r="J1792" s="288"/>
      <c r="K1792" s="182"/>
      <c r="L1792" s="182"/>
      <c r="M1792" s="270"/>
      <c r="N1792" s="892"/>
      <c r="O1792" s="892"/>
      <c r="P1792" s="269"/>
      <c r="Q1792" s="895">
        <v>0</v>
      </c>
      <c r="R1792" s="114"/>
      <c r="S1792" s="884"/>
      <c r="T1792" s="270"/>
      <c r="U1792" s="270"/>
      <c r="V1792" s="270"/>
      <c r="W1792" s="114"/>
      <c r="X1792" s="114"/>
      <c r="Y1792" s="114"/>
      <c r="Z1792" s="114"/>
      <c r="AA1792" s="114"/>
      <c r="AB1792" s="85"/>
      <c r="AC1792" s="85"/>
      <c r="AD1792" s="85"/>
      <c r="AE1792" s="85"/>
    </row>
    <row r="1793" spans="3:31" x14ac:dyDescent="0.3">
      <c r="C1793" s="450"/>
      <c r="D1793" s="182"/>
      <c r="E1793" s="182"/>
      <c r="F1793" s="182"/>
      <c r="G1793" s="450" t="str">
        <f t="shared" si="89"/>
        <v>--</v>
      </c>
      <c r="H1793" s="182"/>
      <c r="I1793" s="892"/>
      <c r="J1793" s="288"/>
      <c r="K1793" s="182"/>
      <c r="L1793" s="182"/>
      <c r="M1793" s="270"/>
      <c r="N1793" s="892"/>
      <c r="O1793" s="892"/>
      <c r="P1793" s="263" t="s">
        <v>46</v>
      </c>
      <c r="Q1793" s="897">
        <f>SUM(Q1787:Q1792)</f>
        <v>1</v>
      </c>
      <c r="R1793" s="899"/>
      <c r="S1793" s="900"/>
      <c r="T1793" s="270"/>
      <c r="U1793" s="270"/>
      <c r="V1793" s="270"/>
      <c r="W1793" s="114"/>
      <c r="X1793" s="114"/>
      <c r="Y1793" s="114"/>
      <c r="Z1793" s="114"/>
      <c r="AA1793" s="114"/>
      <c r="AB1793" s="85"/>
      <c r="AC1793" s="85"/>
      <c r="AD1793" s="85"/>
      <c r="AE1793" s="85"/>
    </row>
    <row r="1794" spans="3:31" x14ac:dyDescent="0.3">
      <c r="C1794" s="450"/>
      <c r="D1794" s="182"/>
      <c r="E1794" s="182"/>
      <c r="F1794" s="182"/>
      <c r="G1794" s="450" t="str">
        <f t="shared" si="89"/>
        <v>--</v>
      </c>
      <c r="H1794" s="182"/>
      <c r="I1794" s="892"/>
      <c r="J1794" s="288"/>
      <c r="K1794" s="182"/>
      <c r="L1794" s="270"/>
      <c r="M1794" s="270"/>
      <c r="N1794" s="923"/>
      <c r="O1794" s="923"/>
      <c r="P1794" s="270"/>
      <c r="Q1794" s="270"/>
      <c r="R1794" s="270"/>
      <c r="S1794" s="270"/>
      <c r="T1794" s="270"/>
      <c r="U1794" s="270"/>
      <c r="V1794" s="270"/>
      <c r="W1794" s="114"/>
      <c r="X1794" s="114"/>
      <c r="Y1794" s="114"/>
      <c r="Z1794" s="114"/>
      <c r="AA1794" s="114"/>
      <c r="AB1794" s="85"/>
      <c r="AC1794" s="85"/>
      <c r="AD1794" s="85"/>
      <c r="AE1794" s="85"/>
    </row>
    <row r="1795" spans="3:31" ht="15" thickBot="1" x14ac:dyDescent="0.35">
      <c r="C1795" s="450"/>
      <c r="D1795" s="182"/>
      <c r="E1795" s="182"/>
      <c r="F1795" s="182"/>
      <c r="G1795" s="450" t="str">
        <f t="shared" si="89"/>
        <v>--</v>
      </c>
      <c r="H1795" s="182"/>
      <c r="I1795" s="892"/>
      <c r="J1795" s="892"/>
      <c r="K1795" s="182"/>
      <c r="L1795" s="182"/>
      <c r="M1795" s="901" t="s">
        <v>155</v>
      </c>
      <c r="N1795" s="870" t="s">
        <v>188</v>
      </c>
      <c r="O1795" s="870"/>
      <c r="P1795" s="276" t="s">
        <v>52</v>
      </c>
      <c r="Q1795" s="871" t="s">
        <v>155</v>
      </c>
      <c r="R1795" s="902"/>
      <c r="S1795" s="874"/>
      <c r="T1795" s="270"/>
      <c r="U1795" s="270"/>
      <c r="V1795" s="270"/>
      <c r="W1795" s="114"/>
      <c r="X1795" s="114"/>
      <c r="Y1795" s="114"/>
      <c r="Z1795" s="114"/>
      <c r="AA1795" s="114"/>
      <c r="AB1795" s="85"/>
      <c r="AC1795" s="85"/>
      <c r="AD1795" s="85"/>
      <c r="AE1795" s="85"/>
    </row>
    <row r="1796" spans="3:31" ht="15" thickBot="1" x14ac:dyDescent="0.35">
      <c r="C1796" s="566" t="s">
        <v>94</v>
      </c>
      <c r="D1796" s="875" t="str">
        <f>VLOOKUP(C1796,'Airport Mapping'!$C$5:$D$39,2,FALSE)</f>
        <v xml:space="preserve"> </v>
      </c>
      <c r="E1796" s="567" t="s">
        <v>8</v>
      </c>
      <c r="F1796" s="567" t="s">
        <v>52</v>
      </c>
      <c r="G1796" s="450" t="str">
        <f t="shared" si="89"/>
        <v>Parking D-Other-Other 1</v>
      </c>
      <c r="H1796" s="567" t="s">
        <v>362</v>
      </c>
      <c r="I1796" s="877" t="s">
        <v>64</v>
      </c>
      <c r="J1796" s="878">
        <f>SUMIFS('Level of Efficiency Assumptions'!J:J,'Level of Efficiency Assumptions'!D:D,E1796,'Level of Efficiency Assumptions'!F:F,F1796,'Level of Efficiency Assumptions'!I:I,I1796)</f>
        <v>10</v>
      </c>
      <c r="K1796" s="383" t="s">
        <v>588</v>
      </c>
      <c r="L1796" s="253" t="s">
        <v>64</v>
      </c>
      <c r="M1796" s="879">
        <f>SUM(Q1796:Q1796)</f>
        <v>0</v>
      </c>
      <c r="N1796" s="880">
        <f>IFERROR(M1796/M1799,"-")</f>
        <v>0</v>
      </c>
      <c r="O1796" s="881">
        <f>SUMIFS('Data Entry'!R:R,'Data Entry'!K:K,G1796)</f>
        <v>0</v>
      </c>
      <c r="P1796" s="272" t="s">
        <v>129</v>
      </c>
      <c r="Q1796" s="895">
        <v>0</v>
      </c>
      <c r="R1796" s="114"/>
      <c r="S1796" s="884"/>
      <c r="T1796" s="270"/>
      <c r="U1796" s="270"/>
      <c r="V1796" s="270"/>
      <c r="W1796" s="114"/>
      <c r="X1796" s="114"/>
      <c r="Y1796" s="114"/>
      <c r="Z1796" s="114"/>
      <c r="AA1796" s="114"/>
      <c r="AB1796" s="85"/>
      <c r="AC1796" s="85"/>
      <c r="AD1796" s="85"/>
      <c r="AE1796" s="85"/>
    </row>
    <row r="1797" spans="3:31" ht="15" thickBot="1" x14ac:dyDescent="0.35">
      <c r="C1797" s="494" t="s">
        <v>94</v>
      </c>
      <c r="D1797" s="577"/>
      <c r="E1797" s="577" t="s">
        <v>8</v>
      </c>
      <c r="F1797" s="577" t="s">
        <v>52</v>
      </c>
      <c r="G1797" s="450" t="str">
        <f t="shared" si="89"/>
        <v>Parking D-Other-Other 1</v>
      </c>
      <c r="H1797" s="577"/>
      <c r="I1797" s="887" t="s">
        <v>65</v>
      </c>
      <c r="J1797" s="878">
        <f>SUMIFS('Level of Efficiency Assumptions'!J:J,'Level of Efficiency Assumptions'!D:D,E1797,'Level of Efficiency Assumptions'!F:F,F1797,'Level of Efficiency Assumptions'!I:I,I1797)</f>
        <v>7.5</v>
      </c>
      <c r="K1797" s="383" t="s">
        <v>588</v>
      </c>
      <c r="L1797" s="255" t="s">
        <v>65</v>
      </c>
      <c r="M1797" s="879">
        <f t="shared" ref="M1797:M1798" si="90">SUM(Q1797:Q1797)</f>
        <v>1</v>
      </c>
      <c r="N1797" s="880">
        <f>IFERROR(M1797/M1799,"-")</f>
        <v>1</v>
      </c>
      <c r="O1797" s="881">
        <f>SUMIFS('Data Entry'!S:S,'Data Entry'!K:K,G1797)</f>
        <v>0</v>
      </c>
      <c r="P1797" s="274" t="s">
        <v>233</v>
      </c>
      <c r="Q1797" s="895">
        <v>1</v>
      </c>
      <c r="R1797" s="114"/>
      <c r="S1797" s="884"/>
      <c r="T1797" s="270"/>
      <c r="U1797" s="270"/>
      <c r="V1797" s="270"/>
      <c r="W1797" s="114"/>
      <c r="X1797" s="114"/>
      <c r="Y1797" s="114"/>
      <c r="Z1797" s="114"/>
      <c r="AA1797" s="114"/>
      <c r="AB1797" s="85"/>
      <c r="AC1797" s="85"/>
      <c r="AD1797" s="85"/>
      <c r="AE1797" s="85"/>
    </row>
    <row r="1798" spans="3:31" ht="15" thickBot="1" x14ac:dyDescent="0.35">
      <c r="C1798" s="501" t="s">
        <v>94</v>
      </c>
      <c r="D1798" s="116"/>
      <c r="E1798" s="116" t="s">
        <v>8</v>
      </c>
      <c r="F1798" s="116" t="s">
        <v>52</v>
      </c>
      <c r="G1798" s="450" t="str">
        <f t="shared" si="89"/>
        <v>Parking D-Other-Other 1</v>
      </c>
      <c r="H1798" s="116"/>
      <c r="I1798" s="889" t="s">
        <v>66</v>
      </c>
      <c r="J1798" s="890">
        <f>SUMIFS('Level of Efficiency Assumptions'!J:J,'Level of Efficiency Assumptions'!D:D,E1798,'Level of Efficiency Assumptions'!F:F,F1798,'Level of Efficiency Assumptions'!I:I,I1798)</f>
        <v>5</v>
      </c>
      <c r="K1798" s="383" t="s">
        <v>588</v>
      </c>
      <c r="L1798" s="257" t="s">
        <v>66</v>
      </c>
      <c r="M1798" s="879">
        <f t="shared" si="90"/>
        <v>0</v>
      </c>
      <c r="N1798" s="880">
        <f>IFERROR(M1798/M1799,"-")</f>
        <v>0</v>
      </c>
      <c r="O1798" s="881">
        <f>SUMIFS('Data Entry'!T:T,'Data Entry'!K:K,G1798)</f>
        <v>0</v>
      </c>
      <c r="P1798" s="269" t="s">
        <v>234</v>
      </c>
      <c r="Q1798" s="895">
        <v>0</v>
      </c>
      <c r="R1798" s="114"/>
      <c r="S1798" s="884"/>
      <c r="T1798" s="270"/>
      <c r="U1798" s="270"/>
      <c r="V1798" s="270"/>
      <c r="W1798" s="114"/>
      <c r="X1798" s="114"/>
      <c r="Y1798" s="114"/>
      <c r="Z1798" s="114"/>
      <c r="AA1798" s="114"/>
      <c r="AB1798" s="85"/>
      <c r="AC1798" s="85"/>
      <c r="AD1798" s="85"/>
      <c r="AE1798" s="85"/>
    </row>
    <row r="1799" spans="3:31" x14ac:dyDescent="0.3">
      <c r="C1799" s="450"/>
      <c r="D1799" s="182"/>
      <c r="E1799" s="182"/>
      <c r="F1799" s="182"/>
      <c r="G1799" s="450" t="str">
        <f t="shared" si="89"/>
        <v>--</v>
      </c>
      <c r="H1799" s="182"/>
      <c r="I1799" s="440"/>
      <c r="J1799" s="892"/>
      <c r="K1799" s="259"/>
      <c r="L1799" s="259" t="s">
        <v>46</v>
      </c>
      <c r="M1799" s="893">
        <f>SUM(M1796:M1798)</f>
        <v>1</v>
      </c>
      <c r="N1799" s="894"/>
      <c r="O1799" s="894">
        <f>SUM(O1796:O1798)</f>
        <v>0</v>
      </c>
      <c r="P1799" s="263" t="s">
        <v>46</v>
      </c>
      <c r="Q1799" s="897">
        <f>SUM(Q1796:Q1798)</f>
        <v>1</v>
      </c>
      <c r="R1799" s="899"/>
      <c r="S1799" s="900"/>
      <c r="T1799" s="270"/>
      <c r="U1799" s="270"/>
      <c r="V1799" s="270"/>
      <c r="W1799" s="114"/>
      <c r="X1799" s="114"/>
      <c r="Y1799" s="114"/>
      <c r="Z1799" s="114"/>
      <c r="AA1799" s="114"/>
      <c r="AB1799" s="85"/>
      <c r="AC1799" s="85"/>
      <c r="AD1799" s="85"/>
      <c r="AE1799" s="85"/>
    </row>
    <row r="1800" spans="3:31" s="45" customFormat="1" x14ac:dyDescent="0.3">
      <c r="C1800" s="450"/>
      <c r="D1800" s="182"/>
      <c r="E1800" s="182"/>
      <c r="F1800" s="182"/>
      <c r="G1800" s="450" t="str">
        <f t="shared" si="89"/>
        <v>--</v>
      </c>
      <c r="H1800" s="182"/>
      <c r="I1800" s="892"/>
      <c r="J1800" s="288"/>
      <c r="K1800" s="182"/>
      <c r="L1800" s="182"/>
      <c r="M1800" s="270"/>
      <c r="N1800" s="892"/>
      <c r="O1800" s="892"/>
      <c r="P1800" s="270"/>
      <c r="Q1800" s="270"/>
      <c r="R1800" s="270"/>
      <c r="S1800" s="270"/>
      <c r="T1800" s="270"/>
      <c r="U1800" s="270"/>
      <c r="V1800" s="270"/>
      <c r="W1800" s="114"/>
      <c r="X1800" s="114"/>
      <c r="Y1800" s="114"/>
      <c r="Z1800" s="114"/>
      <c r="AA1800" s="114"/>
      <c r="AB1800" s="85"/>
      <c r="AC1800" s="85"/>
      <c r="AD1800" s="85"/>
      <c r="AE1800" s="85"/>
    </row>
    <row r="1801" spans="3:31" s="45" customFormat="1" ht="15" thickBot="1" x14ac:dyDescent="0.35">
      <c r="C1801" s="450"/>
      <c r="D1801" s="182"/>
      <c r="E1801" s="182"/>
      <c r="F1801" s="182"/>
      <c r="G1801" s="450" t="str">
        <f t="shared" si="89"/>
        <v>--</v>
      </c>
      <c r="H1801" s="182"/>
      <c r="I1801" s="892"/>
      <c r="J1801" s="892"/>
      <c r="K1801" s="182"/>
      <c r="L1801" s="182"/>
      <c r="M1801" s="901" t="s">
        <v>155</v>
      </c>
      <c r="N1801" s="870" t="s">
        <v>188</v>
      </c>
      <c r="O1801" s="870"/>
      <c r="P1801" s="276" t="s">
        <v>53</v>
      </c>
      <c r="Q1801" s="871" t="s">
        <v>155</v>
      </c>
      <c r="R1801" s="902"/>
      <c r="S1801" s="874"/>
      <c r="T1801" s="270"/>
      <c r="U1801" s="114"/>
      <c r="V1801" s="114"/>
      <c r="W1801" s="114"/>
      <c r="X1801" s="114"/>
      <c r="Y1801" s="114"/>
      <c r="Z1801" s="114"/>
      <c r="AA1801" s="114"/>
      <c r="AB1801" s="85"/>
      <c r="AC1801" s="85"/>
      <c r="AD1801" s="85"/>
      <c r="AE1801" s="85"/>
    </row>
    <row r="1802" spans="3:31" s="45" customFormat="1" ht="15" thickBot="1" x14ac:dyDescent="0.35">
      <c r="C1802" s="566" t="s">
        <v>94</v>
      </c>
      <c r="D1802" s="875" t="str">
        <f>VLOOKUP(C1802,'Airport Mapping'!$C$5:$D$39,2,FALSE)</f>
        <v xml:space="preserve"> </v>
      </c>
      <c r="E1802" s="567" t="s">
        <v>8</v>
      </c>
      <c r="F1802" s="567" t="s">
        <v>53</v>
      </c>
      <c r="G1802" s="450" t="str">
        <f t="shared" si="89"/>
        <v>Parking D-Other-Other 2</v>
      </c>
      <c r="H1802" s="567" t="s">
        <v>363</v>
      </c>
      <c r="I1802" s="877" t="s">
        <v>64</v>
      </c>
      <c r="J1802" s="878">
        <f>SUMIFS('Level of Efficiency Assumptions'!J:J,'Level of Efficiency Assumptions'!D:D,E1802,'Level of Efficiency Assumptions'!F:F,F1802,'Level of Efficiency Assumptions'!I:I,I1802)</f>
        <v>10</v>
      </c>
      <c r="K1802" s="383" t="s">
        <v>588</v>
      </c>
      <c r="L1802" s="253" t="s">
        <v>64</v>
      </c>
      <c r="M1802" s="879">
        <f>SUM(Q1802:Q1802)</f>
        <v>0</v>
      </c>
      <c r="N1802" s="880">
        <f>IFERROR(M1802/M1805,"-")</f>
        <v>0</v>
      </c>
      <c r="O1802" s="881">
        <f>SUMIFS('Data Entry'!R:R,'Data Entry'!K:K,G1802)</f>
        <v>0</v>
      </c>
      <c r="P1802" s="272" t="s">
        <v>129</v>
      </c>
      <c r="Q1802" s="895">
        <v>0</v>
      </c>
      <c r="R1802" s="114"/>
      <c r="S1802" s="884"/>
      <c r="T1802" s="270"/>
      <c r="U1802" s="114"/>
      <c r="V1802" s="114"/>
      <c r="W1802" s="114"/>
      <c r="X1802" s="114"/>
      <c r="Y1802" s="114"/>
      <c r="Z1802" s="114"/>
      <c r="AA1802" s="114"/>
      <c r="AB1802" s="85"/>
      <c r="AC1802" s="85"/>
      <c r="AD1802" s="85"/>
      <c r="AE1802" s="85"/>
    </row>
    <row r="1803" spans="3:31" s="45" customFormat="1" ht="15" thickBot="1" x14ac:dyDescent="0.35">
      <c r="C1803" s="494" t="s">
        <v>94</v>
      </c>
      <c r="D1803" s="577"/>
      <c r="E1803" s="577" t="s">
        <v>8</v>
      </c>
      <c r="F1803" s="577" t="s">
        <v>53</v>
      </c>
      <c r="G1803" s="450" t="str">
        <f t="shared" si="89"/>
        <v>Parking D-Other-Other 2</v>
      </c>
      <c r="H1803" s="577"/>
      <c r="I1803" s="887" t="s">
        <v>65</v>
      </c>
      <c r="J1803" s="878">
        <f>SUMIFS('Level of Efficiency Assumptions'!J:J,'Level of Efficiency Assumptions'!D:D,E1803,'Level of Efficiency Assumptions'!F:F,F1803,'Level of Efficiency Assumptions'!I:I,I1803)</f>
        <v>7.5</v>
      </c>
      <c r="K1803" s="383" t="s">
        <v>588</v>
      </c>
      <c r="L1803" s="255" t="s">
        <v>65</v>
      </c>
      <c r="M1803" s="879">
        <f t="shared" ref="M1803:M1804" si="91">SUM(Q1803:Q1803)</f>
        <v>1</v>
      </c>
      <c r="N1803" s="880">
        <f>IFERROR(M1803/M1805,"-")</f>
        <v>1</v>
      </c>
      <c r="O1803" s="881">
        <f>SUMIFS('Data Entry'!S:S,'Data Entry'!K:K,G1803)</f>
        <v>0</v>
      </c>
      <c r="P1803" s="274" t="s">
        <v>233</v>
      </c>
      <c r="Q1803" s="895">
        <v>1</v>
      </c>
      <c r="R1803" s="114"/>
      <c r="S1803" s="884"/>
      <c r="T1803" s="270"/>
      <c r="U1803" s="114"/>
      <c r="V1803" s="114"/>
      <c r="W1803" s="114"/>
      <c r="X1803" s="114"/>
      <c r="Y1803" s="114"/>
      <c r="Z1803" s="114"/>
      <c r="AA1803" s="114"/>
      <c r="AB1803" s="85"/>
      <c r="AC1803" s="85"/>
      <c r="AD1803" s="85"/>
      <c r="AE1803" s="85"/>
    </row>
    <row r="1804" spans="3:31" s="45" customFormat="1" ht="15" thickBot="1" x14ac:dyDescent="0.35">
      <c r="C1804" s="501" t="s">
        <v>94</v>
      </c>
      <c r="D1804" s="116"/>
      <c r="E1804" s="116" t="s">
        <v>8</v>
      </c>
      <c r="F1804" s="116" t="s">
        <v>53</v>
      </c>
      <c r="G1804" s="450" t="str">
        <f t="shared" si="89"/>
        <v>Parking D-Other-Other 2</v>
      </c>
      <c r="H1804" s="116"/>
      <c r="I1804" s="889" t="s">
        <v>66</v>
      </c>
      <c r="J1804" s="890">
        <f>SUMIFS('Level of Efficiency Assumptions'!J:J,'Level of Efficiency Assumptions'!D:D,E1804,'Level of Efficiency Assumptions'!F:F,F1804,'Level of Efficiency Assumptions'!I:I,I1804)</f>
        <v>5</v>
      </c>
      <c r="K1804" s="383" t="s">
        <v>588</v>
      </c>
      <c r="L1804" s="257" t="s">
        <v>66</v>
      </c>
      <c r="M1804" s="879">
        <f t="shared" si="91"/>
        <v>0</v>
      </c>
      <c r="N1804" s="880">
        <f>IFERROR(M1804/M1805,"-")</f>
        <v>0</v>
      </c>
      <c r="O1804" s="881">
        <f>SUMIFS('Data Entry'!T:T,'Data Entry'!K:K,G1804)</f>
        <v>0</v>
      </c>
      <c r="P1804" s="269" t="s">
        <v>234</v>
      </c>
      <c r="Q1804" s="895">
        <v>0</v>
      </c>
      <c r="R1804" s="114"/>
      <c r="S1804" s="884"/>
      <c r="T1804" s="270"/>
      <c r="U1804" s="114"/>
      <c r="V1804" s="114"/>
      <c r="W1804" s="114"/>
      <c r="X1804" s="114"/>
      <c r="Y1804" s="114"/>
      <c r="Z1804" s="114"/>
      <c r="AA1804" s="114"/>
      <c r="AB1804" s="85"/>
      <c r="AC1804" s="85"/>
      <c r="AD1804" s="85"/>
      <c r="AE1804" s="85"/>
    </row>
    <row r="1805" spans="3:31" x14ac:dyDescent="0.3">
      <c r="C1805" s="450"/>
      <c r="D1805" s="182"/>
      <c r="E1805" s="182"/>
      <c r="F1805" s="182"/>
      <c r="G1805" s="450" t="str">
        <f t="shared" si="89"/>
        <v>--</v>
      </c>
      <c r="H1805" s="182"/>
      <c r="I1805" s="440"/>
      <c r="J1805" s="892"/>
      <c r="K1805" s="259"/>
      <c r="L1805" s="259" t="s">
        <v>46</v>
      </c>
      <c r="M1805" s="893">
        <f>SUM(M1802:M1804)</f>
        <v>1</v>
      </c>
      <c r="N1805" s="894"/>
      <c r="O1805" s="894">
        <f>SUM(O1802:O1804)</f>
        <v>0</v>
      </c>
      <c r="P1805" s="263" t="s">
        <v>46</v>
      </c>
      <c r="Q1805" s="897">
        <f>SUM(Q1802:Q1804)</f>
        <v>1</v>
      </c>
      <c r="R1805" s="899"/>
      <c r="S1805" s="900"/>
      <c r="T1805" s="270"/>
      <c r="U1805" s="114"/>
      <c r="V1805" s="114"/>
      <c r="W1805" s="114"/>
      <c r="X1805" s="114"/>
      <c r="Y1805" s="114"/>
      <c r="Z1805" s="114"/>
      <c r="AA1805" s="114"/>
      <c r="AB1805" s="85"/>
      <c r="AC1805" s="85"/>
      <c r="AD1805" s="85"/>
      <c r="AE1805" s="85"/>
    </row>
    <row r="1806" spans="3:31" x14ac:dyDescent="0.3">
      <c r="C1806" s="450"/>
      <c r="D1806" s="182"/>
      <c r="E1806" s="182"/>
      <c r="F1806" s="182"/>
      <c r="G1806" s="450" t="str">
        <f t="shared" si="89"/>
        <v>--</v>
      </c>
      <c r="H1806" s="182"/>
      <c r="I1806" s="892"/>
      <c r="J1806" s="288"/>
      <c r="K1806" s="182"/>
      <c r="L1806" s="182"/>
      <c r="M1806" s="270"/>
      <c r="N1806" s="892"/>
      <c r="O1806" s="892"/>
      <c r="P1806" s="270"/>
      <c r="Q1806" s="270"/>
      <c r="R1806" s="270"/>
      <c r="S1806" s="270"/>
      <c r="T1806" s="270"/>
      <c r="U1806" s="114"/>
      <c r="V1806" s="114"/>
      <c r="W1806" s="114"/>
      <c r="X1806" s="114"/>
      <c r="Y1806" s="114"/>
      <c r="Z1806" s="114"/>
      <c r="AA1806" s="114"/>
      <c r="AB1806" s="85"/>
      <c r="AC1806" s="85"/>
      <c r="AD1806" s="85"/>
      <c r="AE1806" s="85"/>
    </row>
    <row r="1807" spans="3:31" ht="15" thickBot="1" x14ac:dyDescent="0.35">
      <c r="C1807" s="450"/>
      <c r="D1807" s="182"/>
      <c r="E1807" s="182"/>
      <c r="F1807" s="182"/>
      <c r="G1807" s="450" t="str">
        <f t="shared" si="89"/>
        <v>--</v>
      </c>
      <c r="H1807" s="182"/>
      <c r="I1807" s="892"/>
      <c r="J1807" s="892"/>
      <c r="K1807" s="182"/>
      <c r="L1807" s="182"/>
      <c r="M1807" s="901" t="s">
        <v>155</v>
      </c>
      <c r="N1807" s="870" t="s">
        <v>188</v>
      </c>
      <c r="O1807" s="870"/>
      <c r="P1807" s="276" t="s">
        <v>54</v>
      </c>
      <c r="Q1807" s="871" t="s">
        <v>155</v>
      </c>
      <c r="R1807" s="902"/>
      <c r="S1807" s="874"/>
      <c r="T1807" s="270"/>
      <c r="U1807" s="114"/>
      <c r="V1807" s="114"/>
      <c r="W1807" s="114"/>
      <c r="X1807" s="114"/>
      <c r="Y1807" s="114"/>
      <c r="Z1807" s="114"/>
      <c r="AA1807" s="114"/>
      <c r="AB1807" s="85"/>
      <c r="AC1807" s="85"/>
      <c r="AD1807" s="85"/>
      <c r="AE1807" s="85"/>
    </row>
    <row r="1808" spans="3:31" ht="15" thickBot="1" x14ac:dyDescent="0.35">
      <c r="C1808" s="566" t="s">
        <v>94</v>
      </c>
      <c r="D1808" s="875" t="str">
        <f>VLOOKUP(C1808,'Airport Mapping'!$C$5:$D$39,2,FALSE)</f>
        <v xml:space="preserve"> </v>
      </c>
      <c r="E1808" s="567" t="s">
        <v>8</v>
      </c>
      <c r="F1808" s="567" t="s">
        <v>54</v>
      </c>
      <c r="G1808" s="450" t="str">
        <f t="shared" si="89"/>
        <v>Parking D-Other-Other 3</v>
      </c>
      <c r="H1808" s="567" t="s">
        <v>364</v>
      </c>
      <c r="I1808" s="877" t="s">
        <v>64</v>
      </c>
      <c r="J1808" s="878">
        <f>SUMIFS('Level of Efficiency Assumptions'!J:J,'Level of Efficiency Assumptions'!D:D,E1808,'Level of Efficiency Assumptions'!F:F,F1808,'Level of Efficiency Assumptions'!I:I,I1808)</f>
        <v>10</v>
      </c>
      <c r="K1808" s="383" t="s">
        <v>588</v>
      </c>
      <c r="L1808" s="253" t="s">
        <v>64</v>
      </c>
      <c r="M1808" s="879">
        <f>SUM(Q1808:Q1808)</f>
        <v>0</v>
      </c>
      <c r="N1808" s="880">
        <f>IFERROR(M1808/M1811,"-")</f>
        <v>0</v>
      </c>
      <c r="O1808" s="881">
        <f>SUMIFS('Data Entry'!R:R,'Data Entry'!K:K,G1808)</f>
        <v>0</v>
      </c>
      <c r="P1808" s="272" t="s">
        <v>129</v>
      </c>
      <c r="Q1808" s="895">
        <v>0</v>
      </c>
      <c r="R1808" s="114"/>
      <c r="S1808" s="884"/>
      <c r="T1808" s="270"/>
      <c r="U1808" s="114"/>
      <c r="V1808" s="114"/>
      <c r="W1808" s="114"/>
      <c r="X1808" s="114"/>
      <c r="Y1808" s="114"/>
      <c r="Z1808" s="114"/>
      <c r="AA1808" s="114"/>
      <c r="AB1808" s="85"/>
      <c r="AC1808" s="85"/>
      <c r="AD1808" s="85"/>
      <c r="AE1808" s="85"/>
    </row>
    <row r="1809" spans="3:31" ht="15" thickBot="1" x14ac:dyDescent="0.35">
      <c r="C1809" s="494" t="s">
        <v>94</v>
      </c>
      <c r="D1809" s="577"/>
      <c r="E1809" s="577" t="s">
        <v>8</v>
      </c>
      <c r="F1809" s="577" t="s">
        <v>54</v>
      </c>
      <c r="G1809" s="450" t="str">
        <f t="shared" si="89"/>
        <v>Parking D-Other-Other 3</v>
      </c>
      <c r="H1809" s="577"/>
      <c r="I1809" s="887" t="s">
        <v>65</v>
      </c>
      <c r="J1809" s="878">
        <f>SUMIFS('Level of Efficiency Assumptions'!J:J,'Level of Efficiency Assumptions'!D:D,E1809,'Level of Efficiency Assumptions'!F:F,F1809,'Level of Efficiency Assumptions'!I:I,I1809)</f>
        <v>7.5</v>
      </c>
      <c r="K1809" s="383" t="s">
        <v>588</v>
      </c>
      <c r="L1809" s="255" t="s">
        <v>65</v>
      </c>
      <c r="M1809" s="879">
        <f t="shared" ref="M1809:M1810" si="92">SUM(Q1809:Q1809)</f>
        <v>1</v>
      </c>
      <c r="N1809" s="880">
        <f>IFERROR(M1809/M1811,"-")</f>
        <v>1</v>
      </c>
      <c r="O1809" s="881">
        <f>SUMIFS('Data Entry'!S:S,'Data Entry'!K:K,G1809)</f>
        <v>0</v>
      </c>
      <c r="P1809" s="274" t="s">
        <v>233</v>
      </c>
      <c r="Q1809" s="895">
        <v>1</v>
      </c>
      <c r="R1809" s="114"/>
      <c r="S1809" s="884"/>
      <c r="T1809" s="270"/>
      <c r="U1809" s="114"/>
      <c r="V1809" s="114"/>
      <c r="W1809" s="114"/>
      <c r="X1809" s="114"/>
      <c r="Y1809" s="114"/>
      <c r="Z1809" s="114"/>
      <c r="AA1809" s="114"/>
      <c r="AB1809" s="85"/>
      <c r="AC1809" s="85"/>
      <c r="AD1809" s="85"/>
      <c r="AE1809" s="85"/>
    </row>
    <row r="1810" spans="3:31" ht="15" thickBot="1" x14ac:dyDescent="0.35">
      <c r="C1810" s="501" t="s">
        <v>94</v>
      </c>
      <c r="D1810" s="116"/>
      <c r="E1810" s="116" t="s">
        <v>8</v>
      </c>
      <c r="F1810" s="116" t="s">
        <v>54</v>
      </c>
      <c r="G1810" s="450" t="str">
        <f t="shared" si="89"/>
        <v>Parking D-Other-Other 3</v>
      </c>
      <c r="H1810" s="116"/>
      <c r="I1810" s="889" t="s">
        <v>66</v>
      </c>
      <c r="J1810" s="890">
        <f>SUMIFS('Level of Efficiency Assumptions'!J:J,'Level of Efficiency Assumptions'!D:D,E1810,'Level of Efficiency Assumptions'!F:F,F1810,'Level of Efficiency Assumptions'!I:I,I1810)</f>
        <v>5</v>
      </c>
      <c r="K1810" s="383" t="s">
        <v>588</v>
      </c>
      <c r="L1810" s="257" t="s">
        <v>66</v>
      </c>
      <c r="M1810" s="879">
        <f t="shared" si="92"/>
        <v>0</v>
      </c>
      <c r="N1810" s="880">
        <f>IFERROR(M1810/M1811,"-")</f>
        <v>0</v>
      </c>
      <c r="O1810" s="881">
        <f>SUMIFS('Data Entry'!T:T,'Data Entry'!K:K,G1810)</f>
        <v>0</v>
      </c>
      <c r="P1810" s="269" t="s">
        <v>234</v>
      </c>
      <c r="Q1810" s="895">
        <v>0</v>
      </c>
      <c r="R1810" s="114"/>
      <c r="S1810" s="884"/>
      <c r="T1810" s="270"/>
      <c r="U1810" s="114"/>
      <c r="V1810" s="114"/>
      <c r="W1810" s="114"/>
      <c r="X1810" s="114"/>
      <c r="Y1810" s="114"/>
      <c r="Z1810" s="114"/>
      <c r="AA1810" s="114"/>
      <c r="AB1810" s="85"/>
      <c r="AC1810" s="85"/>
      <c r="AD1810" s="85"/>
      <c r="AE1810" s="85"/>
    </row>
    <row r="1811" spans="3:31" x14ac:dyDescent="0.3">
      <c r="C1811" s="450"/>
      <c r="D1811" s="182"/>
      <c r="E1811" s="182"/>
      <c r="F1811" s="182"/>
      <c r="G1811" s="450" t="str">
        <f t="shared" si="89"/>
        <v>--</v>
      </c>
      <c r="H1811" s="182"/>
      <c r="I1811" s="440"/>
      <c r="J1811" s="892"/>
      <c r="K1811" s="259"/>
      <c r="L1811" s="259" t="s">
        <v>46</v>
      </c>
      <c r="M1811" s="893">
        <f>SUM(M1808:M1810)</f>
        <v>1</v>
      </c>
      <c r="N1811" s="894"/>
      <c r="O1811" s="894">
        <f>SUM(O1808:O1810)</f>
        <v>0</v>
      </c>
      <c r="P1811" s="263" t="s">
        <v>46</v>
      </c>
      <c r="Q1811" s="897">
        <f>SUM(Q1808:Q1810)</f>
        <v>1</v>
      </c>
      <c r="R1811" s="899"/>
      <c r="S1811" s="900"/>
      <c r="T1811" s="270"/>
      <c r="U1811" s="114"/>
      <c r="V1811" s="114"/>
      <c r="W1811" s="114"/>
      <c r="X1811" s="114"/>
      <c r="Y1811" s="114"/>
      <c r="Z1811" s="114"/>
      <c r="AA1811" s="114"/>
      <c r="AB1811" s="85"/>
      <c r="AC1811" s="85"/>
      <c r="AD1811" s="85"/>
      <c r="AE1811" s="85"/>
    </row>
    <row r="1812" spans="3:31" ht="15" thickBot="1" x14ac:dyDescent="0.35">
      <c r="C1812" s="451"/>
      <c r="D1812" s="184"/>
      <c r="E1812" s="184"/>
      <c r="F1812" s="184"/>
      <c r="G1812" s="450" t="str">
        <f t="shared" si="89"/>
        <v>--</v>
      </c>
      <c r="H1812" s="184"/>
      <c r="I1812" s="184"/>
      <c r="J1812" s="184"/>
      <c r="K1812" s="184"/>
      <c r="L1812" s="184"/>
      <c r="M1812" s="924"/>
      <c r="N1812" s="281"/>
      <c r="O1812" s="925"/>
      <c r="P1812" s="184"/>
      <c r="Q1812" s="924"/>
      <c r="R1812" s="184"/>
      <c r="S1812" s="184"/>
      <c r="T1812" s="184"/>
      <c r="U1812" s="184"/>
      <c r="V1812" s="184"/>
      <c r="W1812" s="184"/>
      <c r="X1812" s="184"/>
      <c r="Y1812" s="184"/>
      <c r="Z1812" s="184"/>
      <c r="AA1812" s="184"/>
      <c r="AB1812" s="184"/>
      <c r="AC1812" s="184"/>
      <c r="AD1812" s="184"/>
      <c r="AE1812" s="184"/>
    </row>
    <row r="1813" spans="3:31" x14ac:dyDescent="0.3">
      <c r="C1813" s="450"/>
      <c r="D1813" s="182"/>
      <c r="E1813" s="182"/>
      <c r="F1813" s="182"/>
      <c r="G1813" s="450" t="str">
        <f t="shared" si="89"/>
        <v>--</v>
      </c>
      <c r="H1813" s="182"/>
      <c r="I1813" s="892"/>
      <c r="J1813" s="892"/>
      <c r="K1813" s="182"/>
      <c r="L1813" s="181"/>
      <c r="M1813" s="114"/>
      <c r="N1813" s="892"/>
      <c r="O1813" s="892"/>
      <c r="P1813" s="114"/>
      <c r="Q1813" s="114"/>
      <c r="R1813" s="114"/>
      <c r="S1813" s="114"/>
      <c r="T1813" s="114"/>
      <c r="U1813" s="114"/>
      <c r="V1813" s="114"/>
      <c r="W1813" s="114"/>
      <c r="X1813" s="114"/>
      <c r="Y1813" s="114"/>
      <c r="Z1813" s="114"/>
      <c r="AA1813" s="114"/>
      <c r="AB1813" s="85"/>
      <c r="AC1813" s="85"/>
      <c r="AD1813" s="85"/>
      <c r="AE1813" s="85"/>
    </row>
    <row r="1814" spans="3:31" x14ac:dyDescent="0.3">
      <c r="C1814" s="450"/>
      <c r="D1814" s="182"/>
      <c r="E1814" s="182"/>
      <c r="F1814" s="182"/>
      <c r="G1814" s="450" t="str">
        <f t="shared" si="89"/>
        <v>--</v>
      </c>
      <c r="H1814" s="182"/>
      <c r="I1814" s="892"/>
      <c r="J1814" s="892"/>
      <c r="K1814" s="182"/>
      <c r="L1814" s="182"/>
      <c r="M1814" s="270"/>
      <c r="N1814" s="892"/>
      <c r="O1814" s="892"/>
      <c r="P1814" s="276" t="s">
        <v>42</v>
      </c>
      <c r="Q1814" s="902"/>
      <c r="R1814" s="902"/>
      <c r="S1814" s="902"/>
      <c r="T1814" s="271"/>
      <c r="U1814" s="114"/>
      <c r="V1814" s="114"/>
      <c r="W1814" s="114"/>
      <c r="X1814" s="114"/>
      <c r="Y1814" s="114"/>
      <c r="Z1814" s="114"/>
      <c r="AA1814" s="114"/>
      <c r="AB1814" s="85"/>
      <c r="AC1814" s="85"/>
      <c r="AD1814" s="85"/>
      <c r="AE1814" s="85"/>
    </row>
    <row r="1815" spans="3:31" ht="15" thickBot="1" x14ac:dyDescent="0.35">
      <c r="C1815" s="450"/>
      <c r="D1815" s="182"/>
      <c r="E1815" s="182"/>
      <c r="F1815" s="182"/>
      <c r="G1815" s="450" t="str">
        <f t="shared" si="89"/>
        <v>--</v>
      </c>
      <c r="H1815" s="182"/>
      <c r="I1815" s="892"/>
      <c r="J1815" s="892"/>
      <c r="K1815" s="182"/>
      <c r="L1815" s="182"/>
      <c r="M1815" s="901" t="s">
        <v>155</v>
      </c>
      <c r="N1815" s="870" t="s">
        <v>188</v>
      </c>
      <c r="O1815" s="870"/>
      <c r="P1815" s="277" t="s">
        <v>818</v>
      </c>
      <c r="Q1815" s="871" t="s">
        <v>155</v>
      </c>
      <c r="R1815" s="114"/>
      <c r="S1815" s="114"/>
      <c r="T1815" s="271"/>
      <c r="U1815" s="114"/>
      <c r="V1815" s="114"/>
      <c r="W1815" s="114"/>
      <c r="X1815" s="114"/>
      <c r="Y1815" s="114"/>
      <c r="Z1815" s="114"/>
      <c r="AA1815" s="114"/>
      <c r="AB1815" s="85"/>
      <c r="AC1815" s="85"/>
      <c r="AD1815" s="85"/>
      <c r="AE1815" s="85"/>
    </row>
    <row r="1816" spans="3:31" ht="15" thickBot="1" x14ac:dyDescent="0.35">
      <c r="C1816" s="566" t="s">
        <v>95</v>
      </c>
      <c r="D1816" s="875" t="str">
        <f>VLOOKUP(C1816,'Airport Mapping'!$C$5:$D$39,2,FALSE)</f>
        <v xml:space="preserve"> </v>
      </c>
      <c r="E1816" s="567" t="s">
        <v>39</v>
      </c>
      <c r="F1816" s="567" t="s">
        <v>42</v>
      </c>
      <c r="G1816" s="450" t="str">
        <f t="shared" si="89"/>
        <v>Parking E-Landscaping-Outdoor irrigation</v>
      </c>
      <c r="H1816" s="567" t="s">
        <v>32</v>
      </c>
      <c r="I1816" s="877" t="s">
        <v>64</v>
      </c>
      <c r="J1816" s="878">
        <f>SUMIFS('Level of Efficiency Assumptions'!J:J,'Level of Efficiency Assumptions'!D:D,E1816,'Level of Efficiency Assumptions'!F:F,F1816,'Level of Efficiency Assumptions'!I:I,I1816)</f>
        <v>28.6</v>
      </c>
      <c r="K1816" s="383" t="s">
        <v>816</v>
      </c>
      <c r="L1816" s="253" t="s">
        <v>64</v>
      </c>
      <c r="M1816" s="879">
        <f>SUM(Q1816:Q1817)</f>
        <v>0</v>
      </c>
      <c r="N1816" s="880">
        <f>IFERROR(M1816/M1819,"-")</f>
        <v>0</v>
      </c>
      <c r="O1816" s="881">
        <f>SUMIFS('Data Entry'!R:R,'Data Entry'!K:K,G1816)</f>
        <v>0</v>
      </c>
      <c r="P1816" s="272" t="s">
        <v>237</v>
      </c>
      <c r="Q1816" s="895">
        <v>0</v>
      </c>
      <c r="R1816" s="114"/>
      <c r="S1816" s="114"/>
      <c r="T1816" s="271"/>
      <c r="U1816" s="114"/>
      <c r="V1816" s="114"/>
      <c r="W1816" s="114"/>
      <c r="X1816" s="114"/>
      <c r="Y1816" s="114"/>
      <c r="Z1816" s="114"/>
      <c r="AA1816" s="114"/>
      <c r="AB1816" s="85"/>
      <c r="AC1816" s="85"/>
      <c r="AD1816" s="85"/>
      <c r="AE1816" s="85"/>
    </row>
    <row r="1817" spans="3:31" ht="15" thickBot="1" x14ac:dyDescent="0.35">
      <c r="C1817" s="494" t="s">
        <v>95</v>
      </c>
      <c r="D1817" s="577"/>
      <c r="E1817" s="577" t="s">
        <v>39</v>
      </c>
      <c r="F1817" s="577" t="s">
        <v>42</v>
      </c>
      <c r="G1817" s="450" t="str">
        <f t="shared" si="89"/>
        <v>Parking E-Landscaping-Outdoor irrigation</v>
      </c>
      <c r="H1817" s="577"/>
      <c r="I1817" s="887" t="s">
        <v>65</v>
      </c>
      <c r="J1817" s="878">
        <f>SUMIFS('Level of Efficiency Assumptions'!J:J,'Level of Efficiency Assumptions'!D:D,E1817,'Level of Efficiency Assumptions'!F:F,F1817,'Level of Efficiency Assumptions'!I:I,I1817)</f>
        <v>13.980821518350929</v>
      </c>
      <c r="K1817" s="383" t="s">
        <v>816</v>
      </c>
      <c r="L1817" s="255" t="s">
        <v>65</v>
      </c>
      <c r="M1817" s="879">
        <f>Q1818+Q1819</f>
        <v>1</v>
      </c>
      <c r="N1817" s="880">
        <f>IFERROR(M1817/M1819,"-")</f>
        <v>1</v>
      </c>
      <c r="O1817" s="881">
        <f>SUMIFS('Data Entry'!S:S,'Data Entry'!K:K,G1817)</f>
        <v>0</v>
      </c>
      <c r="P1817" s="272" t="s">
        <v>232</v>
      </c>
      <c r="Q1817" s="895">
        <v>0</v>
      </c>
      <c r="R1817" s="114"/>
      <c r="S1817" s="114"/>
      <c r="T1817" s="271"/>
      <c r="U1817" s="114"/>
      <c r="V1817" s="114"/>
      <c r="W1817" s="114"/>
      <c r="X1817" s="114"/>
      <c r="Y1817" s="114"/>
      <c r="Z1817" s="114"/>
      <c r="AA1817" s="114"/>
      <c r="AB1817" s="85"/>
      <c r="AC1817" s="85"/>
      <c r="AD1817" s="85"/>
      <c r="AE1817" s="85"/>
    </row>
    <row r="1818" spans="3:31" ht="15" thickBot="1" x14ac:dyDescent="0.35">
      <c r="C1818" s="501" t="s">
        <v>95</v>
      </c>
      <c r="D1818" s="116"/>
      <c r="E1818" s="116" t="s">
        <v>39</v>
      </c>
      <c r="F1818" s="116" t="s">
        <v>42</v>
      </c>
      <c r="G1818" s="450" t="str">
        <f t="shared" si="89"/>
        <v>Parking E-Landscaping-Outdoor irrigation</v>
      </c>
      <c r="H1818" s="116"/>
      <c r="I1818" s="889" t="s">
        <v>66</v>
      </c>
      <c r="J1818" s="890">
        <f>SUMIFS('Level of Efficiency Assumptions'!J:J,'Level of Efficiency Assumptions'!D:D,E1818,'Level of Efficiency Assumptions'!F:F,F1818,'Level of Efficiency Assumptions'!I:I,I1818)</f>
        <v>0.59137254901960778</v>
      </c>
      <c r="K1818" s="383" t="s">
        <v>816</v>
      </c>
      <c r="L1818" s="257" t="s">
        <v>66</v>
      </c>
      <c r="M1818" s="879">
        <f>Q1820+Q1821</f>
        <v>0</v>
      </c>
      <c r="N1818" s="880">
        <f>IFERROR(M1818/M1819,"-")</f>
        <v>0</v>
      </c>
      <c r="O1818" s="881">
        <f>SUMIFS('Data Entry'!T:T,'Data Entry'!K:K,G1818)</f>
        <v>0</v>
      </c>
      <c r="P1818" s="274" t="s">
        <v>231</v>
      </c>
      <c r="Q1818" s="895">
        <v>1</v>
      </c>
      <c r="R1818" s="114"/>
      <c r="S1818" s="114"/>
      <c r="T1818" s="271"/>
      <c r="U1818" s="114"/>
      <c r="V1818" s="114"/>
      <c r="W1818" s="114"/>
      <c r="X1818" s="114"/>
      <c r="Y1818" s="114"/>
      <c r="Z1818" s="114"/>
      <c r="AA1818" s="114"/>
      <c r="AB1818" s="85"/>
      <c r="AC1818" s="85"/>
      <c r="AD1818" s="85"/>
      <c r="AE1818" s="85"/>
    </row>
    <row r="1819" spans="3:31" x14ac:dyDescent="0.3">
      <c r="C1819" s="450"/>
      <c r="D1819" s="182"/>
      <c r="E1819" s="182"/>
      <c r="F1819" s="182"/>
      <c r="G1819" s="450" t="str">
        <f t="shared" si="89"/>
        <v>--</v>
      </c>
      <c r="H1819" s="182"/>
      <c r="I1819" s="440"/>
      <c r="J1819" s="892"/>
      <c r="K1819" s="259"/>
      <c r="L1819" s="259" t="s">
        <v>46</v>
      </c>
      <c r="M1819" s="893">
        <f>SUM(M1816:M1818)</f>
        <v>1</v>
      </c>
      <c r="N1819" s="894"/>
      <c r="O1819" s="894">
        <f>SUM(O1816:O1818)</f>
        <v>0</v>
      </c>
      <c r="P1819" s="274" t="s">
        <v>230</v>
      </c>
      <c r="Q1819" s="895">
        <v>0</v>
      </c>
      <c r="R1819" s="114"/>
      <c r="S1819" s="114"/>
      <c r="T1819" s="271"/>
      <c r="U1819" s="114"/>
      <c r="V1819" s="114"/>
      <c r="W1819" s="114"/>
      <c r="X1819" s="114"/>
      <c r="Y1819" s="114"/>
      <c r="Z1819" s="114"/>
      <c r="AA1819" s="114"/>
      <c r="AB1819" s="85"/>
      <c r="AC1819" s="85"/>
      <c r="AD1819" s="85"/>
      <c r="AE1819" s="85"/>
    </row>
    <row r="1820" spans="3:31" x14ac:dyDescent="0.3">
      <c r="C1820" s="450"/>
      <c r="D1820" s="182"/>
      <c r="E1820" s="182"/>
      <c r="F1820" s="182"/>
      <c r="G1820" s="450" t="str">
        <f t="shared" si="89"/>
        <v>--</v>
      </c>
      <c r="H1820" s="182"/>
      <c r="I1820" s="892"/>
      <c r="J1820" s="288"/>
      <c r="K1820" s="182"/>
      <c r="L1820" s="182"/>
      <c r="M1820" s="270"/>
      <c r="N1820" s="892"/>
      <c r="O1820" s="892"/>
      <c r="P1820" s="275" t="s">
        <v>229</v>
      </c>
      <c r="Q1820" s="895">
        <v>0</v>
      </c>
      <c r="R1820" s="114"/>
      <c r="S1820" s="114"/>
      <c r="T1820" s="271"/>
      <c r="U1820" s="114"/>
      <c r="V1820" s="114"/>
      <c r="W1820" s="114"/>
      <c r="X1820" s="114"/>
      <c r="Y1820" s="114"/>
      <c r="Z1820" s="114"/>
      <c r="AA1820" s="114"/>
      <c r="AB1820" s="85"/>
      <c r="AC1820" s="85"/>
      <c r="AD1820" s="85"/>
      <c r="AE1820" s="85"/>
    </row>
    <row r="1821" spans="3:31" x14ac:dyDescent="0.3">
      <c r="C1821" s="450"/>
      <c r="D1821" s="182"/>
      <c r="E1821" s="182"/>
      <c r="F1821" s="182"/>
      <c r="G1821" s="450" t="str">
        <f t="shared" si="89"/>
        <v>--</v>
      </c>
      <c r="H1821" s="182"/>
      <c r="I1821" s="892"/>
      <c r="J1821" s="288"/>
      <c r="K1821" s="182"/>
      <c r="L1821" s="182"/>
      <c r="M1821" s="270"/>
      <c r="N1821" s="892"/>
      <c r="O1821" s="892"/>
      <c r="P1821" s="269" t="s">
        <v>225</v>
      </c>
      <c r="Q1821" s="895">
        <v>0</v>
      </c>
      <c r="R1821" s="114"/>
      <c r="S1821" s="114"/>
      <c r="T1821" s="271"/>
      <c r="U1821" s="114"/>
      <c r="V1821" s="114"/>
      <c r="W1821" s="114"/>
      <c r="X1821" s="114"/>
      <c r="Y1821" s="114"/>
      <c r="Z1821" s="114"/>
      <c r="AA1821" s="114"/>
      <c r="AB1821" s="85"/>
      <c r="AC1821" s="85"/>
      <c r="AD1821" s="85"/>
      <c r="AE1821" s="85"/>
    </row>
    <row r="1822" spans="3:31" x14ac:dyDescent="0.3">
      <c r="C1822" s="450"/>
      <c r="D1822" s="182"/>
      <c r="E1822" s="182"/>
      <c r="F1822" s="182"/>
      <c r="G1822" s="450" t="str">
        <f t="shared" si="89"/>
        <v>--</v>
      </c>
      <c r="H1822" s="182"/>
      <c r="I1822" s="892"/>
      <c r="J1822" s="288"/>
      <c r="K1822" s="182"/>
      <c r="L1822" s="182"/>
      <c r="M1822" s="270"/>
      <c r="N1822" s="892"/>
      <c r="O1822" s="892"/>
      <c r="P1822" s="263" t="s">
        <v>46</v>
      </c>
      <c r="Q1822" s="897">
        <f>SUM(Q1816:Q1821)</f>
        <v>1</v>
      </c>
      <c r="R1822" s="899"/>
      <c r="S1822" s="899"/>
      <c r="T1822" s="271"/>
      <c r="U1822" s="114"/>
      <c r="V1822" s="114"/>
      <c r="W1822" s="114"/>
      <c r="X1822" s="114"/>
      <c r="Y1822" s="114"/>
      <c r="Z1822" s="114"/>
      <c r="AA1822" s="114"/>
      <c r="AB1822" s="85"/>
      <c r="AC1822" s="85"/>
      <c r="AD1822" s="85"/>
      <c r="AE1822" s="85"/>
    </row>
    <row r="1823" spans="3:31" x14ac:dyDescent="0.3">
      <c r="C1823" s="450"/>
      <c r="D1823" s="182"/>
      <c r="E1823" s="182"/>
      <c r="F1823" s="182"/>
      <c r="G1823" s="450" t="str">
        <f t="shared" si="89"/>
        <v>--</v>
      </c>
      <c r="H1823" s="182"/>
      <c r="I1823" s="892"/>
      <c r="J1823" s="288"/>
      <c r="K1823" s="182"/>
      <c r="L1823" s="182"/>
      <c r="M1823" s="270"/>
      <c r="N1823" s="892"/>
      <c r="O1823" s="892"/>
      <c r="P1823" s="259"/>
      <c r="Q1823" s="114"/>
      <c r="R1823" s="270"/>
      <c r="S1823" s="270"/>
      <c r="T1823" s="270"/>
      <c r="U1823" s="270"/>
      <c r="V1823" s="270"/>
      <c r="W1823" s="114"/>
      <c r="X1823" s="114"/>
      <c r="Y1823" s="114"/>
      <c r="Z1823" s="114"/>
      <c r="AA1823" s="114"/>
      <c r="AB1823" s="85"/>
      <c r="AC1823" s="85"/>
      <c r="AD1823" s="85"/>
      <c r="AE1823" s="85"/>
    </row>
    <row r="1824" spans="3:31" ht="15" thickBot="1" x14ac:dyDescent="0.35">
      <c r="C1824" s="450"/>
      <c r="D1824" s="182"/>
      <c r="E1824" s="182"/>
      <c r="F1824" s="182"/>
      <c r="G1824" s="450" t="str">
        <f t="shared" si="89"/>
        <v>--</v>
      </c>
      <c r="H1824" s="182"/>
      <c r="I1824" s="892"/>
      <c r="J1824" s="892"/>
      <c r="K1824" s="182"/>
      <c r="L1824" s="182"/>
      <c r="M1824" s="901" t="s">
        <v>155</v>
      </c>
      <c r="N1824" s="870" t="s">
        <v>188</v>
      </c>
      <c r="O1824" s="870"/>
      <c r="P1824" s="276" t="s">
        <v>9</v>
      </c>
      <c r="Q1824" s="871" t="s">
        <v>155</v>
      </c>
      <c r="R1824" s="902"/>
      <c r="S1824" s="874"/>
      <c r="T1824" s="270"/>
      <c r="U1824" s="270"/>
      <c r="V1824" s="270"/>
      <c r="W1824" s="114"/>
      <c r="X1824" s="114"/>
      <c r="Y1824" s="114"/>
      <c r="Z1824" s="114"/>
      <c r="AA1824" s="114"/>
      <c r="AB1824" s="85"/>
      <c r="AC1824" s="85"/>
      <c r="AD1824" s="85"/>
      <c r="AE1824" s="85"/>
    </row>
    <row r="1825" spans="3:31" ht="15" thickBot="1" x14ac:dyDescent="0.35">
      <c r="C1825" s="566" t="s">
        <v>95</v>
      </c>
      <c r="D1825" s="875" t="str">
        <f>VLOOKUP(C1825,'Airport Mapping'!$C$5:$D$39,2,FALSE)</f>
        <v xml:space="preserve"> </v>
      </c>
      <c r="E1825" s="567" t="s">
        <v>43</v>
      </c>
      <c r="F1825" s="567" t="s">
        <v>9</v>
      </c>
      <c r="G1825" s="450" t="str">
        <f t="shared" si="89"/>
        <v>Parking E-Maintenance-Vehicle washing</v>
      </c>
      <c r="H1825" s="567" t="s">
        <v>282</v>
      </c>
      <c r="I1825" s="877" t="s">
        <v>64</v>
      </c>
      <c r="J1825" s="878">
        <f>SUMIFS('Level of Efficiency Assumptions'!J:J,'Level of Efficiency Assumptions'!D:D,E1825,'Level of Efficiency Assumptions'!F:F,F1825,'Level of Efficiency Assumptions'!I:I,I1825)</f>
        <v>80</v>
      </c>
      <c r="K1825" s="383" t="s">
        <v>588</v>
      </c>
      <c r="L1825" s="253" t="s">
        <v>64</v>
      </c>
      <c r="M1825" s="879">
        <f>SUM(Q1825:Q1826)</f>
        <v>0</v>
      </c>
      <c r="N1825" s="880">
        <f>IFERROR(M1825/M1828,"-")</f>
        <v>0</v>
      </c>
      <c r="O1825" s="881">
        <f>SUMIFS('Data Entry'!R:R,'Data Entry'!K:K,G1825)</f>
        <v>0</v>
      </c>
      <c r="P1825" s="272"/>
      <c r="Q1825" s="895">
        <v>0</v>
      </c>
      <c r="R1825" s="114"/>
      <c r="S1825" s="884"/>
      <c r="T1825" s="270"/>
      <c r="U1825" s="270"/>
      <c r="V1825" s="270"/>
      <c r="W1825" s="114"/>
      <c r="X1825" s="114"/>
      <c r="Y1825" s="114"/>
      <c r="Z1825" s="114"/>
      <c r="AA1825" s="114"/>
      <c r="AB1825" s="85"/>
      <c r="AC1825" s="85"/>
      <c r="AD1825" s="85"/>
      <c r="AE1825" s="85"/>
    </row>
    <row r="1826" spans="3:31" ht="15" thickBot="1" x14ac:dyDescent="0.35">
      <c r="C1826" s="494" t="s">
        <v>95</v>
      </c>
      <c r="D1826" s="577"/>
      <c r="E1826" s="577" t="s">
        <v>43</v>
      </c>
      <c r="F1826" s="577" t="s">
        <v>9</v>
      </c>
      <c r="G1826" s="450" t="str">
        <f t="shared" si="89"/>
        <v>Parking E-Maintenance-Vehicle washing</v>
      </c>
      <c r="H1826" s="577"/>
      <c r="I1826" s="887" t="s">
        <v>65</v>
      </c>
      <c r="J1826" s="878">
        <f>SUMIFS('Level of Efficiency Assumptions'!J:J,'Level of Efficiency Assumptions'!D:D,E1826,'Level of Efficiency Assumptions'!F:F,F1826,'Level of Efficiency Assumptions'!I:I,I1826)</f>
        <v>40</v>
      </c>
      <c r="K1826" s="383" t="s">
        <v>588</v>
      </c>
      <c r="L1826" s="255" t="s">
        <v>65</v>
      </c>
      <c r="M1826" s="879">
        <f>Q1827+Q1828</f>
        <v>1</v>
      </c>
      <c r="N1826" s="880">
        <f>IFERROR(M1826/M1828,"-")</f>
        <v>1</v>
      </c>
      <c r="O1826" s="881">
        <f>SUMIFS('Data Entry'!S:S,'Data Entry'!K:K,G1826)</f>
        <v>0</v>
      </c>
      <c r="P1826" s="272"/>
      <c r="Q1826" s="895">
        <v>0</v>
      </c>
      <c r="R1826" s="114"/>
      <c r="S1826" s="884"/>
      <c r="T1826" s="270"/>
      <c r="U1826" s="270"/>
      <c r="V1826" s="270"/>
      <c r="W1826" s="114"/>
      <c r="X1826" s="114"/>
      <c r="Y1826" s="114"/>
      <c r="Z1826" s="114"/>
      <c r="AA1826" s="114"/>
      <c r="AB1826" s="85"/>
      <c r="AC1826" s="85"/>
      <c r="AD1826" s="85"/>
      <c r="AE1826" s="85"/>
    </row>
    <row r="1827" spans="3:31" ht="15" thickBot="1" x14ac:dyDescent="0.35">
      <c r="C1827" s="501" t="s">
        <v>95</v>
      </c>
      <c r="D1827" s="116"/>
      <c r="E1827" s="116" t="s">
        <v>43</v>
      </c>
      <c r="F1827" s="116" t="s">
        <v>9</v>
      </c>
      <c r="G1827" s="450" t="str">
        <f t="shared" si="89"/>
        <v>Parking E-Maintenance-Vehicle washing</v>
      </c>
      <c r="H1827" s="116"/>
      <c r="I1827" s="889" t="s">
        <v>66</v>
      </c>
      <c r="J1827" s="890">
        <f>SUMIFS('Level of Efficiency Assumptions'!J:J,'Level of Efficiency Assumptions'!D:D,E1827,'Level of Efficiency Assumptions'!F:F,F1827,'Level of Efficiency Assumptions'!I:I,I1827)</f>
        <v>30</v>
      </c>
      <c r="K1827" s="383" t="s">
        <v>588</v>
      </c>
      <c r="L1827" s="257" t="s">
        <v>66</v>
      </c>
      <c r="M1827" s="879">
        <f>Q1829+Q1830</f>
        <v>0</v>
      </c>
      <c r="N1827" s="880">
        <f>IFERROR(M1827/M1828,"-")</f>
        <v>0</v>
      </c>
      <c r="O1827" s="881">
        <f>SUMIFS('Data Entry'!T:T,'Data Entry'!K:K,G1827)</f>
        <v>0</v>
      </c>
      <c r="P1827" s="274"/>
      <c r="Q1827" s="895">
        <v>1</v>
      </c>
      <c r="R1827" s="114"/>
      <c r="S1827" s="884"/>
      <c r="T1827" s="270"/>
      <c r="U1827" s="270"/>
      <c r="V1827" s="270"/>
      <c r="W1827" s="114"/>
      <c r="X1827" s="114"/>
      <c r="Y1827" s="114"/>
      <c r="Z1827" s="114"/>
      <c r="AA1827" s="114"/>
      <c r="AB1827" s="85"/>
      <c r="AC1827" s="85"/>
      <c r="AD1827" s="85"/>
      <c r="AE1827" s="85"/>
    </row>
    <row r="1828" spans="3:31" x14ac:dyDescent="0.3">
      <c r="C1828" s="450"/>
      <c r="D1828" s="182"/>
      <c r="E1828" s="182"/>
      <c r="F1828" s="182"/>
      <c r="G1828" s="450" t="str">
        <f t="shared" si="89"/>
        <v>--</v>
      </c>
      <c r="H1828" s="182"/>
      <c r="I1828" s="440"/>
      <c r="J1828" s="892"/>
      <c r="K1828" s="259"/>
      <c r="L1828" s="259" t="s">
        <v>46</v>
      </c>
      <c r="M1828" s="893">
        <f>SUM(M1825:M1827)</f>
        <v>1</v>
      </c>
      <c r="N1828" s="894"/>
      <c r="O1828" s="894">
        <f>SUM(O1825:O1827)</f>
        <v>0</v>
      </c>
      <c r="P1828" s="274"/>
      <c r="Q1828" s="895">
        <v>0</v>
      </c>
      <c r="R1828" s="114"/>
      <c r="S1828" s="884"/>
      <c r="T1828" s="270"/>
      <c r="U1828" s="270"/>
      <c r="V1828" s="270"/>
      <c r="W1828" s="114"/>
      <c r="X1828" s="114"/>
      <c r="Y1828" s="114"/>
      <c r="Z1828" s="114"/>
      <c r="AA1828" s="114"/>
      <c r="AB1828" s="85"/>
      <c r="AC1828" s="85"/>
      <c r="AD1828" s="85"/>
      <c r="AE1828" s="85"/>
    </row>
    <row r="1829" spans="3:31" x14ac:dyDescent="0.3">
      <c r="C1829" s="450"/>
      <c r="D1829" s="182"/>
      <c r="E1829" s="182"/>
      <c r="F1829" s="182"/>
      <c r="G1829" s="450" t="str">
        <f t="shared" si="89"/>
        <v>--</v>
      </c>
      <c r="H1829" s="182"/>
      <c r="I1829" s="892"/>
      <c r="J1829" s="288"/>
      <c r="K1829" s="182"/>
      <c r="L1829" s="182"/>
      <c r="M1829" s="270"/>
      <c r="N1829" s="892"/>
      <c r="O1829" s="892"/>
      <c r="P1829" s="275"/>
      <c r="Q1829" s="895">
        <v>0</v>
      </c>
      <c r="R1829" s="114"/>
      <c r="S1829" s="884"/>
      <c r="T1829" s="270"/>
      <c r="U1829" s="270"/>
      <c r="V1829" s="270"/>
      <c r="W1829" s="114"/>
      <c r="X1829" s="114"/>
      <c r="Y1829" s="114"/>
      <c r="Z1829" s="114"/>
      <c r="AA1829" s="114"/>
      <c r="AB1829" s="85"/>
      <c r="AC1829" s="85"/>
      <c r="AD1829" s="85"/>
      <c r="AE1829" s="85"/>
    </row>
    <row r="1830" spans="3:31" x14ac:dyDescent="0.3">
      <c r="C1830" s="450"/>
      <c r="D1830" s="182"/>
      <c r="E1830" s="182"/>
      <c r="F1830" s="182"/>
      <c r="G1830" s="450" t="str">
        <f t="shared" si="89"/>
        <v>--</v>
      </c>
      <c r="H1830" s="182"/>
      <c r="I1830" s="892"/>
      <c r="J1830" s="288"/>
      <c r="K1830" s="182"/>
      <c r="L1830" s="182"/>
      <c r="M1830" s="270"/>
      <c r="N1830" s="892"/>
      <c r="O1830" s="892"/>
      <c r="P1830" s="269"/>
      <c r="Q1830" s="895">
        <v>0</v>
      </c>
      <c r="R1830" s="114"/>
      <c r="S1830" s="884"/>
      <c r="T1830" s="270"/>
      <c r="U1830" s="270"/>
      <c r="V1830" s="270"/>
      <c r="W1830" s="114"/>
      <c r="X1830" s="114"/>
      <c r="Y1830" s="114"/>
      <c r="Z1830" s="114"/>
      <c r="AA1830" s="114"/>
      <c r="AB1830" s="85"/>
      <c r="AC1830" s="85"/>
      <c r="AD1830" s="85"/>
      <c r="AE1830" s="85"/>
    </row>
    <row r="1831" spans="3:31" x14ac:dyDescent="0.3">
      <c r="C1831" s="450"/>
      <c r="D1831" s="182"/>
      <c r="E1831" s="182"/>
      <c r="F1831" s="182"/>
      <c r="G1831" s="450" t="str">
        <f t="shared" si="89"/>
        <v>--</v>
      </c>
      <c r="H1831" s="182"/>
      <c r="I1831" s="892"/>
      <c r="J1831" s="288"/>
      <c r="K1831" s="182"/>
      <c r="L1831" s="182"/>
      <c r="M1831" s="270"/>
      <c r="N1831" s="892"/>
      <c r="O1831" s="892"/>
      <c r="P1831" s="263" t="s">
        <v>46</v>
      </c>
      <c r="Q1831" s="897">
        <f>SUM(Q1825:Q1830)</f>
        <v>1</v>
      </c>
      <c r="R1831" s="899"/>
      <c r="S1831" s="900"/>
      <c r="T1831" s="270"/>
      <c r="U1831" s="270"/>
      <c r="V1831" s="270"/>
      <c r="W1831" s="114"/>
      <c r="X1831" s="114"/>
      <c r="Y1831" s="114"/>
      <c r="Z1831" s="114"/>
      <c r="AA1831" s="114"/>
      <c r="AB1831" s="85"/>
      <c r="AC1831" s="85"/>
      <c r="AD1831" s="85"/>
      <c r="AE1831" s="85"/>
    </row>
    <row r="1832" spans="3:31" x14ac:dyDescent="0.3">
      <c r="C1832" s="450"/>
      <c r="D1832" s="182"/>
      <c r="E1832" s="182"/>
      <c r="F1832" s="182"/>
      <c r="G1832" s="450" t="str">
        <f t="shared" ref="G1832:G1890" si="93">C1832&amp;"-"&amp;E1832&amp;"-"&amp;F1832</f>
        <v>--</v>
      </c>
      <c r="H1832" s="182"/>
      <c r="I1832" s="892"/>
      <c r="J1832" s="288"/>
      <c r="K1832" s="182"/>
      <c r="L1832" s="182"/>
      <c r="M1832" s="270"/>
      <c r="N1832" s="892"/>
      <c r="O1832" s="892"/>
      <c r="P1832" s="259"/>
      <c r="Q1832" s="114"/>
      <c r="R1832" s="114"/>
      <c r="S1832" s="114"/>
      <c r="T1832" s="270"/>
      <c r="U1832" s="270"/>
      <c r="V1832" s="270"/>
      <c r="W1832" s="114"/>
      <c r="X1832" s="114"/>
      <c r="Y1832" s="114"/>
      <c r="Z1832" s="114"/>
      <c r="AA1832" s="114"/>
      <c r="AB1832" s="85"/>
      <c r="AC1832" s="85"/>
      <c r="AD1832" s="85"/>
      <c r="AE1832" s="85"/>
    </row>
    <row r="1833" spans="3:31" ht="15" thickBot="1" x14ac:dyDescent="0.35">
      <c r="C1833" s="450"/>
      <c r="D1833" s="182"/>
      <c r="E1833" s="182"/>
      <c r="F1833" s="182"/>
      <c r="G1833" s="450" t="str">
        <f t="shared" si="93"/>
        <v>--</v>
      </c>
      <c r="H1833" s="182"/>
      <c r="I1833" s="892"/>
      <c r="J1833" s="892"/>
      <c r="K1833" s="182"/>
      <c r="L1833" s="182"/>
      <c r="M1833" s="901" t="s">
        <v>155</v>
      </c>
      <c r="N1833" s="870" t="s">
        <v>188</v>
      </c>
      <c r="O1833" s="870"/>
      <c r="P1833" s="276" t="s">
        <v>426</v>
      </c>
      <c r="Q1833" s="871" t="s">
        <v>155</v>
      </c>
      <c r="R1833" s="902"/>
      <c r="S1833" s="874"/>
      <c r="T1833" s="270"/>
      <c r="U1833" s="270"/>
      <c r="V1833" s="270"/>
      <c r="W1833" s="114"/>
      <c r="X1833" s="114"/>
      <c r="Y1833" s="114"/>
      <c r="Z1833" s="114"/>
      <c r="AA1833" s="114"/>
      <c r="AB1833" s="85"/>
      <c r="AC1833" s="85"/>
      <c r="AD1833" s="85"/>
      <c r="AE1833" s="85"/>
    </row>
    <row r="1834" spans="3:31" ht="15" thickBot="1" x14ac:dyDescent="0.35">
      <c r="C1834" s="566" t="s">
        <v>95</v>
      </c>
      <c r="D1834" s="875" t="str">
        <f>VLOOKUP(C1834,'Airport Mapping'!$C$5:$D$39,2,FALSE)</f>
        <v xml:space="preserve"> </v>
      </c>
      <c r="E1834" s="567" t="s">
        <v>43</v>
      </c>
      <c r="F1834" s="567" t="s">
        <v>426</v>
      </c>
      <c r="G1834" s="450" t="str">
        <f t="shared" si="93"/>
        <v>Parking E-Maintenance-Pavement cleaning</v>
      </c>
      <c r="H1834" s="567" t="s">
        <v>282</v>
      </c>
      <c r="I1834" s="877" t="s">
        <v>64</v>
      </c>
      <c r="J1834" s="878">
        <f>SUMIFS('Level of Efficiency Assumptions'!J:J,'Level of Efficiency Assumptions'!D:D,E1834,'Level of Efficiency Assumptions'!F:F,F1834,'Level of Efficiency Assumptions'!I:I,I1834)</f>
        <v>10</v>
      </c>
      <c r="K1834" s="383" t="s">
        <v>588</v>
      </c>
      <c r="L1834" s="253" t="s">
        <v>64</v>
      </c>
      <c r="M1834" s="879">
        <f>SUM(Q1834:Q1835)</f>
        <v>0</v>
      </c>
      <c r="N1834" s="880">
        <f>IFERROR(M1834/M1837,"-")</f>
        <v>0</v>
      </c>
      <c r="O1834" s="881">
        <f>SUMIFS('Data Entry'!R:R,'Data Entry'!K:K,G1834)</f>
        <v>0</v>
      </c>
      <c r="P1834" s="272"/>
      <c r="Q1834" s="895">
        <v>0</v>
      </c>
      <c r="R1834" s="114"/>
      <c r="S1834" s="884"/>
      <c r="T1834" s="270"/>
      <c r="U1834" s="270"/>
      <c r="V1834" s="270"/>
      <c r="W1834" s="114"/>
      <c r="X1834" s="114"/>
      <c r="Y1834" s="114"/>
      <c r="Z1834" s="114"/>
      <c r="AA1834" s="114"/>
      <c r="AB1834" s="85"/>
      <c r="AC1834" s="85"/>
      <c r="AD1834" s="85"/>
      <c r="AE1834" s="85"/>
    </row>
    <row r="1835" spans="3:31" ht="15" thickBot="1" x14ac:dyDescent="0.35">
      <c r="C1835" s="494" t="s">
        <v>95</v>
      </c>
      <c r="D1835" s="577"/>
      <c r="E1835" s="577" t="s">
        <v>43</v>
      </c>
      <c r="F1835" s="577" t="s">
        <v>426</v>
      </c>
      <c r="G1835" s="450" t="str">
        <f t="shared" si="93"/>
        <v>Parking E-Maintenance-Pavement cleaning</v>
      </c>
      <c r="H1835" s="577"/>
      <c r="I1835" s="887" t="s">
        <v>65</v>
      </c>
      <c r="J1835" s="878">
        <f>SUMIFS('Level of Efficiency Assumptions'!J:J,'Level of Efficiency Assumptions'!D:D,E1835,'Level of Efficiency Assumptions'!F:F,F1835,'Level of Efficiency Assumptions'!I:I,I1835)</f>
        <v>7.5</v>
      </c>
      <c r="K1835" s="383" t="s">
        <v>588</v>
      </c>
      <c r="L1835" s="255" t="s">
        <v>65</v>
      </c>
      <c r="M1835" s="879">
        <f>Q1836+Q1837</f>
        <v>1</v>
      </c>
      <c r="N1835" s="880">
        <f>IFERROR(M1835/M1837,"-")</f>
        <v>1</v>
      </c>
      <c r="O1835" s="881">
        <f>SUMIFS('Data Entry'!S:S,'Data Entry'!K:K,G1835)</f>
        <v>0</v>
      </c>
      <c r="P1835" s="272"/>
      <c r="Q1835" s="895">
        <v>0</v>
      </c>
      <c r="R1835" s="114"/>
      <c r="S1835" s="884"/>
      <c r="T1835" s="270"/>
      <c r="U1835" s="270"/>
      <c r="V1835" s="270"/>
      <c r="W1835" s="114"/>
      <c r="X1835" s="114"/>
      <c r="Y1835" s="114"/>
      <c r="Z1835" s="114"/>
      <c r="AA1835" s="114"/>
      <c r="AB1835" s="85"/>
      <c r="AC1835" s="85"/>
      <c r="AD1835" s="85"/>
      <c r="AE1835" s="85"/>
    </row>
    <row r="1836" spans="3:31" ht="15" thickBot="1" x14ac:dyDescent="0.35">
      <c r="C1836" s="501" t="s">
        <v>95</v>
      </c>
      <c r="D1836" s="116"/>
      <c r="E1836" s="116" t="s">
        <v>43</v>
      </c>
      <c r="F1836" s="116" t="s">
        <v>426</v>
      </c>
      <c r="G1836" s="450" t="str">
        <f t="shared" si="93"/>
        <v>Parking E-Maintenance-Pavement cleaning</v>
      </c>
      <c r="H1836" s="116"/>
      <c r="I1836" s="889" t="s">
        <v>66</v>
      </c>
      <c r="J1836" s="890">
        <f>SUMIFS('Level of Efficiency Assumptions'!J:J,'Level of Efficiency Assumptions'!D:D,E1836,'Level of Efficiency Assumptions'!F:F,F1836,'Level of Efficiency Assumptions'!I:I,I1836)</f>
        <v>5</v>
      </c>
      <c r="K1836" s="383" t="s">
        <v>588</v>
      </c>
      <c r="L1836" s="257" t="s">
        <v>66</v>
      </c>
      <c r="M1836" s="879">
        <f>Q1838+Q1839</f>
        <v>0</v>
      </c>
      <c r="N1836" s="880">
        <f>IFERROR(M1836/M1837,"-")</f>
        <v>0</v>
      </c>
      <c r="O1836" s="881">
        <f>SUMIFS('Data Entry'!T:T,'Data Entry'!K:K,G1836)</f>
        <v>0</v>
      </c>
      <c r="P1836" s="274"/>
      <c r="Q1836" s="895">
        <v>1</v>
      </c>
      <c r="R1836" s="114"/>
      <c r="S1836" s="884"/>
      <c r="T1836" s="270"/>
      <c r="U1836" s="270"/>
      <c r="V1836" s="270"/>
      <c r="W1836" s="114"/>
      <c r="X1836" s="114"/>
      <c r="Y1836" s="114"/>
      <c r="Z1836" s="114"/>
      <c r="AA1836" s="114"/>
      <c r="AB1836" s="85"/>
      <c r="AC1836" s="85"/>
      <c r="AD1836" s="85"/>
      <c r="AE1836" s="85"/>
    </row>
    <row r="1837" spans="3:31" x14ac:dyDescent="0.3">
      <c r="C1837" s="450"/>
      <c r="D1837" s="182"/>
      <c r="E1837" s="182"/>
      <c r="F1837" s="182"/>
      <c r="G1837" s="450" t="str">
        <f t="shared" si="93"/>
        <v>--</v>
      </c>
      <c r="H1837" s="182"/>
      <c r="I1837" s="440"/>
      <c r="J1837" s="892"/>
      <c r="K1837" s="259"/>
      <c r="L1837" s="259" t="s">
        <v>46</v>
      </c>
      <c r="M1837" s="893">
        <f>SUM(M1834:M1836)</f>
        <v>1</v>
      </c>
      <c r="N1837" s="894"/>
      <c r="O1837" s="894">
        <f>SUM(O1834:O1836)</f>
        <v>0</v>
      </c>
      <c r="P1837" s="274"/>
      <c r="Q1837" s="895">
        <v>0</v>
      </c>
      <c r="R1837" s="114"/>
      <c r="S1837" s="884"/>
      <c r="T1837" s="270"/>
      <c r="U1837" s="270"/>
      <c r="V1837" s="270"/>
      <c r="W1837" s="114"/>
      <c r="X1837" s="114"/>
      <c r="Y1837" s="114"/>
      <c r="Z1837" s="114"/>
      <c r="AA1837" s="114"/>
      <c r="AB1837" s="85"/>
      <c r="AC1837" s="85"/>
      <c r="AD1837" s="85"/>
      <c r="AE1837" s="85"/>
    </row>
    <row r="1838" spans="3:31" x14ac:dyDescent="0.3">
      <c r="C1838" s="450"/>
      <c r="D1838" s="182"/>
      <c r="E1838" s="182"/>
      <c r="F1838" s="182"/>
      <c r="G1838" s="450" t="str">
        <f t="shared" si="93"/>
        <v>--</v>
      </c>
      <c r="H1838" s="182"/>
      <c r="I1838" s="892"/>
      <c r="J1838" s="288"/>
      <c r="K1838" s="182"/>
      <c r="L1838" s="182"/>
      <c r="M1838" s="270"/>
      <c r="N1838" s="892"/>
      <c r="O1838" s="892"/>
      <c r="P1838" s="275"/>
      <c r="Q1838" s="895">
        <v>0</v>
      </c>
      <c r="R1838" s="114"/>
      <c r="S1838" s="884"/>
      <c r="T1838" s="270"/>
      <c r="U1838" s="270"/>
      <c r="V1838" s="270"/>
      <c r="W1838" s="114"/>
      <c r="X1838" s="114"/>
      <c r="Y1838" s="114"/>
      <c r="Z1838" s="114"/>
      <c r="AA1838" s="114"/>
      <c r="AB1838" s="85"/>
      <c r="AC1838" s="85"/>
      <c r="AD1838" s="85"/>
      <c r="AE1838" s="85"/>
    </row>
    <row r="1839" spans="3:31" x14ac:dyDescent="0.3">
      <c r="C1839" s="450"/>
      <c r="D1839" s="182"/>
      <c r="E1839" s="182"/>
      <c r="F1839" s="182"/>
      <c r="G1839" s="450" t="str">
        <f t="shared" si="93"/>
        <v>--</v>
      </c>
      <c r="H1839" s="182"/>
      <c r="I1839" s="892"/>
      <c r="J1839" s="288"/>
      <c r="K1839" s="182"/>
      <c r="L1839" s="182"/>
      <c r="M1839" s="270"/>
      <c r="N1839" s="892"/>
      <c r="O1839" s="892"/>
      <c r="P1839" s="269"/>
      <c r="Q1839" s="895">
        <v>0</v>
      </c>
      <c r="R1839" s="114"/>
      <c r="S1839" s="884"/>
      <c r="T1839" s="270"/>
      <c r="U1839" s="270"/>
      <c r="V1839" s="270"/>
      <c r="W1839" s="114"/>
      <c r="X1839" s="114"/>
      <c r="Y1839" s="114"/>
      <c r="Z1839" s="114"/>
      <c r="AA1839" s="114"/>
      <c r="AB1839" s="85"/>
      <c r="AC1839" s="85"/>
      <c r="AD1839" s="85"/>
      <c r="AE1839" s="85"/>
    </row>
    <row r="1840" spans="3:31" x14ac:dyDescent="0.3">
      <c r="C1840" s="450"/>
      <c r="D1840" s="182"/>
      <c r="E1840" s="182"/>
      <c r="F1840" s="182"/>
      <c r="G1840" s="450" t="str">
        <f t="shared" si="93"/>
        <v>--</v>
      </c>
      <c r="H1840" s="182"/>
      <c r="I1840" s="892"/>
      <c r="J1840" s="288"/>
      <c r="K1840" s="182"/>
      <c r="L1840" s="182"/>
      <c r="M1840" s="270"/>
      <c r="N1840" s="892"/>
      <c r="O1840" s="892"/>
      <c r="P1840" s="263" t="s">
        <v>46</v>
      </c>
      <c r="Q1840" s="897">
        <f>SUM(Q1834:Q1839)</f>
        <v>1</v>
      </c>
      <c r="R1840" s="899"/>
      <c r="S1840" s="900"/>
      <c r="T1840" s="270"/>
      <c r="U1840" s="270"/>
      <c r="V1840" s="270"/>
      <c r="W1840" s="114"/>
      <c r="X1840" s="114"/>
      <c r="Y1840" s="114"/>
      <c r="Z1840" s="114"/>
      <c r="AA1840" s="114"/>
      <c r="AB1840" s="85"/>
      <c r="AC1840" s="85"/>
      <c r="AD1840" s="85"/>
      <c r="AE1840" s="85"/>
    </row>
    <row r="1841" spans="3:31" x14ac:dyDescent="0.3">
      <c r="C1841" s="450"/>
      <c r="D1841" s="182"/>
      <c r="E1841" s="182"/>
      <c r="F1841" s="182"/>
      <c r="G1841" s="450" t="str">
        <f t="shared" si="93"/>
        <v>--</v>
      </c>
      <c r="H1841" s="182"/>
      <c r="I1841" s="892"/>
      <c r="J1841" s="288"/>
      <c r="K1841" s="182"/>
      <c r="L1841" s="270"/>
      <c r="M1841" s="270"/>
      <c r="N1841" s="923"/>
      <c r="O1841" s="923"/>
      <c r="P1841" s="270"/>
      <c r="Q1841" s="270"/>
      <c r="R1841" s="270"/>
      <c r="S1841" s="270"/>
      <c r="T1841" s="270"/>
      <c r="U1841" s="270"/>
      <c r="V1841" s="270"/>
      <c r="W1841" s="114"/>
      <c r="X1841" s="114"/>
      <c r="Y1841" s="114"/>
      <c r="Z1841" s="114"/>
      <c r="AA1841" s="114"/>
      <c r="AB1841" s="85"/>
      <c r="AC1841" s="85"/>
      <c r="AD1841" s="85"/>
      <c r="AE1841" s="85"/>
    </row>
    <row r="1842" spans="3:31" ht="15" thickBot="1" x14ac:dyDescent="0.35">
      <c r="C1842" s="450"/>
      <c r="D1842" s="182"/>
      <c r="E1842" s="182"/>
      <c r="F1842" s="182"/>
      <c r="G1842" s="450" t="str">
        <f t="shared" si="93"/>
        <v>--</v>
      </c>
      <c r="H1842" s="182"/>
      <c r="I1842" s="892"/>
      <c r="J1842" s="892"/>
      <c r="K1842" s="182"/>
      <c r="L1842" s="182"/>
      <c r="M1842" s="901" t="s">
        <v>155</v>
      </c>
      <c r="N1842" s="870" t="s">
        <v>188</v>
      </c>
      <c r="O1842" s="870"/>
      <c r="P1842" s="276" t="s">
        <v>52</v>
      </c>
      <c r="Q1842" s="871" t="s">
        <v>155</v>
      </c>
      <c r="R1842" s="902"/>
      <c r="S1842" s="874"/>
      <c r="T1842" s="270"/>
      <c r="U1842" s="270"/>
      <c r="V1842" s="270"/>
      <c r="W1842" s="114"/>
      <c r="X1842" s="114"/>
      <c r="Y1842" s="114"/>
      <c r="Z1842" s="114"/>
      <c r="AA1842" s="114"/>
      <c r="AB1842" s="85"/>
      <c r="AC1842" s="85"/>
      <c r="AD1842" s="85"/>
      <c r="AE1842" s="85"/>
    </row>
    <row r="1843" spans="3:31" ht="15" thickBot="1" x14ac:dyDescent="0.35">
      <c r="C1843" s="566" t="s">
        <v>95</v>
      </c>
      <c r="D1843" s="875" t="str">
        <f>VLOOKUP(C1843,'Airport Mapping'!$C$5:$D$39,2,FALSE)</f>
        <v xml:space="preserve"> </v>
      </c>
      <c r="E1843" s="567" t="s">
        <v>8</v>
      </c>
      <c r="F1843" s="567" t="s">
        <v>52</v>
      </c>
      <c r="G1843" s="450" t="str">
        <f t="shared" si="93"/>
        <v>Parking E-Other-Other 1</v>
      </c>
      <c r="H1843" s="567" t="s">
        <v>362</v>
      </c>
      <c r="I1843" s="877" t="s">
        <v>64</v>
      </c>
      <c r="J1843" s="878">
        <f>SUMIFS('Level of Efficiency Assumptions'!J:J,'Level of Efficiency Assumptions'!D:D,E1843,'Level of Efficiency Assumptions'!F:F,F1843,'Level of Efficiency Assumptions'!I:I,I1843)</f>
        <v>10</v>
      </c>
      <c r="K1843" s="383" t="s">
        <v>588</v>
      </c>
      <c r="L1843" s="253" t="s">
        <v>64</v>
      </c>
      <c r="M1843" s="879">
        <f>SUM(Q1843:Q1843)</f>
        <v>0</v>
      </c>
      <c r="N1843" s="880">
        <f>IFERROR(M1843/M1846,"-")</f>
        <v>0</v>
      </c>
      <c r="O1843" s="881">
        <f>SUMIFS('Data Entry'!R:R,'Data Entry'!K:K,G1843)</f>
        <v>0</v>
      </c>
      <c r="P1843" s="272" t="s">
        <v>129</v>
      </c>
      <c r="Q1843" s="895">
        <v>0</v>
      </c>
      <c r="R1843" s="114"/>
      <c r="S1843" s="884"/>
      <c r="T1843" s="270"/>
      <c r="U1843" s="270"/>
      <c r="V1843" s="270"/>
      <c r="W1843" s="114"/>
      <c r="X1843" s="114"/>
      <c r="Y1843" s="114"/>
      <c r="Z1843" s="114"/>
      <c r="AA1843" s="114"/>
      <c r="AB1843" s="85"/>
      <c r="AC1843" s="85"/>
      <c r="AD1843" s="85"/>
      <c r="AE1843" s="85"/>
    </row>
    <row r="1844" spans="3:31" ht="15" thickBot="1" x14ac:dyDescent="0.35">
      <c r="C1844" s="494" t="s">
        <v>95</v>
      </c>
      <c r="D1844" s="577"/>
      <c r="E1844" s="577" t="s">
        <v>8</v>
      </c>
      <c r="F1844" s="577" t="s">
        <v>52</v>
      </c>
      <c r="G1844" s="450" t="str">
        <f t="shared" si="93"/>
        <v>Parking E-Other-Other 1</v>
      </c>
      <c r="H1844" s="577"/>
      <c r="I1844" s="887" t="s">
        <v>65</v>
      </c>
      <c r="J1844" s="878">
        <f>SUMIFS('Level of Efficiency Assumptions'!J:J,'Level of Efficiency Assumptions'!D:D,E1844,'Level of Efficiency Assumptions'!F:F,F1844,'Level of Efficiency Assumptions'!I:I,I1844)</f>
        <v>7.5</v>
      </c>
      <c r="K1844" s="383" t="s">
        <v>588</v>
      </c>
      <c r="L1844" s="255" t="s">
        <v>65</v>
      </c>
      <c r="M1844" s="879">
        <f t="shared" ref="M1844:M1845" si="94">SUM(Q1844:Q1844)</f>
        <v>1</v>
      </c>
      <c r="N1844" s="880">
        <f>IFERROR(M1844/M1846,"-")</f>
        <v>1</v>
      </c>
      <c r="O1844" s="881">
        <f>SUMIFS('Data Entry'!S:S,'Data Entry'!K:K,G1844)</f>
        <v>0</v>
      </c>
      <c r="P1844" s="274" t="s">
        <v>233</v>
      </c>
      <c r="Q1844" s="895">
        <v>1</v>
      </c>
      <c r="R1844" s="114"/>
      <c r="S1844" s="884"/>
      <c r="T1844" s="270"/>
      <c r="U1844" s="270"/>
      <c r="V1844" s="270"/>
      <c r="W1844" s="114"/>
      <c r="X1844" s="114"/>
      <c r="Y1844" s="114"/>
      <c r="Z1844" s="114"/>
      <c r="AA1844" s="114"/>
      <c r="AB1844" s="85"/>
      <c r="AC1844" s="85"/>
      <c r="AD1844" s="85"/>
      <c r="AE1844" s="85"/>
    </row>
    <row r="1845" spans="3:31" ht="15" thickBot="1" x14ac:dyDescent="0.35">
      <c r="C1845" s="501" t="s">
        <v>95</v>
      </c>
      <c r="D1845" s="116"/>
      <c r="E1845" s="116" t="s">
        <v>8</v>
      </c>
      <c r="F1845" s="116" t="s">
        <v>52</v>
      </c>
      <c r="G1845" s="450" t="str">
        <f t="shared" si="93"/>
        <v>Parking E-Other-Other 1</v>
      </c>
      <c r="H1845" s="116"/>
      <c r="I1845" s="889" t="s">
        <v>66</v>
      </c>
      <c r="J1845" s="890">
        <f>SUMIFS('Level of Efficiency Assumptions'!J:J,'Level of Efficiency Assumptions'!D:D,E1845,'Level of Efficiency Assumptions'!F:F,F1845,'Level of Efficiency Assumptions'!I:I,I1845)</f>
        <v>5</v>
      </c>
      <c r="K1845" s="383" t="s">
        <v>588</v>
      </c>
      <c r="L1845" s="257" t="s">
        <v>66</v>
      </c>
      <c r="M1845" s="879">
        <f t="shared" si="94"/>
        <v>0</v>
      </c>
      <c r="N1845" s="880">
        <f>IFERROR(M1845/M1846,"-")</f>
        <v>0</v>
      </c>
      <c r="O1845" s="881">
        <f>SUMIFS('Data Entry'!T:T,'Data Entry'!K:K,G1845)</f>
        <v>0</v>
      </c>
      <c r="P1845" s="269" t="s">
        <v>234</v>
      </c>
      <c r="Q1845" s="895">
        <v>0</v>
      </c>
      <c r="R1845" s="114"/>
      <c r="S1845" s="884"/>
      <c r="T1845" s="270"/>
      <c r="U1845" s="270"/>
      <c r="V1845" s="270"/>
      <c r="W1845" s="114"/>
      <c r="X1845" s="114"/>
      <c r="Y1845" s="114"/>
      <c r="Z1845" s="114"/>
      <c r="AA1845" s="114"/>
      <c r="AB1845" s="85"/>
      <c r="AC1845" s="85"/>
      <c r="AD1845" s="85"/>
      <c r="AE1845" s="85"/>
    </row>
    <row r="1846" spans="3:31" x14ac:dyDescent="0.3">
      <c r="C1846" s="450"/>
      <c r="D1846" s="182"/>
      <c r="E1846" s="182"/>
      <c r="F1846" s="182"/>
      <c r="G1846" s="450" t="str">
        <f t="shared" si="93"/>
        <v>--</v>
      </c>
      <c r="H1846" s="182"/>
      <c r="I1846" s="440"/>
      <c r="J1846" s="892"/>
      <c r="K1846" s="259"/>
      <c r="L1846" s="259" t="s">
        <v>46</v>
      </c>
      <c r="M1846" s="893">
        <f>SUM(M1843:M1845)</f>
        <v>1</v>
      </c>
      <c r="N1846" s="894"/>
      <c r="O1846" s="894">
        <f>SUM(O1843:O1845)</f>
        <v>0</v>
      </c>
      <c r="P1846" s="263" t="s">
        <v>46</v>
      </c>
      <c r="Q1846" s="897">
        <f>SUM(Q1843:Q1845)</f>
        <v>1</v>
      </c>
      <c r="R1846" s="899"/>
      <c r="S1846" s="900"/>
      <c r="T1846" s="270"/>
      <c r="U1846" s="270"/>
      <c r="V1846" s="270"/>
      <c r="W1846" s="114"/>
      <c r="X1846" s="114"/>
      <c r="Y1846" s="114"/>
      <c r="Z1846" s="114"/>
      <c r="AA1846" s="114"/>
      <c r="AB1846" s="85"/>
      <c r="AC1846" s="85"/>
      <c r="AD1846" s="85"/>
      <c r="AE1846" s="85"/>
    </row>
    <row r="1847" spans="3:31" s="45" customFormat="1" x14ac:dyDescent="0.3">
      <c r="C1847" s="450"/>
      <c r="D1847" s="182"/>
      <c r="E1847" s="182"/>
      <c r="F1847" s="182"/>
      <c r="G1847" s="450" t="str">
        <f t="shared" si="93"/>
        <v>--</v>
      </c>
      <c r="H1847" s="182"/>
      <c r="I1847" s="892"/>
      <c r="J1847" s="288"/>
      <c r="K1847" s="182"/>
      <c r="L1847" s="182"/>
      <c r="M1847" s="270"/>
      <c r="N1847" s="892"/>
      <c r="O1847" s="892"/>
      <c r="P1847" s="270"/>
      <c r="Q1847" s="270"/>
      <c r="R1847" s="270"/>
      <c r="S1847" s="270"/>
      <c r="T1847" s="270"/>
      <c r="U1847" s="270"/>
      <c r="V1847" s="270"/>
      <c r="W1847" s="114"/>
      <c r="X1847" s="114"/>
      <c r="Y1847" s="114"/>
      <c r="Z1847" s="114"/>
      <c r="AA1847" s="114"/>
      <c r="AB1847" s="85"/>
      <c r="AC1847" s="85"/>
      <c r="AD1847" s="85"/>
      <c r="AE1847" s="85"/>
    </row>
    <row r="1848" spans="3:31" s="45" customFormat="1" ht="15" thickBot="1" x14ac:dyDescent="0.35">
      <c r="C1848" s="450"/>
      <c r="D1848" s="182"/>
      <c r="E1848" s="182"/>
      <c r="F1848" s="182"/>
      <c r="G1848" s="450" t="str">
        <f t="shared" si="93"/>
        <v>--</v>
      </c>
      <c r="H1848" s="182"/>
      <c r="I1848" s="892"/>
      <c r="J1848" s="892"/>
      <c r="K1848" s="182"/>
      <c r="L1848" s="182"/>
      <c r="M1848" s="901" t="s">
        <v>155</v>
      </c>
      <c r="N1848" s="870" t="s">
        <v>188</v>
      </c>
      <c r="O1848" s="870"/>
      <c r="P1848" s="276" t="s">
        <v>53</v>
      </c>
      <c r="Q1848" s="871" t="s">
        <v>155</v>
      </c>
      <c r="R1848" s="902"/>
      <c r="S1848" s="874"/>
      <c r="T1848" s="270"/>
      <c r="U1848" s="114"/>
      <c r="V1848" s="114"/>
      <c r="W1848" s="114"/>
      <c r="X1848" s="114"/>
      <c r="Y1848" s="114"/>
      <c r="Z1848" s="114"/>
      <c r="AA1848" s="114"/>
      <c r="AB1848" s="85"/>
      <c r="AC1848" s="85"/>
      <c r="AD1848" s="85"/>
      <c r="AE1848" s="85"/>
    </row>
    <row r="1849" spans="3:31" s="45" customFormat="1" ht="15" thickBot="1" x14ac:dyDescent="0.35">
      <c r="C1849" s="566" t="s">
        <v>95</v>
      </c>
      <c r="D1849" s="875" t="str">
        <f>VLOOKUP(C1849,'Airport Mapping'!$C$5:$D$39,2,FALSE)</f>
        <v xml:space="preserve"> </v>
      </c>
      <c r="E1849" s="567" t="s">
        <v>8</v>
      </c>
      <c r="F1849" s="567" t="s">
        <v>53</v>
      </c>
      <c r="G1849" s="450" t="str">
        <f t="shared" si="93"/>
        <v>Parking E-Other-Other 2</v>
      </c>
      <c r="H1849" s="567" t="s">
        <v>363</v>
      </c>
      <c r="I1849" s="877" t="s">
        <v>64</v>
      </c>
      <c r="J1849" s="878">
        <f>SUMIFS('Level of Efficiency Assumptions'!J:J,'Level of Efficiency Assumptions'!D:D,E1849,'Level of Efficiency Assumptions'!F:F,F1849,'Level of Efficiency Assumptions'!I:I,I1849)</f>
        <v>10</v>
      </c>
      <c r="K1849" s="383" t="s">
        <v>588</v>
      </c>
      <c r="L1849" s="253" t="s">
        <v>64</v>
      </c>
      <c r="M1849" s="879">
        <f>SUM(Q1849:Q1849)</f>
        <v>0</v>
      </c>
      <c r="N1849" s="880">
        <f>IFERROR(M1849/M1852,"-")</f>
        <v>0</v>
      </c>
      <c r="O1849" s="881">
        <f>SUMIFS('Data Entry'!R:R,'Data Entry'!K:K,G1849)</f>
        <v>0</v>
      </c>
      <c r="P1849" s="272" t="s">
        <v>129</v>
      </c>
      <c r="Q1849" s="895">
        <v>0</v>
      </c>
      <c r="R1849" s="114"/>
      <c r="S1849" s="884"/>
      <c r="T1849" s="270"/>
      <c r="U1849" s="114"/>
      <c r="V1849" s="114"/>
      <c r="W1849" s="114"/>
      <c r="X1849" s="114"/>
      <c r="Y1849" s="114"/>
      <c r="Z1849" s="114"/>
      <c r="AA1849" s="114"/>
      <c r="AB1849" s="85"/>
      <c r="AC1849" s="85"/>
      <c r="AD1849" s="85"/>
      <c r="AE1849" s="85"/>
    </row>
    <row r="1850" spans="3:31" s="45" customFormat="1" ht="15" thickBot="1" x14ac:dyDescent="0.35">
      <c r="C1850" s="494" t="s">
        <v>95</v>
      </c>
      <c r="D1850" s="577"/>
      <c r="E1850" s="577" t="s">
        <v>8</v>
      </c>
      <c r="F1850" s="577" t="s">
        <v>53</v>
      </c>
      <c r="G1850" s="450" t="str">
        <f t="shared" si="93"/>
        <v>Parking E-Other-Other 2</v>
      </c>
      <c r="H1850" s="577"/>
      <c r="I1850" s="887" t="s">
        <v>65</v>
      </c>
      <c r="J1850" s="878">
        <f>SUMIFS('Level of Efficiency Assumptions'!J:J,'Level of Efficiency Assumptions'!D:D,E1850,'Level of Efficiency Assumptions'!F:F,F1850,'Level of Efficiency Assumptions'!I:I,I1850)</f>
        <v>7.5</v>
      </c>
      <c r="K1850" s="383" t="s">
        <v>588</v>
      </c>
      <c r="L1850" s="255" t="s">
        <v>65</v>
      </c>
      <c r="M1850" s="879">
        <f t="shared" ref="M1850:M1851" si="95">SUM(Q1850:Q1850)</f>
        <v>1</v>
      </c>
      <c r="N1850" s="880">
        <f>IFERROR(M1850/M1852,"-")</f>
        <v>1</v>
      </c>
      <c r="O1850" s="881">
        <f>SUMIFS('Data Entry'!S:S,'Data Entry'!K:K,G1850)</f>
        <v>0</v>
      </c>
      <c r="P1850" s="274" t="s">
        <v>233</v>
      </c>
      <c r="Q1850" s="895">
        <v>1</v>
      </c>
      <c r="R1850" s="114"/>
      <c r="S1850" s="884"/>
      <c r="T1850" s="270"/>
      <c r="U1850" s="114"/>
      <c r="V1850" s="114"/>
      <c r="W1850" s="114"/>
      <c r="X1850" s="114"/>
      <c r="Y1850" s="114"/>
      <c r="Z1850" s="114"/>
      <c r="AA1850" s="114"/>
      <c r="AB1850" s="85"/>
      <c r="AC1850" s="85"/>
      <c r="AD1850" s="85"/>
      <c r="AE1850" s="85"/>
    </row>
    <row r="1851" spans="3:31" s="45" customFormat="1" ht="15" thickBot="1" x14ac:dyDescent="0.35">
      <c r="C1851" s="501" t="s">
        <v>95</v>
      </c>
      <c r="D1851" s="116"/>
      <c r="E1851" s="116" t="s">
        <v>8</v>
      </c>
      <c r="F1851" s="116" t="s">
        <v>53</v>
      </c>
      <c r="G1851" s="450" t="str">
        <f t="shared" si="93"/>
        <v>Parking E-Other-Other 2</v>
      </c>
      <c r="H1851" s="116"/>
      <c r="I1851" s="889" t="s">
        <v>66</v>
      </c>
      <c r="J1851" s="890">
        <f>SUMIFS('Level of Efficiency Assumptions'!J:J,'Level of Efficiency Assumptions'!D:D,E1851,'Level of Efficiency Assumptions'!F:F,F1851,'Level of Efficiency Assumptions'!I:I,I1851)</f>
        <v>5</v>
      </c>
      <c r="K1851" s="383" t="s">
        <v>588</v>
      </c>
      <c r="L1851" s="257" t="s">
        <v>66</v>
      </c>
      <c r="M1851" s="879">
        <f t="shared" si="95"/>
        <v>0</v>
      </c>
      <c r="N1851" s="880">
        <f>IFERROR(M1851/M1852,"-")</f>
        <v>0</v>
      </c>
      <c r="O1851" s="881">
        <f>SUMIFS('Data Entry'!T:T,'Data Entry'!K:K,G1851)</f>
        <v>0</v>
      </c>
      <c r="P1851" s="269" t="s">
        <v>234</v>
      </c>
      <c r="Q1851" s="895">
        <v>0</v>
      </c>
      <c r="R1851" s="114"/>
      <c r="S1851" s="884"/>
      <c r="T1851" s="270"/>
      <c r="U1851" s="114"/>
      <c r="V1851" s="114"/>
      <c r="W1851" s="114"/>
      <c r="X1851" s="114"/>
      <c r="Y1851" s="114"/>
      <c r="Z1851" s="114"/>
      <c r="AA1851" s="114"/>
      <c r="AB1851" s="85"/>
      <c r="AC1851" s="85"/>
      <c r="AD1851" s="85"/>
      <c r="AE1851" s="85"/>
    </row>
    <row r="1852" spans="3:31" s="45" customFormat="1" x14ac:dyDescent="0.3">
      <c r="C1852" s="450"/>
      <c r="D1852" s="182"/>
      <c r="E1852" s="182"/>
      <c r="F1852" s="182"/>
      <c r="G1852" s="450" t="str">
        <f t="shared" si="93"/>
        <v>--</v>
      </c>
      <c r="H1852" s="182"/>
      <c r="I1852" s="440"/>
      <c r="J1852" s="892"/>
      <c r="K1852" s="259"/>
      <c r="L1852" s="259" t="s">
        <v>46</v>
      </c>
      <c r="M1852" s="893">
        <f>SUM(M1849:M1851)</f>
        <v>1</v>
      </c>
      <c r="N1852" s="894"/>
      <c r="O1852" s="894">
        <f>SUM(O1849:O1851)</f>
        <v>0</v>
      </c>
      <c r="P1852" s="263" t="s">
        <v>46</v>
      </c>
      <c r="Q1852" s="897">
        <f>SUM(Q1849:Q1851)</f>
        <v>1</v>
      </c>
      <c r="R1852" s="899"/>
      <c r="S1852" s="900"/>
      <c r="T1852" s="270"/>
      <c r="U1852" s="114"/>
      <c r="V1852" s="114"/>
      <c r="W1852" s="114"/>
      <c r="X1852" s="114"/>
      <c r="Y1852" s="114"/>
      <c r="Z1852" s="114"/>
      <c r="AA1852" s="114"/>
      <c r="AB1852" s="85"/>
      <c r="AC1852" s="85"/>
      <c r="AD1852" s="85"/>
      <c r="AE1852" s="85"/>
    </row>
    <row r="1853" spans="3:31" s="45" customFormat="1" x14ac:dyDescent="0.3">
      <c r="C1853" s="450"/>
      <c r="D1853" s="182"/>
      <c r="E1853" s="182"/>
      <c r="F1853" s="182"/>
      <c r="G1853" s="450" t="str">
        <f t="shared" si="93"/>
        <v>--</v>
      </c>
      <c r="H1853" s="182"/>
      <c r="I1853" s="892"/>
      <c r="J1853" s="288"/>
      <c r="K1853" s="182"/>
      <c r="L1853" s="182"/>
      <c r="M1853" s="270"/>
      <c r="N1853" s="892"/>
      <c r="O1853" s="892"/>
      <c r="P1853" s="270"/>
      <c r="Q1853" s="270"/>
      <c r="R1853" s="270"/>
      <c r="S1853" s="270"/>
      <c r="T1853" s="270"/>
      <c r="U1853" s="114"/>
      <c r="V1853" s="114"/>
      <c r="W1853" s="114"/>
      <c r="X1853" s="114"/>
      <c r="Y1853" s="114"/>
      <c r="Z1853" s="114"/>
      <c r="AA1853" s="114"/>
      <c r="AB1853" s="85"/>
      <c r="AC1853" s="85"/>
      <c r="AD1853" s="85"/>
      <c r="AE1853" s="85"/>
    </row>
    <row r="1854" spans="3:31" s="45" customFormat="1" ht="15" thickBot="1" x14ac:dyDescent="0.35">
      <c r="C1854" s="450"/>
      <c r="D1854" s="182"/>
      <c r="E1854" s="182"/>
      <c r="F1854" s="182"/>
      <c r="G1854" s="450" t="str">
        <f t="shared" si="93"/>
        <v>--</v>
      </c>
      <c r="H1854" s="182"/>
      <c r="I1854" s="892"/>
      <c r="J1854" s="892"/>
      <c r="K1854" s="182"/>
      <c r="L1854" s="182"/>
      <c r="M1854" s="901" t="s">
        <v>155</v>
      </c>
      <c r="N1854" s="870" t="s">
        <v>188</v>
      </c>
      <c r="O1854" s="870"/>
      <c r="P1854" s="276" t="s">
        <v>54</v>
      </c>
      <c r="Q1854" s="871" t="s">
        <v>155</v>
      </c>
      <c r="R1854" s="902"/>
      <c r="S1854" s="874"/>
      <c r="T1854" s="270"/>
      <c r="U1854" s="114"/>
      <c r="V1854" s="114"/>
      <c r="W1854" s="114"/>
      <c r="X1854" s="114"/>
      <c r="Y1854" s="114"/>
      <c r="Z1854" s="114"/>
      <c r="AA1854" s="114"/>
      <c r="AB1854" s="85"/>
      <c r="AC1854" s="85"/>
      <c r="AD1854" s="85"/>
      <c r="AE1854" s="85"/>
    </row>
    <row r="1855" spans="3:31" ht="15" thickBot="1" x14ac:dyDescent="0.35">
      <c r="C1855" s="566" t="s">
        <v>95</v>
      </c>
      <c r="D1855" s="875" t="str">
        <f>VLOOKUP(C1855,'Airport Mapping'!$C$5:$D$39,2,FALSE)</f>
        <v xml:space="preserve"> </v>
      </c>
      <c r="E1855" s="567" t="s">
        <v>8</v>
      </c>
      <c r="F1855" s="567" t="s">
        <v>54</v>
      </c>
      <c r="G1855" s="450" t="str">
        <f t="shared" si="93"/>
        <v>Parking E-Other-Other 3</v>
      </c>
      <c r="H1855" s="567" t="s">
        <v>364</v>
      </c>
      <c r="I1855" s="877" t="s">
        <v>64</v>
      </c>
      <c r="J1855" s="878">
        <f>SUMIFS('Level of Efficiency Assumptions'!J:J,'Level of Efficiency Assumptions'!D:D,E1855,'Level of Efficiency Assumptions'!F:F,F1855,'Level of Efficiency Assumptions'!I:I,I1855)</f>
        <v>10</v>
      </c>
      <c r="K1855" s="383" t="s">
        <v>588</v>
      </c>
      <c r="L1855" s="253" t="s">
        <v>64</v>
      </c>
      <c r="M1855" s="879">
        <f>SUM(Q1855:Q1855)</f>
        <v>0</v>
      </c>
      <c r="N1855" s="880">
        <f>IFERROR(M1855/M1858,"-")</f>
        <v>0</v>
      </c>
      <c r="O1855" s="881">
        <f>SUMIFS('Data Entry'!R:R,'Data Entry'!K:K,G1855)</f>
        <v>0</v>
      </c>
      <c r="P1855" s="272" t="s">
        <v>129</v>
      </c>
      <c r="Q1855" s="895">
        <v>0</v>
      </c>
      <c r="R1855" s="114"/>
      <c r="S1855" s="884"/>
      <c r="T1855" s="270"/>
      <c r="U1855" s="114"/>
      <c r="V1855" s="114"/>
      <c r="W1855" s="114"/>
      <c r="X1855" s="114"/>
      <c r="Y1855" s="114"/>
      <c r="Z1855" s="114"/>
      <c r="AA1855" s="114"/>
      <c r="AB1855" s="85"/>
      <c r="AC1855" s="85"/>
      <c r="AD1855" s="85"/>
      <c r="AE1855" s="85"/>
    </row>
    <row r="1856" spans="3:31" ht="15" thickBot="1" x14ac:dyDescent="0.35">
      <c r="C1856" s="494" t="s">
        <v>95</v>
      </c>
      <c r="D1856" s="577"/>
      <c r="E1856" s="577" t="s">
        <v>8</v>
      </c>
      <c r="F1856" s="577" t="s">
        <v>54</v>
      </c>
      <c r="G1856" s="450" t="str">
        <f t="shared" si="93"/>
        <v>Parking E-Other-Other 3</v>
      </c>
      <c r="H1856" s="577"/>
      <c r="I1856" s="887" t="s">
        <v>65</v>
      </c>
      <c r="J1856" s="878">
        <f>SUMIFS('Level of Efficiency Assumptions'!J:J,'Level of Efficiency Assumptions'!D:D,E1856,'Level of Efficiency Assumptions'!F:F,F1856,'Level of Efficiency Assumptions'!I:I,I1856)</f>
        <v>7.5</v>
      </c>
      <c r="K1856" s="383" t="s">
        <v>588</v>
      </c>
      <c r="L1856" s="255" t="s">
        <v>65</v>
      </c>
      <c r="M1856" s="879">
        <f t="shared" ref="M1856:M1857" si="96">SUM(Q1856:Q1856)</f>
        <v>1</v>
      </c>
      <c r="N1856" s="880">
        <f>IFERROR(M1856/M1858,"-")</f>
        <v>1</v>
      </c>
      <c r="O1856" s="881">
        <f>SUMIFS('Data Entry'!S:S,'Data Entry'!K:K,G1856)</f>
        <v>0</v>
      </c>
      <c r="P1856" s="274" t="s">
        <v>233</v>
      </c>
      <c r="Q1856" s="895">
        <v>1</v>
      </c>
      <c r="R1856" s="114"/>
      <c r="S1856" s="884"/>
      <c r="T1856" s="270"/>
      <c r="U1856" s="114"/>
      <c r="V1856" s="114"/>
      <c r="W1856" s="114"/>
      <c r="X1856" s="114"/>
      <c r="Y1856" s="114"/>
      <c r="Z1856" s="114"/>
      <c r="AA1856" s="114"/>
      <c r="AB1856" s="85"/>
      <c r="AC1856" s="85"/>
      <c r="AD1856" s="85"/>
      <c r="AE1856" s="85"/>
    </row>
    <row r="1857" spans="3:31" ht="15" thickBot="1" x14ac:dyDescent="0.35">
      <c r="C1857" s="501" t="s">
        <v>95</v>
      </c>
      <c r="D1857" s="116"/>
      <c r="E1857" s="116" t="s">
        <v>8</v>
      </c>
      <c r="F1857" s="116" t="s">
        <v>54</v>
      </c>
      <c r="G1857" s="450" t="str">
        <f t="shared" si="93"/>
        <v>Parking E-Other-Other 3</v>
      </c>
      <c r="H1857" s="116"/>
      <c r="I1857" s="889" t="s">
        <v>66</v>
      </c>
      <c r="J1857" s="890">
        <f>SUMIFS('Level of Efficiency Assumptions'!J:J,'Level of Efficiency Assumptions'!D:D,E1857,'Level of Efficiency Assumptions'!F:F,F1857,'Level of Efficiency Assumptions'!I:I,I1857)</f>
        <v>5</v>
      </c>
      <c r="K1857" s="383" t="s">
        <v>588</v>
      </c>
      <c r="L1857" s="257" t="s">
        <v>66</v>
      </c>
      <c r="M1857" s="879">
        <f t="shared" si="96"/>
        <v>0</v>
      </c>
      <c r="N1857" s="880">
        <f>IFERROR(M1857/M1858,"-")</f>
        <v>0</v>
      </c>
      <c r="O1857" s="881">
        <f>SUMIFS('Data Entry'!T:T,'Data Entry'!K:K,G1857)</f>
        <v>0</v>
      </c>
      <c r="P1857" s="269" t="s">
        <v>234</v>
      </c>
      <c r="Q1857" s="895">
        <v>0</v>
      </c>
      <c r="R1857" s="114"/>
      <c r="S1857" s="884"/>
      <c r="T1857" s="270"/>
      <c r="U1857" s="114"/>
      <c r="V1857" s="114"/>
      <c r="W1857" s="114"/>
      <c r="X1857" s="114"/>
      <c r="Y1857" s="114"/>
      <c r="Z1857" s="114"/>
      <c r="AA1857" s="114"/>
      <c r="AB1857" s="85"/>
      <c r="AC1857" s="85"/>
      <c r="AD1857" s="85"/>
      <c r="AE1857" s="85"/>
    </row>
    <row r="1858" spans="3:31" x14ac:dyDescent="0.3">
      <c r="C1858" s="450"/>
      <c r="D1858" s="182"/>
      <c r="E1858" s="182"/>
      <c r="F1858" s="182"/>
      <c r="G1858" s="450" t="str">
        <f t="shared" si="93"/>
        <v>--</v>
      </c>
      <c r="H1858" s="182"/>
      <c r="I1858" s="440"/>
      <c r="J1858" s="892"/>
      <c r="K1858" s="259"/>
      <c r="L1858" s="259" t="s">
        <v>46</v>
      </c>
      <c r="M1858" s="893">
        <f>SUM(M1855:M1857)</f>
        <v>1</v>
      </c>
      <c r="N1858" s="894"/>
      <c r="O1858" s="894">
        <f>SUM(O1855:O1857)</f>
        <v>0</v>
      </c>
      <c r="P1858" s="263" t="s">
        <v>46</v>
      </c>
      <c r="Q1858" s="897">
        <f>SUM(Q1855:Q1857)</f>
        <v>1</v>
      </c>
      <c r="R1858" s="899"/>
      <c r="S1858" s="900"/>
      <c r="T1858" s="270"/>
      <c r="U1858" s="114"/>
      <c r="V1858" s="114"/>
      <c r="W1858" s="114"/>
      <c r="X1858" s="114"/>
      <c r="Y1858" s="114"/>
      <c r="Z1858" s="114"/>
      <c r="AA1858" s="114"/>
      <c r="AB1858" s="85"/>
      <c r="AC1858" s="85"/>
      <c r="AD1858" s="85"/>
      <c r="AE1858" s="85"/>
    </row>
    <row r="1859" spans="3:31" ht="15" thickBot="1" x14ac:dyDescent="0.35">
      <c r="C1859" s="451"/>
      <c r="D1859" s="184"/>
      <c r="E1859" s="184"/>
      <c r="F1859" s="184"/>
      <c r="G1859" s="450" t="str">
        <f t="shared" si="93"/>
        <v>--</v>
      </c>
      <c r="H1859" s="184"/>
      <c r="I1859" s="281"/>
      <c r="J1859" s="281"/>
      <c r="K1859" s="184"/>
      <c r="L1859" s="924"/>
      <c r="M1859" s="278"/>
      <c r="N1859" s="281"/>
      <c r="O1859" s="281"/>
      <c r="P1859" s="278"/>
      <c r="Q1859" s="278"/>
      <c r="R1859" s="278"/>
      <c r="S1859" s="278"/>
      <c r="T1859" s="278"/>
      <c r="U1859" s="278"/>
      <c r="V1859" s="278"/>
      <c r="W1859" s="278"/>
      <c r="X1859" s="278"/>
      <c r="Y1859" s="278"/>
      <c r="Z1859" s="114"/>
      <c r="AA1859" s="114"/>
      <c r="AB1859" s="85"/>
      <c r="AC1859" s="85"/>
      <c r="AD1859" s="85"/>
      <c r="AE1859" s="85"/>
    </row>
    <row r="1860" spans="3:31" x14ac:dyDescent="0.3">
      <c r="C1860" s="450"/>
      <c r="D1860" s="182"/>
      <c r="E1860" s="182"/>
      <c r="F1860" s="182"/>
      <c r="G1860" s="450" t="str">
        <f t="shared" si="93"/>
        <v>--</v>
      </c>
      <c r="H1860" s="182"/>
      <c r="I1860" s="892"/>
      <c r="J1860" s="892"/>
      <c r="K1860" s="182"/>
      <c r="L1860" s="181"/>
      <c r="M1860" s="114"/>
      <c r="N1860" s="892"/>
      <c r="O1860" s="892"/>
      <c r="P1860" s="114"/>
      <c r="Q1860" s="114"/>
      <c r="R1860" s="114"/>
      <c r="S1860" s="114"/>
      <c r="T1860" s="114"/>
      <c r="U1860" s="114"/>
      <c r="V1860" s="114"/>
      <c r="W1860" s="114"/>
      <c r="X1860" s="114"/>
      <c r="Y1860" s="114"/>
      <c r="Z1860" s="114"/>
      <c r="AA1860" s="114"/>
      <c r="AB1860" s="85"/>
      <c r="AC1860" s="85"/>
      <c r="AD1860" s="85"/>
      <c r="AE1860" s="85"/>
    </row>
    <row r="1861" spans="3:31" ht="15" thickBot="1" x14ac:dyDescent="0.35">
      <c r="C1861" s="450"/>
      <c r="D1861" s="182"/>
      <c r="E1861" s="182"/>
      <c r="F1861" s="182"/>
      <c r="G1861" s="450" t="str">
        <f t="shared" si="93"/>
        <v>--</v>
      </c>
      <c r="H1861" s="182"/>
      <c r="I1861" s="892"/>
      <c r="J1861" s="892"/>
      <c r="K1861" s="182"/>
      <c r="L1861" s="182"/>
      <c r="M1861" s="901" t="s">
        <v>155</v>
      </c>
      <c r="N1861" s="870" t="s">
        <v>188</v>
      </c>
      <c r="O1861" s="870"/>
      <c r="P1861" s="252" t="s">
        <v>158</v>
      </c>
      <c r="Q1861" s="871" t="s">
        <v>155</v>
      </c>
      <c r="R1861" s="872" t="s">
        <v>168</v>
      </c>
      <c r="S1861" s="872" t="s">
        <v>169</v>
      </c>
      <c r="T1861" s="873"/>
      <c r="U1861" s="874"/>
      <c r="V1861" s="270"/>
      <c r="W1861" s="270"/>
      <c r="X1861" s="270"/>
      <c r="Y1861" s="114"/>
      <c r="Z1861" s="114"/>
      <c r="AA1861" s="114"/>
      <c r="AB1861" s="85"/>
      <c r="AC1861" s="85"/>
      <c r="AD1861" s="85"/>
      <c r="AE1861" s="85"/>
    </row>
    <row r="1862" spans="3:31" ht="15" thickBot="1" x14ac:dyDescent="0.35">
      <c r="C1862" s="566" t="s">
        <v>418</v>
      </c>
      <c r="D1862" s="875" t="str">
        <f>VLOOKUP(C1862,'Airport Mapping'!$C$5:$D$39,2,FALSE)</f>
        <v xml:space="preserve"> </v>
      </c>
      <c r="E1862" s="567" t="s">
        <v>37</v>
      </c>
      <c r="F1862" s="567" t="s">
        <v>2</v>
      </c>
      <c r="G1862" s="450" t="str">
        <f t="shared" si="93"/>
        <v>Fire and Police Stations-Restrooms-Toilets</v>
      </c>
      <c r="H1862" s="567" t="s">
        <v>6</v>
      </c>
      <c r="I1862" s="877" t="s">
        <v>64</v>
      </c>
      <c r="J1862" s="878">
        <f>SUMIFS('Level of Efficiency Assumptions'!J:J,'Level of Efficiency Assumptions'!D:D,E1862,'Level of Efficiency Assumptions'!F:F,F1862,'Level of Efficiency Assumptions'!I:I,I1862)</f>
        <v>3.5</v>
      </c>
      <c r="K1862" s="383" t="s">
        <v>68</v>
      </c>
      <c r="L1862" s="253" t="s">
        <v>64</v>
      </c>
      <c r="M1862" s="879">
        <f>Q1862+Q1868</f>
        <v>0</v>
      </c>
      <c r="N1862" s="880">
        <f>IFERROR(M1862/M1865,"-")</f>
        <v>0</v>
      </c>
      <c r="O1862" s="881">
        <f>SUMIFS('Data Entry'!R:R,'Data Entry'!K:K,G1862)</f>
        <v>0</v>
      </c>
      <c r="P1862" s="254" t="s">
        <v>159</v>
      </c>
      <c r="Q1862" s="882">
        <v>0</v>
      </c>
      <c r="R1862" s="883"/>
      <c r="S1862" s="883"/>
      <c r="T1862" s="114" t="s">
        <v>182</v>
      </c>
      <c r="U1862" s="884"/>
      <c r="V1862" s="270"/>
      <c r="W1862" s="270"/>
      <c r="X1862" s="270"/>
      <c r="Y1862" s="114"/>
      <c r="Z1862" s="114"/>
      <c r="AA1862" s="114"/>
      <c r="AB1862" s="85"/>
      <c r="AC1862" s="85"/>
      <c r="AD1862" s="85"/>
      <c r="AE1862" s="85"/>
    </row>
    <row r="1863" spans="3:31" ht="15" thickBot="1" x14ac:dyDescent="0.35">
      <c r="C1863" s="494" t="s">
        <v>418</v>
      </c>
      <c r="D1863" s="577"/>
      <c r="E1863" s="577" t="s">
        <v>37</v>
      </c>
      <c r="F1863" s="577" t="s">
        <v>2</v>
      </c>
      <c r="G1863" s="450" t="str">
        <f t="shared" si="93"/>
        <v>Fire and Police Stations-Restrooms-Toilets</v>
      </c>
      <c r="H1863" s="577"/>
      <c r="I1863" s="887" t="s">
        <v>65</v>
      </c>
      <c r="J1863" s="878">
        <f>SUMIFS('Level of Efficiency Assumptions'!J:J,'Level of Efficiency Assumptions'!D:D,E1863,'Level of Efficiency Assumptions'!F:F,F1863,'Level of Efficiency Assumptions'!I:I,I1863)</f>
        <v>1.6</v>
      </c>
      <c r="K1863" s="383" t="s">
        <v>68</v>
      </c>
      <c r="L1863" s="255" t="s">
        <v>65</v>
      </c>
      <c r="M1863" s="879">
        <f>Q1863+Q1866+Q1869</f>
        <v>1</v>
      </c>
      <c r="N1863" s="880">
        <f>IFERROR(M1863/M1865,"-")</f>
        <v>1</v>
      </c>
      <c r="O1863" s="881">
        <f>SUMIFS('Data Entry'!S:S,'Data Entry'!K:K,G1863)</f>
        <v>0</v>
      </c>
      <c r="P1863" s="256" t="s">
        <v>161</v>
      </c>
      <c r="Q1863" s="882">
        <v>1</v>
      </c>
      <c r="R1863" s="883"/>
      <c r="S1863" s="883"/>
      <c r="T1863" s="114" t="s">
        <v>184</v>
      </c>
      <c r="U1863" s="884"/>
      <c r="V1863" s="270"/>
      <c r="W1863" s="270"/>
      <c r="X1863" s="270"/>
      <c r="Y1863" s="114"/>
      <c r="Z1863" s="114"/>
      <c r="AA1863" s="114"/>
      <c r="AB1863" s="85"/>
      <c r="AC1863" s="85"/>
      <c r="AD1863" s="85"/>
      <c r="AE1863" s="85"/>
    </row>
    <row r="1864" spans="3:31" ht="15" thickBot="1" x14ac:dyDescent="0.35">
      <c r="C1864" s="501" t="s">
        <v>418</v>
      </c>
      <c r="D1864" s="116"/>
      <c r="E1864" s="116" t="s">
        <v>37</v>
      </c>
      <c r="F1864" s="116" t="s">
        <v>2</v>
      </c>
      <c r="G1864" s="450" t="str">
        <f t="shared" si="93"/>
        <v>Fire and Police Stations-Restrooms-Toilets</v>
      </c>
      <c r="H1864" s="116"/>
      <c r="I1864" s="889" t="s">
        <v>66</v>
      </c>
      <c r="J1864" s="890">
        <f>SUMIFS('Level of Efficiency Assumptions'!J:J,'Level of Efficiency Assumptions'!D:D,E1864,'Level of Efficiency Assumptions'!F:F,F1864,'Level of Efficiency Assumptions'!I:I,I1864)</f>
        <v>1.28</v>
      </c>
      <c r="K1864" s="383" t="s">
        <v>68</v>
      </c>
      <c r="L1864" s="257" t="s">
        <v>66</v>
      </c>
      <c r="M1864" s="879">
        <f>Q1864+Q1865+Q1867+Q1870+Q1871</f>
        <v>0</v>
      </c>
      <c r="N1864" s="880">
        <f>IFERROR(M1864/M1865,"-")</f>
        <v>0</v>
      </c>
      <c r="O1864" s="881">
        <f>SUMIFS('Data Entry'!T:T,'Data Entry'!K:K,G1864)</f>
        <v>0</v>
      </c>
      <c r="P1864" s="258" t="s">
        <v>163</v>
      </c>
      <c r="Q1864" s="882">
        <v>0</v>
      </c>
      <c r="R1864" s="883"/>
      <c r="S1864" s="883"/>
      <c r="T1864" s="891"/>
      <c r="U1864" s="884"/>
      <c r="V1864" s="270"/>
      <c r="W1864" s="270"/>
      <c r="X1864" s="270"/>
      <c r="Y1864" s="114"/>
      <c r="Z1864" s="114"/>
      <c r="AA1864" s="114"/>
      <c r="AB1864" s="85"/>
      <c r="AC1864" s="85"/>
      <c r="AD1864" s="85"/>
      <c r="AE1864" s="85"/>
    </row>
    <row r="1865" spans="3:31" x14ac:dyDescent="0.3">
      <c r="C1865" s="450"/>
      <c r="D1865" s="182"/>
      <c r="E1865" s="182"/>
      <c r="F1865" s="182"/>
      <c r="G1865" s="450" t="str">
        <f t="shared" si="93"/>
        <v>--</v>
      </c>
      <c r="H1865" s="182"/>
      <c r="I1865" s="440"/>
      <c r="J1865" s="892"/>
      <c r="K1865" s="259"/>
      <c r="L1865" s="259" t="s">
        <v>46</v>
      </c>
      <c r="M1865" s="893">
        <f>SUM(M1862:M1864)</f>
        <v>1</v>
      </c>
      <c r="N1865" s="894"/>
      <c r="O1865" s="894">
        <f>SUM(O1862:O1864)</f>
        <v>0</v>
      </c>
      <c r="P1865" s="258" t="s">
        <v>165</v>
      </c>
      <c r="Q1865" s="882">
        <v>0</v>
      </c>
      <c r="R1865" s="883"/>
      <c r="S1865" s="883"/>
      <c r="T1865" s="891"/>
      <c r="U1865" s="884"/>
      <c r="V1865" s="270"/>
      <c r="W1865" s="270"/>
      <c r="X1865" s="270"/>
      <c r="Y1865" s="114"/>
      <c r="Z1865" s="114"/>
      <c r="AA1865" s="114"/>
      <c r="AB1865" s="85"/>
      <c r="AC1865" s="85"/>
      <c r="AD1865" s="85"/>
      <c r="AE1865" s="85"/>
    </row>
    <row r="1866" spans="3:31" ht="15" thickBot="1" x14ac:dyDescent="0.35">
      <c r="C1866" s="450"/>
      <c r="D1866" s="182"/>
      <c r="E1866" s="182"/>
      <c r="F1866" s="182"/>
      <c r="G1866" s="450" t="str">
        <f t="shared" si="93"/>
        <v>--</v>
      </c>
      <c r="H1866" s="182"/>
      <c r="I1866" s="892"/>
      <c r="J1866" s="288"/>
      <c r="K1866" s="182"/>
      <c r="L1866" s="181"/>
      <c r="M1866" s="181"/>
      <c r="N1866" s="892"/>
      <c r="O1866" s="892"/>
      <c r="P1866" s="256" t="s">
        <v>166</v>
      </c>
      <c r="Q1866" s="895">
        <v>0</v>
      </c>
      <c r="R1866" s="883"/>
      <c r="S1866" s="883"/>
      <c r="T1866" s="891"/>
      <c r="U1866" s="896"/>
      <c r="V1866" s="891"/>
      <c r="W1866" s="270"/>
      <c r="X1866" s="270"/>
      <c r="Y1866" s="114"/>
      <c r="Z1866" s="114"/>
      <c r="AA1866" s="114"/>
      <c r="AB1866" s="85"/>
      <c r="AC1866" s="85"/>
      <c r="AD1866" s="85"/>
      <c r="AE1866" s="85"/>
    </row>
    <row r="1867" spans="3:31" x14ac:dyDescent="0.3">
      <c r="C1867" s="450"/>
      <c r="D1867" s="182"/>
      <c r="E1867" s="182"/>
      <c r="F1867" s="182"/>
      <c r="G1867" s="450" t="str">
        <f t="shared" si="93"/>
        <v>--</v>
      </c>
      <c r="H1867" s="182"/>
      <c r="I1867" s="892"/>
      <c r="J1867" s="288"/>
      <c r="K1867" s="182"/>
      <c r="L1867" s="1384" t="s">
        <v>377</v>
      </c>
      <c r="M1867" s="1385"/>
      <c r="N1867" s="1385"/>
      <c r="O1867" s="1386"/>
      <c r="P1867" s="258" t="s">
        <v>167</v>
      </c>
      <c r="Q1867" s="895">
        <v>0</v>
      </c>
      <c r="R1867" s="883"/>
      <c r="S1867" s="883"/>
      <c r="T1867" s="891"/>
      <c r="U1867" s="896"/>
      <c r="V1867" s="891"/>
      <c r="W1867" s="270"/>
      <c r="X1867" s="270"/>
      <c r="Y1867" s="270"/>
      <c r="Z1867" s="114"/>
      <c r="AA1867" s="114"/>
      <c r="AB1867" s="85"/>
      <c r="AC1867" s="85"/>
      <c r="AD1867" s="85"/>
      <c r="AE1867" s="85"/>
    </row>
    <row r="1868" spans="3:31" x14ac:dyDescent="0.3">
      <c r="C1868" s="450"/>
      <c r="D1868" s="182"/>
      <c r="E1868" s="182"/>
      <c r="F1868" s="182"/>
      <c r="G1868" s="450" t="str">
        <f t="shared" si="93"/>
        <v>--</v>
      </c>
      <c r="H1868" s="182"/>
      <c r="I1868" s="892"/>
      <c r="J1868" s="288"/>
      <c r="K1868" s="182"/>
      <c r="L1868" s="1387"/>
      <c r="M1868" s="1388"/>
      <c r="N1868" s="1388"/>
      <c r="O1868" s="1389"/>
      <c r="P1868" s="254" t="s">
        <v>160</v>
      </c>
      <c r="Q1868" s="895">
        <v>0</v>
      </c>
      <c r="R1868" s="891"/>
      <c r="S1868" s="891"/>
      <c r="T1868" s="891"/>
      <c r="U1868" s="896"/>
      <c r="V1868" s="891"/>
      <c r="W1868" s="270"/>
      <c r="X1868" s="270"/>
      <c r="Y1868" s="270"/>
      <c r="Z1868" s="114"/>
      <c r="AA1868" s="114"/>
      <c r="AB1868" s="85"/>
      <c r="AC1868" s="85"/>
      <c r="AD1868" s="85"/>
      <c r="AE1868" s="85"/>
    </row>
    <row r="1869" spans="3:31" x14ac:dyDescent="0.3">
      <c r="C1869" s="450"/>
      <c r="D1869" s="182"/>
      <c r="E1869" s="182"/>
      <c r="F1869" s="182"/>
      <c r="G1869" s="450" t="str">
        <f t="shared" si="93"/>
        <v>--</v>
      </c>
      <c r="H1869" s="182"/>
      <c r="I1869" s="892"/>
      <c r="J1869" s="288"/>
      <c r="K1869" s="182"/>
      <c r="L1869" s="1387"/>
      <c r="M1869" s="1388"/>
      <c r="N1869" s="1388"/>
      <c r="O1869" s="1389"/>
      <c r="P1869" s="256" t="s">
        <v>162</v>
      </c>
      <c r="Q1869" s="895">
        <v>0</v>
      </c>
      <c r="R1869" s="891"/>
      <c r="S1869" s="891"/>
      <c r="T1869" s="891"/>
      <c r="U1869" s="896"/>
      <c r="V1869" s="891"/>
      <c r="W1869" s="270"/>
      <c r="X1869" s="270"/>
      <c r="Y1869" s="270"/>
      <c r="Z1869" s="114"/>
      <c r="AA1869" s="114"/>
      <c r="AB1869" s="85"/>
      <c r="AC1869" s="85"/>
      <c r="AD1869" s="85"/>
      <c r="AE1869" s="85"/>
    </row>
    <row r="1870" spans="3:31" ht="15" thickBot="1" x14ac:dyDescent="0.35">
      <c r="C1870" s="450"/>
      <c r="D1870" s="182"/>
      <c r="E1870" s="182"/>
      <c r="F1870" s="182"/>
      <c r="G1870" s="450" t="str">
        <f t="shared" si="93"/>
        <v>--</v>
      </c>
      <c r="H1870" s="182"/>
      <c r="I1870" s="892"/>
      <c r="J1870" s="288"/>
      <c r="K1870" s="182"/>
      <c r="L1870" s="1390"/>
      <c r="M1870" s="1391"/>
      <c r="N1870" s="1391"/>
      <c r="O1870" s="1392"/>
      <c r="P1870" s="258" t="s">
        <v>164</v>
      </c>
      <c r="Q1870" s="895">
        <v>0</v>
      </c>
      <c r="R1870" s="114"/>
      <c r="S1870" s="891"/>
      <c r="T1870" s="114"/>
      <c r="U1870" s="884"/>
      <c r="V1870" s="114"/>
      <c r="W1870" s="270"/>
      <c r="X1870" s="270"/>
      <c r="Y1870" s="270"/>
      <c r="Z1870" s="114"/>
      <c r="AA1870" s="114"/>
      <c r="AB1870" s="85"/>
      <c r="AC1870" s="85"/>
      <c r="AD1870" s="85"/>
      <c r="AE1870" s="85"/>
    </row>
    <row r="1871" spans="3:31" x14ac:dyDescent="0.3">
      <c r="C1871" s="450"/>
      <c r="D1871" s="182"/>
      <c r="E1871" s="182"/>
      <c r="F1871" s="182"/>
      <c r="G1871" s="450" t="str">
        <f t="shared" si="93"/>
        <v>--</v>
      </c>
      <c r="H1871" s="182"/>
      <c r="I1871" s="892"/>
      <c r="J1871" s="288"/>
      <c r="K1871" s="182"/>
      <c r="L1871" s="181"/>
      <c r="M1871" s="181"/>
      <c r="N1871" s="892"/>
      <c r="O1871" s="892"/>
      <c r="P1871" s="258" t="s">
        <v>187</v>
      </c>
      <c r="Q1871" s="895">
        <v>0</v>
      </c>
      <c r="R1871" s="114"/>
      <c r="S1871" s="891"/>
      <c r="T1871" s="114"/>
      <c r="U1871" s="884"/>
      <c r="V1871" s="114"/>
      <c r="W1871" s="270"/>
      <c r="X1871" s="270"/>
      <c r="Y1871" s="270"/>
      <c r="Z1871" s="114"/>
      <c r="AA1871" s="114"/>
      <c r="AB1871" s="85"/>
      <c r="AC1871" s="85"/>
      <c r="AD1871" s="85"/>
      <c r="AE1871" s="85"/>
    </row>
    <row r="1872" spans="3:31" x14ac:dyDescent="0.3">
      <c r="C1872" s="450"/>
      <c r="D1872" s="182"/>
      <c r="E1872" s="182"/>
      <c r="F1872" s="182"/>
      <c r="G1872" s="450" t="str">
        <f t="shared" si="93"/>
        <v>--</v>
      </c>
      <c r="H1872" s="182"/>
      <c r="I1872" s="892"/>
      <c r="J1872" s="288"/>
      <c r="K1872" s="182"/>
      <c r="L1872" s="181"/>
      <c r="M1872" s="181"/>
      <c r="N1872" s="892"/>
      <c r="O1872" s="892"/>
      <c r="P1872" s="263" t="s">
        <v>46</v>
      </c>
      <c r="Q1872" s="897">
        <f>SUM(Q1862:Q1871)</f>
        <v>1</v>
      </c>
      <c r="R1872" s="898"/>
      <c r="S1872" s="898"/>
      <c r="T1872" s="899"/>
      <c r="U1872" s="900"/>
      <c r="V1872" s="114"/>
      <c r="W1872" s="270"/>
      <c r="X1872" s="270"/>
      <c r="Y1872" s="270"/>
      <c r="Z1872" s="114"/>
      <c r="AA1872" s="114"/>
      <c r="AB1872" s="85"/>
      <c r="AC1872" s="85"/>
      <c r="AD1872" s="85"/>
      <c r="AE1872" s="85"/>
    </row>
    <row r="1873" spans="3:31" x14ac:dyDescent="0.3">
      <c r="C1873" s="450"/>
      <c r="D1873" s="182"/>
      <c r="E1873" s="182"/>
      <c r="F1873" s="182"/>
      <c r="G1873" s="450" t="str">
        <f t="shared" si="93"/>
        <v>--</v>
      </c>
      <c r="H1873" s="182"/>
      <c r="I1873" s="892"/>
      <c r="J1873" s="288"/>
      <c r="K1873" s="182"/>
      <c r="L1873" s="181"/>
      <c r="M1873" s="181"/>
      <c r="N1873" s="892"/>
      <c r="O1873" s="892"/>
      <c r="P1873" s="114"/>
      <c r="Q1873" s="114"/>
      <c r="R1873" s="891"/>
      <c r="S1873" s="891"/>
      <c r="T1873" s="114"/>
      <c r="U1873" s="114"/>
      <c r="V1873" s="114"/>
      <c r="W1873" s="270"/>
      <c r="X1873" s="270"/>
      <c r="Y1873" s="270"/>
      <c r="Z1873" s="114"/>
      <c r="AA1873" s="114"/>
      <c r="AB1873" s="85"/>
      <c r="AC1873" s="85"/>
      <c r="AD1873" s="85"/>
      <c r="AE1873" s="85"/>
    </row>
    <row r="1874" spans="3:31" ht="15" thickBot="1" x14ac:dyDescent="0.35">
      <c r="C1874" s="450"/>
      <c r="D1874" s="182"/>
      <c r="E1874" s="182"/>
      <c r="F1874" s="182"/>
      <c r="G1874" s="450" t="str">
        <f t="shared" si="93"/>
        <v>--</v>
      </c>
      <c r="H1874" s="182"/>
      <c r="I1874" s="892"/>
      <c r="J1874" s="892"/>
      <c r="K1874" s="182"/>
      <c r="L1874" s="182"/>
      <c r="M1874" s="901" t="s">
        <v>155</v>
      </c>
      <c r="N1874" s="870" t="s">
        <v>188</v>
      </c>
      <c r="O1874" s="870"/>
      <c r="P1874" s="252" t="s">
        <v>175</v>
      </c>
      <c r="Q1874" s="871" t="s">
        <v>155</v>
      </c>
      <c r="R1874" s="872" t="s">
        <v>168</v>
      </c>
      <c r="S1874" s="872" t="s">
        <v>169</v>
      </c>
      <c r="T1874" s="902"/>
      <c r="U1874" s="903"/>
      <c r="V1874" s="270"/>
      <c r="W1874" s="270"/>
      <c r="X1874" s="270"/>
      <c r="Y1874" s="270"/>
      <c r="Z1874" s="114"/>
      <c r="AA1874" s="114"/>
      <c r="AB1874" s="85"/>
      <c r="AC1874" s="85"/>
      <c r="AD1874" s="85"/>
      <c r="AE1874" s="85"/>
    </row>
    <row r="1875" spans="3:31" ht="15" thickBot="1" x14ac:dyDescent="0.35">
      <c r="C1875" s="566" t="s">
        <v>418</v>
      </c>
      <c r="D1875" s="875" t="str">
        <f>VLOOKUP(C1875,'Airport Mapping'!$C$5:$D$39,2,FALSE)</f>
        <v xml:space="preserve"> </v>
      </c>
      <c r="E1875" s="567" t="s">
        <v>37</v>
      </c>
      <c r="F1875" s="567" t="s">
        <v>4</v>
      </c>
      <c r="G1875" s="450" t="str">
        <f t="shared" si="93"/>
        <v>Fire and Police Stations-Restrooms-Urinals</v>
      </c>
      <c r="H1875" s="567" t="s">
        <v>6</v>
      </c>
      <c r="I1875" s="877" t="s">
        <v>64</v>
      </c>
      <c r="J1875" s="878">
        <f>SUMIFS('Level of Efficiency Assumptions'!J:J,'Level of Efficiency Assumptions'!D:D,E1875,'Level of Efficiency Assumptions'!F:F,F1875,'Level of Efficiency Assumptions'!I:I,I1875)</f>
        <v>2</v>
      </c>
      <c r="K1875" s="383" t="s">
        <v>68</v>
      </c>
      <c r="L1875" s="253" t="s">
        <v>64</v>
      </c>
      <c r="M1875" s="879">
        <f>Q1875+Q1876</f>
        <v>0</v>
      </c>
      <c r="N1875" s="880">
        <f>IFERROR(M1875/M1878,"-")</f>
        <v>0</v>
      </c>
      <c r="O1875" s="881">
        <f>SUMIFS('Data Entry'!R:R,'Data Entry'!K:K,G1875)</f>
        <v>0</v>
      </c>
      <c r="P1875" s="254" t="s">
        <v>177</v>
      </c>
      <c r="Q1875" s="882">
        <v>0</v>
      </c>
      <c r="R1875" s="883"/>
      <c r="S1875" s="883"/>
      <c r="T1875" s="114"/>
      <c r="U1875" s="904"/>
      <c r="V1875" s="270"/>
      <c r="W1875" s="270"/>
      <c r="X1875" s="270"/>
      <c r="Y1875" s="270"/>
      <c r="Z1875" s="114"/>
      <c r="AA1875" s="114"/>
      <c r="AB1875" s="85"/>
      <c r="AC1875" s="85"/>
      <c r="AD1875" s="85"/>
      <c r="AE1875" s="85"/>
    </row>
    <row r="1876" spans="3:31" ht="15" thickBot="1" x14ac:dyDescent="0.35">
      <c r="C1876" s="494" t="s">
        <v>418</v>
      </c>
      <c r="D1876" s="577"/>
      <c r="E1876" s="577" t="s">
        <v>37</v>
      </c>
      <c r="F1876" s="577" t="s">
        <v>4</v>
      </c>
      <c r="G1876" s="450" t="str">
        <f t="shared" si="93"/>
        <v>Fire and Police Stations-Restrooms-Urinals</v>
      </c>
      <c r="H1876" s="577"/>
      <c r="I1876" s="887" t="s">
        <v>65</v>
      </c>
      <c r="J1876" s="878">
        <f>SUMIFS('Level of Efficiency Assumptions'!J:J,'Level of Efficiency Assumptions'!D:D,E1876,'Level of Efficiency Assumptions'!F:F,F1876,'Level of Efficiency Assumptions'!I:I,I1876)</f>
        <v>1</v>
      </c>
      <c r="K1876" s="383" t="s">
        <v>68</v>
      </c>
      <c r="L1876" s="255" t="s">
        <v>65</v>
      </c>
      <c r="M1876" s="879">
        <f>Q1877+Q1878</f>
        <v>1</v>
      </c>
      <c r="N1876" s="880">
        <f>IFERROR(M1876/M1878,"-")</f>
        <v>1</v>
      </c>
      <c r="O1876" s="881">
        <f>SUMIFS('Data Entry'!S:S,'Data Entry'!K:K,G1876)</f>
        <v>0</v>
      </c>
      <c r="P1876" s="254" t="s">
        <v>179</v>
      </c>
      <c r="Q1876" s="882">
        <v>0</v>
      </c>
      <c r="R1876" s="883"/>
      <c r="S1876" s="883"/>
      <c r="T1876" s="114"/>
      <c r="U1876" s="904"/>
      <c r="V1876" s="270"/>
      <c r="W1876" s="270"/>
      <c r="X1876" s="270"/>
      <c r="Y1876" s="270"/>
      <c r="Z1876" s="114"/>
      <c r="AA1876" s="114"/>
      <c r="AB1876" s="85"/>
      <c r="AC1876" s="85"/>
      <c r="AD1876" s="85"/>
      <c r="AE1876" s="85"/>
    </row>
    <row r="1877" spans="3:31" ht="15" thickBot="1" x14ac:dyDescent="0.35">
      <c r="C1877" s="501" t="s">
        <v>418</v>
      </c>
      <c r="D1877" s="116"/>
      <c r="E1877" s="116" t="s">
        <v>37</v>
      </c>
      <c r="F1877" s="116" t="s">
        <v>4</v>
      </c>
      <c r="G1877" s="450" t="str">
        <f t="shared" si="93"/>
        <v>Fire and Police Stations-Restrooms-Urinals</v>
      </c>
      <c r="H1877" s="116"/>
      <c r="I1877" s="889" t="s">
        <v>66</v>
      </c>
      <c r="J1877" s="890">
        <f>SUMIFS('Level of Efficiency Assumptions'!J:J,'Level of Efficiency Assumptions'!D:D,E1877,'Level of Efficiency Assumptions'!F:F,F1877,'Level of Efficiency Assumptions'!I:I,I1877)</f>
        <v>0.125</v>
      </c>
      <c r="K1877" s="383" t="s">
        <v>68</v>
      </c>
      <c r="L1877" s="257" t="s">
        <v>66</v>
      </c>
      <c r="M1877" s="879">
        <f>Q1879+Q1880</f>
        <v>0</v>
      </c>
      <c r="N1877" s="880">
        <f>IFERROR(M1877/M1878,"-")</f>
        <v>0</v>
      </c>
      <c r="O1877" s="881">
        <f>SUMIFS('Data Entry'!T:T,'Data Entry'!K:K,G1877)</f>
        <v>0</v>
      </c>
      <c r="P1877" s="256" t="s">
        <v>189</v>
      </c>
      <c r="Q1877" s="882">
        <v>0</v>
      </c>
      <c r="R1877" s="883"/>
      <c r="S1877" s="883"/>
      <c r="T1877" s="114"/>
      <c r="U1877" s="904"/>
      <c r="V1877" s="270"/>
      <c r="W1877" s="270"/>
      <c r="X1877" s="270"/>
      <c r="Y1877" s="270"/>
      <c r="Z1877" s="114"/>
      <c r="AA1877" s="114"/>
      <c r="AB1877" s="85"/>
      <c r="AC1877" s="85"/>
      <c r="AD1877" s="85"/>
      <c r="AE1877" s="85"/>
    </row>
    <row r="1878" spans="3:31" x14ac:dyDescent="0.3">
      <c r="C1878" s="450"/>
      <c r="D1878" s="182"/>
      <c r="E1878" s="182"/>
      <c r="F1878" s="182"/>
      <c r="G1878" s="450" t="str">
        <f t="shared" si="93"/>
        <v>--</v>
      </c>
      <c r="H1878" s="182"/>
      <c r="I1878" s="440"/>
      <c r="J1878" s="892"/>
      <c r="K1878" s="259"/>
      <c r="L1878" s="259" t="s">
        <v>46</v>
      </c>
      <c r="M1878" s="893">
        <f>SUM(M1875:M1877)</f>
        <v>1</v>
      </c>
      <c r="N1878" s="894"/>
      <c r="O1878" s="894">
        <f>SUM(O1875:O1877)</f>
        <v>0</v>
      </c>
      <c r="P1878" s="256" t="s">
        <v>181</v>
      </c>
      <c r="Q1878" s="882">
        <v>1</v>
      </c>
      <c r="R1878" s="883"/>
      <c r="S1878" s="883"/>
      <c r="T1878" s="114"/>
      <c r="U1878" s="264"/>
      <c r="V1878" s="270"/>
      <c r="W1878" s="270"/>
      <c r="X1878" s="270"/>
      <c r="Y1878" s="270"/>
      <c r="Z1878" s="114"/>
      <c r="AA1878" s="114"/>
      <c r="AB1878" s="85"/>
      <c r="AC1878" s="85"/>
      <c r="AD1878" s="85"/>
      <c r="AE1878" s="85"/>
    </row>
    <row r="1879" spans="3:31" x14ac:dyDescent="0.3">
      <c r="C1879" s="450"/>
      <c r="D1879" s="182"/>
      <c r="E1879" s="182"/>
      <c r="F1879" s="182"/>
      <c r="G1879" s="450" t="str">
        <f t="shared" si="93"/>
        <v>--</v>
      </c>
      <c r="H1879" s="182"/>
      <c r="I1879" s="892"/>
      <c r="J1879" s="288"/>
      <c r="K1879" s="182"/>
      <c r="L1879" s="181"/>
      <c r="M1879" s="181"/>
      <c r="N1879" s="892"/>
      <c r="O1879" s="892"/>
      <c r="P1879" s="258" t="s">
        <v>183</v>
      </c>
      <c r="Q1879" s="882">
        <v>0</v>
      </c>
      <c r="R1879" s="883"/>
      <c r="S1879" s="883"/>
      <c r="T1879" s="114"/>
      <c r="U1879" s="884"/>
      <c r="V1879" s="114"/>
      <c r="W1879" s="270"/>
      <c r="X1879" s="270"/>
      <c r="Y1879" s="270"/>
      <c r="Z1879" s="114"/>
      <c r="AA1879" s="114"/>
      <c r="AB1879" s="85"/>
      <c r="AC1879" s="85"/>
      <c r="AD1879" s="85"/>
      <c r="AE1879" s="85"/>
    </row>
    <row r="1880" spans="3:31" x14ac:dyDescent="0.3">
      <c r="C1880" s="450"/>
      <c r="D1880" s="182"/>
      <c r="E1880" s="182"/>
      <c r="F1880" s="182"/>
      <c r="G1880" s="450" t="str">
        <f t="shared" si="93"/>
        <v>--</v>
      </c>
      <c r="H1880" s="182"/>
      <c r="I1880" s="892"/>
      <c r="J1880" s="288"/>
      <c r="K1880" s="182"/>
      <c r="L1880" s="181"/>
      <c r="M1880" s="181"/>
      <c r="N1880" s="892"/>
      <c r="O1880" s="892"/>
      <c r="P1880" s="258" t="s">
        <v>190</v>
      </c>
      <c r="Q1880" s="882">
        <v>0</v>
      </c>
      <c r="R1880" s="114"/>
      <c r="S1880" s="114"/>
      <c r="T1880" s="114"/>
      <c r="U1880" s="884"/>
      <c r="V1880" s="114"/>
      <c r="W1880" s="270"/>
      <c r="X1880" s="270"/>
      <c r="Y1880" s="270"/>
      <c r="Z1880" s="114"/>
      <c r="AA1880" s="114"/>
      <c r="AB1880" s="85"/>
      <c r="AC1880" s="85"/>
      <c r="AD1880" s="85"/>
      <c r="AE1880" s="85"/>
    </row>
    <row r="1881" spans="3:31" x14ac:dyDescent="0.3">
      <c r="C1881" s="450"/>
      <c r="D1881" s="182"/>
      <c r="E1881" s="182"/>
      <c r="F1881" s="182"/>
      <c r="G1881" s="450" t="str">
        <f t="shared" si="93"/>
        <v>--</v>
      </c>
      <c r="H1881" s="182"/>
      <c r="I1881" s="892"/>
      <c r="J1881" s="288"/>
      <c r="K1881" s="182"/>
      <c r="L1881" s="181"/>
      <c r="M1881" s="181"/>
      <c r="N1881" s="892"/>
      <c r="O1881" s="892"/>
      <c r="P1881" s="263" t="s">
        <v>46</v>
      </c>
      <c r="Q1881" s="897">
        <f>SUM(Q1875:Q1880)</f>
        <v>1</v>
      </c>
      <c r="R1881" s="899"/>
      <c r="S1881" s="899"/>
      <c r="T1881" s="899"/>
      <c r="U1881" s="900"/>
      <c r="V1881" s="114"/>
      <c r="W1881" s="270"/>
      <c r="X1881" s="270"/>
      <c r="Y1881" s="270"/>
      <c r="Z1881" s="114"/>
      <c r="AA1881" s="114"/>
      <c r="AB1881" s="85"/>
      <c r="AC1881" s="85"/>
      <c r="AD1881" s="85"/>
      <c r="AE1881" s="85"/>
    </row>
    <row r="1882" spans="3:31" x14ac:dyDescent="0.3">
      <c r="C1882" s="450"/>
      <c r="D1882" s="182"/>
      <c r="E1882" s="182"/>
      <c r="F1882" s="182"/>
      <c r="G1882" s="450" t="str">
        <f t="shared" si="93"/>
        <v>--</v>
      </c>
      <c r="H1882" s="182"/>
      <c r="I1882" s="892"/>
      <c r="J1882" s="288"/>
      <c r="K1882" s="182"/>
      <c r="L1882" s="181"/>
      <c r="M1882" s="181"/>
      <c r="N1882" s="892"/>
      <c r="O1882" s="892"/>
      <c r="P1882" s="262"/>
      <c r="Q1882" s="114"/>
      <c r="R1882" s="114"/>
      <c r="S1882" s="114"/>
      <c r="T1882" s="114"/>
      <c r="U1882" s="114"/>
      <c r="V1882" s="114"/>
      <c r="W1882" s="270"/>
      <c r="X1882" s="270"/>
      <c r="Y1882" s="270"/>
      <c r="Z1882" s="114"/>
      <c r="AA1882" s="114"/>
      <c r="AB1882" s="85"/>
      <c r="AC1882" s="85"/>
      <c r="AD1882" s="85"/>
      <c r="AE1882" s="85"/>
    </row>
    <row r="1883" spans="3:31" ht="15" thickBot="1" x14ac:dyDescent="0.35">
      <c r="C1883" s="450"/>
      <c r="D1883" s="182"/>
      <c r="E1883" s="182"/>
      <c r="F1883" s="182"/>
      <c r="G1883" s="450" t="str">
        <f t="shared" si="93"/>
        <v>--</v>
      </c>
      <c r="H1883" s="182"/>
      <c r="I1883" s="892"/>
      <c r="J1883" s="892"/>
      <c r="K1883" s="182"/>
      <c r="L1883" s="182"/>
      <c r="M1883" s="901" t="s">
        <v>155</v>
      </c>
      <c r="N1883" s="870" t="s">
        <v>188</v>
      </c>
      <c r="O1883" s="870"/>
      <c r="P1883" s="265" t="s">
        <v>33</v>
      </c>
      <c r="Q1883" s="871" t="s">
        <v>155</v>
      </c>
      <c r="R1883" s="872" t="s">
        <v>168</v>
      </c>
      <c r="S1883" s="872" t="s">
        <v>169</v>
      </c>
      <c r="T1883" s="872" t="s">
        <v>170</v>
      </c>
      <c r="U1883" s="872" t="s">
        <v>171</v>
      </c>
      <c r="V1883" s="902"/>
      <c r="W1883" s="902"/>
      <c r="X1883" s="874"/>
      <c r="Y1883" s="270"/>
      <c r="Z1883" s="114"/>
      <c r="AA1883" s="114"/>
      <c r="AB1883" s="85"/>
      <c r="AC1883" s="85"/>
      <c r="AD1883" s="85"/>
      <c r="AE1883" s="85"/>
    </row>
    <row r="1884" spans="3:31" ht="15" thickBot="1" x14ac:dyDescent="0.35">
      <c r="C1884" s="566" t="s">
        <v>418</v>
      </c>
      <c r="D1884" s="875" t="str">
        <f>VLOOKUP(C1884,'Airport Mapping'!$C$5:$D$39,2,FALSE)</f>
        <v xml:space="preserve"> </v>
      </c>
      <c r="E1884" s="567" t="s">
        <v>37</v>
      </c>
      <c r="F1884" s="567" t="s">
        <v>33</v>
      </c>
      <c r="G1884" s="450" t="str">
        <f t="shared" si="93"/>
        <v>Fire and Police Stations-Restrooms-Faucets</v>
      </c>
      <c r="H1884" s="567" t="s">
        <v>6</v>
      </c>
      <c r="I1884" s="877" t="s">
        <v>64</v>
      </c>
      <c r="J1884" s="878">
        <f>SUMIFS('Level of Efficiency Assumptions'!J:J,'Level of Efficiency Assumptions'!D:D,E1884,'Level of Efficiency Assumptions'!F:F,F1884,'Level of Efficiency Assumptions'!I:I,I1884)</f>
        <v>2</v>
      </c>
      <c r="K1884" s="383" t="s">
        <v>78</v>
      </c>
      <c r="L1884" s="253" t="s">
        <v>64</v>
      </c>
      <c r="M1884" s="879">
        <f>Q1884+Q1885</f>
        <v>0</v>
      </c>
      <c r="N1884" s="880">
        <f>IFERROR(M1884/M1887,"-")</f>
        <v>0</v>
      </c>
      <c r="O1884" s="881">
        <f>SUMIFS('Data Entry'!R:R,'Data Entry'!K:K,G1884)</f>
        <v>0</v>
      </c>
      <c r="P1884" s="266" t="s">
        <v>180</v>
      </c>
      <c r="Q1884" s="895">
        <v>0</v>
      </c>
      <c r="R1884" s="883"/>
      <c r="S1884" s="883"/>
      <c r="T1884" s="883"/>
      <c r="U1884" s="883"/>
      <c r="V1884" s="114" t="s">
        <v>182</v>
      </c>
      <c r="W1884" s="114"/>
      <c r="X1884" s="884"/>
      <c r="Y1884" s="270"/>
      <c r="Z1884" s="114"/>
      <c r="AA1884" s="114"/>
      <c r="AB1884" s="85"/>
      <c r="AC1884" s="85"/>
      <c r="AD1884" s="85"/>
      <c r="AE1884" s="85"/>
    </row>
    <row r="1885" spans="3:31" ht="15" thickBot="1" x14ac:dyDescent="0.35">
      <c r="C1885" s="494" t="s">
        <v>418</v>
      </c>
      <c r="D1885" s="577"/>
      <c r="E1885" s="577" t="s">
        <v>37</v>
      </c>
      <c r="F1885" s="577" t="s">
        <v>33</v>
      </c>
      <c r="G1885" s="450" t="str">
        <f t="shared" si="93"/>
        <v>Fire and Police Stations-Restrooms-Faucets</v>
      </c>
      <c r="H1885" s="577"/>
      <c r="I1885" s="887" t="s">
        <v>65</v>
      </c>
      <c r="J1885" s="878">
        <f>SUMIFS('Level of Efficiency Assumptions'!J:J,'Level of Efficiency Assumptions'!D:D,E1885,'Level of Efficiency Assumptions'!F:F,F1885,'Level of Efficiency Assumptions'!I:I,I1885)</f>
        <v>1</v>
      </c>
      <c r="K1885" s="383" t="s">
        <v>78</v>
      </c>
      <c r="L1885" s="255" t="s">
        <v>65</v>
      </c>
      <c r="M1885" s="879">
        <f>Q1886+Q1887</f>
        <v>1</v>
      </c>
      <c r="N1885" s="880">
        <f>IFERROR(M1885/M1887,"-")</f>
        <v>1</v>
      </c>
      <c r="O1885" s="881">
        <f>SUMIFS('Data Entry'!S:S,'Data Entry'!K:K,G1885)</f>
        <v>0</v>
      </c>
      <c r="P1885" s="266" t="s">
        <v>178</v>
      </c>
      <c r="Q1885" s="895">
        <v>0</v>
      </c>
      <c r="R1885" s="883"/>
      <c r="S1885" s="883"/>
      <c r="T1885" s="883"/>
      <c r="U1885" s="883"/>
      <c r="V1885" s="114" t="s">
        <v>184</v>
      </c>
      <c r="W1885" s="114"/>
      <c r="X1885" s="884"/>
      <c r="Y1885" s="270"/>
      <c r="Z1885" s="114"/>
      <c r="AA1885" s="114"/>
      <c r="AB1885" s="85"/>
      <c r="AC1885" s="85"/>
      <c r="AD1885" s="85"/>
      <c r="AE1885" s="85"/>
    </row>
    <row r="1886" spans="3:31" ht="15" thickBot="1" x14ac:dyDescent="0.35">
      <c r="C1886" s="501" t="s">
        <v>418</v>
      </c>
      <c r="D1886" s="116"/>
      <c r="E1886" s="116" t="s">
        <v>37</v>
      </c>
      <c r="F1886" s="116" t="s">
        <v>33</v>
      </c>
      <c r="G1886" s="450" t="str">
        <f t="shared" si="93"/>
        <v>Fire and Police Stations-Restrooms-Faucets</v>
      </c>
      <c r="H1886" s="116"/>
      <c r="I1886" s="889" t="s">
        <v>66</v>
      </c>
      <c r="J1886" s="890">
        <f>SUMIFS('Level of Efficiency Assumptions'!J:J,'Level of Efficiency Assumptions'!D:D,E1886,'Level of Efficiency Assumptions'!F:F,F1886,'Level of Efficiency Assumptions'!I:I,I1886)</f>
        <v>0.5</v>
      </c>
      <c r="K1886" s="383" t="s">
        <v>78</v>
      </c>
      <c r="L1886" s="257" t="s">
        <v>66</v>
      </c>
      <c r="M1886" s="879">
        <f>Q1888</f>
        <v>0</v>
      </c>
      <c r="N1886" s="880">
        <f>IFERROR(M1886/M1887,"-")</f>
        <v>0</v>
      </c>
      <c r="O1886" s="881">
        <f>SUMIFS('Data Entry'!T:T,'Data Entry'!K:K,G1886)</f>
        <v>0</v>
      </c>
      <c r="P1886" s="267" t="s">
        <v>176</v>
      </c>
      <c r="Q1886" s="895">
        <v>1</v>
      </c>
      <c r="R1886" s="883"/>
      <c r="S1886" s="883"/>
      <c r="T1886" s="883"/>
      <c r="U1886" s="883"/>
      <c r="V1886" s="114" t="s">
        <v>185</v>
      </c>
      <c r="W1886" s="114"/>
      <c r="X1886" s="884"/>
      <c r="Y1886" s="270"/>
      <c r="Z1886" s="114"/>
      <c r="AA1886" s="114"/>
      <c r="AB1886" s="85"/>
      <c r="AC1886" s="85"/>
      <c r="AD1886" s="85"/>
      <c r="AE1886" s="85"/>
    </row>
    <row r="1887" spans="3:31" x14ac:dyDescent="0.3">
      <c r="C1887" s="450"/>
      <c r="D1887" s="182"/>
      <c r="E1887" s="182"/>
      <c r="F1887" s="182"/>
      <c r="G1887" s="450" t="str">
        <f t="shared" si="93"/>
        <v>--</v>
      </c>
      <c r="H1887" s="182"/>
      <c r="I1887" s="440"/>
      <c r="J1887" s="892"/>
      <c r="K1887" s="259"/>
      <c r="L1887" s="259" t="s">
        <v>46</v>
      </c>
      <c r="M1887" s="893">
        <f>SUM(M1884:M1886)</f>
        <v>1</v>
      </c>
      <c r="N1887" s="894"/>
      <c r="O1887" s="894">
        <f>SUM(O1884:O1886)</f>
        <v>0</v>
      </c>
      <c r="P1887" s="256" t="s">
        <v>173</v>
      </c>
      <c r="Q1887" s="895">
        <v>0</v>
      </c>
      <c r="R1887" s="883"/>
      <c r="S1887" s="883"/>
      <c r="T1887" s="883"/>
      <c r="U1887" s="883"/>
      <c r="V1887" s="114" t="s">
        <v>186</v>
      </c>
      <c r="W1887" s="114"/>
      <c r="X1887" s="884"/>
      <c r="Y1887" s="270"/>
      <c r="Z1887" s="114"/>
      <c r="AA1887" s="114"/>
      <c r="AB1887" s="85"/>
      <c r="AC1887" s="85"/>
      <c r="AD1887" s="85"/>
      <c r="AE1887" s="85"/>
    </row>
    <row r="1888" spans="3:31" x14ac:dyDescent="0.3">
      <c r="C1888" s="450"/>
      <c r="D1888" s="182"/>
      <c r="E1888" s="182"/>
      <c r="F1888" s="182"/>
      <c r="G1888" s="450" t="str">
        <f t="shared" si="93"/>
        <v>--</v>
      </c>
      <c r="H1888" s="182"/>
      <c r="I1888" s="892"/>
      <c r="J1888" s="288"/>
      <c r="K1888" s="182"/>
      <c r="L1888" s="114"/>
      <c r="M1888" s="114"/>
      <c r="N1888" s="905"/>
      <c r="O1888" s="905"/>
      <c r="P1888" s="258" t="s">
        <v>172</v>
      </c>
      <c r="Q1888" s="895">
        <v>0</v>
      </c>
      <c r="R1888" s="883"/>
      <c r="S1888" s="883"/>
      <c r="T1888" s="883"/>
      <c r="U1888" s="883"/>
      <c r="V1888" s="114"/>
      <c r="W1888" s="114"/>
      <c r="X1888" s="884"/>
      <c r="Y1888" s="270"/>
      <c r="Z1888" s="114"/>
      <c r="AA1888" s="114"/>
      <c r="AB1888" s="85"/>
      <c r="AC1888" s="85"/>
      <c r="AD1888" s="85"/>
      <c r="AE1888" s="85"/>
    </row>
    <row r="1889" spans="3:31" x14ac:dyDescent="0.3">
      <c r="C1889" s="450"/>
      <c r="D1889" s="182"/>
      <c r="E1889" s="182"/>
      <c r="F1889" s="182"/>
      <c r="G1889" s="450" t="str">
        <f t="shared" si="93"/>
        <v>--</v>
      </c>
      <c r="H1889" s="182"/>
      <c r="I1889" s="892"/>
      <c r="J1889" s="288"/>
      <c r="K1889" s="182"/>
      <c r="L1889" s="181"/>
      <c r="M1889" s="181"/>
      <c r="N1889" s="892"/>
      <c r="O1889" s="892"/>
      <c r="P1889" s="263" t="s">
        <v>46</v>
      </c>
      <c r="Q1889" s="897">
        <f>SUM(Q1883:Q1888)</f>
        <v>1</v>
      </c>
      <c r="R1889" s="899"/>
      <c r="S1889" s="899"/>
      <c r="T1889" s="899"/>
      <c r="U1889" s="899"/>
      <c r="V1889" s="899"/>
      <c r="W1889" s="899"/>
      <c r="X1889" s="900"/>
      <c r="Y1889" s="270"/>
      <c r="Z1889" s="114"/>
      <c r="AA1889" s="114"/>
      <c r="AB1889" s="85"/>
      <c r="AC1889" s="85"/>
      <c r="AD1889" s="85"/>
      <c r="AE1889" s="85"/>
    </row>
    <row r="1890" spans="3:31" x14ac:dyDescent="0.3">
      <c r="C1890" s="450"/>
      <c r="D1890" s="182"/>
      <c r="E1890" s="182"/>
      <c r="F1890" s="182"/>
      <c r="G1890" s="450" t="str">
        <f t="shared" si="93"/>
        <v>--</v>
      </c>
      <c r="H1890" s="182"/>
      <c r="I1890" s="892"/>
      <c r="J1890" s="288"/>
      <c r="K1890" s="182"/>
      <c r="L1890" s="181"/>
      <c r="M1890" s="181"/>
      <c r="N1890" s="892"/>
      <c r="O1890" s="892"/>
      <c r="P1890" s="262"/>
      <c r="Q1890" s="114"/>
      <c r="R1890" s="114"/>
      <c r="S1890" s="114"/>
      <c r="T1890" s="114"/>
      <c r="U1890" s="114"/>
      <c r="V1890" s="114"/>
      <c r="W1890" s="270"/>
      <c r="X1890" s="270"/>
      <c r="Y1890" s="270"/>
      <c r="Z1890" s="114"/>
      <c r="AA1890" s="114"/>
      <c r="AB1890" s="85"/>
      <c r="AC1890" s="85"/>
      <c r="AD1890" s="85"/>
      <c r="AE1890" s="85"/>
    </row>
    <row r="1891" spans="3:31" ht="15" thickBot="1" x14ac:dyDescent="0.35">
      <c r="C1891" s="450"/>
      <c r="D1891" s="182"/>
      <c r="E1891" s="182"/>
      <c r="F1891" s="182"/>
      <c r="G1891" s="450" t="str">
        <f t="shared" ref="G1891:G1951" si="97">C1891&amp;"-"&amp;E1891&amp;"-"&amp;F1891</f>
        <v>--</v>
      </c>
      <c r="H1891" s="182"/>
      <c r="I1891" s="892"/>
      <c r="J1891" s="892"/>
      <c r="K1891" s="182"/>
      <c r="L1891" s="182"/>
      <c r="M1891" s="901" t="s">
        <v>155</v>
      </c>
      <c r="N1891" s="870" t="s">
        <v>188</v>
      </c>
      <c r="O1891" s="870"/>
      <c r="P1891" s="265" t="s">
        <v>33</v>
      </c>
      <c r="Q1891" s="871" t="s">
        <v>155</v>
      </c>
      <c r="R1891" s="872" t="s">
        <v>168</v>
      </c>
      <c r="S1891" s="872" t="s">
        <v>169</v>
      </c>
      <c r="T1891" s="872" t="s">
        <v>170</v>
      </c>
      <c r="U1891" s="872" t="s">
        <v>171</v>
      </c>
      <c r="V1891" s="902"/>
      <c r="W1891" s="902"/>
      <c r="X1891" s="874"/>
      <c r="Y1891" s="270"/>
      <c r="Z1891" s="114"/>
      <c r="AA1891" s="114"/>
      <c r="AB1891" s="85"/>
      <c r="AC1891" s="85"/>
      <c r="AD1891" s="85"/>
      <c r="AE1891" s="85"/>
    </row>
    <row r="1892" spans="3:31" ht="15" thickBot="1" x14ac:dyDescent="0.35">
      <c r="C1892" s="566" t="s">
        <v>418</v>
      </c>
      <c r="D1892" s="875" t="str">
        <f>VLOOKUP(C1892,'Airport Mapping'!$C$5:$D$39,2,FALSE)</f>
        <v xml:space="preserve"> </v>
      </c>
      <c r="E1892" s="567" t="s">
        <v>5</v>
      </c>
      <c r="F1892" s="567" t="s">
        <v>33</v>
      </c>
      <c r="G1892" s="450" t="str">
        <f t="shared" si="97"/>
        <v>Fire and Police Stations-Break rooms-Faucets</v>
      </c>
      <c r="H1892" s="567" t="s">
        <v>6</v>
      </c>
      <c r="I1892" s="877" t="s">
        <v>64</v>
      </c>
      <c r="J1892" s="878">
        <f>SUMIFS('Level of Efficiency Assumptions'!J:J,'Level of Efficiency Assumptions'!D:D,E1892,'Level of Efficiency Assumptions'!F:F,F1892,'Level of Efficiency Assumptions'!I:I,I1892)</f>
        <v>2</v>
      </c>
      <c r="K1892" s="383" t="s">
        <v>78</v>
      </c>
      <c r="L1892" s="253" t="s">
        <v>64</v>
      </c>
      <c r="M1892" s="879">
        <f>Q1892+Q1893</f>
        <v>0</v>
      </c>
      <c r="N1892" s="880">
        <f>IFERROR(M1892/M1895,"-")</f>
        <v>0</v>
      </c>
      <c r="O1892" s="881">
        <f>SUMIFS('Data Entry'!R:R,'Data Entry'!K:K,G1892)</f>
        <v>0</v>
      </c>
      <c r="P1892" s="266" t="s">
        <v>180</v>
      </c>
      <c r="Q1892" s="895">
        <v>0</v>
      </c>
      <c r="R1892" s="883"/>
      <c r="S1892" s="883"/>
      <c r="T1892" s="883"/>
      <c r="U1892" s="883"/>
      <c r="V1892" s="114" t="s">
        <v>182</v>
      </c>
      <c r="W1892" s="114"/>
      <c r="X1892" s="884"/>
      <c r="Y1892" s="270"/>
      <c r="Z1892" s="114"/>
      <c r="AA1892" s="114"/>
      <c r="AB1892" s="85"/>
      <c r="AC1892" s="85"/>
      <c r="AD1892" s="85"/>
      <c r="AE1892" s="85"/>
    </row>
    <row r="1893" spans="3:31" ht="15" thickBot="1" x14ac:dyDescent="0.35">
      <c r="C1893" s="494" t="s">
        <v>418</v>
      </c>
      <c r="D1893" s="577"/>
      <c r="E1893" s="577" t="s">
        <v>5</v>
      </c>
      <c r="F1893" s="577" t="s">
        <v>33</v>
      </c>
      <c r="G1893" s="450" t="str">
        <f t="shared" si="97"/>
        <v>Fire and Police Stations-Break rooms-Faucets</v>
      </c>
      <c r="H1893" s="577"/>
      <c r="I1893" s="887" t="s">
        <v>65</v>
      </c>
      <c r="J1893" s="878">
        <f>SUMIFS('Level of Efficiency Assumptions'!J:J,'Level of Efficiency Assumptions'!D:D,E1893,'Level of Efficiency Assumptions'!F:F,F1893,'Level of Efficiency Assumptions'!I:I,I1893)</f>
        <v>1</v>
      </c>
      <c r="K1893" s="383" t="s">
        <v>78</v>
      </c>
      <c r="L1893" s="255" t="s">
        <v>65</v>
      </c>
      <c r="M1893" s="879">
        <f>Q1894+Q1895</f>
        <v>1</v>
      </c>
      <c r="N1893" s="880">
        <f>IFERROR(M1893/M1895,"-")</f>
        <v>1</v>
      </c>
      <c r="O1893" s="881">
        <f>SUMIFS('Data Entry'!S:S,'Data Entry'!K:K,G1893)</f>
        <v>0</v>
      </c>
      <c r="P1893" s="266" t="s">
        <v>178</v>
      </c>
      <c r="Q1893" s="895">
        <v>0</v>
      </c>
      <c r="R1893" s="883"/>
      <c r="S1893" s="883"/>
      <c r="T1893" s="883"/>
      <c r="U1893" s="883"/>
      <c r="V1893" s="114" t="s">
        <v>184</v>
      </c>
      <c r="W1893" s="114"/>
      <c r="X1893" s="884"/>
      <c r="Y1893" s="270"/>
      <c r="Z1893" s="114"/>
      <c r="AA1893" s="114"/>
      <c r="AB1893" s="85"/>
      <c r="AC1893" s="85"/>
      <c r="AD1893" s="85"/>
      <c r="AE1893" s="85"/>
    </row>
    <row r="1894" spans="3:31" ht="15" thickBot="1" x14ac:dyDescent="0.35">
      <c r="C1894" s="501" t="s">
        <v>418</v>
      </c>
      <c r="D1894" s="116"/>
      <c r="E1894" s="116" t="s">
        <v>5</v>
      </c>
      <c r="F1894" s="116" t="s">
        <v>33</v>
      </c>
      <c r="G1894" s="450" t="str">
        <f t="shared" si="97"/>
        <v>Fire and Police Stations-Break rooms-Faucets</v>
      </c>
      <c r="H1894" s="116"/>
      <c r="I1894" s="889" t="s">
        <v>66</v>
      </c>
      <c r="J1894" s="890">
        <f>SUMIFS('Level of Efficiency Assumptions'!J:J,'Level of Efficiency Assumptions'!D:D,E1894,'Level of Efficiency Assumptions'!F:F,F1894,'Level of Efficiency Assumptions'!I:I,I1894)</f>
        <v>0.5</v>
      </c>
      <c r="K1894" s="383" t="s">
        <v>78</v>
      </c>
      <c r="L1894" s="257" t="s">
        <v>66</v>
      </c>
      <c r="M1894" s="879">
        <f>Q1896</f>
        <v>0</v>
      </c>
      <c r="N1894" s="880">
        <f>IFERROR(M1894/M1895,"-")</f>
        <v>0</v>
      </c>
      <c r="O1894" s="881">
        <f>SUMIFS('Data Entry'!T:T,'Data Entry'!K:K,G1894)</f>
        <v>0</v>
      </c>
      <c r="P1894" s="267" t="s">
        <v>176</v>
      </c>
      <c r="Q1894" s="895">
        <v>1</v>
      </c>
      <c r="R1894" s="883"/>
      <c r="S1894" s="883"/>
      <c r="T1894" s="883"/>
      <c r="U1894" s="883"/>
      <c r="V1894" s="114" t="s">
        <v>185</v>
      </c>
      <c r="W1894" s="114"/>
      <c r="X1894" s="884"/>
      <c r="Y1894" s="270"/>
      <c r="Z1894" s="114"/>
      <c r="AA1894" s="114"/>
      <c r="AB1894" s="85"/>
      <c r="AC1894" s="85"/>
      <c r="AD1894" s="85"/>
      <c r="AE1894" s="85"/>
    </row>
    <row r="1895" spans="3:31" x14ac:dyDescent="0.3">
      <c r="C1895" s="450"/>
      <c r="D1895" s="182"/>
      <c r="E1895" s="182"/>
      <c r="F1895" s="182"/>
      <c r="G1895" s="450" t="str">
        <f t="shared" si="97"/>
        <v>--</v>
      </c>
      <c r="H1895" s="182"/>
      <c r="I1895" s="440"/>
      <c r="J1895" s="892"/>
      <c r="K1895" s="259"/>
      <c r="L1895" s="259" t="s">
        <v>46</v>
      </c>
      <c r="M1895" s="893">
        <f>SUM(M1892:M1894)</f>
        <v>1</v>
      </c>
      <c r="N1895" s="894"/>
      <c r="O1895" s="894">
        <f>SUM(O1892:O1894)</f>
        <v>0</v>
      </c>
      <c r="P1895" s="256" t="s">
        <v>173</v>
      </c>
      <c r="Q1895" s="895">
        <v>0</v>
      </c>
      <c r="R1895" s="883"/>
      <c r="S1895" s="883"/>
      <c r="T1895" s="883"/>
      <c r="U1895" s="883"/>
      <c r="V1895" s="114" t="s">
        <v>186</v>
      </c>
      <c r="W1895" s="114"/>
      <c r="X1895" s="884"/>
      <c r="Y1895" s="270"/>
      <c r="Z1895" s="114"/>
      <c r="AA1895" s="114"/>
      <c r="AB1895" s="85"/>
      <c r="AC1895" s="85"/>
      <c r="AD1895" s="85"/>
      <c r="AE1895" s="85"/>
    </row>
    <row r="1896" spans="3:31" x14ac:dyDescent="0.3">
      <c r="C1896" s="450"/>
      <c r="D1896" s="182"/>
      <c r="E1896" s="182"/>
      <c r="F1896" s="182"/>
      <c r="G1896" s="450" t="str">
        <f t="shared" si="97"/>
        <v>--</v>
      </c>
      <c r="H1896" s="182"/>
      <c r="I1896" s="892"/>
      <c r="J1896" s="288"/>
      <c r="K1896" s="182"/>
      <c r="L1896" s="182"/>
      <c r="M1896" s="270"/>
      <c r="N1896" s="892"/>
      <c r="O1896" s="892"/>
      <c r="P1896" s="258" t="s">
        <v>172</v>
      </c>
      <c r="Q1896" s="895">
        <v>0</v>
      </c>
      <c r="R1896" s="883"/>
      <c r="S1896" s="883"/>
      <c r="T1896" s="883"/>
      <c r="U1896" s="883"/>
      <c r="V1896" s="114"/>
      <c r="W1896" s="114"/>
      <c r="X1896" s="884"/>
      <c r="Y1896" s="270"/>
      <c r="Z1896" s="114"/>
      <c r="AA1896" s="114"/>
      <c r="AB1896" s="85"/>
      <c r="AC1896" s="85"/>
      <c r="AD1896" s="85"/>
      <c r="AE1896" s="85"/>
    </row>
    <row r="1897" spans="3:31" x14ac:dyDescent="0.3">
      <c r="C1897" s="450"/>
      <c r="D1897" s="182"/>
      <c r="E1897" s="182"/>
      <c r="F1897" s="182"/>
      <c r="G1897" s="450" t="str">
        <f t="shared" si="97"/>
        <v>--</v>
      </c>
      <c r="H1897" s="182"/>
      <c r="I1897" s="892"/>
      <c r="J1897" s="288"/>
      <c r="K1897" s="182"/>
      <c r="L1897" s="182"/>
      <c r="M1897" s="270"/>
      <c r="N1897" s="892"/>
      <c r="O1897" s="892"/>
      <c r="P1897" s="263" t="s">
        <v>46</v>
      </c>
      <c r="Q1897" s="897">
        <f>SUM(Q1891:Q1896)</f>
        <v>1</v>
      </c>
      <c r="R1897" s="899"/>
      <c r="S1897" s="899"/>
      <c r="T1897" s="899"/>
      <c r="U1897" s="899"/>
      <c r="V1897" s="899"/>
      <c r="W1897" s="899"/>
      <c r="X1897" s="900"/>
      <c r="Y1897" s="270"/>
      <c r="Z1897" s="114"/>
      <c r="AA1897" s="114"/>
      <c r="AB1897" s="85"/>
      <c r="AC1897" s="85"/>
      <c r="AD1897" s="85"/>
      <c r="AE1897" s="85"/>
    </row>
    <row r="1898" spans="3:31" x14ac:dyDescent="0.3">
      <c r="C1898" s="450"/>
      <c r="D1898" s="182"/>
      <c r="E1898" s="182"/>
      <c r="F1898" s="182"/>
      <c r="G1898" s="450" t="str">
        <f t="shared" si="97"/>
        <v>--</v>
      </c>
      <c r="H1898" s="182"/>
      <c r="I1898" s="892"/>
      <c r="J1898" s="288"/>
      <c r="K1898" s="182"/>
      <c r="L1898" s="182"/>
      <c r="M1898" s="270"/>
      <c r="N1898" s="892"/>
      <c r="O1898" s="892"/>
      <c r="P1898" s="259"/>
      <c r="Q1898" s="114"/>
      <c r="R1898" s="114"/>
      <c r="S1898" s="114"/>
      <c r="T1898" s="114"/>
      <c r="U1898" s="114"/>
      <c r="V1898" s="114"/>
      <c r="W1898" s="270"/>
      <c r="X1898" s="270"/>
      <c r="Y1898" s="270"/>
      <c r="Z1898" s="114"/>
      <c r="AA1898" s="114"/>
      <c r="AB1898" s="85"/>
      <c r="AC1898" s="85"/>
      <c r="AD1898" s="85"/>
      <c r="AE1898" s="85"/>
    </row>
    <row r="1899" spans="3:31" x14ac:dyDescent="0.3">
      <c r="C1899" s="450"/>
      <c r="D1899" s="182"/>
      <c r="E1899" s="182"/>
      <c r="F1899" s="182"/>
      <c r="G1899" s="450" t="str">
        <f t="shared" si="97"/>
        <v>--</v>
      </c>
      <c r="H1899" s="182"/>
      <c r="I1899" s="892"/>
      <c r="J1899" s="288"/>
      <c r="K1899" s="182"/>
      <c r="L1899" s="182"/>
      <c r="M1899" s="270"/>
      <c r="N1899" s="892"/>
      <c r="O1899" s="892"/>
      <c r="P1899" s="276" t="s">
        <v>42</v>
      </c>
      <c r="Q1899" s="902"/>
      <c r="R1899" s="902"/>
      <c r="S1899" s="902"/>
      <c r="T1899" s="271"/>
      <c r="U1899" s="114"/>
      <c r="V1899" s="114"/>
      <c r="W1899" s="270"/>
      <c r="X1899" s="270"/>
      <c r="Y1899" s="270"/>
      <c r="Z1899" s="114"/>
      <c r="AA1899" s="114"/>
      <c r="AB1899" s="85"/>
      <c r="AC1899" s="85"/>
      <c r="AD1899" s="85"/>
      <c r="AE1899" s="85"/>
    </row>
    <row r="1900" spans="3:31" ht="15" thickBot="1" x14ac:dyDescent="0.35">
      <c r="C1900" s="450"/>
      <c r="D1900" s="182"/>
      <c r="E1900" s="182"/>
      <c r="F1900" s="182"/>
      <c r="G1900" s="450" t="str">
        <f t="shared" si="97"/>
        <v>--</v>
      </c>
      <c r="H1900" s="182"/>
      <c r="I1900" s="892"/>
      <c r="J1900" s="892"/>
      <c r="K1900" s="182"/>
      <c r="L1900" s="182"/>
      <c r="M1900" s="901" t="s">
        <v>155</v>
      </c>
      <c r="N1900" s="870" t="s">
        <v>188</v>
      </c>
      <c r="O1900" s="870"/>
      <c r="P1900" s="277" t="s">
        <v>818</v>
      </c>
      <c r="Q1900" s="871" t="s">
        <v>155</v>
      </c>
      <c r="R1900" s="114"/>
      <c r="S1900" s="114"/>
      <c r="T1900" s="271"/>
      <c r="U1900" s="114"/>
      <c r="V1900" s="114"/>
      <c r="W1900" s="270"/>
      <c r="X1900" s="270"/>
      <c r="Y1900" s="270"/>
      <c r="Z1900" s="114"/>
      <c r="AA1900" s="114"/>
      <c r="AB1900" s="85"/>
      <c r="AC1900" s="85"/>
      <c r="AD1900" s="85"/>
      <c r="AE1900" s="85"/>
    </row>
    <row r="1901" spans="3:31" ht="15" thickBot="1" x14ac:dyDescent="0.35">
      <c r="C1901" s="566" t="s">
        <v>418</v>
      </c>
      <c r="D1901" s="875" t="str">
        <f>VLOOKUP(C1901,'Airport Mapping'!$C$5:$D$39,2,FALSE)</f>
        <v xml:space="preserve"> </v>
      </c>
      <c r="E1901" s="567" t="s">
        <v>39</v>
      </c>
      <c r="F1901" s="567" t="s">
        <v>42</v>
      </c>
      <c r="G1901" s="450" t="str">
        <f t="shared" si="97"/>
        <v>Fire and Police Stations-Landscaping-Outdoor irrigation</v>
      </c>
      <c r="H1901" s="567" t="s">
        <v>32</v>
      </c>
      <c r="I1901" s="877" t="s">
        <v>64</v>
      </c>
      <c r="J1901" s="878">
        <f>SUMIFS('Level of Efficiency Assumptions'!J:J,'Level of Efficiency Assumptions'!D:D,E1901,'Level of Efficiency Assumptions'!F:F,F1901,'Level of Efficiency Assumptions'!I:I,I1901)</f>
        <v>28.6</v>
      </c>
      <c r="K1901" s="383" t="s">
        <v>816</v>
      </c>
      <c r="L1901" s="253" t="s">
        <v>64</v>
      </c>
      <c r="M1901" s="879">
        <f>SUM(Q1901:Q1902)</f>
        <v>0</v>
      </c>
      <c r="N1901" s="880">
        <f>IFERROR(M1901/M1904,"-")</f>
        <v>0</v>
      </c>
      <c r="O1901" s="881">
        <f>SUMIFS('Data Entry'!R:R,'Data Entry'!K:K,G1901)</f>
        <v>0</v>
      </c>
      <c r="P1901" s="272" t="s">
        <v>237</v>
      </c>
      <c r="Q1901" s="895">
        <v>0</v>
      </c>
      <c r="R1901" s="114"/>
      <c r="S1901" s="114"/>
      <c r="T1901" s="271"/>
      <c r="U1901" s="114"/>
      <c r="V1901" s="114"/>
      <c r="W1901" s="270"/>
      <c r="X1901" s="270"/>
      <c r="Y1901" s="270"/>
      <c r="Z1901" s="114"/>
      <c r="AA1901" s="114"/>
      <c r="AB1901" s="85"/>
      <c r="AC1901" s="85"/>
      <c r="AD1901" s="85"/>
      <c r="AE1901" s="85"/>
    </row>
    <row r="1902" spans="3:31" ht="15" thickBot="1" x14ac:dyDescent="0.35">
      <c r="C1902" s="494" t="s">
        <v>418</v>
      </c>
      <c r="D1902" s="577"/>
      <c r="E1902" s="577" t="s">
        <v>39</v>
      </c>
      <c r="F1902" s="577" t="s">
        <v>42</v>
      </c>
      <c r="G1902" s="450" t="str">
        <f t="shared" si="97"/>
        <v>Fire and Police Stations-Landscaping-Outdoor irrigation</v>
      </c>
      <c r="H1902" s="577"/>
      <c r="I1902" s="887" t="s">
        <v>65</v>
      </c>
      <c r="J1902" s="878">
        <f>SUMIFS('Level of Efficiency Assumptions'!J:J,'Level of Efficiency Assumptions'!D:D,E1902,'Level of Efficiency Assumptions'!F:F,F1902,'Level of Efficiency Assumptions'!I:I,I1902)</f>
        <v>13.980821518350929</v>
      </c>
      <c r="K1902" s="383" t="s">
        <v>816</v>
      </c>
      <c r="L1902" s="255" t="s">
        <v>65</v>
      </c>
      <c r="M1902" s="879">
        <f>Q1903+Q1904</f>
        <v>1</v>
      </c>
      <c r="N1902" s="880">
        <f>IFERROR(M1902/M1904,"-")</f>
        <v>1</v>
      </c>
      <c r="O1902" s="881">
        <f>SUMIFS('Data Entry'!S:S,'Data Entry'!K:K,G1902)</f>
        <v>0</v>
      </c>
      <c r="P1902" s="272" t="s">
        <v>232</v>
      </c>
      <c r="Q1902" s="895">
        <v>0</v>
      </c>
      <c r="R1902" s="114"/>
      <c r="S1902" s="114"/>
      <c r="T1902" s="271"/>
      <c r="U1902" s="114"/>
      <c r="V1902" s="114"/>
      <c r="W1902" s="270"/>
      <c r="X1902" s="270"/>
      <c r="Y1902" s="270"/>
      <c r="Z1902" s="114"/>
      <c r="AA1902" s="114"/>
      <c r="AB1902" s="85"/>
      <c r="AC1902" s="85"/>
      <c r="AD1902" s="85"/>
      <c r="AE1902" s="85"/>
    </row>
    <row r="1903" spans="3:31" ht="15" thickBot="1" x14ac:dyDescent="0.35">
      <c r="C1903" s="501" t="s">
        <v>418</v>
      </c>
      <c r="D1903" s="116"/>
      <c r="E1903" s="116" t="s">
        <v>39</v>
      </c>
      <c r="F1903" s="116" t="s">
        <v>42</v>
      </c>
      <c r="G1903" s="450" t="str">
        <f t="shared" si="97"/>
        <v>Fire and Police Stations-Landscaping-Outdoor irrigation</v>
      </c>
      <c r="H1903" s="116"/>
      <c r="I1903" s="889" t="s">
        <v>66</v>
      </c>
      <c r="J1903" s="890">
        <f>SUMIFS('Level of Efficiency Assumptions'!J:J,'Level of Efficiency Assumptions'!D:D,E1903,'Level of Efficiency Assumptions'!F:F,F1903,'Level of Efficiency Assumptions'!I:I,I1903)</f>
        <v>0.59137254901960778</v>
      </c>
      <c r="K1903" s="383" t="s">
        <v>816</v>
      </c>
      <c r="L1903" s="257" t="s">
        <v>66</v>
      </c>
      <c r="M1903" s="879">
        <f>Q1905+Q1906</f>
        <v>0</v>
      </c>
      <c r="N1903" s="880">
        <f>IFERROR(M1903/M1904,"-")</f>
        <v>0</v>
      </c>
      <c r="O1903" s="881">
        <f>SUMIFS('Data Entry'!T:T,'Data Entry'!K:K,G1903)</f>
        <v>0</v>
      </c>
      <c r="P1903" s="274" t="s">
        <v>231</v>
      </c>
      <c r="Q1903" s="895">
        <v>1</v>
      </c>
      <c r="R1903" s="114"/>
      <c r="S1903" s="114"/>
      <c r="T1903" s="271"/>
      <c r="U1903" s="114"/>
      <c r="V1903" s="114"/>
      <c r="W1903" s="270"/>
      <c r="X1903" s="270"/>
      <c r="Y1903" s="270"/>
      <c r="Z1903" s="114"/>
      <c r="AA1903" s="114"/>
      <c r="AB1903" s="85"/>
      <c r="AC1903" s="85"/>
      <c r="AD1903" s="85"/>
      <c r="AE1903" s="85"/>
    </row>
    <row r="1904" spans="3:31" x14ac:dyDescent="0.3">
      <c r="C1904" s="450"/>
      <c r="D1904" s="182"/>
      <c r="E1904" s="182"/>
      <c r="F1904" s="182"/>
      <c r="G1904" s="450" t="str">
        <f t="shared" si="97"/>
        <v>--</v>
      </c>
      <c r="H1904" s="182"/>
      <c r="I1904" s="440"/>
      <c r="J1904" s="892"/>
      <c r="K1904" s="259"/>
      <c r="L1904" s="259" t="s">
        <v>46</v>
      </c>
      <c r="M1904" s="893">
        <f>SUM(M1901:M1903)</f>
        <v>1</v>
      </c>
      <c r="N1904" s="894"/>
      <c r="O1904" s="894">
        <f>SUM(O1901:O1903)</f>
        <v>0</v>
      </c>
      <c r="P1904" s="274" t="s">
        <v>230</v>
      </c>
      <c r="Q1904" s="895">
        <v>0</v>
      </c>
      <c r="R1904" s="114"/>
      <c r="S1904" s="114"/>
      <c r="T1904" s="271"/>
      <c r="U1904" s="114"/>
      <c r="V1904" s="114"/>
      <c r="W1904" s="270"/>
      <c r="X1904" s="270"/>
      <c r="Y1904" s="270"/>
      <c r="Z1904" s="114"/>
      <c r="AA1904" s="114"/>
      <c r="AB1904" s="85"/>
      <c r="AC1904" s="85"/>
      <c r="AD1904" s="85"/>
      <c r="AE1904" s="85"/>
    </row>
    <row r="1905" spans="3:31" x14ac:dyDescent="0.3">
      <c r="C1905" s="450"/>
      <c r="D1905" s="182"/>
      <c r="E1905" s="182"/>
      <c r="F1905" s="182"/>
      <c r="G1905" s="450" t="str">
        <f t="shared" si="97"/>
        <v>--</v>
      </c>
      <c r="H1905" s="182"/>
      <c r="I1905" s="892"/>
      <c r="J1905" s="288"/>
      <c r="K1905" s="182"/>
      <c r="L1905" s="182"/>
      <c r="M1905" s="270"/>
      <c r="N1905" s="892"/>
      <c r="O1905" s="892"/>
      <c r="P1905" s="275" t="s">
        <v>229</v>
      </c>
      <c r="Q1905" s="895">
        <v>0</v>
      </c>
      <c r="R1905" s="114"/>
      <c r="S1905" s="114"/>
      <c r="T1905" s="271"/>
      <c r="U1905" s="114"/>
      <c r="V1905" s="114"/>
      <c r="W1905" s="270"/>
      <c r="X1905" s="270"/>
      <c r="Y1905" s="270"/>
      <c r="Z1905" s="114"/>
      <c r="AA1905" s="114"/>
      <c r="AB1905" s="85"/>
      <c r="AC1905" s="85"/>
      <c r="AD1905" s="85"/>
      <c r="AE1905" s="85"/>
    </row>
    <row r="1906" spans="3:31" x14ac:dyDescent="0.3">
      <c r="C1906" s="450"/>
      <c r="D1906" s="182"/>
      <c r="E1906" s="182"/>
      <c r="F1906" s="182"/>
      <c r="G1906" s="450" t="str">
        <f t="shared" si="97"/>
        <v>--</v>
      </c>
      <c r="H1906" s="182"/>
      <c r="I1906" s="892"/>
      <c r="J1906" s="288"/>
      <c r="K1906" s="182"/>
      <c r="L1906" s="182"/>
      <c r="M1906" s="270"/>
      <c r="N1906" s="892"/>
      <c r="O1906" s="892"/>
      <c r="P1906" s="269" t="s">
        <v>225</v>
      </c>
      <c r="Q1906" s="895">
        <v>0</v>
      </c>
      <c r="R1906" s="114"/>
      <c r="S1906" s="114"/>
      <c r="T1906" s="271"/>
      <c r="U1906" s="114"/>
      <c r="V1906" s="114"/>
      <c r="W1906" s="270"/>
      <c r="X1906" s="270"/>
      <c r="Y1906" s="270"/>
      <c r="Z1906" s="114"/>
      <c r="AA1906" s="114"/>
      <c r="AB1906" s="85"/>
      <c r="AC1906" s="85"/>
      <c r="AD1906" s="85"/>
      <c r="AE1906" s="85"/>
    </row>
    <row r="1907" spans="3:31" x14ac:dyDescent="0.3">
      <c r="C1907" s="450"/>
      <c r="D1907" s="182"/>
      <c r="E1907" s="182"/>
      <c r="F1907" s="182"/>
      <c r="G1907" s="450" t="str">
        <f t="shared" si="97"/>
        <v>--</v>
      </c>
      <c r="H1907" s="182"/>
      <c r="I1907" s="892"/>
      <c r="J1907" s="288"/>
      <c r="K1907" s="182"/>
      <c r="L1907" s="182"/>
      <c r="M1907" s="270"/>
      <c r="N1907" s="892"/>
      <c r="O1907" s="892"/>
      <c r="P1907" s="263" t="s">
        <v>46</v>
      </c>
      <c r="Q1907" s="897">
        <f>SUM(Q1901:Q1906)</f>
        <v>1</v>
      </c>
      <c r="R1907" s="899"/>
      <c r="S1907" s="899"/>
      <c r="T1907" s="271"/>
      <c r="U1907" s="114"/>
      <c r="V1907" s="114"/>
      <c r="W1907" s="270"/>
      <c r="X1907" s="270"/>
      <c r="Y1907" s="270"/>
      <c r="Z1907" s="114"/>
      <c r="AA1907" s="114"/>
      <c r="AB1907" s="85"/>
      <c r="AC1907" s="85"/>
      <c r="AD1907" s="85"/>
      <c r="AE1907" s="85"/>
    </row>
    <row r="1908" spans="3:31" x14ac:dyDescent="0.3">
      <c r="C1908" s="450"/>
      <c r="D1908" s="182"/>
      <c r="E1908" s="182"/>
      <c r="F1908" s="182"/>
      <c r="G1908" s="450" t="str">
        <f t="shared" si="97"/>
        <v>--</v>
      </c>
      <c r="H1908" s="182"/>
      <c r="I1908" s="892"/>
      <c r="J1908" s="288"/>
      <c r="K1908" s="182"/>
      <c r="L1908" s="182"/>
      <c r="M1908" s="270"/>
      <c r="N1908" s="892"/>
      <c r="O1908" s="892"/>
      <c r="P1908" s="259"/>
      <c r="Q1908" s="114"/>
      <c r="R1908" s="270"/>
      <c r="S1908" s="270"/>
      <c r="T1908" s="270"/>
      <c r="U1908" s="270"/>
      <c r="V1908" s="270"/>
      <c r="W1908" s="270"/>
      <c r="X1908" s="270"/>
      <c r="Y1908" s="270"/>
      <c r="Z1908" s="114"/>
      <c r="AA1908" s="114"/>
      <c r="AB1908" s="85"/>
      <c r="AC1908" s="85"/>
      <c r="AD1908" s="85"/>
      <c r="AE1908" s="85"/>
    </row>
    <row r="1909" spans="3:31" ht="15" thickBot="1" x14ac:dyDescent="0.35">
      <c r="C1909" s="450"/>
      <c r="D1909" s="182"/>
      <c r="E1909" s="182"/>
      <c r="F1909" s="182"/>
      <c r="G1909" s="450" t="str">
        <f t="shared" si="97"/>
        <v>--</v>
      </c>
      <c r="H1909" s="182"/>
      <c r="I1909" s="892"/>
      <c r="J1909" s="892"/>
      <c r="K1909" s="182"/>
      <c r="L1909" s="182"/>
      <c r="M1909" s="901" t="s">
        <v>155</v>
      </c>
      <c r="N1909" s="870" t="s">
        <v>188</v>
      </c>
      <c r="O1909" s="870"/>
      <c r="P1909" s="282" t="s">
        <v>9</v>
      </c>
      <c r="Q1909" s="871" t="s">
        <v>155</v>
      </c>
      <c r="R1909" s="902"/>
      <c r="S1909" s="874"/>
      <c r="T1909" s="270"/>
      <c r="U1909" s="270"/>
      <c r="V1909" s="270"/>
      <c r="W1909" s="270"/>
      <c r="X1909" s="270"/>
      <c r="Y1909" s="270"/>
      <c r="Z1909" s="114"/>
      <c r="AA1909" s="114"/>
      <c r="AB1909" s="85"/>
      <c r="AC1909" s="85"/>
      <c r="AD1909" s="85"/>
      <c r="AE1909" s="85"/>
    </row>
    <row r="1910" spans="3:31" ht="15" thickBot="1" x14ac:dyDescent="0.35">
      <c r="C1910" s="566" t="s">
        <v>418</v>
      </c>
      <c r="D1910" s="875" t="str">
        <f>VLOOKUP(C1910,'Airport Mapping'!$C$5:$D$39,2,FALSE)</f>
        <v xml:space="preserve"> </v>
      </c>
      <c r="E1910" s="567" t="s">
        <v>43</v>
      </c>
      <c r="F1910" s="567" t="s">
        <v>9</v>
      </c>
      <c r="G1910" s="450" t="str">
        <f t="shared" si="97"/>
        <v>Fire and Police Stations-Maintenance-Vehicle washing</v>
      </c>
      <c r="H1910" s="567" t="s">
        <v>6</v>
      </c>
      <c r="I1910" s="877" t="s">
        <v>64</v>
      </c>
      <c r="J1910" s="878">
        <f>SUMIFS('Level of Efficiency Assumptions'!J:J,'Level of Efficiency Assumptions'!D:D,E1910,'Level of Efficiency Assumptions'!F:F,F1910,'Level of Efficiency Assumptions'!I:I,I1910)</f>
        <v>80</v>
      </c>
      <c r="K1910" s="383" t="s">
        <v>588</v>
      </c>
      <c r="L1910" s="253" t="s">
        <v>64</v>
      </c>
      <c r="M1910" s="879">
        <f>SUM(Q1910:Q1911)</f>
        <v>0</v>
      </c>
      <c r="N1910" s="880">
        <f>IFERROR(M1910/M1913,"-")</f>
        <v>0</v>
      </c>
      <c r="O1910" s="881">
        <f>SUMIFS('Data Entry'!R:R,'Data Entry'!K:K,G1910)</f>
        <v>0</v>
      </c>
      <c r="P1910" s="272"/>
      <c r="Q1910" s="895">
        <v>0</v>
      </c>
      <c r="R1910" s="114"/>
      <c r="S1910" s="884"/>
      <c r="T1910" s="270"/>
      <c r="U1910" s="270"/>
      <c r="V1910" s="270"/>
      <c r="W1910" s="270"/>
      <c r="X1910" s="270"/>
      <c r="Y1910" s="270"/>
      <c r="Z1910" s="114"/>
      <c r="AA1910" s="114"/>
      <c r="AB1910" s="85"/>
      <c r="AC1910" s="85"/>
      <c r="AD1910" s="85"/>
      <c r="AE1910" s="85"/>
    </row>
    <row r="1911" spans="3:31" ht="15" thickBot="1" x14ac:dyDescent="0.35">
      <c r="C1911" s="494" t="s">
        <v>418</v>
      </c>
      <c r="D1911" s="577"/>
      <c r="E1911" s="577" t="s">
        <v>43</v>
      </c>
      <c r="F1911" s="577" t="s">
        <v>9</v>
      </c>
      <c r="G1911" s="450" t="str">
        <f t="shared" si="97"/>
        <v>Fire and Police Stations-Maintenance-Vehicle washing</v>
      </c>
      <c r="H1911" s="577"/>
      <c r="I1911" s="887" t="s">
        <v>65</v>
      </c>
      <c r="J1911" s="878">
        <f>SUMIFS('Level of Efficiency Assumptions'!J:J,'Level of Efficiency Assumptions'!D:D,E1911,'Level of Efficiency Assumptions'!F:F,F1911,'Level of Efficiency Assumptions'!I:I,I1911)</f>
        <v>40</v>
      </c>
      <c r="K1911" s="383" t="s">
        <v>588</v>
      </c>
      <c r="L1911" s="255" t="s">
        <v>65</v>
      </c>
      <c r="M1911" s="879">
        <f>Q1912+Q1913</f>
        <v>1</v>
      </c>
      <c r="N1911" s="880">
        <f>IFERROR(M1911/M1913,"-")</f>
        <v>1</v>
      </c>
      <c r="O1911" s="881">
        <f>SUMIFS('Data Entry'!S:S,'Data Entry'!K:K,G1911)</f>
        <v>0</v>
      </c>
      <c r="P1911" s="272"/>
      <c r="Q1911" s="895">
        <v>0</v>
      </c>
      <c r="R1911" s="114"/>
      <c r="S1911" s="884"/>
      <c r="T1911" s="270"/>
      <c r="U1911" s="270"/>
      <c r="V1911" s="270"/>
      <c r="W1911" s="270"/>
      <c r="X1911" s="270"/>
      <c r="Y1911" s="270"/>
      <c r="Z1911" s="114"/>
      <c r="AA1911" s="114"/>
      <c r="AB1911" s="85"/>
      <c r="AC1911" s="85"/>
      <c r="AD1911" s="85"/>
      <c r="AE1911" s="85"/>
    </row>
    <row r="1912" spans="3:31" ht="15" thickBot="1" x14ac:dyDescent="0.35">
      <c r="C1912" s="501" t="s">
        <v>418</v>
      </c>
      <c r="D1912" s="116"/>
      <c r="E1912" s="116" t="s">
        <v>43</v>
      </c>
      <c r="F1912" s="116" t="s">
        <v>9</v>
      </c>
      <c r="G1912" s="450" t="str">
        <f t="shared" si="97"/>
        <v>Fire and Police Stations-Maintenance-Vehicle washing</v>
      </c>
      <c r="H1912" s="116"/>
      <c r="I1912" s="889" t="s">
        <v>66</v>
      </c>
      <c r="J1912" s="890">
        <f>SUMIFS('Level of Efficiency Assumptions'!J:J,'Level of Efficiency Assumptions'!D:D,E1912,'Level of Efficiency Assumptions'!F:F,F1912,'Level of Efficiency Assumptions'!I:I,I1912)</f>
        <v>30</v>
      </c>
      <c r="K1912" s="383" t="s">
        <v>588</v>
      </c>
      <c r="L1912" s="257" t="s">
        <v>66</v>
      </c>
      <c r="M1912" s="879">
        <f>Q1914+Q1915</f>
        <v>0</v>
      </c>
      <c r="N1912" s="880">
        <f>IFERROR(M1912/M1913,"-")</f>
        <v>0</v>
      </c>
      <c r="O1912" s="881">
        <f>SUMIFS('Data Entry'!T:T,'Data Entry'!K:K,G1912)</f>
        <v>0</v>
      </c>
      <c r="P1912" s="274"/>
      <c r="Q1912" s="895">
        <v>1</v>
      </c>
      <c r="R1912" s="114"/>
      <c r="S1912" s="884"/>
      <c r="T1912" s="270"/>
      <c r="U1912" s="270"/>
      <c r="V1912" s="270"/>
      <c r="W1912" s="270"/>
      <c r="X1912" s="270"/>
      <c r="Y1912" s="270"/>
      <c r="Z1912" s="114"/>
      <c r="AA1912" s="114"/>
      <c r="AB1912" s="85"/>
      <c r="AC1912" s="85"/>
      <c r="AD1912" s="85"/>
      <c r="AE1912" s="85"/>
    </row>
    <row r="1913" spans="3:31" x14ac:dyDescent="0.3">
      <c r="C1913" s="450"/>
      <c r="D1913" s="182"/>
      <c r="E1913" s="182"/>
      <c r="F1913" s="182"/>
      <c r="G1913" s="450" t="str">
        <f t="shared" si="97"/>
        <v>--</v>
      </c>
      <c r="H1913" s="182"/>
      <c r="I1913" s="440"/>
      <c r="J1913" s="892"/>
      <c r="K1913" s="259"/>
      <c r="L1913" s="259" t="s">
        <v>46</v>
      </c>
      <c r="M1913" s="893">
        <f>SUM(M1910:M1912)</f>
        <v>1</v>
      </c>
      <c r="N1913" s="894"/>
      <c r="O1913" s="894">
        <f>SUM(O1910:O1912)</f>
        <v>0</v>
      </c>
      <c r="P1913" s="274"/>
      <c r="Q1913" s="895">
        <v>0</v>
      </c>
      <c r="R1913" s="114"/>
      <c r="S1913" s="884"/>
      <c r="T1913" s="270"/>
      <c r="U1913" s="270"/>
      <c r="V1913" s="270"/>
      <c r="W1913" s="270"/>
      <c r="X1913" s="270"/>
      <c r="Y1913" s="270"/>
      <c r="Z1913" s="114"/>
      <c r="AA1913" s="114"/>
      <c r="AB1913" s="85"/>
      <c r="AC1913" s="85"/>
      <c r="AD1913" s="85"/>
      <c r="AE1913" s="85"/>
    </row>
    <row r="1914" spans="3:31" x14ac:dyDescent="0.3">
      <c r="C1914" s="450"/>
      <c r="D1914" s="182"/>
      <c r="E1914" s="182"/>
      <c r="F1914" s="182"/>
      <c r="G1914" s="450" t="str">
        <f t="shared" si="97"/>
        <v>--</v>
      </c>
      <c r="H1914" s="182"/>
      <c r="I1914" s="892"/>
      <c r="J1914" s="288"/>
      <c r="K1914" s="182"/>
      <c r="L1914" s="182"/>
      <c r="M1914" s="270"/>
      <c r="N1914" s="892"/>
      <c r="O1914" s="892"/>
      <c r="P1914" s="275"/>
      <c r="Q1914" s="895">
        <v>0</v>
      </c>
      <c r="R1914" s="114"/>
      <c r="S1914" s="884"/>
      <c r="T1914" s="270"/>
      <c r="U1914" s="270"/>
      <c r="V1914" s="270"/>
      <c r="W1914" s="270"/>
      <c r="X1914" s="270"/>
      <c r="Y1914" s="270"/>
      <c r="Z1914" s="114"/>
      <c r="AA1914" s="114"/>
      <c r="AB1914" s="85"/>
      <c r="AC1914" s="85"/>
      <c r="AD1914" s="85"/>
      <c r="AE1914" s="85"/>
    </row>
    <row r="1915" spans="3:31" x14ac:dyDescent="0.3">
      <c r="C1915" s="450"/>
      <c r="D1915" s="182"/>
      <c r="E1915" s="182"/>
      <c r="F1915" s="182"/>
      <c r="G1915" s="450" t="str">
        <f t="shared" si="97"/>
        <v>--</v>
      </c>
      <c r="H1915" s="182"/>
      <c r="I1915" s="892"/>
      <c r="J1915" s="288"/>
      <c r="K1915" s="182"/>
      <c r="L1915" s="182"/>
      <c r="M1915" s="270"/>
      <c r="N1915" s="892"/>
      <c r="O1915" s="892"/>
      <c r="P1915" s="269"/>
      <c r="Q1915" s="895">
        <v>0</v>
      </c>
      <c r="R1915" s="114"/>
      <c r="S1915" s="884"/>
      <c r="T1915" s="270"/>
      <c r="U1915" s="270"/>
      <c r="V1915" s="270"/>
      <c r="W1915" s="270"/>
      <c r="X1915" s="270"/>
      <c r="Y1915" s="270"/>
      <c r="Z1915" s="114"/>
      <c r="AA1915" s="114"/>
      <c r="AB1915" s="85"/>
      <c r="AC1915" s="85"/>
      <c r="AD1915" s="85"/>
      <c r="AE1915" s="85"/>
    </row>
    <row r="1916" spans="3:31" x14ac:dyDescent="0.3">
      <c r="C1916" s="450"/>
      <c r="D1916" s="182"/>
      <c r="E1916" s="182"/>
      <c r="F1916" s="182"/>
      <c r="G1916" s="450" t="str">
        <f t="shared" si="97"/>
        <v>--</v>
      </c>
      <c r="H1916" s="182"/>
      <c r="I1916" s="892"/>
      <c r="J1916" s="288"/>
      <c r="K1916" s="182"/>
      <c r="L1916" s="182"/>
      <c r="M1916" s="270"/>
      <c r="N1916" s="892"/>
      <c r="O1916" s="892"/>
      <c r="P1916" s="263" t="s">
        <v>46</v>
      </c>
      <c r="Q1916" s="897">
        <f>SUM(Q1910:Q1915)</f>
        <v>1</v>
      </c>
      <c r="R1916" s="899"/>
      <c r="S1916" s="900"/>
      <c r="T1916" s="270"/>
      <c r="U1916" s="270"/>
      <c r="V1916" s="270"/>
      <c r="W1916" s="270"/>
      <c r="X1916" s="270"/>
      <c r="Y1916" s="270"/>
      <c r="Z1916" s="114"/>
      <c r="AA1916" s="114"/>
      <c r="AB1916" s="85"/>
      <c r="AC1916" s="85"/>
      <c r="AD1916" s="85"/>
      <c r="AE1916" s="85"/>
    </row>
    <row r="1917" spans="3:31" x14ac:dyDescent="0.3">
      <c r="C1917" s="450"/>
      <c r="D1917" s="182"/>
      <c r="E1917" s="182"/>
      <c r="F1917" s="182"/>
      <c r="G1917" s="450" t="str">
        <f t="shared" si="97"/>
        <v>--</v>
      </c>
      <c r="H1917" s="182"/>
      <c r="I1917" s="892"/>
      <c r="J1917" s="288"/>
      <c r="K1917" s="182"/>
      <c r="L1917" s="182"/>
      <c r="M1917" s="270"/>
      <c r="N1917" s="892"/>
      <c r="O1917" s="892"/>
      <c r="P1917" s="270"/>
      <c r="Q1917" s="270"/>
      <c r="R1917" s="270"/>
      <c r="S1917" s="270"/>
      <c r="T1917" s="270"/>
      <c r="U1917" s="270"/>
      <c r="V1917" s="270"/>
      <c r="W1917" s="270"/>
      <c r="X1917" s="270"/>
      <c r="Y1917" s="114"/>
      <c r="Z1917" s="114"/>
      <c r="AA1917" s="114"/>
      <c r="AB1917" s="85"/>
      <c r="AC1917" s="85"/>
      <c r="AD1917" s="85"/>
      <c r="AE1917" s="85"/>
    </row>
    <row r="1918" spans="3:31" ht="15" thickBot="1" x14ac:dyDescent="0.35">
      <c r="C1918" s="450"/>
      <c r="D1918" s="182"/>
      <c r="E1918" s="182"/>
      <c r="F1918" s="182"/>
      <c r="G1918" s="450" t="str">
        <f t="shared" si="97"/>
        <v>--</v>
      </c>
      <c r="H1918" s="182"/>
      <c r="I1918" s="892"/>
      <c r="J1918" s="892"/>
      <c r="K1918" s="182"/>
      <c r="L1918" s="182"/>
      <c r="M1918" s="901" t="s">
        <v>155</v>
      </c>
      <c r="N1918" s="870" t="s">
        <v>188</v>
      </c>
      <c r="O1918" s="870"/>
      <c r="P1918" s="282" t="s">
        <v>14</v>
      </c>
      <c r="Q1918" s="871" t="s">
        <v>155</v>
      </c>
      <c r="R1918" s="902"/>
      <c r="S1918" s="874"/>
      <c r="T1918" s="270"/>
      <c r="U1918" s="270"/>
      <c r="V1918" s="270"/>
      <c r="W1918" s="270"/>
      <c r="X1918" s="270"/>
      <c r="Y1918" s="114"/>
      <c r="Z1918" s="114"/>
      <c r="AA1918" s="114"/>
      <c r="AB1918" s="85"/>
      <c r="AC1918" s="85"/>
      <c r="AD1918" s="85"/>
      <c r="AE1918" s="85"/>
    </row>
    <row r="1919" spans="3:31" ht="15" thickBot="1" x14ac:dyDescent="0.35">
      <c r="C1919" s="566" t="s">
        <v>418</v>
      </c>
      <c r="D1919" s="875" t="str">
        <f>VLOOKUP(C1919,'Airport Mapping'!$C$5:$D$39,2,FALSE)</f>
        <v xml:space="preserve"> </v>
      </c>
      <c r="E1919" s="567" t="s">
        <v>43</v>
      </c>
      <c r="F1919" s="567" t="s">
        <v>14</v>
      </c>
      <c r="G1919" s="450" t="str">
        <f t="shared" si="97"/>
        <v>Fire and Police Stations-Maintenance-Training</v>
      </c>
      <c r="H1919" s="567" t="s">
        <v>15</v>
      </c>
      <c r="I1919" s="877" t="s">
        <v>64</v>
      </c>
      <c r="J1919" s="878">
        <f>SUMIFS('Level of Efficiency Assumptions'!J:J,'Level of Efficiency Assumptions'!D:D,E1919,'Level of Efficiency Assumptions'!F:F,F1919,'Level of Efficiency Assumptions'!I:I,I1919)</f>
        <v>10</v>
      </c>
      <c r="K1919" s="383" t="s">
        <v>588</v>
      </c>
      <c r="L1919" s="253" t="s">
        <v>64</v>
      </c>
      <c r="M1919" s="879">
        <f>SUM(Q1919:Q1920)</f>
        <v>0</v>
      </c>
      <c r="N1919" s="880">
        <f>IFERROR(M1919/M1922,"-")</f>
        <v>0</v>
      </c>
      <c r="O1919" s="881">
        <f>SUMIFS('Data Entry'!R:R,'Data Entry'!K:K,G1919)</f>
        <v>0</v>
      </c>
      <c r="P1919" s="272"/>
      <c r="Q1919" s="895">
        <v>0</v>
      </c>
      <c r="R1919" s="114"/>
      <c r="S1919" s="884"/>
      <c r="T1919" s="270"/>
      <c r="U1919" s="270"/>
      <c r="V1919" s="270"/>
      <c r="W1919" s="270"/>
      <c r="X1919" s="270"/>
      <c r="Y1919" s="114"/>
      <c r="Z1919" s="114"/>
      <c r="AA1919" s="114"/>
      <c r="AB1919" s="85"/>
      <c r="AC1919" s="85"/>
      <c r="AD1919" s="85"/>
      <c r="AE1919" s="85"/>
    </row>
    <row r="1920" spans="3:31" ht="15" thickBot="1" x14ac:dyDescent="0.35">
      <c r="C1920" s="494" t="s">
        <v>418</v>
      </c>
      <c r="D1920" s="577"/>
      <c r="E1920" s="577" t="s">
        <v>43</v>
      </c>
      <c r="F1920" s="577" t="s">
        <v>14</v>
      </c>
      <c r="G1920" s="450" t="str">
        <f t="shared" si="97"/>
        <v>Fire and Police Stations-Maintenance-Training</v>
      </c>
      <c r="H1920" s="577"/>
      <c r="I1920" s="887" t="s">
        <v>65</v>
      </c>
      <c r="J1920" s="878">
        <f>SUMIFS('Level of Efficiency Assumptions'!J:J,'Level of Efficiency Assumptions'!D:D,E1920,'Level of Efficiency Assumptions'!F:F,F1920,'Level of Efficiency Assumptions'!I:I,I1920)</f>
        <v>7.5</v>
      </c>
      <c r="K1920" s="383" t="s">
        <v>588</v>
      </c>
      <c r="L1920" s="255" t="s">
        <v>65</v>
      </c>
      <c r="M1920" s="879">
        <f>Q1921+Q1922</f>
        <v>1</v>
      </c>
      <c r="N1920" s="880">
        <f>IFERROR(M1920/M1922,"-")</f>
        <v>1</v>
      </c>
      <c r="O1920" s="881">
        <f>SUMIFS('Data Entry'!S:S,'Data Entry'!K:K,G1920)</f>
        <v>0</v>
      </c>
      <c r="P1920" s="272"/>
      <c r="Q1920" s="895">
        <v>0</v>
      </c>
      <c r="R1920" s="114"/>
      <c r="S1920" s="884"/>
      <c r="T1920" s="270"/>
      <c r="U1920" s="270"/>
      <c r="V1920" s="270"/>
      <c r="W1920" s="270"/>
      <c r="X1920" s="270"/>
      <c r="Y1920" s="114"/>
      <c r="Z1920" s="114"/>
      <c r="AA1920" s="114"/>
      <c r="AB1920" s="85"/>
      <c r="AC1920" s="85"/>
      <c r="AD1920" s="85"/>
      <c r="AE1920" s="85"/>
    </row>
    <row r="1921" spans="3:31" ht="15" thickBot="1" x14ac:dyDescent="0.35">
      <c r="C1921" s="501" t="s">
        <v>418</v>
      </c>
      <c r="D1921" s="116"/>
      <c r="E1921" s="116" t="s">
        <v>43</v>
      </c>
      <c r="F1921" s="116" t="s">
        <v>14</v>
      </c>
      <c r="G1921" s="450" t="str">
        <f t="shared" si="97"/>
        <v>Fire and Police Stations-Maintenance-Training</v>
      </c>
      <c r="H1921" s="116"/>
      <c r="I1921" s="889" t="s">
        <v>66</v>
      </c>
      <c r="J1921" s="890">
        <f>SUMIFS('Level of Efficiency Assumptions'!J:J,'Level of Efficiency Assumptions'!D:D,E1921,'Level of Efficiency Assumptions'!F:F,F1921,'Level of Efficiency Assumptions'!I:I,I1921)</f>
        <v>5</v>
      </c>
      <c r="K1921" s="383" t="s">
        <v>588</v>
      </c>
      <c r="L1921" s="257" t="s">
        <v>66</v>
      </c>
      <c r="M1921" s="879">
        <f>Q1923+Q1924</f>
        <v>0</v>
      </c>
      <c r="N1921" s="880">
        <f>IFERROR(M1921/M1922,"-")</f>
        <v>0</v>
      </c>
      <c r="O1921" s="881">
        <f>SUMIFS('Data Entry'!T:T,'Data Entry'!K:K,G1921)</f>
        <v>0</v>
      </c>
      <c r="P1921" s="274"/>
      <c r="Q1921" s="895">
        <v>1</v>
      </c>
      <c r="R1921" s="114"/>
      <c r="S1921" s="884"/>
      <c r="T1921" s="270"/>
      <c r="U1921" s="270"/>
      <c r="V1921" s="270"/>
      <c r="W1921" s="270"/>
      <c r="X1921" s="270"/>
      <c r="Y1921" s="114"/>
      <c r="Z1921" s="114"/>
      <c r="AA1921" s="114"/>
      <c r="AB1921" s="85"/>
      <c r="AC1921" s="85"/>
      <c r="AD1921" s="85"/>
      <c r="AE1921" s="85"/>
    </row>
    <row r="1922" spans="3:31" x14ac:dyDescent="0.3">
      <c r="C1922" s="450"/>
      <c r="D1922" s="182"/>
      <c r="E1922" s="182"/>
      <c r="F1922" s="182"/>
      <c r="G1922" s="450" t="str">
        <f t="shared" si="97"/>
        <v>--</v>
      </c>
      <c r="H1922" s="182"/>
      <c r="I1922" s="440"/>
      <c r="J1922" s="892"/>
      <c r="K1922" s="259"/>
      <c r="L1922" s="259" t="s">
        <v>46</v>
      </c>
      <c r="M1922" s="893">
        <f>SUM(M1919:M1921)</f>
        <v>1</v>
      </c>
      <c r="N1922" s="894"/>
      <c r="O1922" s="894">
        <f>SUM(O1919:O1921)</f>
        <v>0</v>
      </c>
      <c r="P1922" s="274"/>
      <c r="Q1922" s="895">
        <v>0</v>
      </c>
      <c r="R1922" s="114"/>
      <c r="S1922" s="884"/>
      <c r="T1922" s="270"/>
      <c r="U1922" s="270"/>
      <c r="V1922" s="270"/>
      <c r="W1922" s="270"/>
      <c r="X1922" s="270"/>
      <c r="Y1922" s="114"/>
      <c r="Z1922" s="114"/>
      <c r="AA1922" s="114"/>
      <c r="AB1922" s="85"/>
      <c r="AC1922" s="85"/>
      <c r="AD1922" s="85"/>
      <c r="AE1922" s="85"/>
    </row>
    <row r="1923" spans="3:31" x14ac:dyDescent="0.3">
      <c r="C1923" s="450"/>
      <c r="D1923" s="182"/>
      <c r="E1923" s="182"/>
      <c r="F1923" s="182"/>
      <c r="G1923" s="450" t="str">
        <f t="shared" si="97"/>
        <v>--</v>
      </c>
      <c r="H1923" s="182"/>
      <c r="I1923" s="892"/>
      <c r="J1923" s="288"/>
      <c r="K1923" s="182"/>
      <c r="L1923" s="182"/>
      <c r="M1923" s="270"/>
      <c r="N1923" s="892"/>
      <c r="O1923" s="892"/>
      <c r="P1923" s="275"/>
      <c r="Q1923" s="895">
        <v>0</v>
      </c>
      <c r="R1923" s="114"/>
      <c r="S1923" s="884"/>
      <c r="T1923" s="270"/>
      <c r="U1923" s="270"/>
      <c r="V1923" s="270"/>
      <c r="W1923" s="270"/>
      <c r="X1923" s="270"/>
      <c r="Y1923" s="114"/>
      <c r="Z1923" s="114"/>
      <c r="AA1923" s="114"/>
      <c r="AB1923" s="85"/>
      <c r="AC1923" s="85"/>
      <c r="AD1923" s="85"/>
      <c r="AE1923" s="85"/>
    </row>
    <row r="1924" spans="3:31" x14ac:dyDescent="0.3">
      <c r="C1924" s="450"/>
      <c r="D1924" s="182"/>
      <c r="E1924" s="182"/>
      <c r="F1924" s="182"/>
      <c r="G1924" s="450" t="str">
        <f t="shared" si="97"/>
        <v>--</v>
      </c>
      <c r="H1924" s="182"/>
      <c r="I1924" s="892"/>
      <c r="J1924" s="288"/>
      <c r="K1924" s="182"/>
      <c r="L1924" s="182"/>
      <c r="M1924" s="270"/>
      <c r="N1924" s="892"/>
      <c r="O1924" s="892"/>
      <c r="P1924" s="269"/>
      <c r="Q1924" s="895">
        <v>0</v>
      </c>
      <c r="R1924" s="114"/>
      <c r="S1924" s="884"/>
      <c r="T1924" s="270"/>
      <c r="U1924" s="270"/>
      <c r="V1924" s="270"/>
      <c r="W1924" s="270"/>
      <c r="X1924" s="270"/>
      <c r="Y1924" s="114"/>
      <c r="Z1924" s="114"/>
      <c r="AA1924" s="114"/>
      <c r="AB1924" s="85"/>
      <c r="AC1924" s="85"/>
      <c r="AD1924" s="85"/>
      <c r="AE1924" s="85"/>
    </row>
    <row r="1925" spans="3:31" x14ac:dyDescent="0.3">
      <c r="C1925" s="450"/>
      <c r="D1925" s="182"/>
      <c r="E1925" s="182"/>
      <c r="F1925" s="182"/>
      <c r="G1925" s="450" t="str">
        <f t="shared" si="97"/>
        <v>--</v>
      </c>
      <c r="H1925" s="182"/>
      <c r="I1925" s="892"/>
      <c r="J1925" s="288"/>
      <c r="K1925" s="182"/>
      <c r="L1925" s="182"/>
      <c r="M1925" s="270"/>
      <c r="N1925" s="892"/>
      <c r="O1925" s="892"/>
      <c r="P1925" s="263" t="s">
        <v>46</v>
      </c>
      <c r="Q1925" s="897">
        <f>SUM(Q1919:Q1924)</f>
        <v>1</v>
      </c>
      <c r="R1925" s="899"/>
      <c r="S1925" s="900"/>
      <c r="T1925" s="270"/>
      <c r="U1925" s="270"/>
      <c r="V1925" s="270"/>
      <c r="W1925" s="270"/>
      <c r="X1925" s="270"/>
      <c r="Y1925" s="114"/>
      <c r="Z1925" s="114"/>
      <c r="AA1925" s="114"/>
      <c r="AB1925" s="85"/>
      <c r="AC1925" s="85"/>
      <c r="AD1925" s="85"/>
      <c r="AE1925" s="85"/>
    </row>
    <row r="1926" spans="3:31" s="45" customFormat="1" x14ac:dyDescent="0.3">
      <c r="C1926" s="450"/>
      <c r="D1926" s="182"/>
      <c r="E1926" s="182"/>
      <c r="F1926" s="182"/>
      <c r="G1926" s="450" t="str">
        <f t="shared" si="97"/>
        <v>--</v>
      </c>
      <c r="H1926" s="182"/>
      <c r="I1926" s="892"/>
      <c r="J1926" s="288"/>
      <c r="K1926" s="182"/>
      <c r="L1926" s="182"/>
      <c r="M1926" s="270"/>
      <c r="N1926" s="892"/>
      <c r="O1926" s="892"/>
      <c r="P1926" s="270"/>
      <c r="Q1926" s="270"/>
      <c r="R1926" s="270"/>
      <c r="S1926" s="270"/>
      <c r="T1926" s="270"/>
      <c r="U1926" s="270"/>
      <c r="V1926" s="270"/>
      <c r="W1926" s="270"/>
      <c r="X1926" s="270"/>
      <c r="Y1926" s="114"/>
      <c r="Z1926" s="114"/>
      <c r="AA1926" s="114"/>
      <c r="AB1926" s="85"/>
      <c r="AC1926" s="85"/>
      <c r="AD1926" s="85"/>
      <c r="AE1926" s="85"/>
    </row>
    <row r="1927" spans="3:31" s="45" customFormat="1" ht="15" thickBot="1" x14ac:dyDescent="0.35">
      <c r="C1927" s="450"/>
      <c r="D1927" s="182"/>
      <c r="E1927" s="182"/>
      <c r="F1927" s="182"/>
      <c r="G1927" s="450" t="str">
        <f t="shared" si="97"/>
        <v>--</v>
      </c>
      <c r="H1927" s="182"/>
      <c r="I1927" s="892"/>
      <c r="J1927" s="892"/>
      <c r="K1927" s="182"/>
      <c r="L1927" s="182"/>
      <c r="M1927" s="901" t="s">
        <v>155</v>
      </c>
      <c r="N1927" s="870" t="s">
        <v>188</v>
      </c>
      <c r="O1927" s="870"/>
      <c r="P1927" s="276" t="s">
        <v>52</v>
      </c>
      <c r="Q1927" s="871" t="s">
        <v>155</v>
      </c>
      <c r="R1927" s="902"/>
      <c r="S1927" s="874"/>
      <c r="T1927" s="270"/>
      <c r="U1927" s="270"/>
      <c r="V1927" s="270"/>
      <c r="W1927" s="270"/>
      <c r="X1927" s="270"/>
      <c r="Y1927" s="114"/>
      <c r="Z1927" s="114"/>
      <c r="AA1927" s="114"/>
      <c r="AB1927" s="85"/>
      <c r="AC1927" s="85"/>
      <c r="AD1927" s="85"/>
      <c r="AE1927" s="85"/>
    </row>
    <row r="1928" spans="3:31" s="45" customFormat="1" ht="15" thickBot="1" x14ac:dyDescent="0.35">
      <c r="C1928" s="566" t="s">
        <v>418</v>
      </c>
      <c r="D1928" s="875" t="str">
        <f>VLOOKUP(C1928,'Airport Mapping'!$C$5:$D$39,2,FALSE)</f>
        <v xml:space="preserve"> </v>
      </c>
      <c r="E1928" s="567" t="s">
        <v>8</v>
      </c>
      <c r="F1928" s="567" t="s">
        <v>52</v>
      </c>
      <c r="G1928" s="450" t="str">
        <f t="shared" si="97"/>
        <v>Fire and Police Stations-Other-Other 1</v>
      </c>
      <c r="H1928" s="567" t="s">
        <v>362</v>
      </c>
      <c r="I1928" s="877" t="s">
        <v>64</v>
      </c>
      <c r="J1928" s="878">
        <f>SUMIFS('Level of Efficiency Assumptions'!J:J,'Level of Efficiency Assumptions'!D:D,E1928,'Level of Efficiency Assumptions'!F:F,F1928,'Level of Efficiency Assumptions'!I:I,I1928)</f>
        <v>10</v>
      </c>
      <c r="K1928" s="383" t="s">
        <v>588</v>
      </c>
      <c r="L1928" s="253" t="s">
        <v>64</v>
      </c>
      <c r="M1928" s="879">
        <f>SUM(Q1928:Q1928)</f>
        <v>0</v>
      </c>
      <c r="N1928" s="880">
        <f>IFERROR(M1928/M1931,"-")</f>
        <v>0</v>
      </c>
      <c r="O1928" s="881">
        <f>SUMIFS('Data Entry'!R:R,'Data Entry'!K:K,G1928)</f>
        <v>0</v>
      </c>
      <c r="P1928" s="272" t="s">
        <v>129</v>
      </c>
      <c r="Q1928" s="895">
        <v>0</v>
      </c>
      <c r="R1928" s="114"/>
      <c r="S1928" s="884"/>
      <c r="T1928" s="270"/>
      <c r="U1928" s="270"/>
      <c r="V1928" s="270"/>
      <c r="W1928" s="270"/>
      <c r="X1928" s="270"/>
      <c r="Y1928" s="114"/>
      <c r="Z1928" s="114"/>
      <c r="AA1928" s="114"/>
      <c r="AB1928" s="85"/>
      <c r="AC1928" s="85"/>
      <c r="AD1928" s="85"/>
      <c r="AE1928" s="85"/>
    </row>
    <row r="1929" spans="3:31" s="45" customFormat="1" ht="15" thickBot="1" x14ac:dyDescent="0.35">
      <c r="C1929" s="494" t="s">
        <v>418</v>
      </c>
      <c r="D1929" s="577"/>
      <c r="E1929" s="577" t="s">
        <v>8</v>
      </c>
      <c r="F1929" s="577" t="s">
        <v>52</v>
      </c>
      <c r="G1929" s="450" t="str">
        <f t="shared" si="97"/>
        <v>Fire and Police Stations-Other-Other 1</v>
      </c>
      <c r="H1929" s="577"/>
      <c r="I1929" s="887" t="s">
        <v>65</v>
      </c>
      <c r="J1929" s="878">
        <f>SUMIFS('Level of Efficiency Assumptions'!J:J,'Level of Efficiency Assumptions'!D:D,E1929,'Level of Efficiency Assumptions'!F:F,F1929,'Level of Efficiency Assumptions'!I:I,I1929)</f>
        <v>7.5</v>
      </c>
      <c r="K1929" s="383" t="s">
        <v>588</v>
      </c>
      <c r="L1929" s="255" t="s">
        <v>65</v>
      </c>
      <c r="M1929" s="879">
        <f t="shared" ref="M1929:M1930" si="98">SUM(Q1929:Q1929)</f>
        <v>1</v>
      </c>
      <c r="N1929" s="880">
        <f>IFERROR(M1929/M1931,"-")</f>
        <v>1</v>
      </c>
      <c r="O1929" s="881">
        <f>SUMIFS('Data Entry'!S:S,'Data Entry'!K:K,G1929)</f>
        <v>0</v>
      </c>
      <c r="P1929" s="274" t="s">
        <v>233</v>
      </c>
      <c r="Q1929" s="895">
        <v>1</v>
      </c>
      <c r="R1929" s="114"/>
      <c r="S1929" s="884"/>
      <c r="T1929" s="270"/>
      <c r="U1929" s="270"/>
      <c r="V1929" s="270"/>
      <c r="W1929" s="270"/>
      <c r="X1929" s="270"/>
      <c r="Y1929" s="114"/>
      <c r="Z1929" s="114"/>
      <c r="AA1929" s="114"/>
      <c r="AB1929" s="85"/>
      <c r="AC1929" s="85"/>
      <c r="AD1929" s="85"/>
      <c r="AE1929" s="85"/>
    </row>
    <row r="1930" spans="3:31" s="45" customFormat="1" ht="15" thickBot="1" x14ac:dyDescent="0.35">
      <c r="C1930" s="501" t="s">
        <v>418</v>
      </c>
      <c r="D1930" s="116"/>
      <c r="E1930" s="116" t="s">
        <v>8</v>
      </c>
      <c r="F1930" s="116" t="s">
        <v>52</v>
      </c>
      <c r="G1930" s="450" t="str">
        <f t="shared" si="97"/>
        <v>Fire and Police Stations-Other-Other 1</v>
      </c>
      <c r="H1930" s="116"/>
      <c r="I1930" s="889" t="s">
        <v>66</v>
      </c>
      <c r="J1930" s="890">
        <f>SUMIFS('Level of Efficiency Assumptions'!J:J,'Level of Efficiency Assumptions'!D:D,E1930,'Level of Efficiency Assumptions'!F:F,F1930,'Level of Efficiency Assumptions'!I:I,I1930)</f>
        <v>5</v>
      </c>
      <c r="K1930" s="383" t="s">
        <v>588</v>
      </c>
      <c r="L1930" s="257" t="s">
        <v>66</v>
      </c>
      <c r="M1930" s="879">
        <f t="shared" si="98"/>
        <v>0</v>
      </c>
      <c r="N1930" s="880">
        <f>IFERROR(M1930/M1931,"-")</f>
        <v>0</v>
      </c>
      <c r="O1930" s="881">
        <f>SUMIFS('Data Entry'!T:T,'Data Entry'!K:K,G1930)</f>
        <v>0</v>
      </c>
      <c r="P1930" s="269" t="s">
        <v>234</v>
      </c>
      <c r="Q1930" s="895">
        <v>0</v>
      </c>
      <c r="R1930" s="114"/>
      <c r="S1930" s="884"/>
      <c r="T1930" s="270"/>
      <c r="U1930" s="270"/>
      <c r="V1930" s="270"/>
      <c r="W1930" s="270"/>
      <c r="X1930" s="270"/>
      <c r="Y1930" s="114"/>
      <c r="Z1930" s="114"/>
      <c r="AA1930" s="114"/>
      <c r="AB1930" s="85"/>
      <c r="AC1930" s="85"/>
      <c r="AD1930" s="85"/>
      <c r="AE1930" s="85"/>
    </row>
    <row r="1931" spans="3:31" s="45" customFormat="1" x14ac:dyDescent="0.3">
      <c r="C1931" s="450"/>
      <c r="D1931" s="182"/>
      <c r="E1931" s="182"/>
      <c r="F1931" s="182"/>
      <c r="G1931" s="450" t="str">
        <f t="shared" si="97"/>
        <v>--</v>
      </c>
      <c r="H1931" s="182"/>
      <c r="I1931" s="440"/>
      <c r="J1931" s="892"/>
      <c r="K1931" s="259"/>
      <c r="L1931" s="259" t="s">
        <v>46</v>
      </c>
      <c r="M1931" s="893">
        <f>SUM(M1928:M1930)</f>
        <v>1</v>
      </c>
      <c r="N1931" s="894"/>
      <c r="O1931" s="894">
        <f>SUM(O1928:O1930)</f>
        <v>0</v>
      </c>
      <c r="P1931" s="263" t="s">
        <v>46</v>
      </c>
      <c r="Q1931" s="897">
        <f>SUM(Q1928:Q1930)</f>
        <v>1</v>
      </c>
      <c r="R1931" s="899"/>
      <c r="S1931" s="900"/>
      <c r="T1931" s="270"/>
      <c r="U1931" s="270"/>
      <c r="V1931" s="270"/>
      <c r="W1931" s="270"/>
      <c r="X1931" s="270"/>
      <c r="Y1931" s="114"/>
      <c r="Z1931" s="114"/>
      <c r="AA1931" s="114"/>
      <c r="AB1931" s="85"/>
      <c r="AC1931" s="85"/>
      <c r="AD1931" s="85"/>
      <c r="AE1931" s="85"/>
    </row>
    <row r="1932" spans="3:31" s="45" customFormat="1" x14ac:dyDescent="0.3">
      <c r="C1932" s="450"/>
      <c r="D1932" s="182"/>
      <c r="E1932" s="182"/>
      <c r="F1932" s="182"/>
      <c r="G1932" s="450" t="str">
        <f t="shared" si="97"/>
        <v>--</v>
      </c>
      <c r="H1932" s="182"/>
      <c r="I1932" s="892"/>
      <c r="J1932" s="288"/>
      <c r="K1932" s="182"/>
      <c r="L1932" s="182"/>
      <c r="M1932" s="270"/>
      <c r="N1932" s="892"/>
      <c r="O1932" s="892"/>
      <c r="P1932" s="270"/>
      <c r="Q1932" s="270"/>
      <c r="R1932" s="270"/>
      <c r="S1932" s="270"/>
      <c r="T1932" s="270"/>
      <c r="U1932" s="270"/>
      <c r="V1932" s="270"/>
      <c r="W1932" s="270"/>
      <c r="X1932" s="270"/>
      <c r="Y1932" s="114"/>
      <c r="Z1932" s="114"/>
      <c r="AA1932" s="114"/>
      <c r="AB1932" s="85"/>
      <c r="AC1932" s="85"/>
      <c r="AD1932" s="85"/>
      <c r="AE1932" s="85"/>
    </row>
    <row r="1933" spans="3:31" s="45" customFormat="1" ht="15" thickBot="1" x14ac:dyDescent="0.35">
      <c r="C1933" s="450"/>
      <c r="D1933" s="182"/>
      <c r="E1933" s="182"/>
      <c r="F1933" s="182"/>
      <c r="G1933" s="450" t="str">
        <f t="shared" si="97"/>
        <v>--</v>
      </c>
      <c r="H1933" s="182"/>
      <c r="I1933" s="892"/>
      <c r="J1933" s="892"/>
      <c r="K1933" s="182"/>
      <c r="L1933" s="182"/>
      <c r="M1933" s="901" t="s">
        <v>155</v>
      </c>
      <c r="N1933" s="870" t="s">
        <v>188</v>
      </c>
      <c r="O1933" s="870"/>
      <c r="P1933" s="276" t="s">
        <v>53</v>
      </c>
      <c r="Q1933" s="871" t="s">
        <v>155</v>
      </c>
      <c r="R1933" s="902"/>
      <c r="S1933" s="874"/>
      <c r="T1933" s="270"/>
      <c r="U1933" s="270"/>
      <c r="V1933" s="270"/>
      <c r="W1933" s="270"/>
      <c r="X1933" s="270"/>
      <c r="Y1933" s="114"/>
      <c r="Z1933" s="114"/>
      <c r="AA1933" s="114"/>
      <c r="AB1933" s="85"/>
      <c r="AC1933" s="85"/>
      <c r="AD1933" s="85"/>
      <c r="AE1933" s="85"/>
    </row>
    <row r="1934" spans="3:31" ht="15" thickBot="1" x14ac:dyDescent="0.35">
      <c r="C1934" s="566" t="s">
        <v>418</v>
      </c>
      <c r="D1934" s="875" t="str">
        <f>VLOOKUP(C1934,'Airport Mapping'!$C$5:$D$39,2,FALSE)</f>
        <v xml:space="preserve"> </v>
      </c>
      <c r="E1934" s="567" t="s">
        <v>8</v>
      </c>
      <c r="F1934" s="567" t="s">
        <v>53</v>
      </c>
      <c r="G1934" s="450" t="str">
        <f t="shared" si="97"/>
        <v>Fire and Police Stations-Other-Other 2</v>
      </c>
      <c r="H1934" s="567" t="s">
        <v>363</v>
      </c>
      <c r="I1934" s="877" t="s">
        <v>64</v>
      </c>
      <c r="J1934" s="878">
        <f>SUMIFS('Level of Efficiency Assumptions'!J:J,'Level of Efficiency Assumptions'!D:D,E1934,'Level of Efficiency Assumptions'!F:F,F1934,'Level of Efficiency Assumptions'!I:I,I1934)</f>
        <v>10</v>
      </c>
      <c r="K1934" s="383" t="s">
        <v>588</v>
      </c>
      <c r="L1934" s="253" t="s">
        <v>64</v>
      </c>
      <c r="M1934" s="879">
        <f>SUM(Q1934:Q1934)</f>
        <v>0</v>
      </c>
      <c r="N1934" s="880">
        <f>IFERROR(M1934/M1937,"-")</f>
        <v>0</v>
      </c>
      <c r="O1934" s="881">
        <f>SUMIFS('Data Entry'!R:R,'Data Entry'!K:K,G1934)</f>
        <v>0</v>
      </c>
      <c r="P1934" s="272" t="s">
        <v>129</v>
      </c>
      <c r="Q1934" s="895">
        <v>0</v>
      </c>
      <c r="R1934" s="114"/>
      <c r="S1934" s="884"/>
      <c r="T1934" s="270"/>
      <c r="U1934" s="270"/>
      <c r="V1934" s="270"/>
      <c r="W1934" s="270"/>
      <c r="X1934" s="270"/>
      <c r="Y1934" s="114"/>
      <c r="Z1934" s="114"/>
      <c r="AA1934" s="114"/>
      <c r="AB1934" s="85"/>
      <c r="AC1934" s="85"/>
      <c r="AD1934" s="85"/>
      <c r="AE1934" s="85"/>
    </row>
    <row r="1935" spans="3:31" ht="15" thickBot="1" x14ac:dyDescent="0.35">
      <c r="C1935" s="494" t="s">
        <v>418</v>
      </c>
      <c r="D1935" s="577"/>
      <c r="E1935" s="577" t="s">
        <v>8</v>
      </c>
      <c r="F1935" s="577" t="s">
        <v>53</v>
      </c>
      <c r="G1935" s="450" t="str">
        <f t="shared" si="97"/>
        <v>Fire and Police Stations-Other-Other 2</v>
      </c>
      <c r="H1935" s="577"/>
      <c r="I1935" s="887" t="s">
        <v>65</v>
      </c>
      <c r="J1935" s="878">
        <f>SUMIFS('Level of Efficiency Assumptions'!J:J,'Level of Efficiency Assumptions'!D:D,E1935,'Level of Efficiency Assumptions'!F:F,F1935,'Level of Efficiency Assumptions'!I:I,I1935)</f>
        <v>7.5</v>
      </c>
      <c r="K1935" s="383" t="s">
        <v>588</v>
      </c>
      <c r="L1935" s="255" t="s">
        <v>65</v>
      </c>
      <c r="M1935" s="879">
        <f t="shared" ref="M1935:M1936" si="99">SUM(Q1935:Q1935)</f>
        <v>1</v>
      </c>
      <c r="N1935" s="880">
        <f>IFERROR(M1935/M1937,"-")</f>
        <v>1</v>
      </c>
      <c r="O1935" s="881">
        <f>SUMIFS('Data Entry'!S:S,'Data Entry'!K:K,G1935)</f>
        <v>0</v>
      </c>
      <c r="P1935" s="274" t="s">
        <v>233</v>
      </c>
      <c r="Q1935" s="895">
        <v>1</v>
      </c>
      <c r="R1935" s="114"/>
      <c r="S1935" s="884"/>
      <c r="T1935" s="270"/>
      <c r="U1935" s="270"/>
      <c r="V1935" s="270"/>
      <c r="W1935" s="270"/>
      <c r="X1935" s="270"/>
      <c r="Y1935" s="114"/>
      <c r="Z1935" s="114"/>
      <c r="AA1935" s="114"/>
      <c r="AB1935" s="85"/>
      <c r="AC1935" s="85"/>
      <c r="AD1935" s="85"/>
      <c r="AE1935" s="85"/>
    </row>
    <row r="1936" spans="3:31" ht="15" thickBot="1" x14ac:dyDescent="0.35">
      <c r="C1936" s="501" t="s">
        <v>418</v>
      </c>
      <c r="D1936" s="116"/>
      <c r="E1936" s="116" t="s">
        <v>8</v>
      </c>
      <c r="F1936" s="116" t="s">
        <v>53</v>
      </c>
      <c r="G1936" s="450" t="str">
        <f t="shared" si="97"/>
        <v>Fire and Police Stations-Other-Other 2</v>
      </c>
      <c r="H1936" s="116"/>
      <c r="I1936" s="889" t="s">
        <v>66</v>
      </c>
      <c r="J1936" s="890">
        <f>SUMIFS('Level of Efficiency Assumptions'!J:J,'Level of Efficiency Assumptions'!D:D,E1936,'Level of Efficiency Assumptions'!F:F,F1936,'Level of Efficiency Assumptions'!I:I,I1936)</f>
        <v>5</v>
      </c>
      <c r="K1936" s="383" t="s">
        <v>588</v>
      </c>
      <c r="L1936" s="257" t="s">
        <v>66</v>
      </c>
      <c r="M1936" s="879">
        <f t="shared" si="99"/>
        <v>0</v>
      </c>
      <c r="N1936" s="880">
        <f>IFERROR(M1936/M1937,"-")</f>
        <v>0</v>
      </c>
      <c r="O1936" s="881">
        <f>SUMIFS('Data Entry'!T:T,'Data Entry'!K:K,G1936)</f>
        <v>0</v>
      </c>
      <c r="P1936" s="269" t="s">
        <v>234</v>
      </c>
      <c r="Q1936" s="895">
        <v>0</v>
      </c>
      <c r="R1936" s="114"/>
      <c r="S1936" s="884"/>
      <c r="T1936" s="270"/>
      <c r="U1936" s="270"/>
      <c r="V1936" s="270"/>
      <c r="W1936" s="270"/>
      <c r="X1936" s="270"/>
      <c r="Y1936" s="114"/>
      <c r="Z1936" s="114"/>
      <c r="AA1936" s="114"/>
      <c r="AB1936" s="85"/>
      <c r="AC1936" s="85"/>
      <c r="AD1936" s="85"/>
      <c r="AE1936" s="85"/>
    </row>
    <row r="1937" spans="3:31" x14ac:dyDescent="0.3">
      <c r="C1937" s="450"/>
      <c r="D1937" s="182"/>
      <c r="E1937" s="182"/>
      <c r="F1937" s="182"/>
      <c r="G1937" s="450" t="str">
        <f t="shared" si="97"/>
        <v>--</v>
      </c>
      <c r="H1937" s="182"/>
      <c r="I1937" s="440"/>
      <c r="J1937" s="892"/>
      <c r="K1937" s="259"/>
      <c r="L1937" s="259" t="s">
        <v>46</v>
      </c>
      <c r="M1937" s="893">
        <f>SUM(M1934:M1936)</f>
        <v>1</v>
      </c>
      <c r="N1937" s="894"/>
      <c r="O1937" s="894">
        <f>SUM(O1934:O1936)</f>
        <v>0</v>
      </c>
      <c r="P1937" s="263" t="s">
        <v>46</v>
      </c>
      <c r="Q1937" s="897">
        <f>SUM(Q1934:Q1936)</f>
        <v>1</v>
      </c>
      <c r="R1937" s="899"/>
      <c r="S1937" s="900"/>
      <c r="T1937" s="270"/>
      <c r="U1937" s="270"/>
      <c r="V1937" s="270"/>
      <c r="W1937" s="270"/>
      <c r="X1937" s="270"/>
      <c r="Y1937" s="114"/>
      <c r="Z1937" s="114"/>
      <c r="AA1937" s="114"/>
      <c r="AB1937" s="85"/>
      <c r="AC1937" s="85"/>
      <c r="AD1937" s="85"/>
      <c r="AE1937" s="85"/>
    </row>
    <row r="1938" spans="3:31" x14ac:dyDescent="0.3">
      <c r="C1938" s="450"/>
      <c r="D1938" s="182"/>
      <c r="E1938" s="182"/>
      <c r="F1938" s="182"/>
      <c r="G1938" s="450" t="str">
        <f t="shared" si="97"/>
        <v>--</v>
      </c>
      <c r="H1938" s="182"/>
      <c r="I1938" s="892"/>
      <c r="J1938" s="288"/>
      <c r="K1938" s="182"/>
      <c r="L1938" s="182"/>
      <c r="M1938" s="270"/>
      <c r="N1938" s="892"/>
      <c r="O1938" s="892"/>
      <c r="P1938" s="270"/>
      <c r="Q1938" s="270"/>
      <c r="R1938" s="270"/>
      <c r="S1938" s="270"/>
      <c r="T1938" s="270"/>
      <c r="U1938" s="270"/>
      <c r="V1938" s="270"/>
      <c r="W1938" s="270"/>
      <c r="X1938" s="270"/>
      <c r="Y1938" s="114"/>
      <c r="Z1938" s="114"/>
      <c r="AA1938" s="114"/>
      <c r="AB1938" s="85"/>
      <c r="AC1938" s="85"/>
      <c r="AD1938" s="85"/>
      <c r="AE1938" s="85"/>
    </row>
    <row r="1939" spans="3:31" ht="15" thickBot="1" x14ac:dyDescent="0.35">
      <c r="C1939" s="450"/>
      <c r="D1939" s="182"/>
      <c r="E1939" s="182"/>
      <c r="F1939" s="182"/>
      <c r="G1939" s="450" t="str">
        <f t="shared" si="97"/>
        <v>--</v>
      </c>
      <c r="H1939" s="182"/>
      <c r="I1939" s="892"/>
      <c r="J1939" s="892"/>
      <c r="K1939" s="182"/>
      <c r="L1939" s="182"/>
      <c r="M1939" s="901" t="s">
        <v>155</v>
      </c>
      <c r="N1939" s="870" t="s">
        <v>188</v>
      </c>
      <c r="O1939" s="870"/>
      <c r="P1939" s="276" t="s">
        <v>54</v>
      </c>
      <c r="Q1939" s="871" t="s">
        <v>155</v>
      </c>
      <c r="R1939" s="902"/>
      <c r="S1939" s="874"/>
      <c r="T1939" s="270"/>
      <c r="U1939" s="270"/>
      <c r="V1939" s="270"/>
      <c r="W1939" s="270"/>
      <c r="X1939" s="270"/>
      <c r="Y1939" s="114"/>
      <c r="Z1939" s="114"/>
      <c r="AA1939" s="114"/>
      <c r="AB1939" s="85"/>
      <c r="AC1939" s="85"/>
      <c r="AD1939" s="85"/>
      <c r="AE1939" s="85"/>
    </row>
    <row r="1940" spans="3:31" ht="15" thickBot="1" x14ac:dyDescent="0.35">
      <c r="C1940" s="566" t="s">
        <v>418</v>
      </c>
      <c r="D1940" s="875" t="str">
        <f>VLOOKUP(C1940,'Airport Mapping'!$C$5:$D$39,2,FALSE)</f>
        <v xml:space="preserve"> </v>
      </c>
      <c r="E1940" s="567" t="s">
        <v>8</v>
      </c>
      <c r="F1940" s="567" t="s">
        <v>54</v>
      </c>
      <c r="G1940" s="450" t="str">
        <f t="shared" si="97"/>
        <v>Fire and Police Stations-Other-Other 3</v>
      </c>
      <c r="H1940" s="567" t="s">
        <v>364</v>
      </c>
      <c r="I1940" s="877" t="s">
        <v>64</v>
      </c>
      <c r="J1940" s="878">
        <f>SUMIFS('Level of Efficiency Assumptions'!J:J,'Level of Efficiency Assumptions'!D:D,E1940,'Level of Efficiency Assumptions'!F:F,F1940,'Level of Efficiency Assumptions'!I:I,I1940)</f>
        <v>10</v>
      </c>
      <c r="K1940" s="383" t="s">
        <v>588</v>
      </c>
      <c r="L1940" s="253" t="s">
        <v>64</v>
      </c>
      <c r="M1940" s="879">
        <f>SUM(Q1940:Q1940)</f>
        <v>0</v>
      </c>
      <c r="N1940" s="880">
        <f>IFERROR(M1940/M1943,"-")</f>
        <v>0</v>
      </c>
      <c r="O1940" s="881">
        <f>SUMIFS('Data Entry'!R:R,'Data Entry'!K:K,G1940)</f>
        <v>0</v>
      </c>
      <c r="P1940" s="272" t="s">
        <v>129</v>
      </c>
      <c r="Q1940" s="895">
        <v>0</v>
      </c>
      <c r="R1940" s="114"/>
      <c r="S1940" s="884"/>
      <c r="T1940" s="270"/>
      <c r="U1940" s="270"/>
      <c r="V1940" s="270"/>
      <c r="W1940" s="270"/>
      <c r="X1940" s="270"/>
      <c r="Y1940" s="114"/>
      <c r="Z1940" s="114"/>
      <c r="AA1940" s="114"/>
      <c r="AB1940" s="85"/>
      <c r="AC1940" s="85"/>
      <c r="AD1940" s="85"/>
      <c r="AE1940" s="85"/>
    </row>
    <row r="1941" spans="3:31" ht="15" thickBot="1" x14ac:dyDescent="0.35">
      <c r="C1941" s="494" t="s">
        <v>418</v>
      </c>
      <c r="D1941" s="577"/>
      <c r="E1941" s="577" t="s">
        <v>8</v>
      </c>
      <c r="F1941" s="577" t="s">
        <v>54</v>
      </c>
      <c r="G1941" s="450" t="str">
        <f t="shared" si="97"/>
        <v>Fire and Police Stations-Other-Other 3</v>
      </c>
      <c r="H1941" s="577"/>
      <c r="I1941" s="887" t="s">
        <v>65</v>
      </c>
      <c r="J1941" s="878">
        <f>SUMIFS('Level of Efficiency Assumptions'!J:J,'Level of Efficiency Assumptions'!D:D,E1941,'Level of Efficiency Assumptions'!F:F,F1941,'Level of Efficiency Assumptions'!I:I,I1941)</f>
        <v>7.5</v>
      </c>
      <c r="K1941" s="383" t="s">
        <v>588</v>
      </c>
      <c r="L1941" s="255" t="s">
        <v>65</v>
      </c>
      <c r="M1941" s="879">
        <f t="shared" ref="M1941:M1942" si="100">SUM(Q1941:Q1941)</f>
        <v>1</v>
      </c>
      <c r="N1941" s="880">
        <f>IFERROR(M1941/M1943,"-")</f>
        <v>1</v>
      </c>
      <c r="O1941" s="881">
        <f>SUMIFS('Data Entry'!S:S,'Data Entry'!K:K,G1941)</f>
        <v>0</v>
      </c>
      <c r="P1941" s="274" t="s">
        <v>233</v>
      </c>
      <c r="Q1941" s="895">
        <v>1</v>
      </c>
      <c r="R1941" s="114"/>
      <c r="S1941" s="884"/>
      <c r="T1941" s="270"/>
      <c r="U1941" s="270"/>
      <c r="V1941" s="270"/>
      <c r="W1941" s="270"/>
      <c r="X1941" s="270"/>
      <c r="Y1941" s="114"/>
      <c r="Z1941" s="114"/>
      <c r="AA1941" s="114"/>
      <c r="AB1941" s="85"/>
      <c r="AC1941" s="85"/>
      <c r="AD1941" s="85"/>
      <c r="AE1941" s="85"/>
    </row>
    <row r="1942" spans="3:31" ht="15" thickBot="1" x14ac:dyDescent="0.35">
      <c r="C1942" s="501" t="s">
        <v>418</v>
      </c>
      <c r="D1942" s="116"/>
      <c r="E1942" s="116" t="s">
        <v>8</v>
      </c>
      <c r="F1942" s="116" t="s">
        <v>54</v>
      </c>
      <c r="G1942" s="450" t="str">
        <f t="shared" si="97"/>
        <v>Fire and Police Stations-Other-Other 3</v>
      </c>
      <c r="H1942" s="116"/>
      <c r="I1942" s="889" t="s">
        <v>66</v>
      </c>
      <c r="J1942" s="890">
        <f>SUMIFS('Level of Efficiency Assumptions'!J:J,'Level of Efficiency Assumptions'!D:D,E1942,'Level of Efficiency Assumptions'!F:F,F1942,'Level of Efficiency Assumptions'!I:I,I1942)</f>
        <v>5</v>
      </c>
      <c r="K1942" s="383" t="s">
        <v>588</v>
      </c>
      <c r="L1942" s="257" t="s">
        <v>66</v>
      </c>
      <c r="M1942" s="879">
        <f t="shared" si="100"/>
        <v>0</v>
      </c>
      <c r="N1942" s="880">
        <f>IFERROR(M1942/M1943,"-")</f>
        <v>0</v>
      </c>
      <c r="O1942" s="881">
        <f>SUMIFS('Data Entry'!T:T,'Data Entry'!K:K,G1942)</f>
        <v>0</v>
      </c>
      <c r="P1942" s="269" t="s">
        <v>234</v>
      </c>
      <c r="Q1942" s="895">
        <v>0</v>
      </c>
      <c r="R1942" s="114"/>
      <c r="S1942" s="884"/>
      <c r="T1942" s="270"/>
      <c r="U1942" s="270"/>
      <c r="V1942" s="270"/>
      <c r="W1942" s="270"/>
      <c r="X1942" s="270"/>
      <c r="Y1942" s="114"/>
      <c r="Z1942" s="114"/>
      <c r="AA1942" s="114"/>
      <c r="AB1942" s="85"/>
      <c r="AC1942" s="85"/>
      <c r="AD1942" s="85"/>
      <c r="AE1942" s="85"/>
    </row>
    <row r="1943" spans="3:31" x14ac:dyDescent="0.3">
      <c r="C1943" s="450"/>
      <c r="D1943" s="182"/>
      <c r="E1943" s="182"/>
      <c r="F1943" s="182"/>
      <c r="G1943" s="450" t="str">
        <f t="shared" si="97"/>
        <v>--</v>
      </c>
      <c r="H1943" s="182"/>
      <c r="I1943" s="440"/>
      <c r="J1943" s="892"/>
      <c r="K1943" s="259"/>
      <c r="L1943" s="259" t="s">
        <v>46</v>
      </c>
      <c r="M1943" s="893">
        <f>SUM(M1940:M1942)</f>
        <v>1</v>
      </c>
      <c r="N1943" s="894"/>
      <c r="O1943" s="894">
        <f>SUM(O1940:O1942)</f>
        <v>0</v>
      </c>
      <c r="P1943" s="263" t="s">
        <v>46</v>
      </c>
      <c r="Q1943" s="897">
        <f>SUM(Q1940:Q1942)</f>
        <v>1</v>
      </c>
      <c r="R1943" s="899"/>
      <c r="S1943" s="900"/>
      <c r="T1943" s="270"/>
      <c r="U1943" s="270"/>
      <c r="V1943" s="270"/>
      <c r="W1943" s="270"/>
      <c r="X1943" s="270"/>
      <c r="Y1943" s="114"/>
      <c r="Z1943" s="114"/>
      <c r="AA1943" s="114"/>
      <c r="AB1943" s="85"/>
      <c r="AC1943" s="85"/>
      <c r="AD1943" s="85"/>
      <c r="AE1943" s="85"/>
    </row>
    <row r="1944" spans="3:31" ht="15" thickBot="1" x14ac:dyDescent="0.35">
      <c r="C1944" s="451"/>
      <c r="D1944" s="184"/>
      <c r="E1944" s="184"/>
      <c r="F1944" s="184"/>
      <c r="G1944" s="450" t="str">
        <f t="shared" si="97"/>
        <v>--</v>
      </c>
      <c r="H1944" s="184"/>
      <c r="I1944" s="281"/>
      <c r="J1944" s="281"/>
      <c r="K1944" s="184"/>
      <c r="L1944" s="184"/>
      <c r="M1944" s="278"/>
      <c r="N1944" s="281"/>
      <c r="O1944" s="281"/>
      <c r="P1944" s="278"/>
      <c r="Q1944" s="278"/>
      <c r="R1944" s="278"/>
      <c r="S1944" s="278"/>
      <c r="T1944" s="278"/>
      <c r="U1944" s="278"/>
      <c r="V1944" s="278"/>
      <c r="W1944" s="278"/>
      <c r="X1944" s="270"/>
      <c r="Y1944" s="114"/>
      <c r="Z1944" s="114"/>
      <c r="AA1944" s="114"/>
      <c r="AB1944" s="85"/>
      <c r="AC1944" s="85"/>
      <c r="AD1944" s="85"/>
      <c r="AE1944" s="85"/>
    </row>
    <row r="1945" spans="3:31" x14ac:dyDescent="0.3">
      <c r="C1945" s="450"/>
      <c r="D1945" s="182"/>
      <c r="E1945" s="182"/>
      <c r="F1945" s="182"/>
      <c r="G1945" s="450" t="str">
        <f t="shared" si="97"/>
        <v>--</v>
      </c>
      <c r="H1945" s="182"/>
      <c r="I1945" s="892"/>
      <c r="J1945" s="892"/>
      <c r="K1945" s="182"/>
      <c r="L1945" s="182"/>
      <c r="M1945" s="270"/>
      <c r="N1945" s="892"/>
      <c r="O1945" s="892"/>
      <c r="P1945" s="270"/>
      <c r="Q1945" s="270"/>
      <c r="R1945" s="270"/>
      <c r="S1945" s="270"/>
      <c r="T1945" s="270"/>
      <c r="U1945" s="270"/>
      <c r="V1945" s="270"/>
      <c r="W1945" s="270"/>
      <c r="X1945" s="270"/>
      <c r="Y1945" s="114"/>
      <c r="Z1945" s="114"/>
      <c r="AA1945" s="114"/>
      <c r="AB1945" s="85"/>
      <c r="AC1945" s="85"/>
      <c r="AD1945" s="85"/>
      <c r="AE1945" s="85"/>
    </row>
    <row r="1946" spans="3:31" ht="15" thickBot="1" x14ac:dyDescent="0.35">
      <c r="C1946" s="450"/>
      <c r="D1946" s="182"/>
      <c r="E1946" s="182"/>
      <c r="F1946" s="182"/>
      <c r="G1946" s="450" t="str">
        <f t="shared" si="97"/>
        <v>--</v>
      </c>
      <c r="H1946" s="182"/>
      <c r="I1946" s="892"/>
      <c r="J1946" s="892"/>
      <c r="K1946" s="182"/>
      <c r="L1946" s="182"/>
      <c r="M1946" s="901" t="s">
        <v>155</v>
      </c>
      <c r="N1946" s="870" t="s">
        <v>188</v>
      </c>
      <c r="O1946" s="870"/>
      <c r="P1946" s="252" t="s">
        <v>158</v>
      </c>
      <c r="Q1946" s="871" t="s">
        <v>155</v>
      </c>
      <c r="R1946" s="872" t="s">
        <v>168</v>
      </c>
      <c r="S1946" s="872" t="s">
        <v>169</v>
      </c>
      <c r="T1946" s="873"/>
      <c r="U1946" s="874"/>
      <c r="V1946" s="270"/>
      <c r="W1946" s="270"/>
      <c r="X1946" s="270"/>
      <c r="Y1946" s="114"/>
      <c r="Z1946" s="270"/>
      <c r="AA1946" s="270"/>
    </row>
    <row r="1947" spans="3:31" ht="15" thickBot="1" x14ac:dyDescent="0.35">
      <c r="C1947" s="566" t="s">
        <v>96</v>
      </c>
      <c r="D1947" s="875" t="str">
        <f>VLOOKUP(C1947,'Airport Mapping'!$C$5:$D$39,2,FALSE)</f>
        <v xml:space="preserve"> </v>
      </c>
      <c r="E1947" s="567" t="s">
        <v>45</v>
      </c>
      <c r="F1947" s="567" t="s">
        <v>2</v>
      </c>
      <c r="G1947" s="450" t="str">
        <f t="shared" si="97"/>
        <v>Hotel A-Guestrooms-Toilets</v>
      </c>
      <c r="H1947" s="567" t="s">
        <v>17</v>
      </c>
      <c r="I1947" s="877" t="s">
        <v>64</v>
      </c>
      <c r="J1947" s="878">
        <f>SUMIFS('Level of Efficiency Assumptions'!J:J,'Level of Efficiency Assumptions'!D:D,E1947,'Level of Efficiency Assumptions'!F:F,F1947,'Level of Efficiency Assumptions'!I:I,I1947)</f>
        <v>3.5</v>
      </c>
      <c r="K1947" s="383" t="s">
        <v>68</v>
      </c>
      <c r="L1947" s="253" t="s">
        <v>64</v>
      </c>
      <c r="M1947" s="879">
        <f>Q1947+Q1953</f>
        <v>0</v>
      </c>
      <c r="N1947" s="880">
        <f>IFERROR(M1947/M1950,"-")</f>
        <v>0</v>
      </c>
      <c r="O1947" s="881">
        <f>SUMIFS('Data Entry'!R:R,'Data Entry'!K:K,G1947)</f>
        <v>0</v>
      </c>
      <c r="P1947" s="254" t="s">
        <v>159</v>
      </c>
      <c r="Q1947" s="882">
        <v>0</v>
      </c>
      <c r="R1947" s="883"/>
      <c r="S1947" s="883"/>
      <c r="T1947" s="114" t="s">
        <v>182</v>
      </c>
      <c r="U1947" s="884"/>
      <c r="V1947" s="270"/>
      <c r="W1947" s="270"/>
      <c r="X1947" s="270"/>
      <c r="Y1947" s="114"/>
      <c r="Z1947" s="270"/>
      <c r="AA1947" s="270"/>
    </row>
    <row r="1948" spans="3:31" ht="15" thickBot="1" x14ac:dyDescent="0.35">
      <c r="C1948" s="494" t="s">
        <v>96</v>
      </c>
      <c r="D1948" s="577"/>
      <c r="E1948" s="577" t="s">
        <v>45</v>
      </c>
      <c r="F1948" s="577" t="s">
        <v>2</v>
      </c>
      <c r="G1948" s="450" t="str">
        <f t="shared" si="97"/>
        <v>Hotel A-Guestrooms-Toilets</v>
      </c>
      <c r="H1948" s="577"/>
      <c r="I1948" s="887" t="s">
        <v>65</v>
      </c>
      <c r="J1948" s="878">
        <f>SUMIFS('Level of Efficiency Assumptions'!J:J,'Level of Efficiency Assumptions'!D:D,E1948,'Level of Efficiency Assumptions'!F:F,F1948,'Level of Efficiency Assumptions'!I:I,I1948)</f>
        <v>1.6</v>
      </c>
      <c r="K1948" s="383" t="s">
        <v>68</v>
      </c>
      <c r="L1948" s="255" t="s">
        <v>65</v>
      </c>
      <c r="M1948" s="879">
        <f>Q1948+Q1951+Q1954</f>
        <v>1</v>
      </c>
      <c r="N1948" s="880">
        <f>IFERROR(M1948/M1950,"-")</f>
        <v>1</v>
      </c>
      <c r="O1948" s="881">
        <f>SUMIFS('Data Entry'!S:S,'Data Entry'!K:K,G1948)</f>
        <v>0</v>
      </c>
      <c r="P1948" s="256" t="s">
        <v>161</v>
      </c>
      <c r="Q1948" s="882">
        <v>1</v>
      </c>
      <c r="R1948" s="883"/>
      <c r="S1948" s="883"/>
      <c r="T1948" s="114" t="s">
        <v>184</v>
      </c>
      <c r="U1948" s="884"/>
      <c r="V1948" s="270"/>
      <c r="W1948" s="270"/>
      <c r="X1948" s="270"/>
      <c r="Y1948" s="114"/>
      <c r="Z1948" s="270"/>
      <c r="AA1948" s="270"/>
    </row>
    <row r="1949" spans="3:31" ht="15" thickBot="1" x14ac:dyDescent="0.35">
      <c r="C1949" s="501" t="s">
        <v>96</v>
      </c>
      <c r="D1949" s="116"/>
      <c r="E1949" s="116" t="s">
        <v>45</v>
      </c>
      <c r="F1949" s="116" t="s">
        <v>2</v>
      </c>
      <c r="G1949" s="450" t="str">
        <f t="shared" si="97"/>
        <v>Hotel A-Guestrooms-Toilets</v>
      </c>
      <c r="H1949" s="116"/>
      <c r="I1949" s="889" t="s">
        <v>66</v>
      </c>
      <c r="J1949" s="890">
        <f>SUMIFS('Level of Efficiency Assumptions'!J:J,'Level of Efficiency Assumptions'!D:D,E1949,'Level of Efficiency Assumptions'!F:F,F1949,'Level of Efficiency Assumptions'!I:I,I1949)</f>
        <v>1.28</v>
      </c>
      <c r="K1949" s="383" t="s">
        <v>68</v>
      </c>
      <c r="L1949" s="257" t="s">
        <v>66</v>
      </c>
      <c r="M1949" s="879">
        <f>Q1949+Q1950+Q1952+Q1955+Q1956</f>
        <v>0</v>
      </c>
      <c r="N1949" s="880">
        <f>IFERROR(M1949/M1950,"-")</f>
        <v>0</v>
      </c>
      <c r="O1949" s="881">
        <f>SUMIFS('Data Entry'!T:T,'Data Entry'!K:K,G1949)</f>
        <v>0</v>
      </c>
      <c r="P1949" s="258" t="s">
        <v>163</v>
      </c>
      <c r="Q1949" s="882">
        <v>0</v>
      </c>
      <c r="R1949" s="883"/>
      <c r="S1949" s="883"/>
      <c r="T1949" s="891"/>
      <c r="U1949" s="884"/>
      <c r="V1949" s="270"/>
      <c r="W1949" s="270"/>
      <c r="X1949" s="270"/>
      <c r="Y1949" s="114"/>
      <c r="Z1949" s="270"/>
      <c r="AA1949" s="270"/>
    </row>
    <row r="1950" spans="3:31" x14ac:dyDescent="0.3">
      <c r="C1950" s="450"/>
      <c r="D1950" s="182"/>
      <c r="E1950" s="182"/>
      <c r="F1950" s="182"/>
      <c r="G1950" s="450" t="str">
        <f t="shared" si="97"/>
        <v>--</v>
      </c>
      <c r="H1950" s="182"/>
      <c r="I1950" s="440"/>
      <c r="J1950" s="892"/>
      <c r="K1950" s="259"/>
      <c r="L1950" s="259" t="s">
        <v>46</v>
      </c>
      <c r="M1950" s="893">
        <f>SUM(M1947:M1949)</f>
        <v>1</v>
      </c>
      <c r="N1950" s="894"/>
      <c r="O1950" s="894">
        <f>SUM(O1947:O1949)</f>
        <v>0</v>
      </c>
      <c r="P1950" s="258" t="s">
        <v>165</v>
      </c>
      <c r="Q1950" s="882">
        <v>0</v>
      </c>
      <c r="R1950" s="883"/>
      <c r="S1950" s="883"/>
      <c r="T1950" s="891"/>
      <c r="U1950" s="884"/>
      <c r="V1950" s="270"/>
      <c r="W1950" s="270"/>
      <c r="X1950" s="270"/>
      <c r="Y1950" s="114"/>
      <c r="Z1950" s="270"/>
      <c r="AA1950" s="270"/>
    </row>
    <row r="1951" spans="3:31" ht="15" thickBot="1" x14ac:dyDescent="0.35">
      <c r="C1951" s="450"/>
      <c r="D1951" s="182"/>
      <c r="E1951" s="182"/>
      <c r="F1951" s="182"/>
      <c r="G1951" s="450" t="str">
        <f t="shared" si="97"/>
        <v>--</v>
      </c>
      <c r="H1951" s="182"/>
      <c r="I1951" s="892"/>
      <c r="J1951" s="288"/>
      <c r="K1951" s="182"/>
      <c r="L1951" s="181"/>
      <c r="M1951" s="181"/>
      <c r="N1951" s="892"/>
      <c r="O1951" s="892"/>
      <c r="P1951" s="256" t="s">
        <v>166</v>
      </c>
      <c r="Q1951" s="895">
        <v>0</v>
      </c>
      <c r="R1951" s="883"/>
      <c r="S1951" s="883"/>
      <c r="T1951" s="891"/>
      <c r="U1951" s="896"/>
      <c r="V1951" s="891"/>
      <c r="W1951" s="270"/>
      <c r="X1951" s="270"/>
      <c r="Y1951" s="114"/>
      <c r="Z1951" s="270"/>
      <c r="AA1951" s="270"/>
    </row>
    <row r="1952" spans="3:31" x14ac:dyDescent="0.3">
      <c r="C1952" s="450"/>
      <c r="D1952" s="182"/>
      <c r="E1952" s="182"/>
      <c r="F1952" s="182"/>
      <c r="G1952" s="450" t="str">
        <f t="shared" ref="G1952:G2015" si="101">C1952&amp;"-"&amp;E1952&amp;"-"&amp;F1952</f>
        <v>--</v>
      </c>
      <c r="H1952" s="182"/>
      <c r="I1952" s="892"/>
      <c r="J1952" s="288"/>
      <c r="K1952" s="182"/>
      <c r="L1952" s="1384" t="s">
        <v>377</v>
      </c>
      <c r="M1952" s="1385"/>
      <c r="N1952" s="1385"/>
      <c r="O1952" s="1386"/>
      <c r="P1952" s="258" t="s">
        <v>167</v>
      </c>
      <c r="Q1952" s="895">
        <v>0</v>
      </c>
      <c r="R1952" s="883"/>
      <c r="S1952" s="883"/>
      <c r="T1952" s="891"/>
      <c r="U1952" s="896"/>
      <c r="V1952" s="891"/>
      <c r="W1952" s="270"/>
      <c r="X1952" s="270"/>
      <c r="Y1952" s="270"/>
      <c r="Z1952" s="270"/>
      <c r="AA1952" s="270"/>
    </row>
    <row r="1953" spans="3:27" x14ac:dyDescent="0.3">
      <c r="C1953" s="450"/>
      <c r="D1953" s="182"/>
      <c r="E1953" s="182"/>
      <c r="F1953" s="182"/>
      <c r="G1953" s="450" t="str">
        <f t="shared" si="101"/>
        <v>--</v>
      </c>
      <c r="H1953" s="182"/>
      <c r="I1953" s="892"/>
      <c r="J1953" s="288"/>
      <c r="K1953" s="182"/>
      <c r="L1953" s="1387"/>
      <c r="M1953" s="1388"/>
      <c r="N1953" s="1388"/>
      <c r="O1953" s="1389"/>
      <c r="P1953" s="254" t="s">
        <v>160</v>
      </c>
      <c r="Q1953" s="895">
        <v>0</v>
      </c>
      <c r="R1953" s="891"/>
      <c r="S1953" s="891"/>
      <c r="T1953" s="891"/>
      <c r="U1953" s="896"/>
      <c r="V1953" s="891"/>
      <c r="W1953" s="270"/>
      <c r="X1953" s="270"/>
      <c r="Y1953" s="270"/>
      <c r="Z1953" s="270"/>
      <c r="AA1953" s="270"/>
    </row>
    <row r="1954" spans="3:27" x14ac:dyDescent="0.3">
      <c r="C1954" s="450"/>
      <c r="D1954" s="182"/>
      <c r="E1954" s="182"/>
      <c r="F1954" s="182"/>
      <c r="G1954" s="450" t="str">
        <f t="shared" si="101"/>
        <v>--</v>
      </c>
      <c r="H1954" s="182"/>
      <c r="I1954" s="892"/>
      <c r="J1954" s="288"/>
      <c r="K1954" s="182"/>
      <c r="L1954" s="1387"/>
      <c r="M1954" s="1388"/>
      <c r="N1954" s="1388"/>
      <c r="O1954" s="1389"/>
      <c r="P1954" s="256" t="s">
        <v>162</v>
      </c>
      <c r="Q1954" s="895">
        <v>0</v>
      </c>
      <c r="R1954" s="891"/>
      <c r="S1954" s="891"/>
      <c r="T1954" s="891"/>
      <c r="U1954" s="896"/>
      <c r="V1954" s="891"/>
      <c r="W1954" s="270"/>
      <c r="X1954" s="270"/>
      <c r="Y1954" s="270"/>
      <c r="Z1954" s="270"/>
      <c r="AA1954" s="270"/>
    </row>
    <row r="1955" spans="3:27" ht="15" thickBot="1" x14ac:dyDescent="0.35">
      <c r="C1955" s="450"/>
      <c r="D1955" s="182"/>
      <c r="E1955" s="182"/>
      <c r="F1955" s="182"/>
      <c r="G1955" s="450" t="str">
        <f t="shared" si="101"/>
        <v>--</v>
      </c>
      <c r="H1955" s="182"/>
      <c r="I1955" s="892"/>
      <c r="J1955" s="288"/>
      <c r="K1955" s="182"/>
      <c r="L1955" s="1390"/>
      <c r="M1955" s="1391"/>
      <c r="N1955" s="1391"/>
      <c r="O1955" s="1392"/>
      <c r="P1955" s="258" t="s">
        <v>164</v>
      </c>
      <c r="Q1955" s="895">
        <v>0</v>
      </c>
      <c r="R1955" s="114"/>
      <c r="S1955" s="891"/>
      <c r="T1955" s="114"/>
      <c r="U1955" s="884"/>
      <c r="V1955" s="114"/>
      <c r="W1955" s="270"/>
      <c r="X1955" s="270"/>
      <c r="Y1955" s="270"/>
      <c r="Z1955" s="270"/>
      <c r="AA1955" s="270"/>
    </row>
    <row r="1956" spans="3:27" x14ac:dyDescent="0.3">
      <c r="C1956" s="450"/>
      <c r="D1956" s="182"/>
      <c r="E1956" s="182"/>
      <c r="F1956" s="182"/>
      <c r="G1956" s="450" t="str">
        <f t="shared" si="101"/>
        <v>--</v>
      </c>
      <c r="H1956" s="182"/>
      <c r="I1956" s="892"/>
      <c r="J1956" s="288"/>
      <c r="K1956" s="182"/>
      <c r="L1956" s="181"/>
      <c r="M1956" s="181"/>
      <c r="N1956" s="892"/>
      <c r="O1956" s="892"/>
      <c r="P1956" s="258" t="s">
        <v>187</v>
      </c>
      <c r="Q1956" s="895">
        <v>0</v>
      </c>
      <c r="R1956" s="114"/>
      <c r="S1956" s="891"/>
      <c r="T1956" s="114"/>
      <c r="U1956" s="884"/>
      <c r="V1956" s="114"/>
      <c r="W1956" s="270"/>
      <c r="X1956" s="270"/>
      <c r="Y1956" s="270"/>
      <c r="Z1956" s="270"/>
      <c r="AA1956" s="270"/>
    </row>
    <row r="1957" spans="3:27" x14ac:dyDescent="0.3">
      <c r="C1957" s="450"/>
      <c r="D1957" s="182"/>
      <c r="E1957" s="182"/>
      <c r="F1957" s="182"/>
      <c r="G1957" s="450" t="str">
        <f t="shared" si="101"/>
        <v>--</v>
      </c>
      <c r="H1957" s="182"/>
      <c r="I1957" s="892"/>
      <c r="J1957" s="288"/>
      <c r="K1957" s="182"/>
      <c r="L1957" s="181"/>
      <c r="M1957" s="181"/>
      <c r="N1957" s="892"/>
      <c r="O1957" s="892"/>
      <c r="P1957" s="263" t="s">
        <v>46</v>
      </c>
      <c r="Q1957" s="897">
        <f>SUM(Q1947:Q1956)</f>
        <v>1</v>
      </c>
      <c r="R1957" s="898"/>
      <c r="S1957" s="898"/>
      <c r="T1957" s="899"/>
      <c r="U1957" s="900"/>
      <c r="V1957" s="114"/>
      <c r="W1957" s="270"/>
      <c r="X1957" s="270"/>
      <c r="Y1957" s="270"/>
      <c r="Z1957" s="270"/>
      <c r="AA1957" s="270"/>
    </row>
    <row r="1958" spans="3:27" x14ac:dyDescent="0.3">
      <c r="C1958" s="450"/>
      <c r="D1958" s="182"/>
      <c r="E1958" s="182"/>
      <c r="F1958" s="182"/>
      <c r="G1958" s="450" t="str">
        <f t="shared" si="101"/>
        <v>--</v>
      </c>
      <c r="H1958" s="182"/>
      <c r="I1958" s="892"/>
      <c r="J1958" s="288"/>
      <c r="K1958" s="182"/>
      <c r="L1958" s="181"/>
      <c r="M1958" s="181"/>
      <c r="N1958" s="892"/>
      <c r="O1958" s="892"/>
      <c r="P1958" s="114"/>
      <c r="Q1958" s="114"/>
      <c r="R1958" s="891"/>
      <c r="S1958" s="891"/>
      <c r="T1958" s="114"/>
      <c r="U1958" s="114"/>
      <c r="V1958" s="114"/>
      <c r="W1958" s="270"/>
      <c r="X1958" s="270"/>
      <c r="Y1958" s="270"/>
      <c r="Z1958" s="270"/>
      <c r="AA1958" s="270"/>
    </row>
    <row r="1959" spans="3:27" ht="15" thickBot="1" x14ac:dyDescent="0.35">
      <c r="C1959" s="450"/>
      <c r="D1959" s="182"/>
      <c r="E1959" s="182"/>
      <c r="F1959" s="182"/>
      <c r="G1959" s="450" t="str">
        <f t="shared" si="101"/>
        <v>--</v>
      </c>
      <c r="H1959" s="182"/>
      <c r="I1959" s="892"/>
      <c r="J1959" s="892"/>
      <c r="K1959" s="182"/>
      <c r="L1959" s="182"/>
      <c r="M1959" s="901" t="s">
        <v>155</v>
      </c>
      <c r="N1959" s="870" t="s">
        <v>188</v>
      </c>
      <c r="O1959" s="870"/>
      <c r="P1959" s="283" t="s">
        <v>18</v>
      </c>
      <c r="Q1959" s="871" t="s">
        <v>155</v>
      </c>
      <c r="R1959" s="872"/>
      <c r="S1959" s="872"/>
      <c r="T1959" s="902"/>
      <c r="U1959" s="903"/>
      <c r="V1959" s="270"/>
      <c r="W1959" s="270"/>
      <c r="X1959" s="270"/>
      <c r="Y1959" s="270"/>
      <c r="Z1959" s="270"/>
      <c r="AA1959" s="270"/>
    </row>
    <row r="1960" spans="3:27" ht="15" thickBot="1" x14ac:dyDescent="0.35">
      <c r="C1960" s="566" t="s">
        <v>96</v>
      </c>
      <c r="D1960" s="875" t="str">
        <f>VLOOKUP(C1960,'Airport Mapping'!$C$5:$D$39,2,FALSE)</f>
        <v xml:space="preserve"> </v>
      </c>
      <c r="E1960" s="567" t="s">
        <v>45</v>
      </c>
      <c r="F1960" s="567" t="s">
        <v>18</v>
      </c>
      <c r="G1960" s="450" t="str">
        <f t="shared" si="101"/>
        <v>Hotel A-Guestrooms-Showers</v>
      </c>
      <c r="H1960" s="567" t="s">
        <v>17</v>
      </c>
      <c r="I1960" s="877" t="s">
        <v>64</v>
      </c>
      <c r="J1960" s="878">
        <f>SUMIFS('Level of Efficiency Assumptions'!J:J,'Level of Efficiency Assumptions'!D:D,E1960,'Level of Efficiency Assumptions'!F:F,F1960,'Level of Efficiency Assumptions'!I:I,I1960)</f>
        <v>3</v>
      </c>
      <c r="K1960" s="383" t="s">
        <v>78</v>
      </c>
      <c r="L1960" s="253" t="s">
        <v>64</v>
      </c>
      <c r="M1960" s="879">
        <f>Q1960+Q1961</f>
        <v>0</v>
      </c>
      <c r="N1960" s="880">
        <f>IFERROR(M1960/M1963,"-")</f>
        <v>0</v>
      </c>
      <c r="O1960" s="881">
        <f>SUMIFS('Data Entry'!R:R,'Data Entry'!K:K,G1960)</f>
        <v>0</v>
      </c>
      <c r="P1960" s="254" t="s">
        <v>258</v>
      </c>
      <c r="Q1960" s="882">
        <v>0</v>
      </c>
      <c r="R1960" s="114"/>
      <c r="S1960" s="114"/>
      <c r="T1960" s="114"/>
      <c r="U1960" s="904"/>
      <c r="V1960" s="270"/>
      <c r="W1960" s="270"/>
      <c r="X1960" s="270"/>
      <c r="Y1960" s="270"/>
      <c r="Z1960" s="270"/>
      <c r="AA1960" s="270"/>
    </row>
    <row r="1961" spans="3:27" ht="15" thickBot="1" x14ac:dyDescent="0.35">
      <c r="C1961" s="494" t="s">
        <v>96</v>
      </c>
      <c r="D1961" s="577"/>
      <c r="E1961" s="577" t="s">
        <v>45</v>
      </c>
      <c r="F1961" s="577" t="s">
        <v>18</v>
      </c>
      <c r="G1961" s="450" t="str">
        <f t="shared" si="101"/>
        <v>Hotel A-Guestrooms-Showers</v>
      </c>
      <c r="H1961" s="577"/>
      <c r="I1961" s="887" t="s">
        <v>65</v>
      </c>
      <c r="J1961" s="878">
        <f>SUMIFS('Level of Efficiency Assumptions'!J:J,'Level of Efficiency Assumptions'!D:D,E1961,'Level of Efficiency Assumptions'!F:F,F1961,'Level of Efficiency Assumptions'!I:I,I1961)</f>
        <v>2</v>
      </c>
      <c r="K1961" s="383" t="s">
        <v>78</v>
      </c>
      <c r="L1961" s="255" t="s">
        <v>65</v>
      </c>
      <c r="M1961" s="879">
        <f>Q1962+Q1963</f>
        <v>1</v>
      </c>
      <c r="N1961" s="880">
        <f>IFERROR(M1961/M1963,"-")</f>
        <v>1</v>
      </c>
      <c r="O1961" s="881">
        <f>SUMIFS('Data Entry'!S:S,'Data Entry'!K:K,G1961)</f>
        <v>0</v>
      </c>
      <c r="P1961" s="272" t="s">
        <v>262</v>
      </c>
      <c r="Q1961" s="882">
        <v>0</v>
      </c>
      <c r="R1961" s="114"/>
      <c r="S1961" s="114"/>
      <c r="T1961" s="114"/>
      <c r="U1961" s="904"/>
      <c r="V1961" s="270"/>
      <c r="W1961" s="270"/>
      <c r="X1961" s="270"/>
      <c r="Y1961" s="270"/>
      <c r="Z1961" s="270"/>
      <c r="AA1961" s="270"/>
    </row>
    <row r="1962" spans="3:27" ht="15" thickBot="1" x14ac:dyDescent="0.35">
      <c r="C1962" s="501" t="s">
        <v>96</v>
      </c>
      <c r="D1962" s="116"/>
      <c r="E1962" s="116" t="s">
        <v>45</v>
      </c>
      <c r="F1962" s="116" t="s">
        <v>18</v>
      </c>
      <c r="G1962" s="450" t="str">
        <f t="shared" si="101"/>
        <v>Hotel A-Guestrooms-Showers</v>
      </c>
      <c r="H1962" s="116"/>
      <c r="I1962" s="889" t="s">
        <v>66</v>
      </c>
      <c r="J1962" s="890">
        <f>SUMIFS('Level of Efficiency Assumptions'!J:J,'Level of Efficiency Assumptions'!D:D,E1962,'Level of Efficiency Assumptions'!F:F,F1962,'Level of Efficiency Assumptions'!I:I,I1962)</f>
        <v>1</v>
      </c>
      <c r="K1962" s="383" t="s">
        <v>78</v>
      </c>
      <c r="L1962" s="257" t="s">
        <v>66</v>
      </c>
      <c r="M1962" s="879">
        <f>Q1964+Q1965</f>
        <v>0</v>
      </c>
      <c r="N1962" s="880">
        <f>IFERROR(M1962/M1963,"-")</f>
        <v>0</v>
      </c>
      <c r="O1962" s="881">
        <f>SUMIFS('Data Entry'!T:T,'Data Entry'!K:K,G1962)</f>
        <v>0</v>
      </c>
      <c r="P1962" s="267" t="s">
        <v>263</v>
      </c>
      <c r="Q1962" s="882">
        <v>0</v>
      </c>
      <c r="R1962" s="114"/>
      <c r="S1962" s="114"/>
      <c r="T1962" s="114"/>
      <c r="U1962" s="904"/>
      <c r="V1962" s="270"/>
      <c r="W1962" s="270"/>
      <c r="X1962" s="270"/>
      <c r="Y1962" s="270"/>
      <c r="Z1962" s="270"/>
      <c r="AA1962" s="270"/>
    </row>
    <row r="1963" spans="3:27" x14ac:dyDescent="0.3">
      <c r="C1963" s="450"/>
      <c r="D1963" s="182"/>
      <c r="E1963" s="182"/>
      <c r="F1963" s="182"/>
      <c r="G1963" s="450" t="str">
        <f t="shared" si="101"/>
        <v>--</v>
      </c>
      <c r="H1963" s="182"/>
      <c r="I1963" s="440"/>
      <c r="J1963" s="892"/>
      <c r="K1963" s="259"/>
      <c r="L1963" s="259" t="s">
        <v>46</v>
      </c>
      <c r="M1963" s="893">
        <f>SUM(M1960:M1962)</f>
        <v>1</v>
      </c>
      <c r="N1963" s="894"/>
      <c r="O1963" s="894">
        <f>SUM(O1960:O1962)</f>
        <v>0</v>
      </c>
      <c r="P1963" s="274" t="s">
        <v>261</v>
      </c>
      <c r="Q1963" s="882">
        <v>1</v>
      </c>
      <c r="R1963" s="114"/>
      <c r="S1963" s="114"/>
      <c r="T1963" s="114"/>
      <c r="U1963" s="264"/>
      <c r="V1963" s="270"/>
      <c r="W1963" s="270"/>
      <c r="X1963" s="270"/>
      <c r="Y1963" s="270"/>
      <c r="Z1963" s="270"/>
      <c r="AA1963" s="270"/>
    </row>
    <row r="1964" spans="3:27" x14ac:dyDescent="0.3">
      <c r="C1964" s="450"/>
      <c r="D1964" s="182"/>
      <c r="E1964" s="182"/>
      <c r="F1964" s="182"/>
      <c r="G1964" s="450" t="str">
        <f t="shared" si="101"/>
        <v>--</v>
      </c>
      <c r="H1964" s="182"/>
      <c r="I1964" s="892"/>
      <c r="J1964" s="288"/>
      <c r="K1964" s="182"/>
      <c r="L1964" s="181"/>
      <c r="M1964" s="181"/>
      <c r="N1964" s="892"/>
      <c r="O1964" s="892"/>
      <c r="P1964" s="284" t="s">
        <v>260</v>
      </c>
      <c r="Q1964" s="882">
        <v>0</v>
      </c>
      <c r="R1964" s="114"/>
      <c r="S1964" s="114"/>
      <c r="T1964" s="114"/>
      <c r="U1964" s="884"/>
      <c r="V1964" s="114"/>
      <c r="W1964" s="270"/>
      <c r="X1964" s="270"/>
      <c r="Y1964" s="270"/>
      <c r="Z1964" s="270"/>
      <c r="AA1964" s="270"/>
    </row>
    <row r="1965" spans="3:27" x14ac:dyDescent="0.3">
      <c r="C1965" s="450"/>
      <c r="D1965" s="182"/>
      <c r="E1965" s="182"/>
      <c r="F1965" s="182"/>
      <c r="G1965" s="450" t="str">
        <f t="shared" si="101"/>
        <v>--</v>
      </c>
      <c r="H1965" s="182"/>
      <c r="I1965" s="892"/>
      <c r="J1965" s="288"/>
      <c r="K1965" s="182"/>
      <c r="L1965" s="181"/>
      <c r="M1965" s="181"/>
      <c r="N1965" s="892"/>
      <c r="O1965" s="892"/>
      <c r="P1965" s="258" t="s">
        <v>259</v>
      </c>
      <c r="Q1965" s="882">
        <v>0</v>
      </c>
      <c r="R1965" s="114"/>
      <c r="S1965" s="114"/>
      <c r="T1965" s="114"/>
      <c r="U1965" s="884"/>
      <c r="V1965" s="114"/>
      <c r="W1965" s="270"/>
      <c r="X1965" s="270"/>
      <c r="Y1965" s="270"/>
      <c r="Z1965" s="270"/>
      <c r="AA1965" s="270"/>
    </row>
    <row r="1966" spans="3:27" x14ac:dyDescent="0.3">
      <c r="C1966" s="450"/>
      <c r="D1966" s="182"/>
      <c r="E1966" s="182"/>
      <c r="F1966" s="182"/>
      <c r="G1966" s="450" t="str">
        <f t="shared" si="101"/>
        <v>--</v>
      </c>
      <c r="H1966" s="182"/>
      <c r="I1966" s="892"/>
      <c r="J1966" s="288"/>
      <c r="K1966" s="182"/>
      <c r="L1966" s="181"/>
      <c r="M1966" s="181"/>
      <c r="N1966" s="892"/>
      <c r="O1966" s="892"/>
      <c r="P1966" s="263" t="s">
        <v>46</v>
      </c>
      <c r="Q1966" s="897">
        <f>SUM(Q1960:Q1965)</f>
        <v>1</v>
      </c>
      <c r="R1966" s="899"/>
      <c r="S1966" s="899"/>
      <c r="T1966" s="899"/>
      <c r="U1966" s="900"/>
      <c r="V1966" s="114"/>
      <c r="W1966" s="270"/>
      <c r="X1966" s="270"/>
      <c r="Y1966" s="270"/>
      <c r="Z1966" s="270"/>
      <c r="AA1966" s="270"/>
    </row>
    <row r="1967" spans="3:27" x14ac:dyDescent="0.3">
      <c r="C1967" s="450"/>
      <c r="D1967" s="182"/>
      <c r="E1967" s="182"/>
      <c r="F1967" s="182"/>
      <c r="G1967" s="450" t="str">
        <f t="shared" si="101"/>
        <v>--</v>
      </c>
      <c r="H1967" s="182"/>
      <c r="I1967" s="892"/>
      <c r="J1967" s="288"/>
      <c r="K1967" s="182"/>
      <c r="L1967" s="181"/>
      <c r="M1967" s="181"/>
      <c r="N1967" s="892"/>
      <c r="O1967" s="892"/>
      <c r="P1967" s="262"/>
      <c r="Q1967" s="114"/>
      <c r="R1967" s="114"/>
      <c r="S1967" s="114"/>
      <c r="T1967" s="114"/>
      <c r="U1967" s="114"/>
      <c r="V1967" s="114"/>
      <c r="W1967" s="270"/>
      <c r="X1967" s="270"/>
      <c r="Y1967" s="270"/>
      <c r="Z1967" s="270"/>
      <c r="AA1967" s="270"/>
    </row>
    <row r="1968" spans="3:27" ht="15" thickBot="1" x14ac:dyDescent="0.35">
      <c r="C1968" s="450"/>
      <c r="D1968" s="182"/>
      <c r="E1968" s="182"/>
      <c r="F1968" s="182"/>
      <c r="G1968" s="450" t="str">
        <f t="shared" si="101"/>
        <v>--</v>
      </c>
      <c r="H1968" s="182"/>
      <c r="I1968" s="892"/>
      <c r="J1968" s="892"/>
      <c r="K1968" s="182"/>
      <c r="L1968" s="182"/>
      <c r="M1968" s="901" t="s">
        <v>155</v>
      </c>
      <c r="N1968" s="870" t="s">
        <v>188</v>
      </c>
      <c r="O1968" s="870"/>
      <c r="P1968" s="265" t="s">
        <v>33</v>
      </c>
      <c r="Q1968" s="871" t="s">
        <v>155</v>
      </c>
      <c r="R1968" s="872" t="s">
        <v>168</v>
      </c>
      <c r="S1968" s="872" t="s">
        <v>169</v>
      </c>
      <c r="T1968" s="872" t="s">
        <v>170</v>
      </c>
      <c r="U1968" s="872" t="s">
        <v>171</v>
      </c>
      <c r="V1968" s="902"/>
      <c r="W1968" s="902"/>
      <c r="X1968" s="874"/>
      <c r="Y1968" s="270"/>
      <c r="Z1968" s="270"/>
      <c r="AA1968" s="270"/>
    </row>
    <row r="1969" spans="3:27" ht="15" thickBot="1" x14ac:dyDescent="0.35">
      <c r="C1969" s="566" t="s">
        <v>96</v>
      </c>
      <c r="D1969" s="875" t="str">
        <f>VLOOKUP(C1969,'Airport Mapping'!$C$5:$D$39,2,FALSE)</f>
        <v xml:space="preserve"> </v>
      </c>
      <c r="E1969" s="567" t="s">
        <v>45</v>
      </c>
      <c r="F1969" s="567" t="s">
        <v>33</v>
      </c>
      <c r="G1969" s="450" t="str">
        <f t="shared" si="101"/>
        <v>Hotel A-Guestrooms-Faucets</v>
      </c>
      <c r="H1969" s="567" t="s">
        <v>17</v>
      </c>
      <c r="I1969" s="877" t="s">
        <v>64</v>
      </c>
      <c r="J1969" s="878">
        <f>SUMIFS('Level of Efficiency Assumptions'!J:J,'Level of Efficiency Assumptions'!D:D,E1969,'Level of Efficiency Assumptions'!F:F,F1969,'Level of Efficiency Assumptions'!I:I,I1969)</f>
        <v>2</v>
      </c>
      <c r="K1969" s="383" t="s">
        <v>78</v>
      </c>
      <c r="L1969" s="253" t="s">
        <v>64</v>
      </c>
      <c r="M1969" s="879">
        <f>Q1969+Q1970</f>
        <v>0</v>
      </c>
      <c r="N1969" s="880">
        <f>IFERROR(M1969/M1972,"-")</f>
        <v>0</v>
      </c>
      <c r="O1969" s="881">
        <f>SUMIFS('Data Entry'!R:R,'Data Entry'!K:K,G1969)</f>
        <v>0</v>
      </c>
      <c r="P1969" s="266" t="s">
        <v>180</v>
      </c>
      <c r="Q1969" s="895">
        <v>0</v>
      </c>
      <c r="R1969" s="883"/>
      <c r="S1969" s="883"/>
      <c r="T1969" s="883"/>
      <c r="U1969" s="883"/>
      <c r="V1969" s="114" t="s">
        <v>182</v>
      </c>
      <c r="W1969" s="114"/>
      <c r="X1969" s="884"/>
      <c r="Y1969" s="270"/>
      <c r="Z1969" s="270"/>
      <c r="AA1969" s="270"/>
    </row>
    <row r="1970" spans="3:27" ht="15" thickBot="1" x14ac:dyDescent="0.35">
      <c r="C1970" s="494" t="s">
        <v>96</v>
      </c>
      <c r="D1970" s="577"/>
      <c r="E1970" s="577" t="s">
        <v>45</v>
      </c>
      <c r="F1970" s="577" t="s">
        <v>33</v>
      </c>
      <c r="G1970" s="450" t="str">
        <f t="shared" si="101"/>
        <v>Hotel A-Guestrooms-Faucets</v>
      </c>
      <c r="H1970" s="577"/>
      <c r="I1970" s="887" t="s">
        <v>65</v>
      </c>
      <c r="J1970" s="878">
        <f>SUMIFS('Level of Efficiency Assumptions'!J:J,'Level of Efficiency Assumptions'!D:D,E1970,'Level of Efficiency Assumptions'!F:F,F1970,'Level of Efficiency Assumptions'!I:I,I1970)</f>
        <v>1</v>
      </c>
      <c r="K1970" s="383" t="s">
        <v>78</v>
      </c>
      <c r="L1970" s="255" t="s">
        <v>65</v>
      </c>
      <c r="M1970" s="879">
        <f>Q1971+Q1972</f>
        <v>1</v>
      </c>
      <c r="N1970" s="880">
        <f>IFERROR(M1970/M1972,"-")</f>
        <v>1</v>
      </c>
      <c r="O1970" s="881">
        <f>SUMIFS('Data Entry'!S:S,'Data Entry'!K:K,G1970)</f>
        <v>0</v>
      </c>
      <c r="P1970" s="266" t="s">
        <v>178</v>
      </c>
      <c r="Q1970" s="895">
        <v>0</v>
      </c>
      <c r="R1970" s="883"/>
      <c r="S1970" s="883"/>
      <c r="T1970" s="883"/>
      <c r="U1970" s="883"/>
      <c r="V1970" s="114" t="s">
        <v>184</v>
      </c>
      <c r="W1970" s="114"/>
      <c r="X1970" s="884"/>
      <c r="Y1970" s="270"/>
      <c r="Z1970" s="270"/>
      <c r="AA1970" s="270"/>
    </row>
    <row r="1971" spans="3:27" ht="15" thickBot="1" x14ac:dyDescent="0.35">
      <c r="C1971" s="501" t="s">
        <v>96</v>
      </c>
      <c r="D1971" s="116"/>
      <c r="E1971" s="116" t="s">
        <v>45</v>
      </c>
      <c r="F1971" s="116" t="s">
        <v>33</v>
      </c>
      <c r="G1971" s="450" t="str">
        <f t="shared" si="101"/>
        <v>Hotel A-Guestrooms-Faucets</v>
      </c>
      <c r="H1971" s="116"/>
      <c r="I1971" s="889" t="s">
        <v>66</v>
      </c>
      <c r="J1971" s="890">
        <f>SUMIFS('Level of Efficiency Assumptions'!J:J,'Level of Efficiency Assumptions'!D:D,E1971,'Level of Efficiency Assumptions'!F:F,F1971,'Level of Efficiency Assumptions'!I:I,I1971)</f>
        <v>0.5</v>
      </c>
      <c r="K1971" s="383" t="s">
        <v>78</v>
      </c>
      <c r="L1971" s="257" t="s">
        <v>66</v>
      </c>
      <c r="M1971" s="879">
        <f>Q1973</f>
        <v>0</v>
      </c>
      <c r="N1971" s="880">
        <f>IFERROR(M1971/M1972,"-")</f>
        <v>0</v>
      </c>
      <c r="O1971" s="881">
        <f>SUMIFS('Data Entry'!T:T,'Data Entry'!K:K,G1971)</f>
        <v>0</v>
      </c>
      <c r="P1971" s="267" t="s">
        <v>176</v>
      </c>
      <c r="Q1971" s="895">
        <v>1</v>
      </c>
      <c r="R1971" s="883"/>
      <c r="S1971" s="883"/>
      <c r="T1971" s="883"/>
      <c r="U1971" s="883"/>
      <c r="V1971" s="114" t="s">
        <v>185</v>
      </c>
      <c r="W1971" s="114"/>
      <c r="X1971" s="884"/>
      <c r="Y1971" s="270"/>
      <c r="Z1971" s="270"/>
      <c r="AA1971" s="270"/>
    </row>
    <row r="1972" spans="3:27" x14ac:dyDescent="0.3">
      <c r="C1972" s="450"/>
      <c r="D1972" s="182"/>
      <c r="E1972" s="182"/>
      <c r="F1972" s="182"/>
      <c r="G1972" s="450" t="str">
        <f t="shared" si="101"/>
        <v>--</v>
      </c>
      <c r="H1972" s="182"/>
      <c r="I1972" s="440"/>
      <c r="J1972" s="892"/>
      <c r="K1972" s="259"/>
      <c r="L1972" s="259" t="s">
        <v>46</v>
      </c>
      <c r="M1972" s="893">
        <f>SUM(M1969:M1971)</f>
        <v>1</v>
      </c>
      <c r="N1972" s="894"/>
      <c r="O1972" s="894">
        <f>SUM(O1969:O1971)</f>
        <v>0</v>
      </c>
      <c r="P1972" s="256" t="s">
        <v>173</v>
      </c>
      <c r="Q1972" s="895">
        <v>0</v>
      </c>
      <c r="R1972" s="883"/>
      <c r="S1972" s="883"/>
      <c r="T1972" s="883"/>
      <c r="U1972" s="883"/>
      <c r="V1972" s="114" t="s">
        <v>186</v>
      </c>
      <c r="W1972" s="114"/>
      <c r="X1972" s="884"/>
      <c r="Y1972" s="270"/>
      <c r="Z1972" s="270"/>
      <c r="AA1972" s="270"/>
    </row>
    <row r="1973" spans="3:27" x14ac:dyDescent="0.3">
      <c r="C1973" s="450"/>
      <c r="D1973" s="182"/>
      <c r="E1973" s="182"/>
      <c r="F1973" s="182"/>
      <c r="G1973" s="450" t="str">
        <f t="shared" si="101"/>
        <v>--</v>
      </c>
      <c r="H1973" s="182"/>
      <c r="I1973" s="892"/>
      <c r="J1973" s="288"/>
      <c r="K1973" s="182"/>
      <c r="L1973" s="114"/>
      <c r="M1973" s="114"/>
      <c r="N1973" s="905"/>
      <c r="O1973" s="905"/>
      <c r="P1973" s="258" t="s">
        <v>172</v>
      </c>
      <c r="Q1973" s="895">
        <v>0</v>
      </c>
      <c r="R1973" s="883"/>
      <c r="S1973" s="883"/>
      <c r="T1973" s="883"/>
      <c r="U1973" s="883"/>
      <c r="V1973" s="114"/>
      <c r="W1973" s="114"/>
      <c r="X1973" s="884"/>
      <c r="Y1973" s="270"/>
      <c r="Z1973" s="270"/>
      <c r="AA1973" s="270"/>
    </row>
    <row r="1974" spans="3:27" x14ac:dyDescent="0.3">
      <c r="C1974" s="450"/>
      <c r="D1974" s="182"/>
      <c r="E1974" s="182"/>
      <c r="F1974" s="182"/>
      <c r="G1974" s="450" t="str">
        <f t="shared" si="101"/>
        <v>--</v>
      </c>
      <c r="H1974" s="182"/>
      <c r="I1974" s="892"/>
      <c r="J1974" s="288"/>
      <c r="K1974" s="182"/>
      <c r="L1974" s="181"/>
      <c r="M1974" s="181"/>
      <c r="N1974" s="892"/>
      <c r="O1974" s="892"/>
      <c r="P1974" s="263" t="s">
        <v>46</v>
      </c>
      <c r="Q1974" s="897">
        <f>SUM(Q1968:Q1973)</f>
        <v>1</v>
      </c>
      <c r="R1974" s="899"/>
      <c r="S1974" s="899"/>
      <c r="T1974" s="899"/>
      <c r="U1974" s="899"/>
      <c r="V1974" s="899"/>
      <c r="W1974" s="899"/>
      <c r="X1974" s="900"/>
      <c r="Y1974" s="270"/>
      <c r="Z1974" s="270"/>
      <c r="AA1974" s="270"/>
    </row>
    <row r="1975" spans="3:27" x14ac:dyDescent="0.3">
      <c r="C1975" s="450"/>
      <c r="D1975" s="182"/>
      <c r="E1975" s="182"/>
      <c r="F1975" s="182"/>
      <c r="G1975" s="450" t="str">
        <f t="shared" si="101"/>
        <v>--</v>
      </c>
      <c r="H1975" s="182"/>
      <c r="I1975" s="892"/>
      <c r="J1975" s="288"/>
      <c r="K1975" s="182"/>
      <c r="L1975" s="181"/>
      <c r="M1975" s="181"/>
      <c r="N1975" s="892"/>
      <c r="O1975" s="892"/>
      <c r="P1975" s="262"/>
      <c r="Q1975" s="114"/>
      <c r="R1975" s="114"/>
      <c r="S1975" s="114"/>
      <c r="T1975" s="114"/>
      <c r="U1975" s="114"/>
      <c r="V1975" s="114"/>
      <c r="W1975" s="270"/>
      <c r="X1975" s="270"/>
      <c r="Y1975" s="270"/>
      <c r="Z1975" s="270"/>
      <c r="AA1975" s="270"/>
    </row>
    <row r="1976" spans="3:27" ht="15" thickBot="1" x14ac:dyDescent="0.35">
      <c r="C1976" s="450"/>
      <c r="D1976" s="182"/>
      <c r="E1976" s="182"/>
      <c r="F1976" s="182"/>
      <c r="G1976" s="450" t="str">
        <f t="shared" si="101"/>
        <v>--</v>
      </c>
      <c r="H1976" s="182"/>
      <c r="I1976" s="892"/>
      <c r="J1976" s="892"/>
      <c r="K1976" s="182"/>
      <c r="L1976" s="182"/>
      <c r="M1976" s="901" t="s">
        <v>155</v>
      </c>
      <c r="N1976" s="870" t="s">
        <v>188</v>
      </c>
      <c r="O1976" s="870"/>
      <c r="P1976" s="265" t="s">
        <v>33</v>
      </c>
      <c r="Q1976" s="871" t="s">
        <v>155</v>
      </c>
      <c r="R1976" s="872" t="s">
        <v>168</v>
      </c>
      <c r="S1976" s="872" t="s">
        <v>169</v>
      </c>
      <c r="T1976" s="872" t="s">
        <v>170</v>
      </c>
      <c r="U1976" s="872" t="s">
        <v>171</v>
      </c>
      <c r="V1976" s="902"/>
      <c r="W1976" s="902"/>
      <c r="X1976" s="874"/>
      <c r="Y1976" s="270"/>
      <c r="Z1976" s="270"/>
      <c r="AA1976" s="270"/>
    </row>
    <row r="1977" spans="3:27" ht="15" thickBot="1" x14ac:dyDescent="0.35">
      <c r="C1977" s="566" t="s">
        <v>96</v>
      </c>
      <c r="D1977" s="875" t="str">
        <f>VLOOKUP(C1977,'Airport Mapping'!$C$5:$D$39,2,FALSE)</f>
        <v xml:space="preserve"> </v>
      </c>
      <c r="E1977" s="567" t="s">
        <v>38</v>
      </c>
      <c r="F1977" s="567" t="s">
        <v>114</v>
      </c>
      <c r="G1977" s="450" t="str">
        <f t="shared" si="101"/>
        <v>Hotel A-Food Service-Kitchen faucets</v>
      </c>
      <c r="H1977" s="567" t="s">
        <v>118</v>
      </c>
      <c r="I1977" s="877" t="s">
        <v>64</v>
      </c>
      <c r="J1977" s="878">
        <f>SUMIFS('Level of Efficiency Assumptions'!J:J,'Level of Efficiency Assumptions'!D:D,E1977,'Level of Efficiency Assumptions'!F:F,F1977,'Level of Efficiency Assumptions'!I:I,I1977)</f>
        <v>2</v>
      </c>
      <c r="K1977" s="383" t="s">
        <v>78</v>
      </c>
      <c r="L1977" s="253" t="s">
        <v>64</v>
      </c>
      <c r="M1977" s="879">
        <f>Q1977+Q1978</f>
        <v>0</v>
      </c>
      <c r="N1977" s="880">
        <f>IFERROR(M1977/M1980,"-")</f>
        <v>0</v>
      </c>
      <c r="O1977" s="881">
        <f>SUMIFS('Data Entry'!R:R,'Data Entry'!K:K,G1977)</f>
        <v>0</v>
      </c>
      <c r="P1977" s="266" t="s">
        <v>180</v>
      </c>
      <c r="Q1977" s="895">
        <v>0</v>
      </c>
      <c r="R1977" s="883"/>
      <c r="S1977" s="883"/>
      <c r="T1977" s="883"/>
      <c r="U1977" s="883"/>
      <c r="V1977" s="114" t="s">
        <v>182</v>
      </c>
      <c r="W1977" s="114"/>
      <c r="X1977" s="884"/>
      <c r="Y1977" s="270"/>
      <c r="Z1977" s="270"/>
      <c r="AA1977" s="270"/>
    </row>
    <row r="1978" spans="3:27" ht="15" thickBot="1" x14ac:dyDescent="0.35">
      <c r="C1978" s="494" t="s">
        <v>96</v>
      </c>
      <c r="D1978" s="577"/>
      <c r="E1978" s="577" t="s">
        <v>38</v>
      </c>
      <c r="F1978" s="577" t="s">
        <v>114</v>
      </c>
      <c r="G1978" s="450" t="str">
        <f t="shared" si="101"/>
        <v>Hotel A-Food Service-Kitchen faucets</v>
      </c>
      <c r="H1978" s="577"/>
      <c r="I1978" s="887" t="s">
        <v>65</v>
      </c>
      <c r="J1978" s="878">
        <f>SUMIFS('Level of Efficiency Assumptions'!J:J,'Level of Efficiency Assumptions'!D:D,E1978,'Level of Efficiency Assumptions'!F:F,F1978,'Level of Efficiency Assumptions'!I:I,I1978)</f>
        <v>1</v>
      </c>
      <c r="K1978" s="383" t="s">
        <v>78</v>
      </c>
      <c r="L1978" s="255" t="s">
        <v>65</v>
      </c>
      <c r="M1978" s="879">
        <f>Q1979+Q1980</f>
        <v>1</v>
      </c>
      <c r="N1978" s="880">
        <f>IFERROR(M1978/M1980,"-")</f>
        <v>1</v>
      </c>
      <c r="O1978" s="881">
        <f>SUMIFS('Data Entry'!S:S,'Data Entry'!K:K,G1978)</f>
        <v>0</v>
      </c>
      <c r="P1978" s="266" t="s">
        <v>178</v>
      </c>
      <c r="Q1978" s="895">
        <v>0</v>
      </c>
      <c r="R1978" s="883"/>
      <c r="S1978" s="883"/>
      <c r="T1978" s="883"/>
      <c r="U1978" s="883"/>
      <c r="V1978" s="114" t="s">
        <v>184</v>
      </c>
      <c r="W1978" s="114"/>
      <c r="X1978" s="884"/>
      <c r="Y1978" s="270"/>
      <c r="Z1978" s="270"/>
      <c r="AA1978" s="270"/>
    </row>
    <row r="1979" spans="3:27" ht="15" thickBot="1" x14ac:dyDescent="0.35">
      <c r="C1979" s="501" t="s">
        <v>96</v>
      </c>
      <c r="D1979" s="116"/>
      <c r="E1979" s="116" t="s">
        <v>38</v>
      </c>
      <c r="F1979" s="116" t="s">
        <v>114</v>
      </c>
      <c r="G1979" s="450" t="str">
        <f t="shared" si="101"/>
        <v>Hotel A-Food Service-Kitchen faucets</v>
      </c>
      <c r="H1979" s="116"/>
      <c r="I1979" s="889" t="s">
        <v>66</v>
      </c>
      <c r="J1979" s="890">
        <f>SUMIFS('Level of Efficiency Assumptions'!J:J,'Level of Efficiency Assumptions'!D:D,E1979,'Level of Efficiency Assumptions'!F:F,F1979,'Level of Efficiency Assumptions'!I:I,I1979)</f>
        <v>0.5</v>
      </c>
      <c r="K1979" s="383" t="s">
        <v>78</v>
      </c>
      <c r="L1979" s="257" t="s">
        <v>66</v>
      </c>
      <c r="M1979" s="879">
        <f>Q1981</f>
        <v>0</v>
      </c>
      <c r="N1979" s="880">
        <f>IFERROR(M1979/M1980,"-")</f>
        <v>0</v>
      </c>
      <c r="O1979" s="881">
        <f>SUMIFS('Data Entry'!T:T,'Data Entry'!K:K,G1979)</f>
        <v>0</v>
      </c>
      <c r="P1979" s="267" t="s">
        <v>176</v>
      </c>
      <c r="Q1979" s="895">
        <v>1</v>
      </c>
      <c r="R1979" s="883"/>
      <c r="S1979" s="883"/>
      <c r="T1979" s="883"/>
      <c r="U1979" s="883"/>
      <c r="V1979" s="114" t="s">
        <v>185</v>
      </c>
      <c r="W1979" s="114"/>
      <c r="X1979" s="884"/>
      <c r="Y1979" s="270"/>
      <c r="Z1979" s="270"/>
      <c r="AA1979" s="270"/>
    </row>
    <row r="1980" spans="3:27" x14ac:dyDescent="0.3">
      <c r="C1980" s="450"/>
      <c r="D1980" s="182"/>
      <c r="E1980" s="182"/>
      <c r="F1980" s="182"/>
      <c r="G1980" s="450" t="str">
        <f t="shared" si="101"/>
        <v>--</v>
      </c>
      <c r="H1980" s="182"/>
      <c r="I1980" s="440"/>
      <c r="J1980" s="892"/>
      <c r="K1980" s="259"/>
      <c r="L1980" s="259" t="s">
        <v>46</v>
      </c>
      <c r="M1980" s="893">
        <f>SUM(M1977:M1979)</f>
        <v>1</v>
      </c>
      <c r="N1980" s="894"/>
      <c r="O1980" s="894">
        <f>SUM(O1977:O1979)</f>
        <v>0</v>
      </c>
      <c r="P1980" s="256" t="s">
        <v>173</v>
      </c>
      <c r="Q1980" s="895">
        <v>0</v>
      </c>
      <c r="R1980" s="883"/>
      <c r="S1980" s="883"/>
      <c r="T1980" s="883"/>
      <c r="U1980" s="883"/>
      <c r="V1980" s="114" t="s">
        <v>186</v>
      </c>
      <c r="W1980" s="114"/>
      <c r="X1980" s="884"/>
      <c r="Y1980" s="270"/>
      <c r="Z1980" s="270"/>
      <c r="AA1980" s="270"/>
    </row>
    <row r="1981" spans="3:27" x14ac:dyDescent="0.3">
      <c r="C1981" s="450"/>
      <c r="D1981" s="182"/>
      <c r="E1981" s="182"/>
      <c r="F1981" s="182"/>
      <c r="G1981" s="450" t="str">
        <f t="shared" si="101"/>
        <v>--</v>
      </c>
      <c r="H1981" s="182"/>
      <c r="I1981" s="892"/>
      <c r="J1981" s="288"/>
      <c r="K1981" s="182"/>
      <c r="L1981" s="182"/>
      <c r="M1981" s="270"/>
      <c r="N1981" s="892"/>
      <c r="O1981" s="892"/>
      <c r="P1981" s="258" t="s">
        <v>172</v>
      </c>
      <c r="Q1981" s="895">
        <v>0</v>
      </c>
      <c r="R1981" s="883"/>
      <c r="S1981" s="883"/>
      <c r="T1981" s="883"/>
      <c r="U1981" s="883"/>
      <c r="V1981" s="114"/>
      <c r="W1981" s="114"/>
      <c r="X1981" s="884"/>
      <c r="Y1981" s="270"/>
      <c r="Z1981" s="270"/>
      <c r="AA1981" s="270"/>
    </row>
    <row r="1982" spans="3:27" x14ac:dyDescent="0.3">
      <c r="C1982" s="450"/>
      <c r="D1982" s="182"/>
      <c r="E1982" s="182"/>
      <c r="F1982" s="182"/>
      <c r="G1982" s="450" t="str">
        <f t="shared" si="101"/>
        <v>--</v>
      </c>
      <c r="H1982" s="182"/>
      <c r="I1982" s="892"/>
      <c r="J1982" s="288"/>
      <c r="K1982" s="182"/>
      <c r="L1982" s="182"/>
      <c r="M1982" s="270"/>
      <c r="N1982" s="892"/>
      <c r="O1982" s="892"/>
      <c r="P1982" s="263" t="s">
        <v>46</v>
      </c>
      <c r="Q1982" s="897">
        <f>SUM(Q1976:Q1981)</f>
        <v>1</v>
      </c>
      <c r="R1982" s="899"/>
      <c r="S1982" s="899"/>
      <c r="T1982" s="899"/>
      <c r="U1982" s="899"/>
      <c r="V1982" s="899"/>
      <c r="W1982" s="899"/>
      <c r="X1982" s="900"/>
      <c r="Y1982" s="270"/>
      <c r="Z1982" s="270"/>
      <c r="AA1982" s="270"/>
    </row>
    <row r="1983" spans="3:27" x14ac:dyDescent="0.3">
      <c r="C1983" s="450"/>
      <c r="D1983" s="182"/>
      <c r="E1983" s="182"/>
      <c r="F1983" s="182"/>
      <c r="G1983" s="450" t="str">
        <f t="shared" si="101"/>
        <v>--</v>
      </c>
      <c r="H1983" s="182"/>
      <c r="I1983" s="892"/>
      <c r="J1983" s="288"/>
      <c r="K1983" s="182"/>
      <c r="L1983" s="182"/>
      <c r="M1983" s="270"/>
      <c r="N1983" s="892"/>
      <c r="O1983" s="892"/>
      <c r="P1983" s="259"/>
      <c r="Q1983" s="114"/>
      <c r="R1983" s="114"/>
      <c r="S1983" s="114"/>
      <c r="T1983" s="114"/>
      <c r="U1983" s="114"/>
      <c r="V1983" s="114"/>
      <c r="W1983" s="270"/>
      <c r="X1983" s="270"/>
      <c r="Y1983" s="270"/>
      <c r="Z1983" s="270"/>
      <c r="AA1983" s="270"/>
    </row>
    <row r="1984" spans="3:27" ht="15" thickBot="1" x14ac:dyDescent="0.35">
      <c r="C1984" s="450"/>
      <c r="D1984" s="182"/>
      <c r="E1984" s="182"/>
      <c r="F1984" s="182"/>
      <c r="G1984" s="450" t="str">
        <f t="shared" si="101"/>
        <v>--</v>
      </c>
      <c r="H1984" s="182"/>
      <c r="I1984" s="892"/>
      <c r="J1984" s="892"/>
      <c r="K1984" s="182"/>
      <c r="L1984" s="182"/>
      <c r="M1984" s="901" t="s">
        <v>155</v>
      </c>
      <c r="N1984" s="870" t="s">
        <v>188</v>
      </c>
      <c r="O1984" s="870"/>
      <c r="P1984" s="268" t="s">
        <v>157</v>
      </c>
      <c r="Q1984" s="871" t="s">
        <v>155</v>
      </c>
      <c r="R1984" s="874"/>
      <c r="S1984" s="114"/>
      <c r="T1984" s="270"/>
      <c r="U1984" s="270"/>
      <c r="V1984" s="270"/>
      <c r="W1984" s="114"/>
      <c r="X1984" s="270"/>
      <c r="Y1984" s="270"/>
      <c r="Z1984" s="270"/>
      <c r="AA1984" s="270"/>
    </row>
    <row r="1985" spans="3:27" ht="15" thickBot="1" x14ac:dyDescent="0.35">
      <c r="C1985" s="566" t="s">
        <v>96</v>
      </c>
      <c r="D1985" s="875" t="str">
        <f>VLOOKUP(C1985,'Airport Mapping'!$C$5:$D$39,2,FALSE)</f>
        <v xml:space="preserve"> </v>
      </c>
      <c r="E1985" s="567" t="s">
        <v>38</v>
      </c>
      <c r="F1985" s="567" t="s">
        <v>127</v>
      </c>
      <c r="G1985" s="450" t="str">
        <f t="shared" si="101"/>
        <v>Hotel A-Food Service-Pre-rinse spray valves</v>
      </c>
      <c r="H1985" s="567" t="s">
        <v>118</v>
      </c>
      <c r="I1985" s="877" t="s">
        <v>64</v>
      </c>
      <c r="J1985" s="878">
        <f>SUMIFS('Level of Efficiency Assumptions'!J:J,'Level of Efficiency Assumptions'!D:D,E1985,'Level of Efficiency Assumptions'!F:F,F1985,'Level of Efficiency Assumptions'!I:I,I1985)</f>
        <v>3</v>
      </c>
      <c r="K1985" s="383" t="s">
        <v>78</v>
      </c>
      <c r="L1985" s="253" t="s">
        <v>64</v>
      </c>
      <c r="M1985" s="879">
        <f>Q1985+Q1986</f>
        <v>0</v>
      </c>
      <c r="N1985" s="880">
        <f>IFERROR(M1985/M1988,"-")</f>
        <v>0</v>
      </c>
      <c r="O1985" s="881">
        <f>SUMIFS('Data Entry'!R:R,'Data Entry'!K:K,G1985)</f>
        <v>0</v>
      </c>
      <c r="P1985" s="266" t="s">
        <v>191</v>
      </c>
      <c r="Q1985" s="895">
        <v>0</v>
      </c>
      <c r="R1985" s="884"/>
      <c r="S1985" s="114"/>
      <c r="T1985" s="270"/>
      <c r="U1985" s="270"/>
      <c r="V1985" s="270"/>
      <c r="W1985" s="114"/>
      <c r="X1985" s="270"/>
      <c r="Y1985" s="270"/>
      <c r="Z1985" s="270"/>
      <c r="AA1985" s="270"/>
    </row>
    <row r="1986" spans="3:27" ht="15" thickBot="1" x14ac:dyDescent="0.35">
      <c r="C1986" s="494" t="s">
        <v>96</v>
      </c>
      <c r="D1986" s="577"/>
      <c r="E1986" s="577" t="s">
        <v>38</v>
      </c>
      <c r="F1986" s="577" t="s">
        <v>127</v>
      </c>
      <c r="G1986" s="450" t="str">
        <f t="shared" si="101"/>
        <v>Hotel A-Food Service-Pre-rinse spray valves</v>
      </c>
      <c r="H1986" s="577"/>
      <c r="I1986" s="887" t="s">
        <v>65</v>
      </c>
      <c r="J1986" s="878">
        <f>SUMIFS('Level of Efficiency Assumptions'!J:J,'Level of Efficiency Assumptions'!D:D,E1986,'Level of Efficiency Assumptions'!F:F,F1986,'Level of Efficiency Assumptions'!I:I,I1986)</f>
        <v>2</v>
      </c>
      <c r="K1986" s="383" t="s">
        <v>78</v>
      </c>
      <c r="L1986" s="255" t="s">
        <v>65</v>
      </c>
      <c r="M1986" s="879">
        <f>Q1987+Q1988</f>
        <v>1</v>
      </c>
      <c r="N1986" s="880">
        <f>IFERROR(M1986/M1988,"-")</f>
        <v>1</v>
      </c>
      <c r="O1986" s="881">
        <f>SUMIFS('Data Entry'!S:S,'Data Entry'!K:K,G1986)</f>
        <v>0</v>
      </c>
      <c r="P1986" s="266" t="s">
        <v>192</v>
      </c>
      <c r="Q1986" s="895">
        <v>0</v>
      </c>
      <c r="R1986" s="884"/>
      <c r="S1986" s="114"/>
      <c r="T1986" s="270"/>
      <c r="U1986" s="270"/>
      <c r="V1986" s="270"/>
      <c r="W1986" s="114"/>
      <c r="X1986" s="270"/>
      <c r="Y1986" s="270"/>
      <c r="Z1986" s="270"/>
      <c r="AA1986" s="270"/>
    </row>
    <row r="1987" spans="3:27" ht="15" thickBot="1" x14ac:dyDescent="0.35">
      <c r="C1987" s="501" t="s">
        <v>96</v>
      </c>
      <c r="D1987" s="116"/>
      <c r="E1987" s="116" t="s">
        <v>38</v>
      </c>
      <c r="F1987" s="116" t="s">
        <v>127</v>
      </c>
      <c r="G1987" s="450" t="str">
        <f t="shared" si="101"/>
        <v>Hotel A-Food Service-Pre-rinse spray valves</v>
      </c>
      <c r="H1987" s="116"/>
      <c r="I1987" s="889" t="s">
        <v>66</v>
      </c>
      <c r="J1987" s="890">
        <f>SUMIFS('Level of Efficiency Assumptions'!J:J,'Level of Efficiency Assumptions'!D:D,E1987,'Level of Efficiency Assumptions'!F:F,F1987,'Level of Efficiency Assumptions'!I:I,I1987)</f>
        <v>1.28</v>
      </c>
      <c r="K1987" s="383" t="s">
        <v>78</v>
      </c>
      <c r="L1987" s="257" t="s">
        <v>66</v>
      </c>
      <c r="M1987" s="879">
        <f>Q1989</f>
        <v>0</v>
      </c>
      <c r="N1987" s="880">
        <f>IFERROR(M1987/M1988,"-")</f>
        <v>0</v>
      </c>
      <c r="O1987" s="881">
        <f>SUMIFS('Data Entry'!T:T,'Data Entry'!K:K,G1987)</f>
        <v>0</v>
      </c>
      <c r="P1987" s="267" t="s">
        <v>193</v>
      </c>
      <c r="Q1987" s="895">
        <v>0</v>
      </c>
      <c r="R1987" s="884"/>
      <c r="S1987" s="114"/>
      <c r="T1987" s="270"/>
      <c r="U1987" s="270"/>
      <c r="V1987" s="270"/>
      <c r="W1987" s="114"/>
      <c r="X1987" s="270"/>
      <c r="Y1987" s="270"/>
      <c r="Z1987" s="270"/>
      <c r="AA1987" s="270"/>
    </row>
    <row r="1988" spans="3:27" x14ac:dyDescent="0.3">
      <c r="C1988" s="450"/>
      <c r="D1988" s="182"/>
      <c r="E1988" s="182"/>
      <c r="F1988" s="182"/>
      <c r="G1988" s="450" t="str">
        <f t="shared" si="101"/>
        <v>--</v>
      </c>
      <c r="H1988" s="182"/>
      <c r="I1988" s="440"/>
      <c r="J1988" s="892"/>
      <c r="K1988" s="259"/>
      <c r="L1988" s="259" t="s">
        <v>46</v>
      </c>
      <c r="M1988" s="893">
        <f>SUM(M1985:M1987)</f>
        <v>1</v>
      </c>
      <c r="N1988" s="894"/>
      <c r="O1988" s="894">
        <f>SUM(O1985:O1987)</f>
        <v>0</v>
      </c>
      <c r="P1988" s="267" t="s">
        <v>194</v>
      </c>
      <c r="Q1988" s="895">
        <v>1</v>
      </c>
      <c r="R1988" s="884"/>
      <c r="S1988" s="114"/>
      <c r="T1988" s="270"/>
      <c r="U1988" s="270"/>
      <c r="V1988" s="270"/>
      <c r="W1988" s="114"/>
      <c r="X1988" s="270"/>
      <c r="Y1988" s="270"/>
      <c r="Z1988" s="270"/>
      <c r="AA1988" s="270"/>
    </row>
    <row r="1989" spans="3:27" x14ac:dyDescent="0.3">
      <c r="C1989" s="224"/>
      <c r="D1989" s="211"/>
      <c r="E1989" s="182"/>
      <c r="F1989" s="182"/>
      <c r="G1989" s="450" t="str">
        <f t="shared" si="101"/>
        <v>--</v>
      </c>
      <c r="H1989" s="182"/>
      <c r="I1989" s="892"/>
      <c r="J1989" s="288"/>
      <c r="K1989" s="182"/>
      <c r="L1989" s="182"/>
      <c r="M1989" s="270"/>
      <c r="N1989" s="892"/>
      <c r="O1989" s="892"/>
      <c r="P1989" s="269" t="s">
        <v>195</v>
      </c>
      <c r="Q1989" s="895">
        <v>0</v>
      </c>
      <c r="R1989" s="884"/>
      <c r="S1989" s="114"/>
      <c r="T1989" s="114"/>
      <c r="U1989" s="114"/>
      <c r="V1989" s="114"/>
      <c r="W1989" s="114"/>
      <c r="X1989" s="270"/>
      <c r="Y1989" s="270"/>
      <c r="Z1989" s="270"/>
      <c r="AA1989" s="270"/>
    </row>
    <row r="1990" spans="3:27" x14ac:dyDescent="0.3">
      <c r="C1990" s="224"/>
      <c r="D1990" s="211"/>
      <c r="E1990" s="182"/>
      <c r="F1990" s="182"/>
      <c r="G1990" s="450" t="str">
        <f t="shared" si="101"/>
        <v>--</v>
      </c>
      <c r="H1990" s="182"/>
      <c r="I1990" s="892"/>
      <c r="J1990" s="288"/>
      <c r="K1990" s="182"/>
      <c r="L1990" s="182"/>
      <c r="M1990" s="270"/>
      <c r="N1990" s="892"/>
      <c r="O1990" s="892"/>
      <c r="P1990" s="263" t="s">
        <v>46</v>
      </c>
      <c r="Q1990" s="897">
        <f>SUM(Q1985:Q1989)</f>
        <v>1</v>
      </c>
      <c r="R1990" s="900"/>
      <c r="S1990" s="114"/>
      <c r="T1990" s="114"/>
      <c r="U1990" s="114"/>
      <c r="V1990" s="114"/>
      <c r="W1990" s="114"/>
      <c r="X1990" s="270"/>
      <c r="Y1990" s="270"/>
      <c r="Z1990" s="270"/>
      <c r="AA1990" s="270"/>
    </row>
    <row r="1991" spans="3:27" x14ac:dyDescent="0.3">
      <c r="C1991" s="224"/>
      <c r="D1991" s="211"/>
      <c r="E1991" s="182"/>
      <c r="F1991" s="182"/>
      <c r="G1991" s="450" t="str">
        <f t="shared" si="101"/>
        <v>--</v>
      </c>
      <c r="H1991" s="182"/>
      <c r="I1991" s="892"/>
      <c r="J1991" s="288"/>
      <c r="K1991" s="182"/>
      <c r="L1991" s="182"/>
      <c r="M1991" s="270"/>
      <c r="N1991" s="892"/>
      <c r="O1991" s="892"/>
      <c r="P1991" s="270"/>
      <c r="Q1991" s="270"/>
      <c r="R1991" s="270"/>
      <c r="S1991" s="270"/>
      <c r="T1991" s="270"/>
      <c r="U1991" s="270"/>
      <c r="V1991" s="270"/>
      <c r="W1991" s="270"/>
      <c r="X1991" s="270"/>
      <c r="Y1991" s="270"/>
      <c r="Z1991" s="270"/>
      <c r="AA1991" s="270"/>
    </row>
    <row r="1992" spans="3:27" x14ac:dyDescent="0.3">
      <c r="C1992" s="224"/>
      <c r="D1992" s="211"/>
      <c r="E1992" s="182"/>
      <c r="F1992" s="182"/>
      <c r="G1992" s="450" t="str">
        <f t="shared" si="101"/>
        <v>--</v>
      </c>
      <c r="H1992" s="182"/>
      <c r="I1992" s="892"/>
      <c r="J1992" s="288"/>
      <c r="K1992" s="182"/>
      <c r="L1992" s="182"/>
      <c r="M1992" s="270"/>
      <c r="N1992" s="892"/>
      <c r="O1992" s="892"/>
      <c r="P1992" s="268" t="s">
        <v>196</v>
      </c>
      <c r="Q1992" s="906"/>
      <c r="R1992" s="902"/>
      <c r="S1992" s="902"/>
      <c r="T1992" s="902"/>
      <c r="U1992" s="902"/>
      <c r="V1992" s="902"/>
      <c r="W1992" s="902"/>
      <c r="X1992" s="902"/>
      <c r="Y1992" s="902"/>
      <c r="Z1992" s="902"/>
      <c r="AA1992" s="874"/>
    </row>
    <row r="1993" spans="3:27" ht="15" thickBot="1" x14ac:dyDescent="0.35">
      <c r="C1993" s="224"/>
      <c r="D1993" s="182"/>
      <c r="E1993" s="182"/>
      <c r="F1993" s="182"/>
      <c r="G1993" s="450" t="str">
        <f t="shared" si="101"/>
        <v>--</v>
      </c>
      <c r="H1993" s="182"/>
      <c r="I1993" s="892"/>
      <c r="J1993" s="892"/>
      <c r="K1993" s="182"/>
      <c r="L1993" s="182"/>
      <c r="M1993" s="901" t="s">
        <v>155</v>
      </c>
      <c r="N1993" s="870" t="s">
        <v>188</v>
      </c>
      <c r="O1993" s="870"/>
      <c r="P1993" s="271" t="s">
        <v>203</v>
      </c>
      <c r="Q1993" s="871" t="s">
        <v>155</v>
      </c>
      <c r="R1993" s="114"/>
      <c r="S1993" s="114"/>
      <c r="T1993" s="907" t="s">
        <v>156</v>
      </c>
      <c r="U1993" s="114"/>
      <c r="V1993" s="114"/>
      <c r="W1993" s="114"/>
      <c r="X1993" s="114"/>
      <c r="Y1993" s="114"/>
      <c r="Z1993" s="114"/>
      <c r="AA1993" s="884"/>
    </row>
    <row r="1994" spans="3:27" ht="15" thickBot="1" x14ac:dyDescent="0.35">
      <c r="C1994" s="566" t="s">
        <v>96</v>
      </c>
      <c r="D1994" s="875" t="str">
        <f>VLOOKUP(C1994,'Airport Mapping'!$C$5:$D$39,2,FALSE)</f>
        <v xml:space="preserve"> </v>
      </c>
      <c r="E1994" s="567" t="s">
        <v>38</v>
      </c>
      <c r="F1994" s="567" t="s">
        <v>41</v>
      </c>
      <c r="G1994" s="450" t="str">
        <f t="shared" si="101"/>
        <v>Hotel A-Food Service-Dishwashers</v>
      </c>
      <c r="H1994" s="567" t="s">
        <v>118</v>
      </c>
      <c r="I1994" s="877" t="s">
        <v>64</v>
      </c>
      <c r="J1994" s="878">
        <f>SUMIFS('Level of Efficiency Assumptions'!J:J,'Level of Efficiency Assumptions'!D:D,E1994,'Level of Efficiency Assumptions'!F:F,F1994,'Level of Efficiency Assumptions'!I:I,I1994)</f>
        <v>4.5</v>
      </c>
      <c r="K1994" s="383" t="s">
        <v>203</v>
      </c>
      <c r="L1994" s="253" t="s">
        <v>64</v>
      </c>
      <c r="M1994" s="879">
        <f>SUM(Q1994:Q1996)</f>
        <v>0</v>
      </c>
      <c r="N1994" s="880">
        <f>IFERROR(M1994/M1997,"-")</f>
        <v>0</v>
      </c>
      <c r="O1994" s="881">
        <f>SUMIFS('Data Entry'!R:R,'Data Entry'!K:K,G1994)</f>
        <v>0</v>
      </c>
      <c r="P1994" s="266" t="s">
        <v>204</v>
      </c>
      <c r="Q1994" s="895">
        <v>0</v>
      </c>
      <c r="R1994" s="114"/>
      <c r="S1994" s="905" t="s">
        <v>200</v>
      </c>
      <c r="T1994" s="895">
        <v>1</v>
      </c>
      <c r="U1994" s="114"/>
      <c r="V1994" s="114" t="s">
        <v>218</v>
      </c>
      <c r="W1994" s="114"/>
      <c r="X1994" s="114"/>
      <c r="Y1994" s="114"/>
      <c r="Z1994" s="114"/>
      <c r="AA1994" s="884"/>
    </row>
    <row r="1995" spans="3:27" ht="15" thickBot="1" x14ac:dyDescent="0.35">
      <c r="C1995" s="494" t="s">
        <v>96</v>
      </c>
      <c r="D1995" s="577"/>
      <c r="E1995" s="577" t="s">
        <v>38</v>
      </c>
      <c r="F1995" s="577" t="s">
        <v>41</v>
      </c>
      <c r="G1995" s="450" t="str">
        <f t="shared" si="101"/>
        <v>Hotel A-Food Service-Dishwashers</v>
      </c>
      <c r="H1995" s="577"/>
      <c r="I1995" s="887" t="s">
        <v>65</v>
      </c>
      <c r="J1995" s="878">
        <f>SUMIFS('Level of Efficiency Assumptions'!J:J,'Level of Efficiency Assumptions'!D:D,E1995,'Level of Efficiency Assumptions'!F:F,F1995,'Level of Efficiency Assumptions'!I:I,I1995)</f>
        <v>2.5</v>
      </c>
      <c r="K1995" s="383" t="s">
        <v>203</v>
      </c>
      <c r="L1995" s="255" t="s">
        <v>65</v>
      </c>
      <c r="M1995" s="879">
        <f>Q1997+Q1998</f>
        <v>1</v>
      </c>
      <c r="N1995" s="880">
        <f>IFERROR(M1995/M1997,"-")</f>
        <v>1</v>
      </c>
      <c r="O1995" s="881">
        <f>SUMIFS('Data Entry'!S:S,'Data Entry'!K:K,G1995)</f>
        <v>0</v>
      </c>
      <c r="P1995" s="272" t="s">
        <v>205</v>
      </c>
      <c r="Q1995" s="895">
        <v>0</v>
      </c>
      <c r="R1995" s="114"/>
      <c r="S1995" s="908" t="s">
        <v>201</v>
      </c>
      <c r="T1995" s="895">
        <v>1</v>
      </c>
      <c r="U1995" s="114"/>
      <c r="V1995" s="114"/>
      <c r="W1995" s="114"/>
      <c r="X1995" s="114"/>
      <c r="Y1995" s="114"/>
      <c r="Z1995" s="114"/>
      <c r="AA1995" s="884"/>
    </row>
    <row r="1996" spans="3:27" ht="15" thickBot="1" x14ac:dyDescent="0.35">
      <c r="C1996" s="501" t="s">
        <v>96</v>
      </c>
      <c r="D1996" s="116"/>
      <c r="E1996" s="116" t="s">
        <v>38</v>
      </c>
      <c r="F1996" s="116" t="s">
        <v>41</v>
      </c>
      <c r="G1996" s="450" t="str">
        <f t="shared" si="101"/>
        <v>Hotel A-Food Service-Dishwashers</v>
      </c>
      <c r="H1996" s="116"/>
      <c r="I1996" s="889" t="s">
        <v>66</v>
      </c>
      <c r="J1996" s="890">
        <f>SUMIFS('Level of Efficiency Assumptions'!J:J,'Level of Efficiency Assumptions'!D:D,E1996,'Level of Efficiency Assumptions'!F:F,F1996,'Level of Efficiency Assumptions'!I:I,I1996)</f>
        <v>1</v>
      </c>
      <c r="K1996" s="383" t="s">
        <v>203</v>
      </c>
      <c r="L1996" s="257" t="s">
        <v>66</v>
      </c>
      <c r="M1996" s="879">
        <f>Q1999+Q2000</f>
        <v>0</v>
      </c>
      <c r="N1996" s="880">
        <f>IFERROR(M1996/M1997,"-")</f>
        <v>0</v>
      </c>
      <c r="O1996" s="881">
        <f>SUMIFS('Data Entry'!T:T,'Data Entry'!K:K,G1996)</f>
        <v>0</v>
      </c>
      <c r="P1996" s="272" t="s">
        <v>206</v>
      </c>
      <c r="Q1996" s="895">
        <v>0</v>
      </c>
      <c r="R1996" s="114"/>
      <c r="S1996" s="908" t="s">
        <v>202</v>
      </c>
      <c r="T1996" s="895">
        <v>1</v>
      </c>
      <c r="U1996" s="114"/>
      <c r="V1996" s="114"/>
      <c r="W1996" s="114"/>
      <c r="X1996" s="114"/>
      <c r="Y1996" s="114"/>
      <c r="Z1996" s="114"/>
      <c r="AA1996" s="884"/>
    </row>
    <row r="1997" spans="3:27" x14ac:dyDescent="0.3">
      <c r="C1997" s="450"/>
      <c r="D1997" s="182"/>
      <c r="E1997" s="182"/>
      <c r="F1997" s="182"/>
      <c r="G1997" s="450" t="str">
        <f t="shared" si="101"/>
        <v>--</v>
      </c>
      <c r="H1997" s="182"/>
      <c r="I1997" s="440"/>
      <c r="J1997" s="892"/>
      <c r="K1997" s="259"/>
      <c r="L1997" s="259" t="s">
        <v>46</v>
      </c>
      <c r="M1997" s="893">
        <f>SUM(M1994:M1996)</f>
        <v>1</v>
      </c>
      <c r="N1997" s="894"/>
      <c r="O1997" s="894">
        <f>SUM(O1994:O1996)</f>
        <v>0</v>
      </c>
      <c r="P1997" s="267" t="s">
        <v>207</v>
      </c>
      <c r="Q1997" s="895">
        <v>1</v>
      </c>
      <c r="R1997" s="114"/>
      <c r="S1997" s="908" t="s">
        <v>199</v>
      </c>
      <c r="T1997" s="895">
        <v>1</v>
      </c>
      <c r="U1997" s="114"/>
      <c r="V1997" s="114"/>
      <c r="W1997" s="114"/>
      <c r="X1997" s="114"/>
      <c r="Y1997" s="114"/>
      <c r="Z1997" s="114"/>
      <c r="AA1997" s="884"/>
    </row>
    <row r="1998" spans="3:27" x14ac:dyDescent="0.3">
      <c r="C1998" s="450"/>
      <c r="D1998" s="182"/>
      <c r="E1998" s="182"/>
      <c r="F1998" s="182"/>
      <c r="G1998" s="450" t="str">
        <f t="shared" si="101"/>
        <v>--</v>
      </c>
      <c r="H1998" s="182"/>
      <c r="I1998" s="892"/>
      <c r="J1998" s="288"/>
      <c r="K1998" s="182"/>
      <c r="L1998" s="182"/>
      <c r="M1998" s="270"/>
      <c r="N1998" s="892"/>
      <c r="O1998" s="892"/>
      <c r="P1998" s="267" t="s">
        <v>208</v>
      </c>
      <c r="Q1998" s="895">
        <v>0</v>
      </c>
      <c r="R1998" s="114"/>
      <c r="S1998" s="909" t="s">
        <v>198</v>
      </c>
      <c r="T1998" s="895">
        <v>1</v>
      </c>
      <c r="U1998" s="114"/>
      <c r="V1998" s="114"/>
      <c r="W1998" s="114"/>
      <c r="X1998" s="114"/>
      <c r="Y1998" s="114"/>
      <c r="Z1998" s="114"/>
      <c r="AA1998" s="884"/>
    </row>
    <row r="1999" spans="3:27" x14ac:dyDescent="0.3">
      <c r="C1999" s="450"/>
      <c r="D1999" s="182"/>
      <c r="E1999" s="182"/>
      <c r="F1999" s="182"/>
      <c r="G1999" s="450" t="str">
        <f t="shared" si="101"/>
        <v>--</v>
      </c>
      <c r="H1999" s="182"/>
      <c r="I1999" s="892"/>
      <c r="J1999" s="288"/>
      <c r="K1999" s="182"/>
      <c r="L1999" s="182"/>
      <c r="M1999" s="270"/>
      <c r="N1999" s="892"/>
      <c r="O1999" s="892"/>
      <c r="P1999" s="269" t="s">
        <v>209</v>
      </c>
      <c r="Q1999" s="895">
        <v>0</v>
      </c>
      <c r="R1999" s="114"/>
      <c r="S1999" s="905" t="s">
        <v>197</v>
      </c>
      <c r="T1999" s="895">
        <v>1</v>
      </c>
      <c r="U1999" s="114"/>
      <c r="V1999" s="114"/>
      <c r="W1999" s="114"/>
      <c r="X1999" s="114"/>
      <c r="Y1999" s="114"/>
      <c r="Z1999" s="114"/>
      <c r="AA1999" s="884"/>
    </row>
    <row r="2000" spans="3:27" x14ac:dyDescent="0.3">
      <c r="C2000" s="450"/>
      <c r="D2000" s="182"/>
      <c r="E2000" s="182"/>
      <c r="F2000" s="182"/>
      <c r="G2000" s="450" t="str">
        <f t="shared" si="101"/>
        <v>--</v>
      </c>
      <c r="H2000" s="182"/>
      <c r="I2000" s="892"/>
      <c r="J2000" s="288"/>
      <c r="K2000" s="182"/>
      <c r="L2000" s="182"/>
      <c r="M2000" s="270"/>
      <c r="N2000" s="892"/>
      <c r="O2000" s="892"/>
      <c r="P2000" s="269" t="s">
        <v>210</v>
      </c>
      <c r="Q2000" s="895">
        <v>0</v>
      </c>
      <c r="R2000" s="114"/>
      <c r="S2000" s="114" t="s">
        <v>216</v>
      </c>
      <c r="T2000" s="910">
        <f>(T1994*55)+(T1995*45)+(T1996*35)+(T1997*25)+(T1998*15)+(T1999*5)</f>
        <v>180</v>
      </c>
      <c r="U2000" s="1393" t="s">
        <v>217</v>
      </c>
      <c r="V2000" s="1393"/>
      <c r="W2000" s="1393"/>
      <c r="X2000" s="114"/>
      <c r="Y2000" s="114"/>
      <c r="Z2000" s="114"/>
      <c r="AA2000" s="884"/>
    </row>
    <row r="2001" spans="3:27" x14ac:dyDescent="0.3">
      <c r="C2001" s="450"/>
      <c r="D2001" s="182"/>
      <c r="E2001" s="182"/>
      <c r="F2001" s="182"/>
      <c r="G2001" s="450" t="str">
        <f t="shared" si="101"/>
        <v>--</v>
      </c>
      <c r="H2001" s="182"/>
      <c r="I2001" s="892"/>
      <c r="J2001" s="288"/>
      <c r="K2001" s="182"/>
      <c r="L2001" s="182"/>
      <c r="M2001" s="270"/>
      <c r="N2001" s="892"/>
      <c r="O2001" s="892"/>
      <c r="P2001" s="263" t="s">
        <v>46</v>
      </c>
      <c r="Q2001" s="897">
        <f>SUM(Q1994:Q2000)</f>
        <v>1</v>
      </c>
      <c r="R2001" s="899"/>
      <c r="S2001" s="899"/>
      <c r="T2001" s="899"/>
      <c r="U2001" s="1394"/>
      <c r="V2001" s="1394"/>
      <c r="W2001" s="1394"/>
      <c r="X2001" s="899"/>
      <c r="Y2001" s="899"/>
      <c r="Z2001" s="899"/>
      <c r="AA2001" s="900"/>
    </row>
    <row r="2002" spans="3:27" x14ac:dyDescent="0.3">
      <c r="C2002" s="450"/>
      <c r="D2002" s="182"/>
      <c r="E2002" s="182"/>
      <c r="F2002" s="182"/>
      <c r="G2002" s="450" t="str">
        <f t="shared" si="101"/>
        <v>--</v>
      </c>
      <c r="H2002" s="182"/>
      <c r="I2002" s="892"/>
      <c r="J2002" s="288"/>
      <c r="K2002" s="182"/>
      <c r="L2002" s="182"/>
      <c r="M2002" s="270"/>
      <c r="N2002" s="892"/>
      <c r="O2002" s="892"/>
      <c r="P2002" s="114"/>
      <c r="Q2002" s="114"/>
      <c r="R2002" s="114"/>
      <c r="S2002" s="114"/>
      <c r="T2002" s="114"/>
      <c r="U2002" s="114"/>
      <c r="V2002" s="114"/>
      <c r="W2002" s="114"/>
      <c r="X2002" s="270"/>
      <c r="Y2002" s="270"/>
      <c r="Z2002" s="270"/>
      <c r="AA2002" s="270"/>
    </row>
    <row r="2003" spans="3:27" x14ac:dyDescent="0.3">
      <c r="C2003" s="450"/>
      <c r="D2003" s="182"/>
      <c r="E2003" s="182"/>
      <c r="F2003" s="182"/>
      <c r="G2003" s="450" t="str">
        <f t="shared" si="101"/>
        <v>--</v>
      </c>
      <c r="H2003" s="182"/>
      <c r="I2003" s="892"/>
      <c r="J2003" s="288"/>
      <c r="K2003" s="182"/>
      <c r="L2003" s="182"/>
      <c r="M2003" s="270"/>
      <c r="N2003" s="892"/>
      <c r="O2003" s="892"/>
      <c r="P2003" s="268" t="s">
        <v>174</v>
      </c>
      <c r="Q2003" s="911"/>
      <c r="R2003" s="872"/>
      <c r="S2003" s="874"/>
      <c r="T2003" s="270"/>
      <c r="U2003" s="270"/>
      <c r="V2003" s="270"/>
      <c r="W2003" s="270"/>
      <c r="X2003" s="270"/>
      <c r="Y2003" s="270"/>
      <c r="Z2003" s="270"/>
      <c r="AA2003" s="270"/>
    </row>
    <row r="2004" spans="3:27" ht="15" thickBot="1" x14ac:dyDescent="0.35">
      <c r="C2004" s="450"/>
      <c r="D2004" s="182"/>
      <c r="E2004" s="182"/>
      <c r="F2004" s="182"/>
      <c r="G2004" s="450" t="str">
        <f t="shared" si="101"/>
        <v>--</v>
      </c>
      <c r="H2004" s="182"/>
      <c r="I2004" s="892"/>
      <c r="J2004" s="892"/>
      <c r="K2004" s="182"/>
      <c r="L2004" s="182"/>
      <c r="M2004" s="901" t="s">
        <v>155</v>
      </c>
      <c r="N2004" s="870" t="s">
        <v>188</v>
      </c>
      <c r="O2004" s="870"/>
      <c r="P2004" s="273" t="s">
        <v>220</v>
      </c>
      <c r="Q2004" s="871" t="s">
        <v>155</v>
      </c>
      <c r="R2004" s="114"/>
      <c r="S2004" s="884"/>
      <c r="T2004" s="270"/>
      <c r="U2004" s="270"/>
      <c r="V2004" s="270"/>
      <c r="W2004" s="270"/>
      <c r="X2004" s="270"/>
      <c r="Y2004" s="270"/>
      <c r="Z2004" s="270"/>
      <c r="AA2004" s="270"/>
    </row>
    <row r="2005" spans="3:27" ht="15" thickBot="1" x14ac:dyDescent="0.35">
      <c r="C2005" s="566" t="s">
        <v>96</v>
      </c>
      <c r="D2005" s="875" t="str">
        <f>VLOOKUP(C2005,'Airport Mapping'!$C$5:$D$39,2,FALSE)</f>
        <v xml:space="preserve"> </v>
      </c>
      <c r="E2005" s="567" t="s">
        <v>38</v>
      </c>
      <c r="F2005" s="567" t="s">
        <v>20</v>
      </c>
      <c r="G2005" s="450" t="str">
        <f t="shared" si="101"/>
        <v>Hotel A-Food Service-Ice machines</v>
      </c>
      <c r="H2005" s="567" t="s">
        <v>17</v>
      </c>
      <c r="I2005" s="877" t="s">
        <v>64</v>
      </c>
      <c r="J2005" s="878">
        <f>SUMIFS('Level of Efficiency Assumptions'!J:J,'Level of Efficiency Assumptions'!D:D,E2005,'Level of Efficiency Assumptions'!F:F,F2005,'Level of Efficiency Assumptions'!I:I,I2005)</f>
        <v>1.5</v>
      </c>
      <c r="K2005" s="383" t="s">
        <v>220</v>
      </c>
      <c r="L2005" s="253" t="s">
        <v>64</v>
      </c>
      <c r="M2005" s="879">
        <f>SUM(Q2005:Q2007)</f>
        <v>0</v>
      </c>
      <c r="N2005" s="880">
        <f>IFERROR(M2005/M2008,"-")</f>
        <v>0</v>
      </c>
      <c r="O2005" s="881">
        <f>SUMIFS('Data Entry'!R:R,'Data Entry'!K:K,G2005)</f>
        <v>0</v>
      </c>
      <c r="P2005" s="266" t="s">
        <v>204</v>
      </c>
      <c r="Q2005" s="895">
        <v>0</v>
      </c>
      <c r="R2005" s="114"/>
      <c r="S2005" s="884"/>
      <c r="T2005" s="270"/>
      <c r="U2005" s="270"/>
      <c r="V2005" s="270"/>
      <c r="W2005" s="912"/>
      <c r="X2005" s="270"/>
      <c r="Y2005" s="270"/>
      <c r="Z2005" s="270"/>
      <c r="AA2005" s="270"/>
    </row>
    <row r="2006" spans="3:27" ht="15" thickBot="1" x14ac:dyDescent="0.35">
      <c r="C2006" s="494" t="s">
        <v>96</v>
      </c>
      <c r="D2006" s="577"/>
      <c r="E2006" s="577" t="s">
        <v>38</v>
      </c>
      <c r="F2006" s="577" t="s">
        <v>20</v>
      </c>
      <c r="G2006" s="450" t="str">
        <f t="shared" si="101"/>
        <v>Hotel A-Food Service-Ice machines</v>
      </c>
      <c r="H2006" s="577"/>
      <c r="I2006" s="887" t="s">
        <v>65</v>
      </c>
      <c r="J2006" s="878">
        <f>SUMIFS('Level of Efficiency Assumptions'!J:J,'Level of Efficiency Assumptions'!D:D,E2006,'Level of Efficiency Assumptions'!F:F,F2006,'Level of Efficiency Assumptions'!I:I,I2006)</f>
        <v>0.25</v>
      </c>
      <c r="K2006" s="383" t="s">
        <v>220</v>
      </c>
      <c r="L2006" s="255" t="s">
        <v>65</v>
      </c>
      <c r="M2006" s="879">
        <f>Q2008+Q2009</f>
        <v>1</v>
      </c>
      <c r="N2006" s="880">
        <f>IFERROR(M2006/M2008,"-")</f>
        <v>1</v>
      </c>
      <c r="O2006" s="881">
        <f>SUMIFS('Data Entry'!S:S,'Data Entry'!K:K,G2006)</f>
        <v>0</v>
      </c>
      <c r="P2006" s="272" t="s">
        <v>205</v>
      </c>
      <c r="Q2006" s="895">
        <v>0</v>
      </c>
      <c r="R2006" s="114"/>
      <c r="S2006" s="884"/>
      <c r="T2006" s="270"/>
      <c r="U2006" s="270"/>
      <c r="V2006" s="270"/>
      <c r="W2006" s="912"/>
      <c r="X2006" s="270"/>
      <c r="Y2006" s="270"/>
      <c r="Z2006" s="270"/>
      <c r="AA2006" s="270"/>
    </row>
    <row r="2007" spans="3:27" ht="15" thickBot="1" x14ac:dyDescent="0.35">
      <c r="C2007" s="501" t="s">
        <v>96</v>
      </c>
      <c r="D2007" s="116"/>
      <c r="E2007" s="116" t="s">
        <v>38</v>
      </c>
      <c r="F2007" s="116" t="s">
        <v>20</v>
      </c>
      <c r="G2007" s="450" t="str">
        <f t="shared" si="101"/>
        <v>Hotel A-Food Service-Ice machines</v>
      </c>
      <c r="H2007" s="116"/>
      <c r="I2007" s="889" t="s">
        <v>66</v>
      </c>
      <c r="J2007" s="890">
        <f>SUMIFS('Level of Efficiency Assumptions'!J:J,'Level of Efficiency Assumptions'!D:D,E2007,'Level of Efficiency Assumptions'!F:F,F2007,'Level of Efficiency Assumptions'!I:I,I2007)</f>
        <v>0.12</v>
      </c>
      <c r="K2007" s="383" t="s">
        <v>220</v>
      </c>
      <c r="L2007" s="257" t="s">
        <v>66</v>
      </c>
      <c r="M2007" s="879">
        <f>Q2010+Q2011</f>
        <v>0</v>
      </c>
      <c r="N2007" s="880">
        <f>IFERROR(M2007/M2008,"-")</f>
        <v>0</v>
      </c>
      <c r="O2007" s="881">
        <f>SUMIFS('Data Entry'!T:T,'Data Entry'!K:K,G2007)</f>
        <v>0</v>
      </c>
      <c r="P2007" s="272" t="s">
        <v>206</v>
      </c>
      <c r="Q2007" s="895">
        <v>0</v>
      </c>
      <c r="R2007" s="114"/>
      <c r="S2007" s="884"/>
      <c r="T2007" s="270"/>
      <c r="U2007" s="270"/>
      <c r="V2007" s="270"/>
      <c r="W2007" s="280"/>
      <c r="X2007" s="270"/>
      <c r="Y2007" s="270"/>
      <c r="Z2007" s="270"/>
      <c r="AA2007" s="270"/>
    </row>
    <row r="2008" spans="3:27" x14ac:dyDescent="0.3">
      <c r="C2008" s="450"/>
      <c r="D2008" s="182"/>
      <c r="E2008" s="182"/>
      <c r="F2008" s="182"/>
      <c r="G2008" s="450" t="str">
        <f t="shared" si="101"/>
        <v>--</v>
      </c>
      <c r="H2008" s="182"/>
      <c r="I2008" s="440"/>
      <c r="J2008" s="892"/>
      <c r="K2008" s="259"/>
      <c r="L2008" s="259" t="s">
        <v>46</v>
      </c>
      <c r="M2008" s="893">
        <f>SUM(M2005:M2007)</f>
        <v>1</v>
      </c>
      <c r="N2008" s="894"/>
      <c r="O2008" s="894">
        <f>SUM(O2005:O2007)</f>
        <v>0</v>
      </c>
      <c r="P2008" s="274" t="s">
        <v>228</v>
      </c>
      <c r="Q2008" s="895">
        <v>1</v>
      </c>
      <c r="R2008" s="114"/>
      <c r="S2008" s="884"/>
      <c r="T2008" s="270"/>
      <c r="U2008" s="270"/>
      <c r="V2008" s="270"/>
      <c r="W2008" s="270"/>
      <c r="X2008" s="270"/>
      <c r="Y2008" s="270"/>
      <c r="Z2008" s="270"/>
      <c r="AA2008" s="270"/>
    </row>
    <row r="2009" spans="3:27" x14ac:dyDescent="0.3">
      <c r="C2009" s="450"/>
      <c r="D2009" s="182"/>
      <c r="E2009" s="182"/>
      <c r="F2009" s="182"/>
      <c r="G2009" s="450" t="str">
        <f t="shared" si="101"/>
        <v>--</v>
      </c>
      <c r="H2009" s="182"/>
      <c r="I2009" s="892"/>
      <c r="J2009" s="288"/>
      <c r="K2009" s="182"/>
      <c r="L2009" s="182"/>
      <c r="M2009" s="270"/>
      <c r="N2009" s="892"/>
      <c r="O2009" s="892"/>
      <c r="P2009" s="274" t="s">
        <v>227</v>
      </c>
      <c r="Q2009" s="895">
        <v>0</v>
      </c>
      <c r="R2009" s="114"/>
      <c r="S2009" s="884"/>
      <c r="T2009" s="270"/>
      <c r="U2009" s="270"/>
      <c r="V2009" s="270"/>
      <c r="W2009" s="270"/>
      <c r="X2009" s="270"/>
      <c r="Y2009" s="270"/>
      <c r="Z2009" s="270"/>
      <c r="AA2009" s="270"/>
    </row>
    <row r="2010" spans="3:27" x14ac:dyDescent="0.3">
      <c r="C2010" s="450"/>
      <c r="D2010" s="182"/>
      <c r="E2010" s="182"/>
      <c r="F2010" s="182"/>
      <c r="G2010" s="450" t="str">
        <f t="shared" si="101"/>
        <v>--</v>
      </c>
      <c r="H2010" s="182"/>
      <c r="I2010" s="892"/>
      <c r="J2010" s="288"/>
      <c r="K2010" s="182"/>
      <c r="L2010" s="182"/>
      <c r="M2010" s="270"/>
      <c r="N2010" s="892"/>
      <c r="O2010" s="892"/>
      <c r="P2010" s="275" t="s">
        <v>226</v>
      </c>
      <c r="Q2010" s="895">
        <v>0</v>
      </c>
      <c r="R2010" s="114"/>
      <c r="S2010" s="884"/>
      <c r="T2010" s="270"/>
      <c r="U2010" s="270"/>
      <c r="V2010" s="270"/>
      <c r="W2010" s="270"/>
      <c r="X2010" s="270"/>
      <c r="Y2010" s="270"/>
      <c r="Z2010" s="270"/>
      <c r="AA2010" s="270"/>
    </row>
    <row r="2011" spans="3:27" x14ac:dyDescent="0.3">
      <c r="C2011" s="450"/>
      <c r="D2011" s="182"/>
      <c r="E2011" s="182"/>
      <c r="F2011" s="182"/>
      <c r="G2011" s="450" t="str">
        <f t="shared" si="101"/>
        <v>--</v>
      </c>
      <c r="H2011" s="182"/>
      <c r="I2011" s="892"/>
      <c r="J2011" s="288"/>
      <c r="K2011" s="182"/>
      <c r="L2011" s="182"/>
      <c r="M2011" s="270"/>
      <c r="N2011" s="892"/>
      <c r="O2011" s="892"/>
      <c r="P2011" s="269" t="s">
        <v>225</v>
      </c>
      <c r="Q2011" s="895">
        <v>0</v>
      </c>
      <c r="R2011" s="114"/>
      <c r="S2011" s="884"/>
      <c r="T2011" s="270"/>
      <c r="U2011" s="270"/>
      <c r="V2011" s="270"/>
      <c r="W2011" s="270"/>
      <c r="X2011" s="270"/>
      <c r="Y2011" s="270"/>
      <c r="Z2011" s="270"/>
      <c r="AA2011" s="270"/>
    </row>
    <row r="2012" spans="3:27" x14ac:dyDescent="0.3">
      <c r="C2012" s="450"/>
      <c r="D2012" s="182"/>
      <c r="E2012" s="182"/>
      <c r="F2012" s="182"/>
      <c r="G2012" s="450" t="str">
        <f t="shared" si="101"/>
        <v>--</v>
      </c>
      <c r="H2012" s="182"/>
      <c r="I2012" s="892"/>
      <c r="J2012" s="288"/>
      <c r="K2012" s="182"/>
      <c r="L2012" s="182"/>
      <c r="M2012" s="270"/>
      <c r="N2012" s="892"/>
      <c r="O2012" s="892"/>
      <c r="P2012" s="263" t="s">
        <v>46</v>
      </c>
      <c r="Q2012" s="897">
        <f>SUM(Q2005:Q2011)</f>
        <v>1</v>
      </c>
      <c r="R2012" s="899"/>
      <c r="S2012" s="900"/>
      <c r="T2012" s="270"/>
      <c r="U2012" s="270"/>
      <c r="V2012" s="270"/>
      <c r="W2012" s="270"/>
      <c r="X2012" s="270"/>
      <c r="Y2012" s="270"/>
      <c r="Z2012" s="270"/>
      <c r="AA2012" s="270"/>
    </row>
    <row r="2013" spans="3:27" x14ac:dyDescent="0.3">
      <c r="C2013" s="450"/>
      <c r="D2013" s="182"/>
      <c r="E2013" s="182"/>
      <c r="F2013" s="182"/>
      <c r="G2013" s="450" t="str">
        <f t="shared" si="101"/>
        <v>--</v>
      </c>
      <c r="H2013" s="182"/>
      <c r="I2013" s="892"/>
      <c r="J2013" s="288"/>
      <c r="K2013" s="182"/>
      <c r="L2013" s="182"/>
      <c r="M2013" s="270"/>
      <c r="N2013" s="892"/>
      <c r="O2013" s="892"/>
      <c r="P2013" s="270"/>
      <c r="Q2013" s="270"/>
      <c r="R2013" s="270"/>
      <c r="S2013" s="270"/>
      <c r="T2013" s="270"/>
      <c r="U2013" s="270"/>
      <c r="V2013" s="270"/>
      <c r="W2013" s="270"/>
      <c r="X2013" s="270"/>
      <c r="Y2013" s="270"/>
      <c r="Z2013" s="270"/>
      <c r="AA2013" s="270"/>
    </row>
    <row r="2014" spans="3:27" ht="15" thickBot="1" x14ac:dyDescent="0.35">
      <c r="C2014" s="450"/>
      <c r="D2014" s="182"/>
      <c r="E2014" s="182"/>
      <c r="F2014" s="182"/>
      <c r="G2014" s="450" t="str">
        <f t="shared" si="101"/>
        <v>--</v>
      </c>
      <c r="H2014" s="182"/>
      <c r="I2014" s="892"/>
      <c r="J2014" s="892"/>
      <c r="K2014" s="182"/>
      <c r="L2014" s="182"/>
      <c r="M2014" s="901" t="s">
        <v>155</v>
      </c>
      <c r="N2014" s="870" t="s">
        <v>188</v>
      </c>
      <c r="O2014" s="870"/>
      <c r="P2014" s="276" t="s">
        <v>111</v>
      </c>
      <c r="Q2014" s="871" t="s">
        <v>155</v>
      </c>
      <c r="R2014" s="902"/>
      <c r="S2014" s="874"/>
      <c r="T2014" s="270"/>
      <c r="U2014" s="270"/>
      <c r="V2014" s="270"/>
      <c r="W2014" s="270"/>
      <c r="X2014" s="270"/>
      <c r="Y2014" s="270"/>
      <c r="Z2014" s="270"/>
      <c r="AA2014" s="270"/>
    </row>
    <row r="2015" spans="3:27" ht="15" thickBot="1" x14ac:dyDescent="0.35">
      <c r="C2015" s="566" t="s">
        <v>96</v>
      </c>
      <c r="D2015" s="875" t="str">
        <f>VLOOKUP(C2015,'Airport Mapping'!$C$5:$D$39,2,FALSE)</f>
        <v xml:space="preserve"> </v>
      </c>
      <c r="E2015" s="567" t="s">
        <v>43</v>
      </c>
      <c r="F2015" s="567" t="s">
        <v>111</v>
      </c>
      <c r="G2015" s="450" t="str">
        <f t="shared" si="101"/>
        <v>Hotel A-Maintenance-Boiler</v>
      </c>
      <c r="H2015" s="567" t="s">
        <v>424</v>
      </c>
      <c r="I2015" s="877" t="s">
        <v>64</v>
      </c>
      <c r="J2015" s="878">
        <f>SUMIFS('Level of Efficiency Assumptions'!J:J,'Level of Efficiency Assumptions'!D:D,E2015,'Level of Efficiency Assumptions'!F:F,F2015,'Level of Efficiency Assumptions'!I:I,I2015)</f>
        <v>100</v>
      </c>
      <c r="K2015" s="383" t="s">
        <v>585</v>
      </c>
      <c r="L2015" s="253" t="s">
        <v>64</v>
      </c>
      <c r="M2015" s="879">
        <f>SUM(Q2015:Q2016)</f>
        <v>0</v>
      </c>
      <c r="N2015" s="880">
        <f>IFERROR(M2015/M2018,"-")</f>
        <v>0</v>
      </c>
      <c r="O2015" s="881">
        <f>SUMIFS('Data Entry'!R:R,'Data Entry'!K:K,G2015)</f>
        <v>0</v>
      </c>
      <c r="P2015" s="272"/>
      <c r="Q2015" s="895">
        <v>0</v>
      </c>
      <c r="R2015" s="114"/>
      <c r="S2015" s="884"/>
      <c r="T2015" s="270"/>
      <c r="U2015" s="270"/>
      <c r="V2015" s="270"/>
      <c r="W2015" s="270"/>
      <c r="X2015" s="270"/>
      <c r="Y2015" s="270"/>
      <c r="Z2015" s="270"/>
      <c r="AA2015" s="270"/>
    </row>
    <row r="2016" spans="3:27" ht="15" thickBot="1" x14ac:dyDescent="0.35">
      <c r="C2016" s="494" t="s">
        <v>96</v>
      </c>
      <c r="D2016" s="577"/>
      <c r="E2016" s="577" t="s">
        <v>43</v>
      </c>
      <c r="F2016" s="577" t="s">
        <v>111</v>
      </c>
      <c r="G2016" s="450" t="str">
        <f t="shared" ref="G2016:G2069" si="102">C2016&amp;"-"&amp;E2016&amp;"-"&amp;F2016</f>
        <v>Hotel A-Maintenance-Boiler</v>
      </c>
      <c r="H2016" s="577"/>
      <c r="I2016" s="887" t="s">
        <v>65</v>
      </c>
      <c r="J2016" s="878">
        <f>SUMIFS('Level of Efficiency Assumptions'!J:J,'Level of Efficiency Assumptions'!D:D,E2016,'Level of Efficiency Assumptions'!F:F,F2016,'Level of Efficiency Assumptions'!I:I,I2016)</f>
        <v>75</v>
      </c>
      <c r="K2016" s="383" t="s">
        <v>585</v>
      </c>
      <c r="L2016" s="255" t="s">
        <v>65</v>
      </c>
      <c r="M2016" s="879">
        <f>Q2017+Q2018</f>
        <v>1</v>
      </c>
      <c r="N2016" s="880">
        <f>IFERROR(M2016/M2018,"-")</f>
        <v>1</v>
      </c>
      <c r="O2016" s="881">
        <f>SUMIFS('Data Entry'!S:S,'Data Entry'!K:K,G2016)</f>
        <v>0</v>
      </c>
      <c r="P2016" s="272"/>
      <c r="Q2016" s="895">
        <v>0</v>
      </c>
      <c r="R2016" s="114"/>
      <c r="S2016" s="884"/>
      <c r="T2016" s="270"/>
      <c r="U2016" s="114"/>
      <c r="V2016" s="114"/>
      <c r="W2016" s="270"/>
      <c r="X2016" s="270"/>
      <c r="Y2016" s="270"/>
      <c r="Z2016" s="270"/>
      <c r="AA2016" s="270"/>
    </row>
    <row r="2017" spans="3:27" ht="15" thickBot="1" x14ac:dyDescent="0.35">
      <c r="C2017" s="501" t="s">
        <v>96</v>
      </c>
      <c r="D2017" s="116"/>
      <c r="E2017" s="116" t="s">
        <v>43</v>
      </c>
      <c r="F2017" s="116" t="s">
        <v>111</v>
      </c>
      <c r="G2017" s="450" t="str">
        <f t="shared" si="102"/>
        <v>Hotel A-Maintenance-Boiler</v>
      </c>
      <c r="H2017" s="116"/>
      <c r="I2017" s="889" t="s">
        <v>66</v>
      </c>
      <c r="J2017" s="890">
        <f>SUMIFS('Level of Efficiency Assumptions'!J:J,'Level of Efficiency Assumptions'!D:D,E2017,'Level of Efficiency Assumptions'!F:F,F2017,'Level of Efficiency Assumptions'!I:I,I2017)</f>
        <v>50</v>
      </c>
      <c r="K2017" s="383" t="s">
        <v>585</v>
      </c>
      <c r="L2017" s="257" t="s">
        <v>66</v>
      </c>
      <c r="M2017" s="879">
        <f>Q2019+Q2020</f>
        <v>0</v>
      </c>
      <c r="N2017" s="880">
        <f>IFERROR(M2017/M2018,"-")</f>
        <v>0</v>
      </c>
      <c r="O2017" s="881">
        <f>SUMIFS('Data Entry'!T:T,'Data Entry'!K:K,G2017)</f>
        <v>0</v>
      </c>
      <c r="P2017" s="274"/>
      <c r="Q2017" s="895">
        <v>1</v>
      </c>
      <c r="R2017" s="114"/>
      <c r="S2017" s="884"/>
      <c r="T2017" s="270"/>
      <c r="U2017" s="114"/>
      <c r="V2017" s="114"/>
      <c r="W2017" s="270"/>
      <c r="X2017" s="270"/>
      <c r="Y2017" s="270"/>
      <c r="Z2017" s="270"/>
      <c r="AA2017" s="270"/>
    </row>
    <row r="2018" spans="3:27" x14ac:dyDescent="0.3">
      <c r="C2018" s="450"/>
      <c r="D2018" s="182"/>
      <c r="E2018" s="182"/>
      <c r="F2018" s="182"/>
      <c r="G2018" s="450" t="str">
        <f t="shared" si="102"/>
        <v>--</v>
      </c>
      <c r="H2018" s="182"/>
      <c r="I2018" s="440"/>
      <c r="J2018" s="892"/>
      <c r="K2018" s="259"/>
      <c r="L2018" s="259" t="s">
        <v>46</v>
      </c>
      <c r="M2018" s="893">
        <f>SUM(M2015:M2017)</f>
        <v>1</v>
      </c>
      <c r="N2018" s="894"/>
      <c r="O2018" s="894">
        <f>SUM(O2015:O2017)</f>
        <v>0</v>
      </c>
      <c r="P2018" s="274"/>
      <c r="Q2018" s="895">
        <v>0</v>
      </c>
      <c r="R2018" s="114"/>
      <c r="S2018" s="884"/>
      <c r="T2018" s="270"/>
      <c r="U2018" s="114"/>
      <c r="V2018" s="114"/>
      <c r="W2018" s="114"/>
      <c r="X2018" s="114"/>
      <c r="Y2018" s="270"/>
      <c r="Z2018" s="270"/>
      <c r="AA2018" s="270"/>
    </row>
    <row r="2019" spans="3:27" x14ac:dyDescent="0.3">
      <c r="C2019" s="450"/>
      <c r="D2019" s="182"/>
      <c r="E2019" s="182"/>
      <c r="F2019" s="182"/>
      <c r="G2019" s="450" t="str">
        <f t="shared" si="102"/>
        <v>--</v>
      </c>
      <c r="H2019" s="182"/>
      <c r="I2019" s="892"/>
      <c r="J2019" s="288"/>
      <c r="K2019" s="182"/>
      <c r="L2019" s="182"/>
      <c r="M2019" s="270"/>
      <c r="N2019" s="892"/>
      <c r="O2019" s="892"/>
      <c r="P2019" s="275"/>
      <c r="Q2019" s="895">
        <v>0</v>
      </c>
      <c r="R2019" s="114"/>
      <c r="S2019" s="884"/>
      <c r="T2019" s="270"/>
      <c r="U2019" s="114"/>
      <c r="V2019" s="114"/>
      <c r="W2019" s="114"/>
      <c r="X2019" s="114"/>
      <c r="Y2019" s="270"/>
      <c r="Z2019" s="270"/>
      <c r="AA2019" s="270"/>
    </row>
    <row r="2020" spans="3:27" x14ac:dyDescent="0.3">
      <c r="C2020" s="450"/>
      <c r="D2020" s="182"/>
      <c r="E2020" s="182"/>
      <c r="F2020" s="182"/>
      <c r="G2020" s="450" t="str">
        <f t="shared" si="102"/>
        <v>--</v>
      </c>
      <c r="H2020" s="182"/>
      <c r="I2020" s="892"/>
      <c r="J2020" s="288"/>
      <c r="K2020" s="182"/>
      <c r="L2020" s="182"/>
      <c r="M2020" s="270"/>
      <c r="N2020" s="892"/>
      <c r="O2020" s="892"/>
      <c r="P2020" s="269"/>
      <c r="Q2020" s="895">
        <v>0</v>
      </c>
      <c r="R2020" s="114"/>
      <c r="S2020" s="884"/>
      <c r="T2020" s="270"/>
      <c r="U2020" s="270"/>
      <c r="V2020" s="270"/>
      <c r="W2020" s="114"/>
      <c r="X2020" s="114"/>
      <c r="Y2020" s="270"/>
      <c r="Z2020" s="270"/>
      <c r="AA2020" s="270"/>
    </row>
    <row r="2021" spans="3:27" x14ac:dyDescent="0.3">
      <c r="C2021" s="450"/>
      <c r="D2021" s="182"/>
      <c r="E2021" s="182"/>
      <c r="F2021" s="182"/>
      <c r="G2021" s="450" t="str">
        <f t="shared" si="102"/>
        <v>--</v>
      </c>
      <c r="H2021" s="182"/>
      <c r="I2021" s="892"/>
      <c r="J2021" s="288"/>
      <c r="K2021" s="182"/>
      <c r="L2021" s="182"/>
      <c r="M2021" s="270"/>
      <c r="N2021" s="892"/>
      <c r="O2021" s="892"/>
      <c r="P2021" s="263" t="s">
        <v>46</v>
      </c>
      <c r="Q2021" s="897">
        <f>SUM(Q2015:Q2020)</f>
        <v>1</v>
      </c>
      <c r="R2021" s="899"/>
      <c r="S2021" s="900"/>
      <c r="T2021" s="270"/>
      <c r="U2021" s="270"/>
      <c r="V2021" s="270"/>
      <c r="W2021" s="114"/>
      <c r="X2021" s="114"/>
      <c r="Y2021" s="270"/>
      <c r="Z2021" s="270"/>
      <c r="AA2021" s="270"/>
    </row>
    <row r="2022" spans="3:27" x14ac:dyDescent="0.3">
      <c r="C2022" s="225"/>
      <c r="D2022" s="288"/>
      <c r="E2022" s="288"/>
      <c r="F2022" s="288"/>
      <c r="G2022" s="450" t="str">
        <f t="shared" si="102"/>
        <v>--</v>
      </c>
      <c r="H2022" s="182"/>
      <c r="I2022" s="892"/>
      <c r="J2022" s="288"/>
      <c r="K2022" s="182"/>
      <c r="L2022" s="182"/>
      <c r="M2022" s="270"/>
      <c r="N2022" s="892"/>
      <c r="O2022" s="892"/>
      <c r="P2022" s="259"/>
      <c r="Q2022" s="114"/>
      <c r="R2022" s="270"/>
      <c r="S2022" s="270"/>
      <c r="T2022" s="270"/>
      <c r="U2022" s="270"/>
      <c r="V2022" s="270"/>
      <c r="W2022" s="270"/>
      <c r="X2022" s="270"/>
      <c r="Y2022" s="270"/>
      <c r="Z2022" s="270"/>
      <c r="AA2022" s="270"/>
    </row>
    <row r="2023" spans="3:27" ht="15" thickBot="1" x14ac:dyDescent="0.35">
      <c r="C2023" s="225"/>
      <c r="D2023" s="182"/>
      <c r="E2023" s="182"/>
      <c r="F2023" s="182"/>
      <c r="G2023" s="450" t="str">
        <f t="shared" si="102"/>
        <v>--</v>
      </c>
      <c r="H2023" s="182"/>
      <c r="I2023" s="892"/>
      <c r="J2023" s="892"/>
      <c r="K2023" s="182"/>
      <c r="L2023" s="182"/>
      <c r="M2023" s="901" t="s">
        <v>155</v>
      </c>
      <c r="N2023" s="870" t="s">
        <v>188</v>
      </c>
      <c r="O2023" s="870"/>
      <c r="P2023" s="276" t="s">
        <v>34</v>
      </c>
      <c r="Q2023" s="871" t="s">
        <v>155</v>
      </c>
      <c r="R2023" s="902"/>
      <c r="S2023" s="874"/>
      <c r="T2023" s="270"/>
      <c r="U2023" s="270"/>
      <c r="V2023" s="270"/>
      <c r="W2023" s="270"/>
      <c r="X2023" s="270"/>
      <c r="Y2023" s="270"/>
      <c r="Z2023" s="270"/>
      <c r="AA2023" s="270"/>
    </row>
    <row r="2024" spans="3:27" ht="15" thickBot="1" x14ac:dyDescent="0.35">
      <c r="C2024" s="566" t="s">
        <v>96</v>
      </c>
      <c r="D2024" s="875" t="str">
        <f>VLOOKUP(C2024,'Airport Mapping'!$C$5:$D$39,2,FALSE)</f>
        <v xml:space="preserve"> </v>
      </c>
      <c r="E2024" s="567" t="s">
        <v>43</v>
      </c>
      <c r="F2024" s="567" t="s">
        <v>34</v>
      </c>
      <c r="G2024" s="450" t="str">
        <f t="shared" si="102"/>
        <v>Hotel A-Maintenance-Swimming Pool</v>
      </c>
      <c r="H2024" s="567" t="s">
        <v>36</v>
      </c>
      <c r="I2024" s="877" t="s">
        <v>64</v>
      </c>
      <c r="J2024" s="878">
        <f>SUMIFS('Level of Efficiency Assumptions'!J:J,'Level of Efficiency Assumptions'!D:D,E2024,'Level of Efficiency Assumptions'!F:F,F2024,'Level of Efficiency Assumptions'!I:I,I2024)</f>
        <v>10</v>
      </c>
      <c r="K2024" s="383" t="s">
        <v>816</v>
      </c>
      <c r="L2024" s="253" t="s">
        <v>64</v>
      </c>
      <c r="M2024" s="879">
        <f>SUM(Q2024:Q2025)</f>
        <v>0</v>
      </c>
      <c r="N2024" s="880">
        <f>IFERROR(M2024/M2027,"-")</f>
        <v>0</v>
      </c>
      <c r="O2024" s="881">
        <f>SUMIFS('Data Entry'!R:R,'Data Entry'!K:K,G2024)</f>
        <v>0</v>
      </c>
      <c r="P2024" s="272"/>
      <c r="Q2024" s="895">
        <v>0</v>
      </c>
      <c r="R2024" s="114"/>
      <c r="S2024" s="884"/>
      <c r="T2024" s="270"/>
      <c r="U2024" s="270"/>
      <c r="V2024" s="270"/>
      <c r="W2024" s="270"/>
      <c r="X2024" s="270"/>
      <c r="Y2024" s="270"/>
      <c r="Z2024" s="270"/>
      <c r="AA2024" s="270"/>
    </row>
    <row r="2025" spans="3:27" ht="15" thickBot="1" x14ac:dyDescent="0.35">
      <c r="C2025" s="494" t="s">
        <v>96</v>
      </c>
      <c r="D2025" s="577"/>
      <c r="E2025" s="577" t="s">
        <v>43</v>
      </c>
      <c r="F2025" s="577" t="s">
        <v>34</v>
      </c>
      <c r="G2025" s="450" t="str">
        <f t="shared" si="102"/>
        <v>Hotel A-Maintenance-Swimming Pool</v>
      </c>
      <c r="H2025" s="577"/>
      <c r="I2025" s="887" t="s">
        <v>65</v>
      </c>
      <c r="J2025" s="878">
        <f>SUMIFS('Level of Efficiency Assumptions'!J:J,'Level of Efficiency Assumptions'!D:D,E2025,'Level of Efficiency Assumptions'!F:F,F2025,'Level of Efficiency Assumptions'!I:I,I2025)</f>
        <v>7.5</v>
      </c>
      <c r="K2025" s="383" t="s">
        <v>816</v>
      </c>
      <c r="L2025" s="255" t="s">
        <v>65</v>
      </c>
      <c r="M2025" s="879">
        <f>Q2026+Q2027</f>
        <v>1</v>
      </c>
      <c r="N2025" s="880">
        <f>IFERROR(M2025/M2027,"-")</f>
        <v>1</v>
      </c>
      <c r="O2025" s="881">
        <f>SUMIFS('Data Entry'!S:S,'Data Entry'!K:K,G2025)</f>
        <v>0</v>
      </c>
      <c r="P2025" s="272"/>
      <c r="Q2025" s="895">
        <v>0</v>
      </c>
      <c r="R2025" s="114"/>
      <c r="S2025" s="884"/>
      <c r="T2025" s="270"/>
      <c r="U2025" s="270"/>
      <c r="V2025" s="270"/>
      <c r="W2025" s="270"/>
      <c r="X2025" s="270"/>
      <c r="Y2025" s="270"/>
      <c r="Z2025" s="270"/>
      <c r="AA2025" s="270"/>
    </row>
    <row r="2026" spans="3:27" ht="15" thickBot="1" x14ac:dyDescent="0.35">
      <c r="C2026" s="501" t="s">
        <v>96</v>
      </c>
      <c r="D2026" s="116"/>
      <c r="E2026" s="116" t="s">
        <v>43</v>
      </c>
      <c r="F2026" s="116" t="s">
        <v>34</v>
      </c>
      <c r="G2026" s="450" t="str">
        <f t="shared" si="102"/>
        <v>Hotel A-Maintenance-Swimming Pool</v>
      </c>
      <c r="H2026" s="116"/>
      <c r="I2026" s="889" t="s">
        <v>66</v>
      </c>
      <c r="J2026" s="890">
        <f>SUMIFS('Level of Efficiency Assumptions'!J:J,'Level of Efficiency Assumptions'!D:D,E2026,'Level of Efficiency Assumptions'!F:F,F2026,'Level of Efficiency Assumptions'!I:I,I2026)</f>
        <v>5</v>
      </c>
      <c r="K2026" s="383" t="s">
        <v>816</v>
      </c>
      <c r="L2026" s="257" t="s">
        <v>66</v>
      </c>
      <c r="M2026" s="879">
        <f>Q2028+Q2029</f>
        <v>0</v>
      </c>
      <c r="N2026" s="880">
        <f>IFERROR(M2026/M2027,"-")</f>
        <v>0</v>
      </c>
      <c r="O2026" s="881">
        <f>SUMIFS('Data Entry'!T:T,'Data Entry'!K:K,G2026)</f>
        <v>0</v>
      </c>
      <c r="P2026" s="274"/>
      <c r="Q2026" s="895">
        <v>1</v>
      </c>
      <c r="R2026" s="114"/>
      <c r="S2026" s="884"/>
      <c r="T2026" s="270"/>
      <c r="U2026" s="270"/>
      <c r="V2026" s="270"/>
      <c r="W2026" s="270"/>
      <c r="X2026" s="270"/>
      <c r="Y2026" s="270"/>
      <c r="Z2026" s="270"/>
      <c r="AA2026" s="270"/>
    </row>
    <row r="2027" spans="3:27" x14ac:dyDescent="0.3">
      <c r="C2027" s="450"/>
      <c r="D2027" s="182"/>
      <c r="E2027" s="182"/>
      <c r="F2027" s="182"/>
      <c r="G2027" s="450" t="str">
        <f t="shared" si="102"/>
        <v>--</v>
      </c>
      <c r="H2027" s="182"/>
      <c r="I2027" s="440"/>
      <c r="J2027" s="892"/>
      <c r="K2027" s="259"/>
      <c r="L2027" s="259" t="s">
        <v>46</v>
      </c>
      <c r="M2027" s="893">
        <f>SUM(M2024:M2026)</f>
        <v>1</v>
      </c>
      <c r="N2027" s="894"/>
      <c r="O2027" s="894">
        <f>SUM(O2024:O2026)</f>
        <v>0</v>
      </c>
      <c r="P2027" s="274"/>
      <c r="Q2027" s="895">
        <v>0</v>
      </c>
      <c r="R2027" s="114"/>
      <c r="S2027" s="884"/>
      <c r="T2027" s="270"/>
      <c r="U2027" s="270"/>
      <c r="V2027" s="270"/>
      <c r="W2027" s="270"/>
      <c r="X2027" s="270"/>
      <c r="Y2027" s="270"/>
      <c r="Z2027" s="270"/>
      <c r="AA2027" s="270"/>
    </row>
    <row r="2028" spans="3:27" x14ac:dyDescent="0.3">
      <c r="C2028" s="450"/>
      <c r="D2028" s="182"/>
      <c r="E2028" s="182"/>
      <c r="F2028" s="182"/>
      <c r="G2028" s="450" t="str">
        <f t="shared" si="102"/>
        <v>--</v>
      </c>
      <c r="H2028" s="182"/>
      <c r="I2028" s="892"/>
      <c r="J2028" s="288"/>
      <c r="K2028" s="182"/>
      <c r="L2028" s="182"/>
      <c r="M2028" s="270"/>
      <c r="N2028" s="892"/>
      <c r="O2028" s="892"/>
      <c r="P2028" s="275"/>
      <c r="Q2028" s="895">
        <v>0</v>
      </c>
      <c r="R2028" s="114"/>
      <c r="S2028" s="884"/>
      <c r="T2028" s="270"/>
      <c r="U2028" s="270"/>
      <c r="V2028" s="270"/>
      <c r="W2028" s="270"/>
      <c r="X2028" s="270"/>
      <c r="Y2028" s="270"/>
      <c r="Z2028" s="270"/>
      <c r="AA2028" s="270"/>
    </row>
    <row r="2029" spans="3:27" x14ac:dyDescent="0.3">
      <c r="C2029" s="450"/>
      <c r="D2029" s="182"/>
      <c r="E2029" s="182"/>
      <c r="F2029" s="182"/>
      <c r="G2029" s="450" t="str">
        <f t="shared" si="102"/>
        <v>--</v>
      </c>
      <c r="H2029" s="182"/>
      <c r="I2029" s="892"/>
      <c r="J2029" s="288"/>
      <c r="K2029" s="182"/>
      <c r="L2029" s="182"/>
      <c r="M2029" s="270"/>
      <c r="N2029" s="892"/>
      <c r="O2029" s="892"/>
      <c r="P2029" s="269"/>
      <c r="Q2029" s="895">
        <v>0</v>
      </c>
      <c r="R2029" s="114"/>
      <c r="S2029" s="884"/>
      <c r="T2029" s="270"/>
      <c r="U2029" s="270"/>
      <c r="V2029" s="270"/>
      <c r="W2029" s="270"/>
      <c r="X2029" s="270"/>
      <c r="Y2029" s="270"/>
      <c r="Z2029" s="270"/>
      <c r="AA2029" s="270"/>
    </row>
    <row r="2030" spans="3:27" x14ac:dyDescent="0.3">
      <c r="C2030" s="450"/>
      <c r="D2030" s="182"/>
      <c r="E2030" s="182"/>
      <c r="F2030" s="182"/>
      <c r="G2030" s="450" t="str">
        <f t="shared" si="102"/>
        <v>--</v>
      </c>
      <c r="H2030" s="182"/>
      <c r="I2030" s="892"/>
      <c r="J2030" s="288"/>
      <c r="K2030" s="182"/>
      <c r="L2030" s="182"/>
      <c r="M2030" s="270"/>
      <c r="N2030" s="892"/>
      <c r="O2030" s="892"/>
      <c r="P2030" s="263" t="s">
        <v>46</v>
      </c>
      <c r="Q2030" s="897">
        <f>SUM(Q2024:Q2029)</f>
        <v>1</v>
      </c>
      <c r="R2030" s="899"/>
      <c r="S2030" s="900"/>
      <c r="T2030" s="270"/>
      <c r="U2030" s="270"/>
      <c r="V2030" s="270"/>
      <c r="W2030" s="270"/>
      <c r="X2030" s="270"/>
      <c r="Y2030" s="270"/>
      <c r="Z2030" s="270"/>
      <c r="AA2030" s="270"/>
    </row>
    <row r="2031" spans="3:27" x14ac:dyDescent="0.3">
      <c r="C2031" s="450"/>
      <c r="D2031" s="182"/>
      <c r="E2031" s="182"/>
      <c r="F2031" s="182"/>
      <c r="G2031" s="450" t="str">
        <f t="shared" si="102"/>
        <v>--</v>
      </c>
      <c r="H2031" s="182"/>
      <c r="I2031" s="892"/>
      <c r="J2031" s="288"/>
      <c r="K2031" s="182"/>
      <c r="L2031" s="182"/>
      <c r="M2031" s="270"/>
      <c r="N2031" s="892"/>
      <c r="O2031" s="892"/>
      <c r="P2031" s="259"/>
      <c r="Q2031" s="114"/>
      <c r="R2031" s="114"/>
      <c r="S2031" s="114"/>
      <c r="T2031" s="270"/>
      <c r="U2031" s="270"/>
      <c r="V2031" s="270"/>
      <c r="W2031" s="270"/>
      <c r="X2031" s="270"/>
      <c r="Y2031" s="270"/>
      <c r="Z2031" s="270"/>
      <c r="AA2031" s="270"/>
    </row>
    <row r="2032" spans="3:27" ht="15" thickBot="1" x14ac:dyDescent="0.35">
      <c r="C2032" s="450"/>
      <c r="D2032" s="182"/>
      <c r="E2032" s="182"/>
      <c r="F2032" s="182"/>
      <c r="G2032" s="450" t="str">
        <f t="shared" si="102"/>
        <v>--</v>
      </c>
      <c r="H2032" s="182"/>
      <c r="I2032" s="892"/>
      <c r="J2032" s="892"/>
      <c r="K2032" s="182"/>
      <c r="L2032" s="182"/>
      <c r="M2032" s="901" t="s">
        <v>155</v>
      </c>
      <c r="N2032" s="870" t="s">
        <v>188</v>
      </c>
      <c r="O2032" s="870"/>
      <c r="P2032" s="276" t="s">
        <v>21</v>
      </c>
      <c r="Q2032" s="871" t="s">
        <v>155</v>
      </c>
      <c r="R2032" s="902"/>
      <c r="S2032" s="874"/>
      <c r="T2032" s="270"/>
      <c r="U2032" s="270"/>
      <c r="V2032" s="270"/>
      <c r="W2032" s="270"/>
      <c r="X2032" s="270"/>
      <c r="Y2032" s="270"/>
      <c r="Z2032" s="270"/>
      <c r="AA2032" s="270"/>
    </row>
    <row r="2033" spans="3:31" ht="15" thickBot="1" x14ac:dyDescent="0.35">
      <c r="C2033" s="566" t="s">
        <v>96</v>
      </c>
      <c r="D2033" s="875" t="str">
        <f>VLOOKUP(C2033,'Airport Mapping'!$C$5:$D$39,2,FALSE)</f>
        <v xml:space="preserve"> </v>
      </c>
      <c r="E2033" s="567" t="s">
        <v>43</v>
      </c>
      <c r="F2033" s="567" t="s">
        <v>21</v>
      </c>
      <c r="G2033" s="450" t="str">
        <f t="shared" si="102"/>
        <v>Hotel A-Maintenance-Laundry</v>
      </c>
      <c r="H2033" s="567" t="s">
        <v>17</v>
      </c>
      <c r="I2033" s="877" t="s">
        <v>64</v>
      </c>
      <c r="J2033" s="878">
        <f>SUMIFS('Level of Efficiency Assumptions'!J:J,'Level of Efficiency Assumptions'!D:D,E2033,'Level of Efficiency Assumptions'!F:F,F2033,'Level of Efficiency Assumptions'!I:I,I2033)</f>
        <v>3.5</v>
      </c>
      <c r="K2033" s="383" t="s">
        <v>235</v>
      </c>
      <c r="L2033" s="253" t="s">
        <v>64</v>
      </c>
      <c r="M2033" s="879">
        <f>SUM(Q2033:Q2034)</f>
        <v>0</v>
      </c>
      <c r="N2033" s="880">
        <f>IFERROR(M2033/M2036,"-")</f>
        <v>0</v>
      </c>
      <c r="O2033" s="881">
        <f>SUMIFS('Data Entry'!R:R,'Data Entry'!K:K,G2033)</f>
        <v>0</v>
      </c>
      <c r="P2033" s="272"/>
      <c r="Q2033" s="895">
        <v>0</v>
      </c>
      <c r="R2033" s="114"/>
      <c r="S2033" s="884"/>
      <c r="T2033" s="270"/>
      <c r="U2033" s="270"/>
      <c r="V2033" s="270"/>
      <c r="W2033" s="270"/>
      <c r="X2033" s="270"/>
      <c r="Y2033" s="270"/>
      <c r="Z2033" s="270"/>
      <c r="AA2033" s="270"/>
    </row>
    <row r="2034" spans="3:31" ht="15" thickBot="1" x14ac:dyDescent="0.35">
      <c r="C2034" s="494" t="s">
        <v>96</v>
      </c>
      <c r="D2034" s="577"/>
      <c r="E2034" s="577" t="s">
        <v>43</v>
      </c>
      <c r="F2034" s="577" t="s">
        <v>21</v>
      </c>
      <c r="G2034" s="450" t="str">
        <f t="shared" si="102"/>
        <v>Hotel A-Maintenance-Laundry</v>
      </c>
      <c r="H2034" s="577"/>
      <c r="I2034" s="887" t="s">
        <v>65</v>
      </c>
      <c r="J2034" s="878">
        <f>SUMIFS('Level of Efficiency Assumptions'!J:J,'Level of Efficiency Assumptions'!D:D,E2034,'Level of Efficiency Assumptions'!F:F,F2034,'Level of Efficiency Assumptions'!I:I,I2034)</f>
        <v>2.5</v>
      </c>
      <c r="K2034" s="383" t="s">
        <v>235</v>
      </c>
      <c r="L2034" s="255" t="s">
        <v>65</v>
      </c>
      <c r="M2034" s="879">
        <f>Q2035+Q2036</f>
        <v>1</v>
      </c>
      <c r="N2034" s="880">
        <f>IFERROR(M2034/M2036,"-")</f>
        <v>1</v>
      </c>
      <c r="O2034" s="881">
        <f>SUMIFS('Data Entry'!S:S,'Data Entry'!K:K,G2034)</f>
        <v>0</v>
      </c>
      <c r="P2034" s="272"/>
      <c r="Q2034" s="895">
        <v>0</v>
      </c>
      <c r="R2034" s="114"/>
      <c r="S2034" s="884"/>
      <c r="T2034" s="270"/>
      <c r="U2034" s="270"/>
      <c r="V2034" s="270"/>
      <c r="W2034" s="270"/>
      <c r="X2034" s="270"/>
      <c r="Y2034" s="270"/>
      <c r="Z2034" s="270"/>
      <c r="AA2034" s="270"/>
    </row>
    <row r="2035" spans="3:31" ht="15" thickBot="1" x14ac:dyDescent="0.35">
      <c r="C2035" s="501" t="s">
        <v>96</v>
      </c>
      <c r="D2035" s="116"/>
      <c r="E2035" s="116" t="s">
        <v>43</v>
      </c>
      <c r="F2035" s="116" t="s">
        <v>21</v>
      </c>
      <c r="G2035" s="450" t="str">
        <f t="shared" si="102"/>
        <v>Hotel A-Maintenance-Laundry</v>
      </c>
      <c r="H2035" s="116"/>
      <c r="I2035" s="889" t="s">
        <v>66</v>
      </c>
      <c r="J2035" s="890">
        <f>SUMIFS('Level of Efficiency Assumptions'!J:J,'Level of Efficiency Assumptions'!D:D,E2035,'Level of Efficiency Assumptions'!F:F,F2035,'Level of Efficiency Assumptions'!I:I,I2035)</f>
        <v>1.5</v>
      </c>
      <c r="K2035" s="383" t="s">
        <v>235</v>
      </c>
      <c r="L2035" s="257" t="s">
        <v>66</v>
      </c>
      <c r="M2035" s="879">
        <f>Q2037+Q2038</f>
        <v>0</v>
      </c>
      <c r="N2035" s="880">
        <f>IFERROR(M2035/M2036,"-")</f>
        <v>0</v>
      </c>
      <c r="O2035" s="881">
        <f>SUMIFS('Data Entry'!T:T,'Data Entry'!K:K,G2035)</f>
        <v>0</v>
      </c>
      <c r="P2035" s="274"/>
      <c r="Q2035" s="895">
        <v>1</v>
      </c>
      <c r="R2035" s="114"/>
      <c r="S2035" s="884"/>
      <c r="T2035" s="270"/>
      <c r="U2035" s="270"/>
      <c r="V2035" s="270"/>
      <c r="W2035" s="270"/>
      <c r="X2035" s="270"/>
      <c r="Y2035" s="270"/>
      <c r="Z2035" s="270"/>
      <c r="AA2035" s="270"/>
    </row>
    <row r="2036" spans="3:31" x14ac:dyDescent="0.3">
      <c r="C2036" s="450"/>
      <c r="D2036" s="182"/>
      <c r="E2036" s="182"/>
      <c r="F2036" s="182"/>
      <c r="G2036" s="450" t="str">
        <f t="shared" si="102"/>
        <v>--</v>
      </c>
      <c r="H2036" s="182"/>
      <c r="I2036" s="440"/>
      <c r="J2036" s="892"/>
      <c r="K2036" s="259"/>
      <c r="L2036" s="259" t="s">
        <v>46</v>
      </c>
      <c r="M2036" s="893">
        <f>SUM(M2033:M2035)</f>
        <v>1</v>
      </c>
      <c r="N2036" s="894"/>
      <c r="O2036" s="894">
        <f>SUM(O2033:O2035)</f>
        <v>0</v>
      </c>
      <c r="P2036" s="274"/>
      <c r="Q2036" s="895">
        <v>0</v>
      </c>
      <c r="R2036" s="114"/>
      <c r="S2036" s="884"/>
      <c r="T2036" s="270"/>
      <c r="U2036" s="270"/>
      <c r="V2036" s="270"/>
      <c r="W2036" s="270"/>
      <c r="X2036" s="270"/>
      <c r="Y2036" s="270"/>
      <c r="Z2036" s="270"/>
      <c r="AA2036" s="270"/>
    </row>
    <row r="2037" spans="3:31" x14ac:dyDescent="0.3">
      <c r="C2037" s="450"/>
      <c r="D2037" s="182"/>
      <c r="E2037" s="182"/>
      <c r="F2037" s="182"/>
      <c r="G2037" s="450" t="str">
        <f t="shared" si="102"/>
        <v>--</v>
      </c>
      <c r="H2037" s="182"/>
      <c r="I2037" s="892"/>
      <c r="J2037" s="288"/>
      <c r="K2037" s="182"/>
      <c r="L2037" s="182"/>
      <c r="M2037" s="270"/>
      <c r="N2037" s="892"/>
      <c r="O2037" s="892"/>
      <c r="P2037" s="275"/>
      <c r="Q2037" s="895">
        <v>0</v>
      </c>
      <c r="R2037" s="114"/>
      <c r="S2037" s="884"/>
      <c r="T2037" s="270"/>
      <c r="U2037" s="270"/>
      <c r="V2037" s="270"/>
      <c r="W2037" s="270"/>
      <c r="X2037" s="270"/>
      <c r="Y2037" s="270"/>
      <c r="Z2037" s="270"/>
      <c r="AA2037" s="270"/>
    </row>
    <row r="2038" spans="3:31" x14ac:dyDescent="0.3">
      <c r="C2038" s="450"/>
      <c r="D2038" s="182"/>
      <c r="E2038" s="182"/>
      <c r="F2038" s="182"/>
      <c r="G2038" s="450" t="str">
        <f t="shared" si="102"/>
        <v>--</v>
      </c>
      <c r="H2038" s="182"/>
      <c r="I2038" s="892"/>
      <c r="J2038" s="288"/>
      <c r="K2038" s="182"/>
      <c r="L2038" s="182"/>
      <c r="M2038" s="270"/>
      <c r="N2038" s="892"/>
      <c r="O2038" s="892"/>
      <c r="P2038" s="269"/>
      <c r="Q2038" s="895">
        <v>0</v>
      </c>
      <c r="R2038" s="114"/>
      <c r="S2038" s="884"/>
      <c r="T2038" s="270"/>
      <c r="U2038" s="270"/>
      <c r="V2038" s="270"/>
      <c r="W2038" s="270"/>
      <c r="X2038" s="270"/>
      <c r="Y2038" s="270"/>
      <c r="Z2038" s="270"/>
      <c r="AA2038" s="270"/>
    </row>
    <row r="2039" spans="3:31" x14ac:dyDescent="0.3">
      <c r="C2039" s="450"/>
      <c r="D2039" s="182"/>
      <c r="E2039" s="182"/>
      <c r="F2039" s="182"/>
      <c r="G2039" s="450" t="str">
        <f t="shared" si="102"/>
        <v>--</v>
      </c>
      <c r="H2039" s="182"/>
      <c r="I2039" s="892"/>
      <c r="J2039" s="288"/>
      <c r="K2039" s="182"/>
      <c r="L2039" s="182"/>
      <c r="M2039" s="270"/>
      <c r="N2039" s="892"/>
      <c r="O2039" s="892"/>
      <c r="P2039" s="263" t="s">
        <v>46</v>
      </c>
      <c r="Q2039" s="897">
        <f>SUM(Q2033:Q2038)</f>
        <v>1</v>
      </c>
      <c r="R2039" s="899"/>
      <c r="S2039" s="900"/>
      <c r="T2039" s="270"/>
      <c r="U2039" s="270"/>
      <c r="V2039" s="270"/>
      <c r="W2039" s="270"/>
      <c r="X2039" s="270"/>
      <c r="Y2039" s="270"/>
      <c r="Z2039" s="270"/>
      <c r="AA2039" s="270"/>
    </row>
    <row r="2040" spans="3:31" x14ac:dyDescent="0.3">
      <c r="C2040" s="450"/>
      <c r="D2040" s="182"/>
      <c r="E2040" s="182"/>
      <c r="F2040" s="182"/>
      <c r="G2040" s="450" t="str">
        <f t="shared" si="102"/>
        <v>--</v>
      </c>
      <c r="H2040" s="182"/>
      <c r="I2040" s="892"/>
      <c r="J2040" s="288"/>
      <c r="K2040" s="182"/>
      <c r="L2040" s="270"/>
      <c r="M2040" s="270"/>
      <c r="N2040" s="923"/>
      <c r="O2040" s="923"/>
      <c r="P2040" s="270"/>
      <c r="Q2040" s="270"/>
      <c r="R2040" s="270"/>
      <c r="S2040" s="270"/>
      <c r="T2040" s="270"/>
      <c r="U2040" s="270"/>
      <c r="V2040" s="270"/>
      <c r="W2040" s="270"/>
      <c r="X2040" s="270"/>
      <c r="Y2040" s="270"/>
      <c r="Z2040" s="270"/>
      <c r="AA2040" s="270"/>
    </row>
    <row r="2041" spans="3:31" x14ac:dyDescent="0.3">
      <c r="C2041" s="450"/>
      <c r="D2041" s="182"/>
      <c r="E2041" s="182"/>
      <c r="F2041" s="182"/>
      <c r="G2041" s="450" t="str">
        <f t="shared" si="102"/>
        <v>--</v>
      </c>
      <c r="H2041" s="182"/>
      <c r="I2041" s="892"/>
      <c r="J2041" s="288"/>
      <c r="K2041" s="182"/>
      <c r="L2041" s="182"/>
      <c r="M2041" s="270"/>
      <c r="N2041" s="892"/>
      <c r="O2041" s="892"/>
      <c r="P2041" s="276" t="s">
        <v>42</v>
      </c>
      <c r="Q2041" s="902"/>
      <c r="R2041" s="902"/>
      <c r="S2041" s="902"/>
      <c r="T2041" s="271"/>
      <c r="U2041" s="114"/>
      <c r="V2041" s="114"/>
      <c r="W2041" s="270"/>
      <c r="X2041" s="270"/>
      <c r="Y2041" s="270"/>
      <c r="Z2041" s="270"/>
      <c r="AA2041" s="270"/>
    </row>
    <row r="2042" spans="3:31" ht="15" thickBot="1" x14ac:dyDescent="0.35">
      <c r="C2042" s="450"/>
      <c r="D2042" s="182"/>
      <c r="E2042" s="182"/>
      <c r="F2042" s="182"/>
      <c r="G2042" s="450" t="str">
        <f t="shared" si="102"/>
        <v>--</v>
      </c>
      <c r="H2042" s="182"/>
      <c r="I2042" s="892"/>
      <c r="J2042" s="892"/>
      <c r="K2042" s="182"/>
      <c r="L2042" s="182"/>
      <c r="M2042" s="901" t="s">
        <v>155</v>
      </c>
      <c r="N2042" s="870" t="s">
        <v>188</v>
      </c>
      <c r="O2042" s="870"/>
      <c r="P2042" s="277" t="s">
        <v>818</v>
      </c>
      <c r="Q2042" s="871" t="s">
        <v>155</v>
      </c>
      <c r="R2042" s="114"/>
      <c r="S2042" s="114"/>
      <c r="T2042" s="271"/>
      <c r="U2042" s="114"/>
      <c r="V2042" s="114"/>
      <c r="W2042" s="270"/>
      <c r="X2042" s="270"/>
      <c r="Y2042" s="270"/>
      <c r="Z2042" s="270"/>
      <c r="AA2042" s="270"/>
    </row>
    <row r="2043" spans="3:31" ht="15" thickBot="1" x14ac:dyDescent="0.35">
      <c r="C2043" s="566" t="s">
        <v>96</v>
      </c>
      <c r="D2043" s="875" t="str">
        <f>VLOOKUP(C2043,'Airport Mapping'!$C$5:$D$39,2,FALSE)</f>
        <v xml:space="preserve"> </v>
      </c>
      <c r="E2043" s="567" t="s">
        <v>39</v>
      </c>
      <c r="F2043" s="567" t="s">
        <v>42</v>
      </c>
      <c r="G2043" s="450" t="str">
        <f t="shared" si="102"/>
        <v>Hotel A-Landscaping-Outdoor irrigation</v>
      </c>
      <c r="H2043" s="567" t="s">
        <v>32</v>
      </c>
      <c r="I2043" s="877" t="s">
        <v>64</v>
      </c>
      <c r="J2043" s="878">
        <f>SUMIFS('Level of Efficiency Assumptions'!J:J,'Level of Efficiency Assumptions'!D:D,E2043,'Level of Efficiency Assumptions'!F:F,F2043,'Level of Efficiency Assumptions'!I:I,I2043)</f>
        <v>28.6</v>
      </c>
      <c r="K2043" s="383" t="s">
        <v>816</v>
      </c>
      <c r="L2043" s="253" t="s">
        <v>64</v>
      </c>
      <c r="M2043" s="879">
        <f>SUM(Q2043:Q2044)</f>
        <v>0</v>
      </c>
      <c r="N2043" s="880">
        <f>IFERROR(M2043/M2046,"-")</f>
        <v>0</v>
      </c>
      <c r="O2043" s="881">
        <f>SUMIFS('Data Entry'!R:R,'Data Entry'!K:K,G2043)</f>
        <v>0</v>
      </c>
      <c r="P2043" s="272" t="s">
        <v>237</v>
      </c>
      <c r="Q2043" s="895">
        <v>0</v>
      </c>
      <c r="R2043" s="114"/>
      <c r="S2043" s="114"/>
      <c r="T2043" s="271"/>
      <c r="U2043" s="114"/>
      <c r="V2043" s="114"/>
      <c r="W2043" s="270"/>
      <c r="X2043" s="270"/>
      <c r="Y2043" s="270"/>
      <c r="Z2043" s="270"/>
      <c r="AA2043" s="270"/>
    </row>
    <row r="2044" spans="3:31" ht="15" thickBot="1" x14ac:dyDescent="0.35">
      <c r="C2044" s="494" t="s">
        <v>96</v>
      </c>
      <c r="D2044" s="577"/>
      <c r="E2044" s="577" t="s">
        <v>39</v>
      </c>
      <c r="F2044" s="577" t="s">
        <v>42</v>
      </c>
      <c r="G2044" s="450" t="str">
        <f t="shared" si="102"/>
        <v>Hotel A-Landscaping-Outdoor irrigation</v>
      </c>
      <c r="H2044" s="577"/>
      <c r="I2044" s="887" t="s">
        <v>65</v>
      </c>
      <c r="J2044" s="878">
        <f>SUMIFS('Level of Efficiency Assumptions'!J:J,'Level of Efficiency Assumptions'!D:D,E2044,'Level of Efficiency Assumptions'!F:F,F2044,'Level of Efficiency Assumptions'!I:I,I2044)</f>
        <v>13.980821518350929</v>
      </c>
      <c r="K2044" s="383" t="s">
        <v>816</v>
      </c>
      <c r="L2044" s="255" t="s">
        <v>65</v>
      </c>
      <c r="M2044" s="879">
        <f>Q2045+Q2046</f>
        <v>1</v>
      </c>
      <c r="N2044" s="880">
        <f>IFERROR(M2044/M2046,"-")</f>
        <v>1</v>
      </c>
      <c r="O2044" s="881">
        <f>SUMIFS('Data Entry'!S:S,'Data Entry'!K:K,G2044)</f>
        <v>0</v>
      </c>
      <c r="P2044" s="272" t="s">
        <v>232</v>
      </c>
      <c r="Q2044" s="895">
        <v>0</v>
      </c>
      <c r="R2044" s="114"/>
      <c r="S2044" s="114"/>
      <c r="T2044" s="271"/>
      <c r="U2044" s="114"/>
      <c r="V2044" s="114"/>
      <c r="W2044" s="270"/>
      <c r="X2044" s="270"/>
      <c r="Y2044" s="270"/>
      <c r="Z2044" s="270"/>
      <c r="AA2044" s="270"/>
    </row>
    <row r="2045" spans="3:31" s="45" customFormat="1" ht="15" thickBot="1" x14ac:dyDescent="0.35">
      <c r="C2045" s="501" t="s">
        <v>96</v>
      </c>
      <c r="D2045" s="116"/>
      <c r="E2045" s="116" t="s">
        <v>39</v>
      </c>
      <c r="F2045" s="116" t="s">
        <v>42</v>
      </c>
      <c r="G2045" s="450" t="str">
        <f t="shared" si="102"/>
        <v>Hotel A-Landscaping-Outdoor irrigation</v>
      </c>
      <c r="H2045" s="116"/>
      <c r="I2045" s="889" t="s">
        <v>66</v>
      </c>
      <c r="J2045" s="890">
        <f>SUMIFS('Level of Efficiency Assumptions'!J:J,'Level of Efficiency Assumptions'!D:D,E2045,'Level of Efficiency Assumptions'!F:F,F2045,'Level of Efficiency Assumptions'!I:I,I2045)</f>
        <v>0.59137254901960778</v>
      </c>
      <c r="K2045" s="383" t="s">
        <v>816</v>
      </c>
      <c r="L2045" s="257" t="s">
        <v>66</v>
      </c>
      <c r="M2045" s="879">
        <f>Q2047+Q2048</f>
        <v>0</v>
      </c>
      <c r="N2045" s="880">
        <f>IFERROR(M2045/M2046,"-")</f>
        <v>0</v>
      </c>
      <c r="O2045" s="881">
        <f>SUMIFS('Data Entry'!T:T,'Data Entry'!K:K,G2045)</f>
        <v>0</v>
      </c>
      <c r="P2045" s="274" t="s">
        <v>231</v>
      </c>
      <c r="Q2045" s="895">
        <v>1</v>
      </c>
      <c r="R2045" s="114"/>
      <c r="S2045" s="114"/>
      <c r="T2045" s="271"/>
      <c r="U2045" s="114"/>
      <c r="V2045" s="114"/>
      <c r="W2045" s="270"/>
      <c r="X2045" s="270"/>
      <c r="Y2045" s="270"/>
      <c r="Z2045" s="270"/>
      <c r="AA2045" s="114"/>
      <c r="AB2045" s="85"/>
      <c r="AC2045" s="85"/>
      <c r="AD2045" s="85"/>
      <c r="AE2045" s="85"/>
    </row>
    <row r="2046" spans="3:31" s="45" customFormat="1" x14ac:dyDescent="0.3">
      <c r="C2046" s="450"/>
      <c r="D2046" s="182"/>
      <c r="E2046" s="182"/>
      <c r="F2046" s="182"/>
      <c r="G2046" s="450" t="str">
        <f t="shared" si="102"/>
        <v>--</v>
      </c>
      <c r="H2046" s="182"/>
      <c r="I2046" s="440"/>
      <c r="J2046" s="892"/>
      <c r="K2046" s="259"/>
      <c r="L2046" s="259" t="s">
        <v>46</v>
      </c>
      <c r="M2046" s="893">
        <f>SUM(M2043:M2045)</f>
        <v>1</v>
      </c>
      <c r="N2046" s="894"/>
      <c r="O2046" s="894">
        <f>SUM(O2043:O2045)</f>
        <v>0</v>
      </c>
      <c r="P2046" s="274" t="s">
        <v>230</v>
      </c>
      <c r="Q2046" s="895">
        <v>0</v>
      </c>
      <c r="R2046" s="114"/>
      <c r="S2046" s="114"/>
      <c r="T2046" s="271"/>
      <c r="U2046" s="114"/>
      <c r="V2046" s="114"/>
      <c r="W2046" s="270"/>
      <c r="X2046" s="270"/>
      <c r="Y2046" s="270"/>
      <c r="Z2046" s="270"/>
      <c r="AA2046" s="114"/>
      <c r="AB2046" s="85"/>
      <c r="AC2046" s="85"/>
      <c r="AD2046" s="85"/>
      <c r="AE2046" s="85"/>
    </row>
    <row r="2047" spans="3:31" s="45" customFormat="1" x14ac:dyDescent="0.3">
      <c r="C2047" s="450"/>
      <c r="D2047" s="182"/>
      <c r="E2047" s="182"/>
      <c r="F2047" s="182"/>
      <c r="G2047" s="450" t="str">
        <f t="shared" si="102"/>
        <v>--</v>
      </c>
      <c r="H2047" s="182"/>
      <c r="I2047" s="892"/>
      <c r="J2047" s="288"/>
      <c r="K2047" s="182"/>
      <c r="L2047" s="182"/>
      <c r="M2047" s="270"/>
      <c r="N2047" s="892"/>
      <c r="O2047" s="892"/>
      <c r="P2047" s="275" t="s">
        <v>229</v>
      </c>
      <c r="Q2047" s="895">
        <v>0</v>
      </c>
      <c r="R2047" s="114"/>
      <c r="S2047" s="114"/>
      <c r="T2047" s="271"/>
      <c r="U2047" s="114"/>
      <c r="V2047" s="114"/>
      <c r="W2047" s="270"/>
      <c r="X2047" s="270"/>
      <c r="Y2047" s="270"/>
      <c r="Z2047" s="270"/>
      <c r="AA2047" s="114"/>
      <c r="AB2047" s="85"/>
      <c r="AC2047" s="85"/>
      <c r="AD2047" s="85"/>
      <c r="AE2047" s="85"/>
    </row>
    <row r="2048" spans="3:31" s="45" customFormat="1" x14ac:dyDescent="0.3">
      <c r="C2048" s="450"/>
      <c r="D2048" s="182"/>
      <c r="E2048" s="182"/>
      <c r="F2048" s="182"/>
      <c r="G2048" s="450" t="str">
        <f t="shared" si="102"/>
        <v>--</v>
      </c>
      <c r="H2048" s="182"/>
      <c r="I2048" s="892"/>
      <c r="J2048" s="288"/>
      <c r="K2048" s="182"/>
      <c r="L2048" s="182"/>
      <c r="M2048" s="270"/>
      <c r="N2048" s="892"/>
      <c r="O2048" s="892"/>
      <c r="P2048" s="269" t="s">
        <v>225</v>
      </c>
      <c r="Q2048" s="895">
        <v>0</v>
      </c>
      <c r="R2048" s="114"/>
      <c r="S2048" s="114"/>
      <c r="T2048" s="271"/>
      <c r="U2048" s="114"/>
      <c r="V2048" s="114"/>
      <c r="W2048" s="270"/>
      <c r="X2048" s="270"/>
      <c r="Y2048" s="270"/>
      <c r="Z2048" s="270"/>
      <c r="AA2048" s="114"/>
      <c r="AB2048" s="85"/>
      <c r="AC2048" s="85"/>
      <c r="AD2048" s="85"/>
      <c r="AE2048" s="85"/>
    </row>
    <row r="2049" spans="3:31" s="45" customFormat="1" x14ac:dyDescent="0.3">
      <c r="C2049" s="450"/>
      <c r="D2049" s="182"/>
      <c r="E2049" s="182"/>
      <c r="F2049" s="182"/>
      <c r="G2049" s="450" t="str">
        <f t="shared" si="102"/>
        <v>--</v>
      </c>
      <c r="H2049" s="182"/>
      <c r="I2049" s="892"/>
      <c r="J2049" s="288"/>
      <c r="K2049" s="182"/>
      <c r="L2049" s="182"/>
      <c r="M2049" s="270"/>
      <c r="N2049" s="892"/>
      <c r="O2049" s="892"/>
      <c r="P2049" s="263" t="s">
        <v>46</v>
      </c>
      <c r="Q2049" s="897">
        <f>SUM(Q2043:Q2048)</f>
        <v>1</v>
      </c>
      <c r="R2049" s="899"/>
      <c r="S2049" s="899"/>
      <c r="T2049" s="271"/>
      <c r="U2049" s="114"/>
      <c r="V2049" s="114"/>
      <c r="W2049" s="270"/>
      <c r="X2049" s="270"/>
      <c r="Y2049" s="270"/>
      <c r="Z2049" s="270"/>
      <c r="AA2049" s="114"/>
      <c r="AB2049" s="85"/>
      <c r="AC2049" s="85"/>
      <c r="AD2049" s="85"/>
      <c r="AE2049" s="85"/>
    </row>
    <row r="2050" spans="3:31" s="45" customFormat="1" x14ac:dyDescent="0.3">
      <c r="C2050" s="450"/>
      <c r="D2050" s="182"/>
      <c r="E2050" s="182"/>
      <c r="F2050" s="182"/>
      <c r="G2050" s="450" t="str">
        <f t="shared" si="102"/>
        <v>--</v>
      </c>
      <c r="H2050" s="182"/>
      <c r="I2050" s="892"/>
      <c r="J2050" s="288"/>
      <c r="K2050" s="182"/>
      <c r="L2050" s="211"/>
      <c r="M2050" s="114"/>
      <c r="N2050" s="905"/>
      <c r="O2050" s="926"/>
      <c r="P2050" s="211"/>
      <c r="Q2050" s="114"/>
      <c r="R2050" s="211"/>
      <c r="S2050" s="211"/>
      <c r="T2050" s="270"/>
      <c r="U2050" s="270"/>
      <c r="V2050" s="270"/>
      <c r="W2050" s="270"/>
      <c r="X2050" s="270"/>
      <c r="Y2050" s="270"/>
      <c r="Z2050" s="270"/>
      <c r="AA2050" s="114"/>
      <c r="AB2050" s="85"/>
      <c r="AC2050" s="85"/>
      <c r="AD2050" s="85"/>
      <c r="AE2050" s="85"/>
    </row>
    <row r="2051" spans="3:31" s="45" customFormat="1" ht="15" thickBot="1" x14ac:dyDescent="0.35">
      <c r="C2051" s="450"/>
      <c r="D2051" s="182"/>
      <c r="E2051" s="182"/>
      <c r="F2051" s="182"/>
      <c r="G2051" s="450" t="str">
        <f t="shared" si="102"/>
        <v>--</v>
      </c>
      <c r="H2051" s="182"/>
      <c r="I2051" s="892"/>
      <c r="J2051" s="892"/>
      <c r="K2051" s="182"/>
      <c r="L2051" s="182"/>
      <c r="M2051" s="901" t="s">
        <v>155</v>
      </c>
      <c r="N2051" s="870" t="s">
        <v>188</v>
      </c>
      <c r="O2051" s="870"/>
      <c r="P2051" s="276" t="s">
        <v>52</v>
      </c>
      <c r="Q2051" s="871" t="s">
        <v>155</v>
      </c>
      <c r="R2051" s="902"/>
      <c r="S2051" s="874"/>
      <c r="T2051" s="270"/>
      <c r="U2051" s="270"/>
      <c r="V2051" s="270"/>
      <c r="W2051" s="270"/>
      <c r="X2051" s="270"/>
      <c r="Y2051" s="114"/>
      <c r="Z2051" s="114"/>
      <c r="AA2051" s="114"/>
      <c r="AB2051" s="85"/>
      <c r="AC2051" s="85"/>
      <c r="AD2051" s="85"/>
      <c r="AE2051" s="85"/>
    </row>
    <row r="2052" spans="3:31" ht="15" thickBot="1" x14ac:dyDescent="0.35">
      <c r="C2052" s="566" t="s">
        <v>96</v>
      </c>
      <c r="D2052" s="875" t="str">
        <f>VLOOKUP(C2052,'Airport Mapping'!$C$5:$D$39,2,FALSE)</f>
        <v xml:space="preserve"> </v>
      </c>
      <c r="E2052" s="567" t="s">
        <v>8</v>
      </c>
      <c r="F2052" s="567" t="s">
        <v>52</v>
      </c>
      <c r="G2052" s="450" t="str">
        <f t="shared" si="102"/>
        <v>Hotel A-Other-Other 1</v>
      </c>
      <c r="H2052" s="567" t="s">
        <v>362</v>
      </c>
      <c r="I2052" s="877" t="s">
        <v>64</v>
      </c>
      <c r="J2052" s="878">
        <f>SUMIFS('Level of Efficiency Assumptions'!J:J,'Level of Efficiency Assumptions'!D:D,E2052,'Level of Efficiency Assumptions'!F:F,F2052,'Level of Efficiency Assumptions'!I:I,I2052)</f>
        <v>10</v>
      </c>
      <c r="K2052" s="383" t="s">
        <v>588</v>
      </c>
      <c r="L2052" s="253" t="s">
        <v>64</v>
      </c>
      <c r="M2052" s="879">
        <f>SUM(Q2052:Q2052)</f>
        <v>0</v>
      </c>
      <c r="N2052" s="880">
        <f>IFERROR(M2052/M2055,"-")</f>
        <v>0</v>
      </c>
      <c r="O2052" s="881">
        <f>SUMIFS('Data Entry'!R:R,'Data Entry'!K:K,G2052)</f>
        <v>0</v>
      </c>
      <c r="P2052" s="272" t="s">
        <v>129</v>
      </c>
      <c r="Q2052" s="895">
        <v>0</v>
      </c>
      <c r="R2052" s="114"/>
      <c r="S2052" s="884"/>
      <c r="T2052" s="270"/>
      <c r="U2052" s="270"/>
      <c r="V2052" s="270"/>
      <c r="W2052" s="270"/>
      <c r="X2052" s="270"/>
      <c r="Y2052" s="114"/>
      <c r="Z2052" s="114"/>
      <c r="AA2052" s="270"/>
    </row>
    <row r="2053" spans="3:31" ht="15" thickBot="1" x14ac:dyDescent="0.35">
      <c r="C2053" s="494" t="s">
        <v>96</v>
      </c>
      <c r="D2053" s="577"/>
      <c r="E2053" s="577" t="s">
        <v>8</v>
      </c>
      <c r="F2053" s="577" t="s">
        <v>52</v>
      </c>
      <c r="G2053" s="450" t="str">
        <f t="shared" si="102"/>
        <v>Hotel A-Other-Other 1</v>
      </c>
      <c r="H2053" s="577"/>
      <c r="I2053" s="887" t="s">
        <v>65</v>
      </c>
      <c r="J2053" s="878">
        <f>SUMIFS('Level of Efficiency Assumptions'!J:J,'Level of Efficiency Assumptions'!D:D,E2053,'Level of Efficiency Assumptions'!F:F,F2053,'Level of Efficiency Assumptions'!I:I,I2053)</f>
        <v>7.5</v>
      </c>
      <c r="K2053" s="383" t="s">
        <v>588</v>
      </c>
      <c r="L2053" s="255" t="s">
        <v>65</v>
      </c>
      <c r="M2053" s="879">
        <f t="shared" ref="M2053:M2054" si="103">SUM(Q2053:Q2053)</f>
        <v>1</v>
      </c>
      <c r="N2053" s="880">
        <f>IFERROR(M2053/M2055,"-")</f>
        <v>1</v>
      </c>
      <c r="O2053" s="881">
        <f>SUMIFS('Data Entry'!S:S,'Data Entry'!K:K,G2053)</f>
        <v>0</v>
      </c>
      <c r="P2053" s="274" t="s">
        <v>233</v>
      </c>
      <c r="Q2053" s="895">
        <v>1</v>
      </c>
      <c r="R2053" s="114"/>
      <c r="S2053" s="884"/>
      <c r="T2053" s="114"/>
      <c r="U2053" s="270"/>
      <c r="V2053" s="270"/>
      <c r="W2053" s="270"/>
      <c r="X2053" s="270"/>
      <c r="Y2053" s="114"/>
      <c r="Z2053" s="114"/>
      <c r="AA2053" s="270"/>
    </row>
    <row r="2054" spans="3:31" ht="15" thickBot="1" x14ac:dyDescent="0.35">
      <c r="C2054" s="501" t="s">
        <v>96</v>
      </c>
      <c r="D2054" s="116"/>
      <c r="E2054" s="116" t="s">
        <v>8</v>
      </c>
      <c r="F2054" s="116" t="s">
        <v>52</v>
      </c>
      <c r="G2054" s="450" t="str">
        <f t="shared" si="102"/>
        <v>Hotel A-Other-Other 1</v>
      </c>
      <c r="H2054" s="116"/>
      <c r="I2054" s="889" t="s">
        <v>66</v>
      </c>
      <c r="J2054" s="890">
        <f>SUMIFS('Level of Efficiency Assumptions'!J:J,'Level of Efficiency Assumptions'!D:D,E2054,'Level of Efficiency Assumptions'!F:F,F2054,'Level of Efficiency Assumptions'!I:I,I2054)</f>
        <v>5</v>
      </c>
      <c r="K2054" s="383" t="s">
        <v>588</v>
      </c>
      <c r="L2054" s="257" t="s">
        <v>66</v>
      </c>
      <c r="M2054" s="879">
        <f t="shared" si="103"/>
        <v>0</v>
      </c>
      <c r="N2054" s="880">
        <f>IFERROR(M2054/M2055,"-")</f>
        <v>0</v>
      </c>
      <c r="O2054" s="881">
        <f>SUMIFS('Data Entry'!T:T,'Data Entry'!K:K,G2054)</f>
        <v>0</v>
      </c>
      <c r="P2054" s="269" t="s">
        <v>234</v>
      </c>
      <c r="Q2054" s="895">
        <v>0</v>
      </c>
      <c r="R2054" s="114"/>
      <c r="S2054" s="884"/>
      <c r="T2054" s="270"/>
      <c r="U2054" s="270"/>
      <c r="V2054" s="270"/>
      <c r="W2054" s="270"/>
      <c r="X2054" s="270"/>
      <c r="Y2054" s="270"/>
      <c r="Z2054" s="270"/>
      <c r="AA2054" s="270"/>
    </row>
    <row r="2055" spans="3:31" x14ac:dyDescent="0.3">
      <c r="C2055" s="450"/>
      <c r="D2055" s="182"/>
      <c r="E2055" s="182"/>
      <c r="F2055" s="182"/>
      <c r="G2055" s="450" t="str">
        <f t="shared" si="102"/>
        <v>--</v>
      </c>
      <c r="H2055" s="182"/>
      <c r="I2055" s="440"/>
      <c r="J2055" s="892"/>
      <c r="K2055" s="259"/>
      <c r="L2055" s="259" t="s">
        <v>46</v>
      </c>
      <c r="M2055" s="893">
        <f>SUM(M2052:M2054)</f>
        <v>1</v>
      </c>
      <c r="N2055" s="894"/>
      <c r="O2055" s="894">
        <f>SUM(O2052:O2054)</f>
        <v>0</v>
      </c>
      <c r="P2055" s="263" t="s">
        <v>46</v>
      </c>
      <c r="Q2055" s="897">
        <f>SUM(Q2052:Q2054)</f>
        <v>1</v>
      </c>
      <c r="R2055" s="899"/>
      <c r="S2055" s="900"/>
      <c r="T2055" s="270"/>
      <c r="U2055" s="270"/>
      <c r="V2055" s="270"/>
      <c r="W2055" s="270"/>
      <c r="X2055" s="270"/>
      <c r="Y2055" s="270"/>
      <c r="Z2055" s="270"/>
      <c r="AA2055" s="270"/>
    </row>
    <row r="2056" spans="3:31" x14ac:dyDescent="0.3">
      <c r="C2056" s="450"/>
      <c r="D2056" s="182"/>
      <c r="E2056" s="182"/>
      <c r="F2056" s="182"/>
      <c r="G2056" s="450" t="str">
        <f t="shared" si="102"/>
        <v>--</v>
      </c>
      <c r="H2056" s="182"/>
      <c r="I2056" s="892"/>
      <c r="J2056" s="288"/>
      <c r="K2056" s="182"/>
      <c r="L2056" s="182"/>
      <c r="M2056" s="270"/>
      <c r="N2056" s="892"/>
      <c r="O2056" s="892"/>
      <c r="P2056" s="270"/>
      <c r="Q2056" s="270"/>
      <c r="R2056" s="270"/>
      <c r="S2056" s="270"/>
      <c r="T2056" s="270"/>
      <c r="U2056" s="270"/>
      <c r="V2056" s="270"/>
      <c r="W2056" s="270"/>
      <c r="X2056" s="270"/>
      <c r="Y2056" s="270"/>
      <c r="Z2056" s="270"/>
      <c r="AA2056" s="270"/>
    </row>
    <row r="2057" spans="3:31" ht="15" thickBot="1" x14ac:dyDescent="0.35">
      <c r="C2057" s="450"/>
      <c r="D2057" s="182"/>
      <c r="E2057" s="182"/>
      <c r="F2057" s="182"/>
      <c r="G2057" s="450" t="str">
        <f t="shared" si="102"/>
        <v>--</v>
      </c>
      <c r="H2057" s="182"/>
      <c r="I2057" s="892"/>
      <c r="J2057" s="892"/>
      <c r="K2057" s="182"/>
      <c r="L2057" s="182"/>
      <c r="M2057" s="901" t="s">
        <v>155</v>
      </c>
      <c r="N2057" s="870" t="s">
        <v>188</v>
      </c>
      <c r="O2057" s="870"/>
      <c r="P2057" s="276" t="s">
        <v>53</v>
      </c>
      <c r="Q2057" s="871" t="s">
        <v>155</v>
      </c>
      <c r="R2057" s="902"/>
      <c r="S2057" s="874"/>
      <c r="T2057" s="270"/>
      <c r="U2057" s="270"/>
      <c r="V2057" s="270"/>
      <c r="W2057" s="270"/>
      <c r="X2057" s="270"/>
      <c r="Y2057" s="270"/>
      <c r="Z2057" s="270"/>
      <c r="AA2057" s="270"/>
    </row>
    <row r="2058" spans="3:31" ht="15" thickBot="1" x14ac:dyDescent="0.35">
      <c r="C2058" s="566" t="s">
        <v>96</v>
      </c>
      <c r="D2058" s="875" t="str">
        <f>VLOOKUP(C2058,'Airport Mapping'!$C$5:$D$39,2,FALSE)</f>
        <v xml:space="preserve"> </v>
      </c>
      <c r="E2058" s="567" t="s">
        <v>8</v>
      </c>
      <c r="F2058" s="567" t="s">
        <v>53</v>
      </c>
      <c r="G2058" s="450" t="str">
        <f t="shared" si="102"/>
        <v>Hotel A-Other-Other 2</v>
      </c>
      <c r="H2058" s="567" t="s">
        <v>363</v>
      </c>
      <c r="I2058" s="877" t="s">
        <v>64</v>
      </c>
      <c r="J2058" s="878">
        <f>SUMIFS('Level of Efficiency Assumptions'!J:J,'Level of Efficiency Assumptions'!D:D,E2058,'Level of Efficiency Assumptions'!F:F,F2058,'Level of Efficiency Assumptions'!I:I,I2058)</f>
        <v>10</v>
      </c>
      <c r="K2058" s="383" t="s">
        <v>588</v>
      </c>
      <c r="L2058" s="253" t="s">
        <v>64</v>
      </c>
      <c r="M2058" s="879">
        <f>SUM(Q2058:Q2058)</f>
        <v>0</v>
      </c>
      <c r="N2058" s="880">
        <f>IFERROR(M2058/M2061,"-")</f>
        <v>0</v>
      </c>
      <c r="O2058" s="881">
        <f>SUMIFS('Data Entry'!R:R,'Data Entry'!K:K,G2058)</f>
        <v>0</v>
      </c>
      <c r="P2058" s="272" t="s">
        <v>129</v>
      </c>
      <c r="Q2058" s="895">
        <v>0</v>
      </c>
      <c r="R2058" s="114"/>
      <c r="S2058" s="884"/>
      <c r="T2058" s="270"/>
      <c r="U2058" s="270"/>
      <c r="V2058" s="270"/>
      <c r="W2058" s="270"/>
      <c r="X2058" s="270"/>
      <c r="Y2058" s="270"/>
      <c r="Z2058" s="270"/>
      <c r="AA2058" s="270"/>
    </row>
    <row r="2059" spans="3:31" ht="15" thickBot="1" x14ac:dyDescent="0.35">
      <c r="C2059" s="494" t="s">
        <v>96</v>
      </c>
      <c r="D2059" s="577"/>
      <c r="E2059" s="577" t="s">
        <v>8</v>
      </c>
      <c r="F2059" s="577" t="s">
        <v>53</v>
      </c>
      <c r="G2059" s="450" t="str">
        <f t="shared" si="102"/>
        <v>Hotel A-Other-Other 2</v>
      </c>
      <c r="H2059" s="577"/>
      <c r="I2059" s="887" t="s">
        <v>65</v>
      </c>
      <c r="J2059" s="878">
        <f>SUMIFS('Level of Efficiency Assumptions'!J:J,'Level of Efficiency Assumptions'!D:D,E2059,'Level of Efficiency Assumptions'!F:F,F2059,'Level of Efficiency Assumptions'!I:I,I2059)</f>
        <v>7.5</v>
      </c>
      <c r="K2059" s="383" t="s">
        <v>588</v>
      </c>
      <c r="L2059" s="255" t="s">
        <v>65</v>
      </c>
      <c r="M2059" s="879">
        <f t="shared" ref="M2059:M2060" si="104">SUM(Q2059:Q2059)</f>
        <v>1</v>
      </c>
      <c r="N2059" s="880">
        <f>IFERROR(M2059/M2061,"-")</f>
        <v>1</v>
      </c>
      <c r="O2059" s="881">
        <f>SUMIFS('Data Entry'!S:S,'Data Entry'!K:K,G2059)</f>
        <v>0</v>
      </c>
      <c r="P2059" s="274" t="s">
        <v>233</v>
      </c>
      <c r="Q2059" s="895">
        <v>1</v>
      </c>
      <c r="R2059" s="114"/>
      <c r="S2059" s="884"/>
      <c r="T2059" s="270"/>
      <c r="U2059" s="270"/>
      <c r="V2059" s="270"/>
      <c r="W2059" s="270"/>
      <c r="X2059" s="270"/>
      <c r="Y2059" s="270"/>
      <c r="Z2059" s="270"/>
      <c r="AA2059" s="270"/>
    </row>
    <row r="2060" spans="3:31" ht="15" thickBot="1" x14ac:dyDescent="0.35">
      <c r="C2060" s="501" t="s">
        <v>96</v>
      </c>
      <c r="D2060" s="116"/>
      <c r="E2060" s="116" t="s">
        <v>8</v>
      </c>
      <c r="F2060" s="116" t="s">
        <v>53</v>
      </c>
      <c r="G2060" s="450" t="str">
        <f t="shared" si="102"/>
        <v>Hotel A-Other-Other 2</v>
      </c>
      <c r="H2060" s="116"/>
      <c r="I2060" s="889" t="s">
        <v>66</v>
      </c>
      <c r="J2060" s="890">
        <f>SUMIFS('Level of Efficiency Assumptions'!J:J,'Level of Efficiency Assumptions'!D:D,E2060,'Level of Efficiency Assumptions'!F:F,F2060,'Level of Efficiency Assumptions'!I:I,I2060)</f>
        <v>5</v>
      </c>
      <c r="K2060" s="383" t="s">
        <v>588</v>
      </c>
      <c r="L2060" s="257" t="s">
        <v>66</v>
      </c>
      <c r="M2060" s="879">
        <f t="shared" si="104"/>
        <v>0</v>
      </c>
      <c r="N2060" s="880">
        <f>IFERROR(M2060/M2061,"-")</f>
        <v>0</v>
      </c>
      <c r="O2060" s="881">
        <f>SUMIFS('Data Entry'!T:T,'Data Entry'!K:K,G2060)</f>
        <v>0</v>
      </c>
      <c r="P2060" s="269" t="s">
        <v>234</v>
      </c>
      <c r="Q2060" s="895">
        <v>0</v>
      </c>
      <c r="R2060" s="114"/>
      <c r="S2060" s="884"/>
      <c r="T2060" s="270"/>
      <c r="U2060" s="270"/>
      <c r="V2060" s="270"/>
      <c r="W2060" s="270"/>
      <c r="X2060" s="270"/>
      <c r="Y2060" s="270"/>
      <c r="Z2060" s="270"/>
      <c r="AA2060" s="270"/>
    </row>
    <row r="2061" spans="3:31" x14ac:dyDescent="0.3">
      <c r="C2061" s="450"/>
      <c r="D2061" s="182"/>
      <c r="E2061" s="182"/>
      <c r="F2061" s="182"/>
      <c r="G2061" s="450" t="str">
        <f t="shared" si="102"/>
        <v>--</v>
      </c>
      <c r="H2061" s="182"/>
      <c r="I2061" s="440"/>
      <c r="J2061" s="892"/>
      <c r="K2061" s="259"/>
      <c r="L2061" s="259" t="s">
        <v>46</v>
      </c>
      <c r="M2061" s="893">
        <f>SUM(M2058:M2060)</f>
        <v>1</v>
      </c>
      <c r="N2061" s="894"/>
      <c r="O2061" s="894">
        <f>SUM(O2058:O2060)</f>
        <v>0</v>
      </c>
      <c r="P2061" s="263" t="s">
        <v>46</v>
      </c>
      <c r="Q2061" s="897">
        <f>SUM(Q2058:Q2060)</f>
        <v>1</v>
      </c>
      <c r="R2061" s="899"/>
      <c r="S2061" s="900"/>
      <c r="T2061" s="270"/>
      <c r="U2061" s="270"/>
      <c r="V2061" s="270"/>
      <c r="W2061" s="270"/>
      <c r="X2061" s="270"/>
      <c r="Y2061" s="270"/>
      <c r="Z2061" s="270"/>
      <c r="AA2061" s="270"/>
    </row>
    <row r="2062" spans="3:31" x14ac:dyDescent="0.3">
      <c r="C2062" s="450"/>
      <c r="D2062" s="182"/>
      <c r="E2062" s="182"/>
      <c r="F2062" s="182"/>
      <c r="G2062" s="450" t="str">
        <f t="shared" si="102"/>
        <v>--</v>
      </c>
      <c r="H2062" s="182"/>
      <c r="I2062" s="892"/>
      <c r="J2062" s="288"/>
      <c r="K2062" s="182"/>
      <c r="L2062" s="182"/>
      <c r="M2062" s="270"/>
      <c r="N2062" s="892"/>
      <c r="O2062" s="892"/>
      <c r="P2062" s="270"/>
      <c r="Q2062" s="270"/>
      <c r="R2062" s="270"/>
      <c r="S2062" s="270"/>
      <c r="T2062" s="270"/>
      <c r="U2062" s="270"/>
      <c r="V2062" s="270"/>
      <c r="W2062" s="270"/>
      <c r="X2062" s="270"/>
      <c r="Y2062" s="270"/>
      <c r="Z2062" s="270"/>
      <c r="AA2062" s="270"/>
    </row>
    <row r="2063" spans="3:31" ht="15" thickBot="1" x14ac:dyDescent="0.35">
      <c r="C2063" s="450"/>
      <c r="D2063" s="182"/>
      <c r="E2063" s="182"/>
      <c r="F2063" s="182"/>
      <c r="G2063" s="450" t="str">
        <f t="shared" si="102"/>
        <v>--</v>
      </c>
      <c r="H2063" s="182"/>
      <c r="I2063" s="892"/>
      <c r="J2063" s="892"/>
      <c r="K2063" s="182"/>
      <c r="L2063" s="182"/>
      <c r="M2063" s="901" t="s">
        <v>155</v>
      </c>
      <c r="N2063" s="870" t="s">
        <v>188</v>
      </c>
      <c r="O2063" s="870"/>
      <c r="P2063" s="276" t="s">
        <v>54</v>
      </c>
      <c r="Q2063" s="871" t="s">
        <v>155</v>
      </c>
      <c r="R2063" s="902"/>
      <c r="S2063" s="874"/>
      <c r="T2063" s="270"/>
      <c r="U2063" s="270"/>
      <c r="V2063" s="270"/>
      <c r="W2063" s="270"/>
      <c r="X2063" s="270"/>
      <c r="Y2063" s="270"/>
      <c r="Z2063" s="270"/>
      <c r="AA2063" s="270"/>
    </row>
    <row r="2064" spans="3:31" ht="15" thickBot="1" x14ac:dyDescent="0.35">
      <c r="C2064" s="566" t="s">
        <v>96</v>
      </c>
      <c r="D2064" s="875" t="str">
        <f>VLOOKUP(C2064,'Airport Mapping'!$C$5:$D$39,2,FALSE)</f>
        <v xml:space="preserve"> </v>
      </c>
      <c r="E2064" s="567" t="s">
        <v>8</v>
      </c>
      <c r="F2064" s="567" t="s">
        <v>54</v>
      </c>
      <c r="G2064" s="450" t="str">
        <f t="shared" si="102"/>
        <v>Hotel A-Other-Other 3</v>
      </c>
      <c r="H2064" s="567" t="s">
        <v>364</v>
      </c>
      <c r="I2064" s="877" t="s">
        <v>64</v>
      </c>
      <c r="J2064" s="878">
        <f>SUMIFS('Level of Efficiency Assumptions'!J:J,'Level of Efficiency Assumptions'!D:D,E2064,'Level of Efficiency Assumptions'!F:F,F2064,'Level of Efficiency Assumptions'!I:I,I2064)</f>
        <v>10</v>
      </c>
      <c r="K2064" s="383" t="s">
        <v>588</v>
      </c>
      <c r="L2064" s="253" t="s">
        <v>64</v>
      </c>
      <c r="M2064" s="879">
        <f>SUM(Q2064:Q2064)</f>
        <v>0</v>
      </c>
      <c r="N2064" s="880">
        <f>IFERROR(M2064/M2067,"-")</f>
        <v>0</v>
      </c>
      <c r="O2064" s="881">
        <f>SUMIFS('Data Entry'!R:R,'Data Entry'!K:K,G2064)</f>
        <v>0</v>
      </c>
      <c r="P2064" s="272" t="s">
        <v>129</v>
      </c>
      <c r="Q2064" s="895">
        <v>0</v>
      </c>
      <c r="R2064" s="114"/>
      <c r="S2064" s="884"/>
      <c r="T2064" s="270"/>
      <c r="U2064" s="270"/>
      <c r="V2064" s="270"/>
      <c r="W2064" s="270"/>
      <c r="X2064" s="270"/>
      <c r="Y2064" s="270"/>
      <c r="Z2064" s="270"/>
      <c r="AA2064" s="270"/>
    </row>
    <row r="2065" spans="3:27" ht="15" thickBot="1" x14ac:dyDescent="0.35">
      <c r="C2065" s="494" t="s">
        <v>96</v>
      </c>
      <c r="D2065" s="577"/>
      <c r="E2065" s="577" t="s">
        <v>8</v>
      </c>
      <c r="F2065" s="577" t="s">
        <v>54</v>
      </c>
      <c r="G2065" s="450" t="str">
        <f t="shared" si="102"/>
        <v>Hotel A-Other-Other 3</v>
      </c>
      <c r="H2065" s="577"/>
      <c r="I2065" s="887" t="s">
        <v>65</v>
      </c>
      <c r="J2065" s="878">
        <f>SUMIFS('Level of Efficiency Assumptions'!J:J,'Level of Efficiency Assumptions'!D:D,E2065,'Level of Efficiency Assumptions'!F:F,F2065,'Level of Efficiency Assumptions'!I:I,I2065)</f>
        <v>7.5</v>
      </c>
      <c r="K2065" s="383" t="s">
        <v>588</v>
      </c>
      <c r="L2065" s="255" t="s">
        <v>65</v>
      </c>
      <c r="M2065" s="879">
        <f t="shared" ref="M2065:M2066" si="105">SUM(Q2065:Q2065)</f>
        <v>1</v>
      </c>
      <c r="N2065" s="880">
        <f>IFERROR(M2065/M2067,"-")</f>
        <v>1</v>
      </c>
      <c r="O2065" s="881">
        <f>SUMIFS('Data Entry'!S:S,'Data Entry'!K:K,G2065)</f>
        <v>0</v>
      </c>
      <c r="P2065" s="274" t="s">
        <v>233</v>
      </c>
      <c r="Q2065" s="895">
        <v>1</v>
      </c>
      <c r="R2065" s="114"/>
      <c r="S2065" s="884"/>
      <c r="T2065" s="270"/>
      <c r="U2065" s="270"/>
      <c r="V2065" s="270"/>
      <c r="W2065" s="270"/>
      <c r="X2065" s="270"/>
      <c r="Y2065" s="270"/>
      <c r="Z2065" s="270"/>
      <c r="AA2065" s="270"/>
    </row>
    <row r="2066" spans="3:27" ht="15" thickBot="1" x14ac:dyDescent="0.35">
      <c r="C2066" s="501" t="s">
        <v>96</v>
      </c>
      <c r="D2066" s="116"/>
      <c r="E2066" s="116" t="s">
        <v>8</v>
      </c>
      <c r="F2066" s="116" t="s">
        <v>54</v>
      </c>
      <c r="G2066" s="450" t="str">
        <f t="shared" si="102"/>
        <v>Hotel A-Other-Other 3</v>
      </c>
      <c r="H2066" s="116"/>
      <c r="I2066" s="889" t="s">
        <v>66</v>
      </c>
      <c r="J2066" s="890">
        <f>SUMIFS('Level of Efficiency Assumptions'!J:J,'Level of Efficiency Assumptions'!D:D,E2066,'Level of Efficiency Assumptions'!F:F,F2066,'Level of Efficiency Assumptions'!I:I,I2066)</f>
        <v>5</v>
      </c>
      <c r="K2066" s="383" t="s">
        <v>588</v>
      </c>
      <c r="L2066" s="257" t="s">
        <v>66</v>
      </c>
      <c r="M2066" s="879">
        <f t="shared" si="105"/>
        <v>0</v>
      </c>
      <c r="N2066" s="880">
        <f>IFERROR(M2066/M2067,"-")</f>
        <v>0</v>
      </c>
      <c r="O2066" s="881">
        <f>SUMIFS('Data Entry'!T:T,'Data Entry'!K:K,G2066)</f>
        <v>0</v>
      </c>
      <c r="P2066" s="269" t="s">
        <v>234</v>
      </c>
      <c r="Q2066" s="895">
        <v>0</v>
      </c>
      <c r="R2066" s="114"/>
      <c r="S2066" s="884"/>
      <c r="T2066" s="270"/>
      <c r="U2066" s="270"/>
      <c r="V2066" s="270"/>
      <c r="W2066" s="270"/>
      <c r="X2066" s="270"/>
      <c r="Y2066" s="270"/>
      <c r="Z2066" s="270"/>
      <c r="AA2066" s="270"/>
    </row>
    <row r="2067" spans="3:27" x14ac:dyDescent="0.3">
      <c r="C2067" s="450"/>
      <c r="D2067" s="182"/>
      <c r="E2067" s="182"/>
      <c r="F2067" s="182"/>
      <c r="G2067" s="450" t="str">
        <f t="shared" si="102"/>
        <v>--</v>
      </c>
      <c r="H2067" s="182"/>
      <c r="I2067" s="440"/>
      <c r="J2067" s="892"/>
      <c r="K2067" s="259"/>
      <c r="L2067" s="259" t="s">
        <v>46</v>
      </c>
      <c r="M2067" s="893">
        <f>SUM(M2064:M2066)</f>
        <v>1</v>
      </c>
      <c r="N2067" s="894"/>
      <c r="O2067" s="894">
        <f>SUM(O2064:O2066)</f>
        <v>0</v>
      </c>
      <c r="P2067" s="263" t="s">
        <v>46</v>
      </c>
      <c r="Q2067" s="897">
        <f>SUM(Q2064:Q2066)</f>
        <v>1</v>
      </c>
      <c r="R2067" s="899"/>
      <c r="S2067" s="900"/>
      <c r="T2067" s="270"/>
      <c r="U2067" s="270"/>
      <c r="V2067" s="270"/>
      <c r="W2067" s="270"/>
      <c r="X2067" s="270"/>
      <c r="Y2067" s="270"/>
      <c r="Z2067" s="270"/>
      <c r="AA2067" s="270"/>
    </row>
    <row r="2068" spans="3:27" ht="15" thickBot="1" x14ac:dyDescent="0.35">
      <c r="C2068" s="451"/>
      <c r="D2068" s="184"/>
      <c r="E2068" s="184"/>
      <c r="F2068" s="184"/>
      <c r="G2068" s="450" t="str">
        <f t="shared" si="102"/>
        <v>--</v>
      </c>
      <c r="H2068" s="184"/>
      <c r="I2068" s="281"/>
      <c r="J2068" s="281"/>
      <c r="K2068" s="184"/>
      <c r="L2068" s="184"/>
      <c r="M2068" s="278"/>
      <c r="N2068" s="281"/>
      <c r="O2068" s="281"/>
      <c r="P2068" s="278"/>
      <c r="Q2068" s="278"/>
      <c r="R2068" s="278"/>
      <c r="S2068" s="278"/>
      <c r="T2068" s="278"/>
      <c r="U2068" s="278"/>
      <c r="V2068" s="278"/>
      <c r="W2068" s="278"/>
      <c r="X2068" s="270"/>
      <c r="Y2068" s="270"/>
      <c r="Z2068" s="270"/>
      <c r="AA2068" s="270"/>
    </row>
    <row r="2069" spans="3:27" x14ac:dyDescent="0.3">
      <c r="C2069" s="450"/>
      <c r="D2069" s="182"/>
      <c r="E2069" s="182"/>
      <c r="F2069" s="182"/>
      <c r="G2069" s="450" t="str">
        <f t="shared" si="102"/>
        <v>--</v>
      </c>
      <c r="H2069" s="182"/>
      <c r="I2069" s="892"/>
      <c r="J2069" s="892"/>
      <c r="K2069" s="182"/>
      <c r="L2069" s="182"/>
      <c r="M2069" s="270"/>
      <c r="N2069" s="892"/>
      <c r="O2069" s="892"/>
      <c r="P2069" s="270"/>
      <c r="Q2069" s="270"/>
      <c r="R2069" s="270"/>
      <c r="S2069" s="270"/>
      <c r="T2069" s="270"/>
      <c r="U2069" s="270"/>
      <c r="V2069" s="270"/>
      <c r="W2069" s="270"/>
      <c r="X2069" s="270"/>
      <c r="Y2069" s="270"/>
      <c r="Z2069" s="270"/>
      <c r="AA2069" s="270"/>
    </row>
    <row r="2070" spans="3:27" ht="15" thickBot="1" x14ac:dyDescent="0.35">
      <c r="C2070" s="450"/>
      <c r="D2070" s="182"/>
      <c r="E2070" s="182"/>
      <c r="F2070" s="182"/>
      <c r="G2070" s="450" t="str">
        <f t="shared" ref="G2070:G2132" si="106">C2070&amp;"-"&amp;E2070&amp;"-"&amp;F2070</f>
        <v>--</v>
      </c>
      <c r="H2070" s="182"/>
      <c r="I2070" s="892"/>
      <c r="J2070" s="892"/>
      <c r="K2070" s="182"/>
      <c r="L2070" s="182"/>
      <c r="M2070" s="901" t="s">
        <v>155</v>
      </c>
      <c r="N2070" s="870" t="s">
        <v>188</v>
      </c>
      <c r="O2070" s="870"/>
      <c r="P2070" s="252" t="s">
        <v>158</v>
      </c>
      <c r="Q2070" s="871" t="s">
        <v>155</v>
      </c>
      <c r="R2070" s="872" t="s">
        <v>168</v>
      </c>
      <c r="S2070" s="872" t="s">
        <v>169</v>
      </c>
      <c r="T2070" s="873"/>
      <c r="U2070" s="874"/>
      <c r="V2070" s="270"/>
      <c r="W2070" s="270"/>
      <c r="X2070" s="270"/>
      <c r="Y2070" s="114"/>
      <c r="Z2070" s="270"/>
      <c r="AA2070" s="270"/>
    </row>
    <row r="2071" spans="3:27" ht="15" thickBot="1" x14ac:dyDescent="0.35">
      <c r="C2071" s="566" t="s">
        <v>97</v>
      </c>
      <c r="D2071" s="875" t="str">
        <f>VLOOKUP(C2071,'Airport Mapping'!$C$5:$D$39,2,FALSE)</f>
        <v xml:space="preserve"> </v>
      </c>
      <c r="E2071" s="567" t="s">
        <v>45</v>
      </c>
      <c r="F2071" s="567" t="s">
        <v>2</v>
      </c>
      <c r="G2071" s="450" t="str">
        <f t="shared" si="106"/>
        <v>Hotel B-Guestrooms-Toilets</v>
      </c>
      <c r="H2071" s="567" t="s">
        <v>17</v>
      </c>
      <c r="I2071" s="877" t="s">
        <v>64</v>
      </c>
      <c r="J2071" s="878">
        <f>SUMIFS('Level of Efficiency Assumptions'!J:J,'Level of Efficiency Assumptions'!D:D,E2071,'Level of Efficiency Assumptions'!F:F,F2071,'Level of Efficiency Assumptions'!I:I,I2071)</f>
        <v>3.5</v>
      </c>
      <c r="K2071" s="383" t="s">
        <v>68</v>
      </c>
      <c r="L2071" s="253" t="s">
        <v>64</v>
      </c>
      <c r="M2071" s="879">
        <f>Q2071+Q2077</f>
        <v>0</v>
      </c>
      <c r="N2071" s="880">
        <f>IFERROR(M2071/M2074,"-")</f>
        <v>0</v>
      </c>
      <c r="O2071" s="881">
        <f>SUMIFS('Data Entry'!R:R,'Data Entry'!K:K,G2071)</f>
        <v>0</v>
      </c>
      <c r="P2071" s="254" t="s">
        <v>159</v>
      </c>
      <c r="Q2071" s="882">
        <v>0</v>
      </c>
      <c r="R2071" s="883"/>
      <c r="S2071" s="883"/>
      <c r="T2071" s="114" t="s">
        <v>182</v>
      </c>
      <c r="U2071" s="884"/>
      <c r="V2071" s="270"/>
      <c r="W2071" s="270"/>
      <c r="X2071" s="270"/>
      <c r="Y2071" s="114"/>
      <c r="Z2071" s="270"/>
      <c r="AA2071" s="270"/>
    </row>
    <row r="2072" spans="3:27" ht="15" thickBot="1" x14ac:dyDescent="0.35">
      <c r="C2072" s="494" t="s">
        <v>97</v>
      </c>
      <c r="D2072" s="577"/>
      <c r="E2072" s="577" t="s">
        <v>45</v>
      </c>
      <c r="F2072" s="577" t="s">
        <v>2</v>
      </c>
      <c r="G2072" s="450" t="str">
        <f t="shared" si="106"/>
        <v>Hotel B-Guestrooms-Toilets</v>
      </c>
      <c r="H2072" s="577"/>
      <c r="I2072" s="887" t="s">
        <v>65</v>
      </c>
      <c r="J2072" s="878">
        <f>SUMIFS('Level of Efficiency Assumptions'!J:J,'Level of Efficiency Assumptions'!D:D,E2072,'Level of Efficiency Assumptions'!F:F,F2072,'Level of Efficiency Assumptions'!I:I,I2072)</f>
        <v>1.6</v>
      </c>
      <c r="K2072" s="383" t="s">
        <v>68</v>
      </c>
      <c r="L2072" s="255" t="s">
        <v>65</v>
      </c>
      <c r="M2072" s="879">
        <f>Q2072+Q2075+Q2078</f>
        <v>1</v>
      </c>
      <c r="N2072" s="880">
        <f>IFERROR(M2072/M2074,"-")</f>
        <v>1</v>
      </c>
      <c r="O2072" s="881">
        <f>SUMIFS('Data Entry'!S:S,'Data Entry'!K:K,G2072)</f>
        <v>0</v>
      </c>
      <c r="P2072" s="256" t="s">
        <v>161</v>
      </c>
      <c r="Q2072" s="882">
        <v>1</v>
      </c>
      <c r="R2072" s="883"/>
      <c r="S2072" s="883"/>
      <c r="T2072" s="114" t="s">
        <v>184</v>
      </c>
      <c r="U2072" s="884"/>
      <c r="V2072" s="270"/>
      <c r="W2072" s="270"/>
      <c r="X2072" s="270"/>
      <c r="Y2072" s="114"/>
      <c r="Z2072" s="270"/>
      <c r="AA2072" s="270"/>
    </row>
    <row r="2073" spans="3:27" ht="15" thickBot="1" x14ac:dyDescent="0.35">
      <c r="C2073" s="501" t="s">
        <v>97</v>
      </c>
      <c r="D2073" s="116"/>
      <c r="E2073" s="116" t="s">
        <v>45</v>
      </c>
      <c r="F2073" s="116" t="s">
        <v>2</v>
      </c>
      <c r="G2073" s="450" t="str">
        <f t="shared" si="106"/>
        <v>Hotel B-Guestrooms-Toilets</v>
      </c>
      <c r="H2073" s="116"/>
      <c r="I2073" s="889" t="s">
        <v>66</v>
      </c>
      <c r="J2073" s="890">
        <f>SUMIFS('Level of Efficiency Assumptions'!J:J,'Level of Efficiency Assumptions'!D:D,E2073,'Level of Efficiency Assumptions'!F:F,F2073,'Level of Efficiency Assumptions'!I:I,I2073)</f>
        <v>1.28</v>
      </c>
      <c r="K2073" s="383" t="s">
        <v>68</v>
      </c>
      <c r="L2073" s="257" t="s">
        <v>66</v>
      </c>
      <c r="M2073" s="879">
        <f>Q2073+Q2074+Q2076+Q2079+Q2080</f>
        <v>0</v>
      </c>
      <c r="N2073" s="880">
        <f>IFERROR(M2073/M2074,"-")</f>
        <v>0</v>
      </c>
      <c r="O2073" s="881">
        <f>SUMIFS('Data Entry'!T:T,'Data Entry'!K:K,G2073)</f>
        <v>0</v>
      </c>
      <c r="P2073" s="258" t="s">
        <v>163</v>
      </c>
      <c r="Q2073" s="882">
        <v>0</v>
      </c>
      <c r="R2073" s="883"/>
      <c r="S2073" s="883"/>
      <c r="T2073" s="891"/>
      <c r="U2073" s="884"/>
      <c r="V2073" s="270"/>
      <c r="W2073" s="270"/>
      <c r="X2073" s="270"/>
      <c r="Y2073" s="114"/>
      <c r="Z2073" s="270"/>
      <c r="AA2073" s="270"/>
    </row>
    <row r="2074" spans="3:27" x14ac:dyDescent="0.3">
      <c r="C2074" s="450"/>
      <c r="D2074" s="182"/>
      <c r="E2074" s="182"/>
      <c r="F2074" s="182"/>
      <c r="G2074" s="450" t="str">
        <f t="shared" si="106"/>
        <v>--</v>
      </c>
      <c r="H2074" s="182"/>
      <c r="I2074" s="440"/>
      <c r="J2074" s="892"/>
      <c r="K2074" s="259"/>
      <c r="L2074" s="259" t="s">
        <v>46</v>
      </c>
      <c r="M2074" s="893">
        <f>SUM(M2071:M2073)</f>
        <v>1</v>
      </c>
      <c r="N2074" s="894"/>
      <c r="O2074" s="894">
        <f>SUM(O2071:O2073)</f>
        <v>0</v>
      </c>
      <c r="P2074" s="258" t="s">
        <v>165</v>
      </c>
      <c r="Q2074" s="882">
        <v>0</v>
      </c>
      <c r="R2074" s="883"/>
      <c r="S2074" s="883"/>
      <c r="T2074" s="891"/>
      <c r="U2074" s="884"/>
      <c r="V2074" s="270"/>
      <c r="W2074" s="270"/>
      <c r="X2074" s="270"/>
      <c r="Y2074" s="114"/>
      <c r="Z2074" s="270"/>
      <c r="AA2074" s="270"/>
    </row>
    <row r="2075" spans="3:27" ht="15" thickBot="1" x14ac:dyDescent="0.35">
      <c r="C2075" s="450"/>
      <c r="D2075" s="182"/>
      <c r="E2075" s="182"/>
      <c r="F2075" s="182"/>
      <c r="G2075" s="450" t="str">
        <f t="shared" si="106"/>
        <v>--</v>
      </c>
      <c r="H2075" s="182"/>
      <c r="I2075" s="892"/>
      <c r="J2075" s="288"/>
      <c r="K2075" s="182"/>
      <c r="L2075" s="181"/>
      <c r="M2075" s="181"/>
      <c r="N2075" s="892"/>
      <c r="O2075" s="892"/>
      <c r="P2075" s="256" t="s">
        <v>166</v>
      </c>
      <c r="Q2075" s="895">
        <v>0</v>
      </c>
      <c r="R2075" s="883"/>
      <c r="S2075" s="883"/>
      <c r="T2075" s="891"/>
      <c r="U2075" s="896"/>
      <c r="V2075" s="891"/>
      <c r="W2075" s="270"/>
      <c r="X2075" s="270"/>
      <c r="Y2075" s="114"/>
      <c r="Z2075" s="270"/>
      <c r="AA2075" s="270"/>
    </row>
    <row r="2076" spans="3:27" x14ac:dyDescent="0.3">
      <c r="C2076" s="450"/>
      <c r="D2076" s="182"/>
      <c r="E2076" s="182"/>
      <c r="F2076" s="182"/>
      <c r="G2076" s="450" t="str">
        <f t="shared" si="106"/>
        <v>--</v>
      </c>
      <c r="H2076" s="182"/>
      <c r="I2076" s="892"/>
      <c r="J2076" s="288"/>
      <c r="K2076" s="182"/>
      <c r="L2076" s="1384" t="s">
        <v>377</v>
      </c>
      <c r="M2076" s="1385"/>
      <c r="N2076" s="1385"/>
      <c r="O2076" s="1386"/>
      <c r="P2076" s="258" t="s">
        <v>167</v>
      </c>
      <c r="Q2076" s="895">
        <v>0</v>
      </c>
      <c r="R2076" s="883"/>
      <c r="S2076" s="883"/>
      <c r="T2076" s="891"/>
      <c r="U2076" s="896"/>
      <c r="V2076" s="891"/>
      <c r="W2076" s="270"/>
      <c r="X2076" s="270"/>
      <c r="Y2076" s="270"/>
      <c r="Z2076" s="270"/>
      <c r="AA2076" s="270"/>
    </row>
    <row r="2077" spans="3:27" x14ac:dyDescent="0.3">
      <c r="C2077" s="450"/>
      <c r="D2077" s="182"/>
      <c r="E2077" s="182"/>
      <c r="F2077" s="182"/>
      <c r="G2077" s="450" t="str">
        <f t="shared" si="106"/>
        <v>--</v>
      </c>
      <c r="H2077" s="182"/>
      <c r="I2077" s="892"/>
      <c r="J2077" s="288"/>
      <c r="K2077" s="182"/>
      <c r="L2077" s="1387"/>
      <c r="M2077" s="1388"/>
      <c r="N2077" s="1388"/>
      <c r="O2077" s="1389"/>
      <c r="P2077" s="254" t="s">
        <v>160</v>
      </c>
      <c r="Q2077" s="895">
        <v>0</v>
      </c>
      <c r="R2077" s="891"/>
      <c r="S2077" s="891"/>
      <c r="T2077" s="891"/>
      <c r="U2077" s="896"/>
      <c r="V2077" s="891"/>
      <c r="W2077" s="270"/>
      <c r="X2077" s="270"/>
      <c r="Y2077" s="270"/>
      <c r="Z2077" s="270"/>
      <c r="AA2077" s="270"/>
    </row>
    <row r="2078" spans="3:27" x14ac:dyDescent="0.3">
      <c r="C2078" s="450"/>
      <c r="D2078" s="182"/>
      <c r="E2078" s="182"/>
      <c r="F2078" s="182"/>
      <c r="G2078" s="450" t="str">
        <f t="shared" si="106"/>
        <v>--</v>
      </c>
      <c r="H2078" s="182"/>
      <c r="I2078" s="892"/>
      <c r="J2078" s="288"/>
      <c r="K2078" s="182"/>
      <c r="L2078" s="1387"/>
      <c r="M2078" s="1388"/>
      <c r="N2078" s="1388"/>
      <c r="O2078" s="1389"/>
      <c r="P2078" s="256" t="s">
        <v>162</v>
      </c>
      <c r="Q2078" s="895">
        <v>0</v>
      </c>
      <c r="R2078" s="891"/>
      <c r="S2078" s="891"/>
      <c r="T2078" s="891"/>
      <c r="U2078" s="896"/>
      <c r="V2078" s="891"/>
      <c r="W2078" s="270"/>
      <c r="X2078" s="270"/>
      <c r="Y2078" s="270"/>
      <c r="Z2078" s="270"/>
      <c r="AA2078" s="270"/>
    </row>
    <row r="2079" spans="3:27" ht="15" thickBot="1" x14ac:dyDescent="0.35">
      <c r="C2079" s="450"/>
      <c r="D2079" s="182"/>
      <c r="E2079" s="182"/>
      <c r="F2079" s="182"/>
      <c r="G2079" s="450" t="str">
        <f t="shared" si="106"/>
        <v>--</v>
      </c>
      <c r="H2079" s="182"/>
      <c r="I2079" s="892"/>
      <c r="J2079" s="288"/>
      <c r="K2079" s="182"/>
      <c r="L2079" s="1390"/>
      <c r="M2079" s="1391"/>
      <c r="N2079" s="1391"/>
      <c r="O2079" s="1392"/>
      <c r="P2079" s="258" t="s">
        <v>164</v>
      </c>
      <c r="Q2079" s="895">
        <v>0</v>
      </c>
      <c r="R2079" s="114"/>
      <c r="S2079" s="891"/>
      <c r="T2079" s="114"/>
      <c r="U2079" s="884"/>
      <c r="V2079" s="114"/>
      <c r="W2079" s="270"/>
      <c r="X2079" s="270"/>
      <c r="Y2079" s="270"/>
      <c r="Z2079" s="270"/>
      <c r="AA2079" s="270"/>
    </row>
    <row r="2080" spans="3:27" x14ac:dyDescent="0.3">
      <c r="C2080" s="450"/>
      <c r="D2080" s="182"/>
      <c r="E2080" s="182"/>
      <c r="F2080" s="182"/>
      <c r="G2080" s="450" t="str">
        <f t="shared" si="106"/>
        <v>--</v>
      </c>
      <c r="H2080" s="182"/>
      <c r="I2080" s="892"/>
      <c r="J2080" s="288"/>
      <c r="K2080" s="182"/>
      <c r="L2080" s="181"/>
      <c r="M2080" s="181"/>
      <c r="N2080" s="892"/>
      <c r="O2080" s="892"/>
      <c r="P2080" s="258" t="s">
        <v>187</v>
      </c>
      <c r="Q2080" s="895">
        <v>0</v>
      </c>
      <c r="R2080" s="114"/>
      <c r="S2080" s="891"/>
      <c r="T2080" s="114"/>
      <c r="U2080" s="884"/>
      <c r="V2080" s="114"/>
      <c r="W2080" s="270"/>
      <c r="X2080" s="270"/>
      <c r="Y2080" s="270"/>
      <c r="Z2080" s="270"/>
      <c r="AA2080" s="270"/>
    </row>
    <row r="2081" spans="3:27" x14ac:dyDescent="0.3">
      <c r="C2081" s="450"/>
      <c r="D2081" s="182"/>
      <c r="E2081" s="182"/>
      <c r="F2081" s="182"/>
      <c r="G2081" s="450" t="str">
        <f t="shared" si="106"/>
        <v>--</v>
      </c>
      <c r="H2081" s="182"/>
      <c r="I2081" s="892"/>
      <c r="J2081" s="288"/>
      <c r="K2081" s="182"/>
      <c r="L2081" s="181"/>
      <c r="M2081" s="181"/>
      <c r="N2081" s="892"/>
      <c r="O2081" s="892"/>
      <c r="P2081" s="263" t="s">
        <v>46</v>
      </c>
      <c r="Q2081" s="897">
        <f>SUM(Q2071:Q2080)</f>
        <v>1</v>
      </c>
      <c r="R2081" s="898"/>
      <c r="S2081" s="898"/>
      <c r="T2081" s="899"/>
      <c r="U2081" s="900"/>
      <c r="V2081" s="114"/>
      <c r="W2081" s="270"/>
      <c r="X2081" s="270"/>
      <c r="Y2081" s="270"/>
      <c r="Z2081" s="270"/>
      <c r="AA2081" s="270"/>
    </row>
    <row r="2082" spans="3:27" x14ac:dyDescent="0.3">
      <c r="C2082" s="450"/>
      <c r="D2082" s="182"/>
      <c r="E2082" s="182"/>
      <c r="F2082" s="182"/>
      <c r="G2082" s="450" t="str">
        <f t="shared" si="106"/>
        <v>--</v>
      </c>
      <c r="H2082" s="182"/>
      <c r="I2082" s="892"/>
      <c r="J2082" s="288"/>
      <c r="K2082" s="182"/>
      <c r="L2082" s="181"/>
      <c r="M2082" s="181"/>
      <c r="N2082" s="892"/>
      <c r="O2082" s="892"/>
      <c r="P2082" s="114"/>
      <c r="Q2082" s="114"/>
      <c r="R2082" s="891"/>
      <c r="S2082" s="891"/>
      <c r="T2082" s="114"/>
      <c r="U2082" s="114"/>
      <c r="V2082" s="114"/>
      <c r="W2082" s="270"/>
      <c r="X2082" s="270"/>
      <c r="Y2082" s="270"/>
      <c r="Z2082" s="270"/>
      <c r="AA2082" s="270"/>
    </row>
    <row r="2083" spans="3:27" ht="15" thickBot="1" x14ac:dyDescent="0.35">
      <c r="C2083" s="450"/>
      <c r="D2083" s="182"/>
      <c r="E2083" s="182"/>
      <c r="F2083" s="182"/>
      <c r="G2083" s="450" t="str">
        <f t="shared" si="106"/>
        <v>--</v>
      </c>
      <c r="H2083" s="182"/>
      <c r="I2083" s="892"/>
      <c r="J2083" s="892"/>
      <c r="K2083" s="182"/>
      <c r="L2083" s="182"/>
      <c r="M2083" s="901" t="s">
        <v>155</v>
      </c>
      <c r="N2083" s="870" t="s">
        <v>188</v>
      </c>
      <c r="O2083" s="870"/>
      <c r="P2083" s="283" t="s">
        <v>18</v>
      </c>
      <c r="Q2083" s="871" t="s">
        <v>155</v>
      </c>
      <c r="R2083" s="872"/>
      <c r="S2083" s="872"/>
      <c r="T2083" s="902"/>
      <c r="U2083" s="903"/>
      <c r="V2083" s="270"/>
      <c r="W2083" s="270"/>
      <c r="X2083" s="270"/>
      <c r="Y2083" s="270"/>
      <c r="Z2083" s="270"/>
      <c r="AA2083" s="270"/>
    </row>
    <row r="2084" spans="3:27" ht="15" thickBot="1" x14ac:dyDescent="0.35">
      <c r="C2084" s="566" t="s">
        <v>97</v>
      </c>
      <c r="D2084" s="875" t="str">
        <f>VLOOKUP(C2084,'Airport Mapping'!$C$5:$D$39,2,FALSE)</f>
        <v xml:space="preserve"> </v>
      </c>
      <c r="E2084" s="567" t="s">
        <v>45</v>
      </c>
      <c r="F2084" s="567" t="s">
        <v>18</v>
      </c>
      <c r="G2084" s="450" t="str">
        <f t="shared" si="106"/>
        <v>Hotel B-Guestrooms-Showers</v>
      </c>
      <c r="H2084" s="567" t="s">
        <v>17</v>
      </c>
      <c r="I2084" s="877" t="s">
        <v>64</v>
      </c>
      <c r="J2084" s="878">
        <f>SUMIFS('Level of Efficiency Assumptions'!J:J,'Level of Efficiency Assumptions'!D:D,E2084,'Level of Efficiency Assumptions'!F:F,F2084,'Level of Efficiency Assumptions'!I:I,I2084)</f>
        <v>3</v>
      </c>
      <c r="K2084" s="383" t="s">
        <v>78</v>
      </c>
      <c r="L2084" s="253" t="s">
        <v>64</v>
      </c>
      <c r="M2084" s="879">
        <f>Q2084+Q2085</f>
        <v>0</v>
      </c>
      <c r="N2084" s="880">
        <f>IFERROR(M2084/M2087,"-")</f>
        <v>0</v>
      </c>
      <c r="O2084" s="881">
        <f>SUMIFS('Data Entry'!R:R,'Data Entry'!K:K,G2084)</f>
        <v>0</v>
      </c>
      <c r="P2084" s="254" t="s">
        <v>258</v>
      </c>
      <c r="Q2084" s="882">
        <v>0</v>
      </c>
      <c r="R2084" s="114"/>
      <c r="S2084" s="114"/>
      <c r="T2084" s="114"/>
      <c r="U2084" s="904"/>
      <c r="V2084" s="270"/>
      <c r="W2084" s="270"/>
      <c r="X2084" s="270"/>
      <c r="Y2084" s="270"/>
      <c r="Z2084" s="270"/>
      <c r="AA2084" s="270"/>
    </row>
    <row r="2085" spans="3:27" ht="15" thickBot="1" x14ac:dyDescent="0.35">
      <c r="C2085" s="494" t="s">
        <v>97</v>
      </c>
      <c r="D2085" s="577"/>
      <c r="E2085" s="577" t="s">
        <v>45</v>
      </c>
      <c r="F2085" s="577" t="s">
        <v>18</v>
      </c>
      <c r="G2085" s="450" t="str">
        <f t="shared" si="106"/>
        <v>Hotel B-Guestrooms-Showers</v>
      </c>
      <c r="H2085" s="577"/>
      <c r="I2085" s="887" t="s">
        <v>65</v>
      </c>
      <c r="J2085" s="878">
        <f>SUMIFS('Level of Efficiency Assumptions'!J:J,'Level of Efficiency Assumptions'!D:D,E2085,'Level of Efficiency Assumptions'!F:F,F2085,'Level of Efficiency Assumptions'!I:I,I2085)</f>
        <v>2</v>
      </c>
      <c r="K2085" s="383" t="s">
        <v>78</v>
      </c>
      <c r="L2085" s="255" t="s">
        <v>65</v>
      </c>
      <c r="M2085" s="879">
        <f>Q2086+Q2087</f>
        <v>1</v>
      </c>
      <c r="N2085" s="880">
        <f>IFERROR(M2085/M2087,"-")</f>
        <v>1</v>
      </c>
      <c r="O2085" s="881">
        <f>SUMIFS('Data Entry'!S:S,'Data Entry'!K:K,G2085)</f>
        <v>0</v>
      </c>
      <c r="P2085" s="272" t="s">
        <v>262</v>
      </c>
      <c r="Q2085" s="882">
        <v>0</v>
      </c>
      <c r="R2085" s="114"/>
      <c r="S2085" s="114"/>
      <c r="T2085" s="114"/>
      <c r="U2085" s="904"/>
      <c r="V2085" s="270"/>
      <c r="W2085" s="270"/>
      <c r="X2085" s="270"/>
      <c r="Y2085" s="270"/>
      <c r="Z2085" s="270"/>
      <c r="AA2085" s="270"/>
    </row>
    <row r="2086" spans="3:27" ht="15" thickBot="1" x14ac:dyDescent="0.35">
      <c r="C2086" s="501" t="s">
        <v>97</v>
      </c>
      <c r="D2086" s="116"/>
      <c r="E2086" s="116" t="s">
        <v>45</v>
      </c>
      <c r="F2086" s="116" t="s">
        <v>18</v>
      </c>
      <c r="G2086" s="450" t="str">
        <f t="shared" si="106"/>
        <v>Hotel B-Guestrooms-Showers</v>
      </c>
      <c r="H2086" s="116"/>
      <c r="I2086" s="889" t="s">
        <v>66</v>
      </c>
      <c r="J2086" s="890">
        <f>SUMIFS('Level of Efficiency Assumptions'!J:J,'Level of Efficiency Assumptions'!D:D,E2086,'Level of Efficiency Assumptions'!F:F,F2086,'Level of Efficiency Assumptions'!I:I,I2086)</f>
        <v>1</v>
      </c>
      <c r="K2086" s="383" t="s">
        <v>78</v>
      </c>
      <c r="L2086" s="257" t="s">
        <v>66</v>
      </c>
      <c r="M2086" s="879">
        <f>Q2088+Q2089</f>
        <v>0</v>
      </c>
      <c r="N2086" s="880">
        <f>IFERROR(M2086/M2087,"-")</f>
        <v>0</v>
      </c>
      <c r="O2086" s="881">
        <f>SUMIFS('Data Entry'!T:T,'Data Entry'!K:K,G2086)</f>
        <v>0</v>
      </c>
      <c r="P2086" s="267" t="s">
        <v>263</v>
      </c>
      <c r="Q2086" s="882">
        <v>0</v>
      </c>
      <c r="R2086" s="114"/>
      <c r="S2086" s="114"/>
      <c r="T2086" s="114"/>
      <c r="U2086" s="904"/>
      <c r="V2086" s="270"/>
      <c r="W2086" s="270"/>
      <c r="X2086" s="270"/>
      <c r="Y2086" s="270"/>
      <c r="Z2086" s="270"/>
      <c r="AA2086" s="270"/>
    </row>
    <row r="2087" spans="3:27" x14ac:dyDescent="0.3">
      <c r="C2087" s="450"/>
      <c r="D2087" s="182"/>
      <c r="E2087" s="182"/>
      <c r="F2087" s="182"/>
      <c r="G2087" s="450" t="str">
        <f t="shared" si="106"/>
        <v>--</v>
      </c>
      <c r="H2087" s="182"/>
      <c r="I2087" s="440"/>
      <c r="J2087" s="892"/>
      <c r="K2087" s="259"/>
      <c r="L2087" s="259" t="s">
        <v>46</v>
      </c>
      <c r="M2087" s="893">
        <f>SUM(M2084:M2086)</f>
        <v>1</v>
      </c>
      <c r="N2087" s="894"/>
      <c r="O2087" s="894">
        <f>SUM(O2084:O2086)</f>
        <v>0</v>
      </c>
      <c r="P2087" s="274" t="s">
        <v>261</v>
      </c>
      <c r="Q2087" s="882">
        <v>1</v>
      </c>
      <c r="R2087" s="114"/>
      <c r="S2087" s="114"/>
      <c r="T2087" s="114"/>
      <c r="U2087" s="264"/>
      <c r="V2087" s="270"/>
      <c r="W2087" s="270"/>
      <c r="X2087" s="270"/>
      <c r="Y2087" s="270"/>
      <c r="Z2087" s="270"/>
      <c r="AA2087" s="270"/>
    </row>
    <row r="2088" spans="3:27" x14ac:dyDescent="0.3">
      <c r="C2088" s="450"/>
      <c r="D2088" s="182"/>
      <c r="E2088" s="182"/>
      <c r="F2088" s="182"/>
      <c r="G2088" s="450" t="str">
        <f t="shared" si="106"/>
        <v>--</v>
      </c>
      <c r="H2088" s="182"/>
      <c r="I2088" s="892"/>
      <c r="J2088" s="288"/>
      <c r="K2088" s="182"/>
      <c r="L2088" s="181"/>
      <c r="M2088" s="181"/>
      <c r="N2088" s="892"/>
      <c r="O2088" s="892"/>
      <c r="P2088" s="284" t="s">
        <v>260</v>
      </c>
      <c r="Q2088" s="882">
        <v>0</v>
      </c>
      <c r="R2088" s="114"/>
      <c r="S2088" s="114"/>
      <c r="T2088" s="114"/>
      <c r="U2088" s="884"/>
      <c r="V2088" s="114"/>
      <c r="W2088" s="270"/>
      <c r="X2088" s="270"/>
      <c r="Y2088" s="270"/>
      <c r="Z2088" s="270"/>
      <c r="AA2088" s="270"/>
    </row>
    <row r="2089" spans="3:27" x14ac:dyDescent="0.3">
      <c r="C2089" s="450"/>
      <c r="D2089" s="182"/>
      <c r="E2089" s="182"/>
      <c r="F2089" s="182"/>
      <c r="G2089" s="450" t="str">
        <f t="shared" si="106"/>
        <v>--</v>
      </c>
      <c r="H2089" s="182"/>
      <c r="I2089" s="892"/>
      <c r="J2089" s="288"/>
      <c r="K2089" s="182"/>
      <c r="L2089" s="181"/>
      <c r="M2089" s="181"/>
      <c r="N2089" s="892"/>
      <c r="O2089" s="892"/>
      <c r="P2089" s="258" t="s">
        <v>259</v>
      </c>
      <c r="Q2089" s="882">
        <v>0</v>
      </c>
      <c r="R2089" s="114"/>
      <c r="S2089" s="114"/>
      <c r="T2089" s="114"/>
      <c r="U2089" s="884"/>
      <c r="V2089" s="114"/>
      <c r="W2089" s="270"/>
      <c r="X2089" s="270"/>
      <c r="Y2089" s="270"/>
      <c r="Z2089" s="270"/>
      <c r="AA2089" s="270"/>
    </row>
    <row r="2090" spans="3:27" x14ac:dyDescent="0.3">
      <c r="C2090" s="450"/>
      <c r="D2090" s="182"/>
      <c r="E2090" s="182"/>
      <c r="F2090" s="182"/>
      <c r="G2090" s="450" t="str">
        <f t="shared" si="106"/>
        <v>--</v>
      </c>
      <c r="H2090" s="182"/>
      <c r="I2090" s="892"/>
      <c r="J2090" s="288"/>
      <c r="K2090" s="182"/>
      <c r="L2090" s="181"/>
      <c r="M2090" s="181"/>
      <c r="N2090" s="892"/>
      <c r="O2090" s="892"/>
      <c r="P2090" s="263" t="s">
        <v>46</v>
      </c>
      <c r="Q2090" s="897">
        <f>SUM(Q2084:Q2089)</f>
        <v>1</v>
      </c>
      <c r="R2090" s="899"/>
      <c r="S2090" s="899"/>
      <c r="T2090" s="899"/>
      <c r="U2090" s="900"/>
      <c r="V2090" s="114"/>
      <c r="W2090" s="270"/>
      <c r="X2090" s="270"/>
      <c r="Y2090" s="270"/>
      <c r="Z2090" s="270"/>
      <c r="AA2090" s="270"/>
    </row>
    <row r="2091" spans="3:27" x14ac:dyDescent="0.3">
      <c r="C2091" s="450"/>
      <c r="D2091" s="182"/>
      <c r="E2091" s="182"/>
      <c r="F2091" s="182"/>
      <c r="G2091" s="450" t="str">
        <f t="shared" si="106"/>
        <v>--</v>
      </c>
      <c r="H2091" s="182"/>
      <c r="I2091" s="892"/>
      <c r="J2091" s="288"/>
      <c r="K2091" s="182"/>
      <c r="L2091" s="181"/>
      <c r="M2091" s="181"/>
      <c r="N2091" s="892"/>
      <c r="O2091" s="892"/>
      <c r="P2091" s="262"/>
      <c r="Q2091" s="114"/>
      <c r="R2091" s="114"/>
      <c r="S2091" s="114"/>
      <c r="T2091" s="114"/>
      <c r="U2091" s="114"/>
      <c r="V2091" s="114"/>
      <c r="W2091" s="270"/>
      <c r="X2091" s="270"/>
      <c r="Y2091" s="270"/>
      <c r="Z2091" s="270"/>
      <c r="AA2091" s="270"/>
    </row>
    <row r="2092" spans="3:27" ht="15" thickBot="1" x14ac:dyDescent="0.35">
      <c r="C2092" s="450"/>
      <c r="D2092" s="182"/>
      <c r="E2092" s="182"/>
      <c r="F2092" s="182"/>
      <c r="G2092" s="450" t="str">
        <f t="shared" si="106"/>
        <v>--</v>
      </c>
      <c r="H2092" s="182"/>
      <c r="I2092" s="892"/>
      <c r="J2092" s="892"/>
      <c r="K2092" s="182"/>
      <c r="L2092" s="182"/>
      <c r="M2092" s="901" t="s">
        <v>155</v>
      </c>
      <c r="N2092" s="870" t="s">
        <v>188</v>
      </c>
      <c r="O2092" s="870"/>
      <c r="P2092" s="265" t="s">
        <v>33</v>
      </c>
      <c r="Q2092" s="871" t="s">
        <v>155</v>
      </c>
      <c r="R2092" s="872" t="s">
        <v>168</v>
      </c>
      <c r="S2092" s="872" t="s">
        <v>169</v>
      </c>
      <c r="T2092" s="872" t="s">
        <v>170</v>
      </c>
      <c r="U2092" s="872" t="s">
        <v>171</v>
      </c>
      <c r="V2092" s="902"/>
      <c r="W2092" s="902"/>
      <c r="X2092" s="874"/>
      <c r="Y2092" s="270"/>
      <c r="Z2092" s="270"/>
      <c r="AA2092" s="270"/>
    </row>
    <row r="2093" spans="3:27" ht="15" thickBot="1" x14ac:dyDescent="0.35">
      <c r="C2093" s="566" t="s">
        <v>97</v>
      </c>
      <c r="D2093" s="875" t="str">
        <f>VLOOKUP(C2093,'Airport Mapping'!$C$5:$D$39,2,FALSE)</f>
        <v xml:space="preserve"> </v>
      </c>
      <c r="E2093" s="567" t="s">
        <v>45</v>
      </c>
      <c r="F2093" s="567" t="s">
        <v>33</v>
      </c>
      <c r="G2093" s="450" t="str">
        <f t="shared" si="106"/>
        <v>Hotel B-Guestrooms-Faucets</v>
      </c>
      <c r="H2093" s="567" t="s">
        <v>17</v>
      </c>
      <c r="I2093" s="877" t="s">
        <v>64</v>
      </c>
      <c r="J2093" s="878">
        <f>SUMIFS('Level of Efficiency Assumptions'!J:J,'Level of Efficiency Assumptions'!D:D,E2093,'Level of Efficiency Assumptions'!F:F,F2093,'Level of Efficiency Assumptions'!I:I,I2093)</f>
        <v>2</v>
      </c>
      <c r="K2093" s="383" t="s">
        <v>78</v>
      </c>
      <c r="L2093" s="253" t="s">
        <v>64</v>
      </c>
      <c r="M2093" s="879">
        <f>Q2093+Q2094</f>
        <v>0</v>
      </c>
      <c r="N2093" s="880">
        <f>IFERROR(M2093/M2096,"-")</f>
        <v>0</v>
      </c>
      <c r="O2093" s="881">
        <f>SUMIFS('Data Entry'!R:R,'Data Entry'!K:K,G2093)</f>
        <v>0</v>
      </c>
      <c r="P2093" s="266" t="s">
        <v>180</v>
      </c>
      <c r="Q2093" s="895">
        <v>0</v>
      </c>
      <c r="R2093" s="883"/>
      <c r="S2093" s="883"/>
      <c r="T2093" s="883"/>
      <c r="U2093" s="883"/>
      <c r="V2093" s="114" t="s">
        <v>182</v>
      </c>
      <c r="W2093" s="114"/>
      <c r="X2093" s="884"/>
      <c r="Y2093" s="270"/>
      <c r="Z2093" s="270"/>
      <c r="AA2093" s="270"/>
    </row>
    <row r="2094" spans="3:27" ht="15" thickBot="1" x14ac:dyDescent="0.35">
      <c r="C2094" s="494" t="s">
        <v>97</v>
      </c>
      <c r="D2094" s="577"/>
      <c r="E2094" s="577" t="s">
        <v>45</v>
      </c>
      <c r="F2094" s="577" t="s">
        <v>33</v>
      </c>
      <c r="G2094" s="450" t="str">
        <f t="shared" si="106"/>
        <v>Hotel B-Guestrooms-Faucets</v>
      </c>
      <c r="H2094" s="577"/>
      <c r="I2094" s="887" t="s">
        <v>65</v>
      </c>
      <c r="J2094" s="878">
        <f>SUMIFS('Level of Efficiency Assumptions'!J:J,'Level of Efficiency Assumptions'!D:D,E2094,'Level of Efficiency Assumptions'!F:F,F2094,'Level of Efficiency Assumptions'!I:I,I2094)</f>
        <v>1</v>
      </c>
      <c r="K2094" s="383" t="s">
        <v>78</v>
      </c>
      <c r="L2094" s="255" t="s">
        <v>65</v>
      </c>
      <c r="M2094" s="879">
        <f>Q2095+Q2096</f>
        <v>1</v>
      </c>
      <c r="N2094" s="880">
        <f>IFERROR(M2094/M2096,"-")</f>
        <v>1</v>
      </c>
      <c r="O2094" s="881">
        <f>SUMIFS('Data Entry'!S:S,'Data Entry'!K:K,G2094)</f>
        <v>0</v>
      </c>
      <c r="P2094" s="266" t="s">
        <v>178</v>
      </c>
      <c r="Q2094" s="895">
        <v>0</v>
      </c>
      <c r="R2094" s="883"/>
      <c r="S2094" s="883"/>
      <c r="T2094" s="883"/>
      <c r="U2094" s="883"/>
      <c r="V2094" s="114" t="s">
        <v>184</v>
      </c>
      <c r="W2094" s="114"/>
      <c r="X2094" s="884"/>
      <c r="Y2094" s="270"/>
      <c r="Z2094" s="270"/>
      <c r="AA2094" s="270"/>
    </row>
    <row r="2095" spans="3:27" ht="15" thickBot="1" x14ac:dyDescent="0.35">
      <c r="C2095" s="501" t="s">
        <v>97</v>
      </c>
      <c r="D2095" s="116"/>
      <c r="E2095" s="116" t="s">
        <v>45</v>
      </c>
      <c r="F2095" s="116" t="s">
        <v>33</v>
      </c>
      <c r="G2095" s="450" t="str">
        <f t="shared" si="106"/>
        <v>Hotel B-Guestrooms-Faucets</v>
      </c>
      <c r="H2095" s="116"/>
      <c r="I2095" s="889" t="s">
        <v>66</v>
      </c>
      <c r="J2095" s="890">
        <f>SUMIFS('Level of Efficiency Assumptions'!J:J,'Level of Efficiency Assumptions'!D:D,E2095,'Level of Efficiency Assumptions'!F:F,F2095,'Level of Efficiency Assumptions'!I:I,I2095)</f>
        <v>0.5</v>
      </c>
      <c r="K2095" s="383" t="s">
        <v>78</v>
      </c>
      <c r="L2095" s="257" t="s">
        <v>66</v>
      </c>
      <c r="M2095" s="879">
        <f>Q2097</f>
        <v>0</v>
      </c>
      <c r="N2095" s="880">
        <f>IFERROR(M2095/M2096,"-")</f>
        <v>0</v>
      </c>
      <c r="O2095" s="881">
        <f>SUMIFS('Data Entry'!T:T,'Data Entry'!K:K,G2095)</f>
        <v>0</v>
      </c>
      <c r="P2095" s="267" t="s">
        <v>176</v>
      </c>
      <c r="Q2095" s="895">
        <v>1</v>
      </c>
      <c r="R2095" s="883"/>
      <c r="S2095" s="883"/>
      <c r="T2095" s="883"/>
      <c r="U2095" s="883"/>
      <c r="V2095" s="114" t="s">
        <v>185</v>
      </c>
      <c r="W2095" s="114"/>
      <c r="X2095" s="884"/>
      <c r="Y2095" s="270"/>
      <c r="Z2095" s="270"/>
      <c r="AA2095" s="270"/>
    </row>
    <row r="2096" spans="3:27" x14ac:dyDescent="0.3">
      <c r="C2096" s="450"/>
      <c r="D2096" s="182"/>
      <c r="E2096" s="182"/>
      <c r="F2096" s="182"/>
      <c r="G2096" s="450" t="str">
        <f t="shared" si="106"/>
        <v>--</v>
      </c>
      <c r="H2096" s="182"/>
      <c r="I2096" s="440"/>
      <c r="J2096" s="892"/>
      <c r="K2096" s="259"/>
      <c r="L2096" s="259" t="s">
        <v>46</v>
      </c>
      <c r="M2096" s="893">
        <f>SUM(M2093:M2095)</f>
        <v>1</v>
      </c>
      <c r="N2096" s="894"/>
      <c r="O2096" s="894">
        <f>SUM(O2093:O2095)</f>
        <v>0</v>
      </c>
      <c r="P2096" s="256" t="s">
        <v>173</v>
      </c>
      <c r="Q2096" s="895">
        <v>0</v>
      </c>
      <c r="R2096" s="883"/>
      <c r="S2096" s="883"/>
      <c r="T2096" s="883"/>
      <c r="U2096" s="883"/>
      <c r="V2096" s="114" t="s">
        <v>186</v>
      </c>
      <c r="W2096" s="114"/>
      <c r="X2096" s="884"/>
      <c r="Y2096" s="270"/>
      <c r="Z2096" s="270"/>
      <c r="AA2096" s="270"/>
    </row>
    <row r="2097" spans="3:27" x14ac:dyDescent="0.3">
      <c r="C2097" s="450"/>
      <c r="D2097" s="182"/>
      <c r="E2097" s="182"/>
      <c r="F2097" s="182"/>
      <c r="G2097" s="450" t="str">
        <f t="shared" si="106"/>
        <v>--</v>
      </c>
      <c r="H2097" s="182"/>
      <c r="I2097" s="892"/>
      <c r="J2097" s="288"/>
      <c r="K2097" s="182"/>
      <c r="L2097" s="114"/>
      <c r="M2097" s="114"/>
      <c r="N2097" s="905"/>
      <c r="O2097" s="905"/>
      <c r="P2097" s="258" t="s">
        <v>172</v>
      </c>
      <c r="Q2097" s="895">
        <v>0</v>
      </c>
      <c r="R2097" s="883"/>
      <c r="S2097" s="883"/>
      <c r="T2097" s="883"/>
      <c r="U2097" s="883"/>
      <c r="V2097" s="114"/>
      <c r="W2097" s="114"/>
      <c r="X2097" s="884"/>
      <c r="Y2097" s="270"/>
      <c r="Z2097" s="270"/>
      <c r="AA2097" s="270"/>
    </row>
    <row r="2098" spans="3:27" x14ac:dyDescent="0.3">
      <c r="C2098" s="450"/>
      <c r="D2098" s="182"/>
      <c r="E2098" s="182"/>
      <c r="F2098" s="182"/>
      <c r="G2098" s="450" t="str">
        <f t="shared" si="106"/>
        <v>--</v>
      </c>
      <c r="H2098" s="182"/>
      <c r="I2098" s="892"/>
      <c r="J2098" s="288"/>
      <c r="K2098" s="182"/>
      <c r="L2098" s="181"/>
      <c r="M2098" s="181"/>
      <c r="N2098" s="892"/>
      <c r="O2098" s="892"/>
      <c r="P2098" s="263" t="s">
        <v>46</v>
      </c>
      <c r="Q2098" s="897">
        <f>SUM(Q2092:Q2097)</f>
        <v>1</v>
      </c>
      <c r="R2098" s="899"/>
      <c r="S2098" s="899"/>
      <c r="T2098" s="899"/>
      <c r="U2098" s="899"/>
      <c r="V2098" s="899"/>
      <c r="W2098" s="899"/>
      <c r="X2098" s="900"/>
      <c r="Y2098" s="270"/>
      <c r="Z2098" s="270"/>
      <c r="AA2098" s="270"/>
    </row>
    <row r="2099" spans="3:27" x14ac:dyDescent="0.3">
      <c r="C2099" s="450"/>
      <c r="D2099" s="182"/>
      <c r="E2099" s="182"/>
      <c r="F2099" s="182"/>
      <c r="G2099" s="450" t="str">
        <f t="shared" si="106"/>
        <v>--</v>
      </c>
      <c r="H2099" s="182"/>
      <c r="I2099" s="892"/>
      <c r="J2099" s="288"/>
      <c r="K2099" s="182"/>
      <c r="L2099" s="181"/>
      <c r="M2099" s="181"/>
      <c r="N2099" s="892"/>
      <c r="O2099" s="892"/>
      <c r="P2099" s="262"/>
      <c r="Q2099" s="114"/>
      <c r="R2099" s="114"/>
      <c r="S2099" s="114"/>
      <c r="T2099" s="114"/>
      <c r="U2099" s="114"/>
      <c r="V2099" s="114"/>
      <c r="W2099" s="270"/>
      <c r="X2099" s="270"/>
      <c r="Y2099" s="270"/>
      <c r="Z2099" s="270"/>
      <c r="AA2099" s="270"/>
    </row>
    <row r="2100" spans="3:27" ht="15" thickBot="1" x14ac:dyDescent="0.35">
      <c r="C2100" s="450"/>
      <c r="D2100" s="182"/>
      <c r="E2100" s="182"/>
      <c r="F2100" s="182"/>
      <c r="G2100" s="450" t="str">
        <f t="shared" si="106"/>
        <v>--</v>
      </c>
      <c r="H2100" s="182"/>
      <c r="I2100" s="892"/>
      <c r="J2100" s="892"/>
      <c r="K2100" s="182"/>
      <c r="L2100" s="182"/>
      <c r="M2100" s="901" t="s">
        <v>155</v>
      </c>
      <c r="N2100" s="870" t="s">
        <v>188</v>
      </c>
      <c r="O2100" s="870"/>
      <c r="P2100" s="265" t="s">
        <v>33</v>
      </c>
      <c r="Q2100" s="871" t="s">
        <v>155</v>
      </c>
      <c r="R2100" s="872" t="s">
        <v>168</v>
      </c>
      <c r="S2100" s="872" t="s">
        <v>169</v>
      </c>
      <c r="T2100" s="872" t="s">
        <v>170</v>
      </c>
      <c r="U2100" s="872" t="s">
        <v>171</v>
      </c>
      <c r="V2100" s="902"/>
      <c r="W2100" s="902"/>
      <c r="X2100" s="874"/>
      <c r="Y2100" s="270"/>
      <c r="Z2100" s="270"/>
      <c r="AA2100" s="270"/>
    </row>
    <row r="2101" spans="3:27" ht="15" thickBot="1" x14ac:dyDescent="0.35">
      <c r="C2101" s="566" t="s">
        <v>97</v>
      </c>
      <c r="D2101" s="875" t="str">
        <f>VLOOKUP(C2101,'Airport Mapping'!$C$5:$D$39,2,FALSE)</f>
        <v xml:space="preserve"> </v>
      </c>
      <c r="E2101" s="567" t="s">
        <v>38</v>
      </c>
      <c r="F2101" s="567" t="s">
        <v>114</v>
      </c>
      <c r="G2101" s="450" t="str">
        <f t="shared" si="106"/>
        <v>Hotel B-Food Service-Kitchen faucets</v>
      </c>
      <c r="H2101" s="567" t="s">
        <v>118</v>
      </c>
      <c r="I2101" s="877" t="s">
        <v>64</v>
      </c>
      <c r="J2101" s="878">
        <f>SUMIFS('Level of Efficiency Assumptions'!J:J,'Level of Efficiency Assumptions'!D:D,E2101,'Level of Efficiency Assumptions'!F:F,F2101,'Level of Efficiency Assumptions'!I:I,I2101)</f>
        <v>2</v>
      </c>
      <c r="K2101" s="383" t="s">
        <v>78</v>
      </c>
      <c r="L2101" s="253" t="s">
        <v>64</v>
      </c>
      <c r="M2101" s="879">
        <f>Q2101+Q2102</f>
        <v>0</v>
      </c>
      <c r="N2101" s="880">
        <f>IFERROR(M2101/M2104,"-")</f>
        <v>0</v>
      </c>
      <c r="O2101" s="881">
        <f>SUMIFS('Data Entry'!R:R,'Data Entry'!K:K,G2101)</f>
        <v>0</v>
      </c>
      <c r="P2101" s="266" t="s">
        <v>180</v>
      </c>
      <c r="Q2101" s="895">
        <v>0</v>
      </c>
      <c r="R2101" s="883"/>
      <c r="S2101" s="883"/>
      <c r="T2101" s="883"/>
      <c r="U2101" s="883"/>
      <c r="V2101" s="114" t="s">
        <v>182</v>
      </c>
      <c r="W2101" s="114"/>
      <c r="X2101" s="884"/>
      <c r="Y2101" s="270"/>
      <c r="Z2101" s="270"/>
      <c r="AA2101" s="270"/>
    </row>
    <row r="2102" spans="3:27" ht="15" thickBot="1" x14ac:dyDescent="0.35">
      <c r="C2102" s="494" t="s">
        <v>97</v>
      </c>
      <c r="D2102" s="577"/>
      <c r="E2102" s="577" t="s">
        <v>38</v>
      </c>
      <c r="F2102" s="577" t="s">
        <v>114</v>
      </c>
      <c r="G2102" s="450" t="str">
        <f t="shared" si="106"/>
        <v>Hotel B-Food Service-Kitchen faucets</v>
      </c>
      <c r="H2102" s="577"/>
      <c r="I2102" s="887" t="s">
        <v>65</v>
      </c>
      <c r="J2102" s="878">
        <f>SUMIFS('Level of Efficiency Assumptions'!J:J,'Level of Efficiency Assumptions'!D:D,E2102,'Level of Efficiency Assumptions'!F:F,F2102,'Level of Efficiency Assumptions'!I:I,I2102)</f>
        <v>1</v>
      </c>
      <c r="K2102" s="383" t="s">
        <v>78</v>
      </c>
      <c r="L2102" s="255" t="s">
        <v>65</v>
      </c>
      <c r="M2102" s="879">
        <f>Q2103+Q2104</f>
        <v>1</v>
      </c>
      <c r="N2102" s="880">
        <f>IFERROR(M2102/M2104,"-")</f>
        <v>1</v>
      </c>
      <c r="O2102" s="881">
        <f>SUMIFS('Data Entry'!S:S,'Data Entry'!K:K,G2102)</f>
        <v>0</v>
      </c>
      <c r="P2102" s="266" t="s">
        <v>178</v>
      </c>
      <c r="Q2102" s="895">
        <v>0</v>
      </c>
      <c r="R2102" s="883"/>
      <c r="S2102" s="883"/>
      <c r="T2102" s="883"/>
      <c r="U2102" s="883"/>
      <c r="V2102" s="114" t="s">
        <v>184</v>
      </c>
      <c r="W2102" s="114"/>
      <c r="X2102" s="884"/>
      <c r="Y2102" s="270"/>
      <c r="Z2102" s="270"/>
      <c r="AA2102" s="270"/>
    </row>
    <row r="2103" spans="3:27" ht="15" thickBot="1" x14ac:dyDescent="0.35">
      <c r="C2103" s="501" t="s">
        <v>97</v>
      </c>
      <c r="D2103" s="116"/>
      <c r="E2103" s="116" t="s">
        <v>38</v>
      </c>
      <c r="F2103" s="116" t="s">
        <v>114</v>
      </c>
      <c r="G2103" s="450" t="str">
        <f t="shared" si="106"/>
        <v>Hotel B-Food Service-Kitchen faucets</v>
      </c>
      <c r="H2103" s="116"/>
      <c r="I2103" s="889" t="s">
        <v>66</v>
      </c>
      <c r="J2103" s="890">
        <f>SUMIFS('Level of Efficiency Assumptions'!J:J,'Level of Efficiency Assumptions'!D:D,E2103,'Level of Efficiency Assumptions'!F:F,F2103,'Level of Efficiency Assumptions'!I:I,I2103)</f>
        <v>0.5</v>
      </c>
      <c r="K2103" s="383" t="s">
        <v>78</v>
      </c>
      <c r="L2103" s="257" t="s">
        <v>66</v>
      </c>
      <c r="M2103" s="879">
        <f>Q2105</f>
        <v>0</v>
      </c>
      <c r="N2103" s="880">
        <f>IFERROR(M2103/M2104,"-")</f>
        <v>0</v>
      </c>
      <c r="O2103" s="881">
        <f>SUMIFS('Data Entry'!T:T,'Data Entry'!K:K,G2103)</f>
        <v>0</v>
      </c>
      <c r="P2103" s="267" t="s">
        <v>176</v>
      </c>
      <c r="Q2103" s="895">
        <v>1</v>
      </c>
      <c r="R2103" s="883"/>
      <c r="S2103" s="883"/>
      <c r="T2103" s="883"/>
      <c r="U2103" s="883"/>
      <c r="V2103" s="114" t="s">
        <v>185</v>
      </c>
      <c r="W2103" s="114"/>
      <c r="X2103" s="884"/>
      <c r="Y2103" s="270"/>
      <c r="Z2103" s="270"/>
      <c r="AA2103" s="270"/>
    </row>
    <row r="2104" spans="3:27" x14ac:dyDescent="0.3">
      <c r="C2104" s="450"/>
      <c r="D2104" s="182"/>
      <c r="E2104" s="182"/>
      <c r="F2104" s="182"/>
      <c r="G2104" s="450" t="str">
        <f t="shared" si="106"/>
        <v>--</v>
      </c>
      <c r="H2104" s="182"/>
      <c r="I2104" s="440"/>
      <c r="J2104" s="892"/>
      <c r="K2104" s="259"/>
      <c r="L2104" s="259" t="s">
        <v>46</v>
      </c>
      <c r="M2104" s="893">
        <f>SUM(M2101:M2103)</f>
        <v>1</v>
      </c>
      <c r="N2104" s="894"/>
      <c r="O2104" s="894">
        <f>SUM(O2101:O2103)</f>
        <v>0</v>
      </c>
      <c r="P2104" s="256" t="s">
        <v>173</v>
      </c>
      <c r="Q2104" s="895">
        <v>0</v>
      </c>
      <c r="R2104" s="883"/>
      <c r="S2104" s="883"/>
      <c r="T2104" s="883"/>
      <c r="U2104" s="883"/>
      <c r="V2104" s="114" t="s">
        <v>186</v>
      </c>
      <c r="W2104" s="114"/>
      <c r="X2104" s="884"/>
      <c r="Y2104" s="270"/>
      <c r="Z2104" s="270"/>
      <c r="AA2104" s="270"/>
    </row>
    <row r="2105" spans="3:27" x14ac:dyDescent="0.3">
      <c r="C2105" s="450"/>
      <c r="D2105" s="182"/>
      <c r="E2105" s="182"/>
      <c r="F2105" s="182"/>
      <c r="G2105" s="450" t="str">
        <f t="shared" si="106"/>
        <v>--</v>
      </c>
      <c r="H2105" s="182"/>
      <c r="I2105" s="892"/>
      <c r="J2105" s="288"/>
      <c r="K2105" s="182"/>
      <c r="L2105" s="182"/>
      <c r="M2105" s="270"/>
      <c r="N2105" s="892"/>
      <c r="O2105" s="892"/>
      <c r="P2105" s="258" t="s">
        <v>172</v>
      </c>
      <c r="Q2105" s="895">
        <v>0</v>
      </c>
      <c r="R2105" s="883"/>
      <c r="S2105" s="883"/>
      <c r="T2105" s="883"/>
      <c r="U2105" s="883"/>
      <c r="V2105" s="114"/>
      <c r="W2105" s="114"/>
      <c r="X2105" s="884"/>
      <c r="Y2105" s="270"/>
      <c r="Z2105" s="270"/>
      <c r="AA2105" s="270"/>
    </row>
    <row r="2106" spans="3:27" x14ac:dyDescent="0.3">
      <c r="C2106" s="450"/>
      <c r="D2106" s="182"/>
      <c r="E2106" s="182"/>
      <c r="F2106" s="182"/>
      <c r="G2106" s="450" t="str">
        <f t="shared" si="106"/>
        <v>--</v>
      </c>
      <c r="H2106" s="182"/>
      <c r="I2106" s="892"/>
      <c r="J2106" s="288"/>
      <c r="K2106" s="182"/>
      <c r="L2106" s="182"/>
      <c r="M2106" s="270"/>
      <c r="N2106" s="892"/>
      <c r="O2106" s="892"/>
      <c r="P2106" s="263" t="s">
        <v>46</v>
      </c>
      <c r="Q2106" s="897">
        <f>SUM(Q2100:Q2105)</f>
        <v>1</v>
      </c>
      <c r="R2106" s="899"/>
      <c r="S2106" s="899"/>
      <c r="T2106" s="899"/>
      <c r="U2106" s="899"/>
      <c r="V2106" s="899"/>
      <c r="W2106" s="899"/>
      <c r="X2106" s="900"/>
      <c r="Y2106" s="270"/>
      <c r="Z2106" s="270"/>
      <c r="AA2106" s="270"/>
    </row>
    <row r="2107" spans="3:27" x14ac:dyDescent="0.3">
      <c r="C2107" s="450"/>
      <c r="D2107" s="182"/>
      <c r="E2107" s="182"/>
      <c r="F2107" s="182"/>
      <c r="G2107" s="450" t="str">
        <f t="shared" si="106"/>
        <v>--</v>
      </c>
      <c r="H2107" s="182"/>
      <c r="I2107" s="892"/>
      <c r="J2107" s="288"/>
      <c r="K2107" s="182"/>
      <c r="L2107" s="182"/>
      <c r="M2107" s="270"/>
      <c r="N2107" s="892"/>
      <c r="O2107" s="892"/>
      <c r="P2107" s="259"/>
      <c r="Q2107" s="114"/>
      <c r="R2107" s="114"/>
      <c r="S2107" s="114"/>
      <c r="T2107" s="114"/>
      <c r="U2107" s="114"/>
      <c r="V2107" s="114"/>
      <c r="W2107" s="270"/>
      <c r="X2107" s="270"/>
      <c r="Y2107" s="270"/>
      <c r="Z2107" s="270"/>
      <c r="AA2107" s="270"/>
    </row>
    <row r="2108" spans="3:27" ht="15" thickBot="1" x14ac:dyDescent="0.35">
      <c r="C2108" s="450"/>
      <c r="D2108" s="182"/>
      <c r="E2108" s="182"/>
      <c r="F2108" s="182"/>
      <c r="G2108" s="450" t="str">
        <f t="shared" si="106"/>
        <v>--</v>
      </c>
      <c r="H2108" s="182"/>
      <c r="I2108" s="892"/>
      <c r="J2108" s="892"/>
      <c r="K2108" s="182"/>
      <c r="L2108" s="182"/>
      <c r="M2108" s="901" t="s">
        <v>155</v>
      </c>
      <c r="N2108" s="870" t="s">
        <v>188</v>
      </c>
      <c r="O2108" s="870"/>
      <c r="P2108" s="268" t="s">
        <v>157</v>
      </c>
      <c r="Q2108" s="871" t="s">
        <v>155</v>
      </c>
      <c r="R2108" s="874"/>
      <c r="S2108" s="114"/>
      <c r="T2108" s="270"/>
      <c r="U2108" s="270"/>
      <c r="V2108" s="270"/>
      <c r="W2108" s="114"/>
      <c r="X2108" s="270"/>
      <c r="Y2108" s="270"/>
      <c r="Z2108" s="270"/>
      <c r="AA2108" s="270"/>
    </row>
    <row r="2109" spans="3:27" ht="15" thickBot="1" x14ac:dyDescent="0.35">
      <c r="C2109" s="566" t="s">
        <v>97</v>
      </c>
      <c r="D2109" s="875" t="str">
        <f>VLOOKUP(C2109,'Airport Mapping'!$C$5:$D$39,2,FALSE)</f>
        <v xml:space="preserve"> </v>
      </c>
      <c r="E2109" s="567" t="s">
        <v>38</v>
      </c>
      <c r="F2109" s="567" t="s">
        <v>127</v>
      </c>
      <c r="G2109" s="450" t="str">
        <f t="shared" si="106"/>
        <v>Hotel B-Food Service-Pre-rinse spray valves</v>
      </c>
      <c r="H2109" s="567" t="s">
        <v>118</v>
      </c>
      <c r="I2109" s="877" t="s">
        <v>64</v>
      </c>
      <c r="J2109" s="878">
        <f>SUMIFS('Level of Efficiency Assumptions'!J:J,'Level of Efficiency Assumptions'!D:D,E2109,'Level of Efficiency Assumptions'!F:F,F2109,'Level of Efficiency Assumptions'!I:I,I2109)</f>
        <v>3</v>
      </c>
      <c r="K2109" s="383" t="s">
        <v>78</v>
      </c>
      <c r="L2109" s="253" t="s">
        <v>64</v>
      </c>
      <c r="M2109" s="879">
        <f>Q2109+Q2110</f>
        <v>0</v>
      </c>
      <c r="N2109" s="880">
        <f>IFERROR(M2109/M2112,"-")</f>
        <v>0</v>
      </c>
      <c r="O2109" s="881">
        <f>SUMIFS('Data Entry'!R:R,'Data Entry'!K:K,G2109)</f>
        <v>0</v>
      </c>
      <c r="P2109" s="266" t="s">
        <v>191</v>
      </c>
      <c r="Q2109" s="895">
        <v>0</v>
      </c>
      <c r="R2109" s="884"/>
      <c r="S2109" s="114"/>
      <c r="T2109" s="270"/>
      <c r="U2109" s="270"/>
      <c r="V2109" s="270"/>
      <c r="W2109" s="114"/>
      <c r="X2109" s="270"/>
      <c r="Y2109" s="270"/>
      <c r="Z2109" s="270"/>
      <c r="AA2109" s="270"/>
    </row>
    <row r="2110" spans="3:27" ht="15" thickBot="1" x14ac:dyDescent="0.35">
      <c r="C2110" s="494" t="s">
        <v>97</v>
      </c>
      <c r="D2110" s="577"/>
      <c r="E2110" s="577" t="s">
        <v>38</v>
      </c>
      <c r="F2110" s="577" t="s">
        <v>127</v>
      </c>
      <c r="G2110" s="450" t="str">
        <f t="shared" si="106"/>
        <v>Hotel B-Food Service-Pre-rinse spray valves</v>
      </c>
      <c r="H2110" s="577"/>
      <c r="I2110" s="887" t="s">
        <v>65</v>
      </c>
      <c r="J2110" s="878">
        <f>SUMIFS('Level of Efficiency Assumptions'!J:J,'Level of Efficiency Assumptions'!D:D,E2110,'Level of Efficiency Assumptions'!F:F,F2110,'Level of Efficiency Assumptions'!I:I,I2110)</f>
        <v>2</v>
      </c>
      <c r="K2110" s="383" t="s">
        <v>78</v>
      </c>
      <c r="L2110" s="255" t="s">
        <v>65</v>
      </c>
      <c r="M2110" s="879">
        <f>Q2111+Q2112</f>
        <v>1</v>
      </c>
      <c r="N2110" s="880">
        <f>IFERROR(M2110/M2112,"-")</f>
        <v>1</v>
      </c>
      <c r="O2110" s="881">
        <f>SUMIFS('Data Entry'!S:S,'Data Entry'!K:K,G2110)</f>
        <v>0</v>
      </c>
      <c r="P2110" s="266" t="s">
        <v>192</v>
      </c>
      <c r="Q2110" s="895">
        <v>0</v>
      </c>
      <c r="R2110" s="884"/>
      <c r="S2110" s="114"/>
      <c r="T2110" s="270"/>
      <c r="U2110" s="270"/>
      <c r="V2110" s="270"/>
      <c r="W2110" s="114"/>
      <c r="X2110" s="270"/>
      <c r="Y2110" s="270"/>
      <c r="Z2110" s="270"/>
      <c r="AA2110" s="270"/>
    </row>
    <row r="2111" spans="3:27" ht="15" thickBot="1" x14ac:dyDescent="0.35">
      <c r="C2111" s="501" t="s">
        <v>97</v>
      </c>
      <c r="D2111" s="116"/>
      <c r="E2111" s="116" t="s">
        <v>38</v>
      </c>
      <c r="F2111" s="116" t="s">
        <v>127</v>
      </c>
      <c r="G2111" s="450" t="str">
        <f t="shared" si="106"/>
        <v>Hotel B-Food Service-Pre-rinse spray valves</v>
      </c>
      <c r="H2111" s="116"/>
      <c r="I2111" s="889" t="s">
        <v>66</v>
      </c>
      <c r="J2111" s="890">
        <f>SUMIFS('Level of Efficiency Assumptions'!J:J,'Level of Efficiency Assumptions'!D:D,E2111,'Level of Efficiency Assumptions'!F:F,F2111,'Level of Efficiency Assumptions'!I:I,I2111)</f>
        <v>1.28</v>
      </c>
      <c r="K2111" s="383" t="s">
        <v>78</v>
      </c>
      <c r="L2111" s="257" t="s">
        <v>66</v>
      </c>
      <c r="M2111" s="879">
        <f>Q2113</f>
        <v>0</v>
      </c>
      <c r="N2111" s="880">
        <f>IFERROR(M2111/M2112,"-")</f>
        <v>0</v>
      </c>
      <c r="O2111" s="881">
        <f>SUMIFS('Data Entry'!T:T,'Data Entry'!K:K,G2111)</f>
        <v>0</v>
      </c>
      <c r="P2111" s="267" t="s">
        <v>193</v>
      </c>
      <c r="Q2111" s="895">
        <v>0</v>
      </c>
      <c r="R2111" s="884"/>
      <c r="S2111" s="114"/>
      <c r="T2111" s="270"/>
      <c r="U2111" s="270"/>
      <c r="V2111" s="270"/>
      <c r="W2111" s="114"/>
      <c r="X2111" s="270"/>
      <c r="Y2111" s="270"/>
      <c r="Z2111" s="270"/>
      <c r="AA2111" s="270"/>
    </row>
    <row r="2112" spans="3:27" x14ac:dyDescent="0.3">
      <c r="C2112" s="450"/>
      <c r="D2112" s="182"/>
      <c r="E2112" s="182"/>
      <c r="F2112" s="182"/>
      <c r="G2112" s="450" t="str">
        <f t="shared" si="106"/>
        <v>--</v>
      </c>
      <c r="H2112" s="182"/>
      <c r="I2112" s="440"/>
      <c r="J2112" s="892"/>
      <c r="K2112" s="259"/>
      <c r="L2112" s="259" t="s">
        <v>46</v>
      </c>
      <c r="M2112" s="893">
        <f>SUM(M2109:M2111)</f>
        <v>1</v>
      </c>
      <c r="N2112" s="894"/>
      <c r="O2112" s="894">
        <f>SUM(O2109:O2111)</f>
        <v>0</v>
      </c>
      <c r="P2112" s="267" t="s">
        <v>194</v>
      </c>
      <c r="Q2112" s="895">
        <v>1</v>
      </c>
      <c r="R2112" s="884"/>
      <c r="S2112" s="114"/>
      <c r="T2112" s="270"/>
      <c r="U2112" s="270"/>
      <c r="V2112" s="270"/>
      <c r="W2112" s="114"/>
      <c r="X2112" s="270"/>
      <c r="Y2112" s="270"/>
      <c r="Z2112" s="270"/>
      <c r="AA2112" s="270"/>
    </row>
    <row r="2113" spans="3:27" x14ac:dyDescent="0.3">
      <c r="C2113" s="224"/>
      <c r="D2113" s="211"/>
      <c r="E2113" s="182"/>
      <c r="F2113" s="182"/>
      <c r="G2113" s="450" t="str">
        <f t="shared" si="106"/>
        <v>--</v>
      </c>
      <c r="H2113" s="182"/>
      <c r="I2113" s="892"/>
      <c r="J2113" s="288"/>
      <c r="K2113" s="182"/>
      <c r="L2113" s="182"/>
      <c r="M2113" s="270"/>
      <c r="N2113" s="892"/>
      <c r="O2113" s="892"/>
      <c r="P2113" s="269" t="s">
        <v>195</v>
      </c>
      <c r="Q2113" s="895">
        <v>0</v>
      </c>
      <c r="R2113" s="884"/>
      <c r="S2113" s="114"/>
      <c r="T2113" s="114"/>
      <c r="U2113" s="114"/>
      <c r="V2113" s="114"/>
      <c r="W2113" s="114"/>
      <c r="X2113" s="270"/>
      <c r="Y2113" s="270"/>
      <c r="Z2113" s="270"/>
      <c r="AA2113" s="270"/>
    </row>
    <row r="2114" spans="3:27" x14ac:dyDescent="0.3">
      <c r="C2114" s="224"/>
      <c r="D2114" s="211"/>
      <c r="E2114" s="182"/>
      <c r="F2114" s="182"/>
      <c r="G2114" s="450" t="str">
        <f t="shared" si="106"/>
        <v>--</v>
      </c>
      <c r="H2114" s="182"/>
      <c r="I2114" s="892"/>
      <c r="J2114" s="288"/>
      <c r="K2114" s="182"/>
      <c r="L2114" s="182"/>
      <c r="M2114" s="270"/>
      <c r="N2114" s="892"/>
      <c r="O2114" s="892"/>
      <c r="P2114" s="263" t="s">
        <v>46</v>
      </c>
      <c r="Q2114" s="897">
        <f>SUM(Q2109:Q2113)</f>
        <v>1</v>
      </c>
      <c r="R2114" s="900"/>
      <c r="S2114" s="114"/>
      <c r="T2114" s="114"/>
      <c r="U2114" s="114"/>
      <c r="V2114" s="114"/>
      <c r="W2114" s="114"/>
      <c r="X2114" s="270"/>
      <c r="Y2114" s="270"/>
      <c r="Z2114" s="270"/>
      <c r="AA2114" s="270"/>
    </row>
    <row r="2115" spans="3:27" x14ac:dyDescent="0.3">
      <c r="C2115" s="224"/>
      <c r="D2115" s="211"/>
      <c r="E2115" s="182"/>
      <c r="F2115" s="182"/>
      <c r="G2115" s="450" t="str">
        <f t="shared" si="106"/>
        <v>--</v>
      </c>
      <c r="H2115" s="182"/>
      <c r="I2115" s="892"/>
      <c r="J2115" s="288"/>
      <c r="K2115" s="182"/>
      <c r="L2115" s="182"/>
      <c r="M2115" s="270"/>
      <c r="N2115" s="892"/>
      <c r="O2115" s="892"/>
      <c r="P2115" s="270"/>
      <c r="Q2115" s="270"/>
      <c r="R2115" s="270"/>
      <c r="S2115" s="270"/>
      <c r="T2115" s="270"/>
      <c r="U2115" s="270"/>
      <c r="V2115" s="270"/>
      <c r="W2115" s="270"/>
      <c r="X2115" s="270"/>
      <c r="Y2115" s="270"/>
      <c r="Z2115" s="270"/>
      <c r="AA2115" s="270"/>
    </row>
    <row r="2116" spans="3:27" x14ac:dyDescent="0.3">
      <c r="C2116" s="224"/>
      <c r="D2116" s="211"/>
      <c r="E2116" s="182"/>
      <c r="F2116" s="182"/>
      <c r="G2116" s="450" t="str">
        <f t="shared" si="106"/>
        <v>--</v>
      </c>
      <c r="H2116" s="182"/>
      <c r="I2116" s="892"/>
      <c r="J2116" s="288"/>
      <c r="K2116" s="182"/>
      <c r="L2116" s="182"/>
      <c r="M2116" s="270"/>
      <c r="N2116" s="892"/>
      <c r="O2116" s="892"/>
      <c r="P2116" s="268" t="s">
        <v>196</v>
      </c>
      <c r="Q2116" s="906"/>
      <c r="R2116" s="902"/>
      <c r="S2116" s="902"/>
      <c r="T2116" s="902"/>
      <c r="U2116" s="902"/>
      <c r="V2116" s="902"/>
      <c r="W2116" s="902"/>
      <c r="X2116" s="902"/>
      <c r="Y2116" s="902"/>
      <c r="Z2116" s="902"/>
      <c r="AA2116" s="874"/>
    </row>
    <row r="2117" spans="3:27" ht="15" thickBot="1" x14ac:dyDescent="0.35">
      <c r="C2117" s="224"/>
      <c r="D2117" s="182"/>
      <c r="E2117" s="182"/>
      <c r="F2117" s="182"/>
      <c r="G2117" s="450" t="str">
        <f t="shared" si="106"/>
        <v>--</v>
      </c>
      <c r="H2117" s="182"/>
      <c r="I2117" s="892"/>
      <c r="J2117" s="892"/>
      <c r="K2117" s="182"/>
      <c r="L2117" s="182"/>
      <c r="M2117" s="901" t="s">
        <v>155</v>
      </c>
      <c r="N2117" s="870" t="s">
        <v>188</v>
      </c>
      <c r="O2117" s="870"/>
      <c r="P2117" s="271" t="s">
        <v>203</v>
      </c>
      <c r="Q2117" s="871" t="s">
        <v>155</v>
      </c>
      <c r="R2117" s="114"/>
      <c r="S2117" s="114"/>
      <c r="T2117" s="907" t="s">
        <v>156</v>
      </c>
      <c r="U2117" s="114"/>
      <c r="V2117" s="114"/>
      <c r="W2117" s="114"/>
      <c r="X2117" s="114"/>
      <c r="Y2117" s="114"/>
      <c r="Z2117" s="114"/>
      <c r="AA2117" s="884"/>
    </row>
    <row r="2118" spans="3:27" ht="15" thickBot="1" x14ac:dyDescent="0.35">
      <c r="C2118" s="566" t="s">
        <v>97</v>
      </c>
      <c r="D2118" s="875" t="str">
        <f>VLOOKUP(C2118,'Airport Mapping'!$C$5:$D$39,2,FALSE)</f>
        <v xml:space="preserve"> </v>
      </c>
      <c r="E2118" s="567" t="s">
        <v>38</v>
      </c>
      <c r="F2118" s="567" t="s">
        <v>41</v>
      </c>
      <c r="G2118" s="450" t="str">
        <f t="shared" si="106"/>
        <v>Hotel B-Food Service-Dishwashers</v>
      </c>
      <c r="H2118" s="567" t="s">
        <v>118</v>
      </c>
      <c r="I2118" s="877" t="s">
        <v>64</v>
      </c>
      <c r="J2118" s="878">
        <f>SUMIFS('Level of Efficiency Assumptions'!J:J,'Level of Efficiency Assumptions'!D:D,E2118,'Level of Efficiency Assumptions'!F:F,F2118,'Level of Efficiency Assumptions'!I:I,I2118)</f>
        <v>4.5</v>
      </c>
      <c r="K2118" s="383" t="s">
        <v>203</v>
      </c>
      <c r="L2118" s="253" t="s">
        <v>64</v>
      </c>
      <c r="M2118" s="879">
        <f>SUM(Q2118:Q2120)</f>
        <v>0</v>
      </c>
      <c r="N2118" s="880">
        <f>IFERROR(M2118/M2121,"-")</f>
        <v>0</v>
      </c>
      <c r="O2118" s="881">
        <f>SUMIFS('Data Entry'!R:R,'Data Entry'!K:K,G2118)</f>
        <v>0</v>
      </c>
      <c r="P2118" s="266" t="s">
        <v>204</v>
      </c>
      <c r="Q2118" s="895">
        <v>0</v>
      </c>
      <c r="R2118" s="114"/>
      <c r="S2118" s="905" t="s">
        <v>200</v>
      </c>
      <c r="T2118" s="895">
        <v>1</v>
      </c>
      <c r="U2118" s="114"/>
      <c r="V2118" s="114" t="s">
        <v>218</v>
      </c>
      <c r="W2118" s="114"/>
      <c r="X2118" s="114"/>
      <c r="Y2118" s="114"/>
      <c r="Z2118" s="114"/>
      <c r="AA2118" s="884"/>
    </row>
    <row r="2119" spans="3:27" ht="15" thickBot="1" x14ac:dyDescent="0.35">
      <c r="C2119" s="494" t="s">
        <v>97</v>
      </c>
      <c r="D2119" s="577"/>
      <c r="E2119" s="577" t="s">
        <v>38</v>
      </c>
      <c r="F2119" s="577" t="s">
        <v>41</v>
      </c>
      <c r="G2119" s="450" t="str">
        <f t="shared" si="106"/>
        <v>Hotel B-Food Service-Dishwashers</v>
      </c>
      <c r="H2119" s="577"/>
      <c r="I2119" s="887" t="s">
        <v>65</v>
      </c>
      <c r="J2119" s="878">
        <f>SUMIFS('Level of Efficiency Assumptions'!J:J,'Level of Efficiency Assumptions'!D:D,E2119,'Level of Efficiency Assumptions'!F:F,F2119,'Level of Efficiency Assumptions'!I:I,I2119)</f>
        <v>2.5</v>
      </c>
      <c r="K2119" s="383" t="s">
        <v>203</v>
      </c>
      <c r="L2119" s="255" t="s">
        <v>65</v>
      </c>
      <c r="M2119" s="879">
        <f>Q2121+Q2122</f>
        <v>1</v>
      </c>
      <c r="N2119" s="880">
        <f>IFERROR(M2119/M2121,"-")</f>
        <v>1</v>
      </c>
      <c r="O2119" s="881">
        <f>SUMIFS('Data Entry'!S:S,'Data Entry'!K:K,G2119)</f>
        <v>0</v>
      </c>
      <c r="P2119" s="272" t="s">
        <v>205</v>
      </c>
      <c r="Q2119" s="895">
        <v>0</v>
      </c>
      <c r="R2119" s="114"/>
      <c r="S2119" s="908" t="s">
        <v>201</v>
      </c>
      <c r="T2119" s="895">
        <v>1</v>
      </c>
      <c r="U2119" s="114"/>
      <c r="V2119" s="114"/>
      <c r="W2119" s="114"/>
      <c r="X2119" s="114"/>
      <c r="Y2119" s="114"/>
      <c r="Z2119" s="114"/>
      <c r="AA2119" s="884"/>
    </row>
    <row r="2120" spans="3:27" ht="15" thickBot="1" x14ac:dyDescent="0.35">
      <c r="C2120" s="501" t="s">
        <v>97</v>
      </c>
      <c r="D2120" s="116"/>
      <c r="E2120" s="116" t="s">
        <v>38</v>
      </c>
      <c r="F2120" s="116" t="s">
        <v>41</v>
      </c>
      <c r="G2120" s="450" t="str">
        <f t="shared" si="106"/>
        <v>Hotel B-Food Service-Dishwashers</v>
      </c>
      <c r="H2120" s="116"/>
      <c r="I2120" s="889" t="s">
        <v>66</v>
      </c>
      <c r="J2120" s="890">
        <f>SUMIFS('Level of Efficiency Assumptions'!J:J,'Level of Efficiency Assumptions'!D:D,E2120,'Level of Efficiency Assumptions'!F:F,F2120,'Level of Efficiency Assumptions'!I:I,I2120)</f>
        <v>1</v>
      </c>
      <c r="K2120" s="383" t="s">
        <v>203</v>
      </c>
      <c r="L2120" s="257" t="s">
        <v>66</v>
      </c>
      <c r="M2120" s="879">
        <f>Q2123+Q2124</f>
        <v>0</v>
      </c>
      <c r="N2120" s="880">
        <f>IFERROR(M2120/M2121,"-")</f>
        <v>0</v>
      </c>
      <c r="O2120" s="881">
        <f>SUMIFS('Data Entry'!T:T,'Data Entry'!K:K,G2120)</f>
        <v>0</v>
      </c>
      <c r="P2120" s="272" t="s">
        <v>206</v>
      </c>
      <c r="Q2120" s="895">
        <v>0</v>
      </c>
      <c r="R2120" s="114"/>
      <c r="S2120" s="908" t="s">
        <v>202</v>
      </c>
      <c r="T2120" s="895">
        <v>1</v>
      </c>
      <c r="U2120" s="114"/>
      <c r="V2120" s="114"/>
      <c r="W2120" s="114"/>
      <c r="X2120" s="114"/>
      <c r="Y2120" s="114"/>
      <c r="Z2120" s="114"/>
      <c r="AA2120" s="884"/>
    </row>
    <row r="2121" spans="3:27" x14ac:dyDescent="0.3">
      <c r="C2121" s="450"/>
      <c r="D2121" s="182"/>
      <c r="E2121" s="182"/>
      <c r="F2121" s="182"/>
      <c r="G2121" s="450" t="str">
        <f t="shared" si="106"/>
        <v>--</v>
      </c>
      <c r="H2121" s="182"/>
      <c r="I2121" s="440"/>
      <c r="J2121" s="892"/>
      <c r="K2121" s="259"/>
      <c r="L2121" s="259" t="s">
        <v>46</v>
      </c>
      <c r="M2121" s="893">
        <f>SUM(M2118:M2120)</f>
        <v>1</v>
      </c>
      <c r="N2121" s="894"/>
      <c r="O2121" s="894">
        <f>SUM(O2118:O2120)</f>
        <v>0</v>
      </c>
      <c r="P2121" s="267" t="s">
        <v>207</v>
      </c>
      <c r="Q2121" s="895">
        <v>1</v>
      </c>
      <c r="R2121" s="114"/>
      <c r="S2121" s="908" t="s">
        <v>199</v>
      </c>
      <c r="T2121" s="895">
        <v>1</v>
      </c>
      <c r="U2121" s="114"/>
      <c r="V2121" s="114"/>
      <c r="W2121" s="114"/>
      <c r="X2121" s="114"/>
      <c r="Y2121" s="114"/>
      <c r="Z2121" s="114"/>
      <c r="AA2121" s="884"/>
    </row>
    <row r="2122" spans="3:27" x14ac:dyDescent="0.3">
      <c r="C2122" s="450"/>
      <c r="D2122" s="182"/>
      <c r="E2122" s="182"/>
      <c r="F2122" s="182"/>
      <c r="G2122" s="450" t="str">
        <f t="shared" si="106"/>
        <v>--</v>
      </c>
      <c r="H2122" s="182"/>
      <c r="I2122" s="892"/>
      <c r="J2122" s="288"/>
      <c r="K2122" s="182"/>
      <c r="L2122" s="182"/>
      <c r="M2122" s="270"/>
      <c r="N2122" s="892"/>
      <c r="O2122" s="892"/>
      <c r="P2122" s="267" t="s">
        <v>208</v>
      </c>
      <c r="Q2122" s="895">
        <v>0</v>
      </c>
      <c r="R2122" s="114"/>
      <c r="S2122" s="909" t="s">
        <v>198</v>
      </c>
      <c r="T2122" s="895">
        <v>1</v>
      </c>
      <c r="U2122" s="114"/>
      <c r="V2122" s="114"/>
      <c r="W2122" s="114"/>
      <c r="X2122" s="114"/>
      <c r="Y2122" s="114"/>
      <c r="Z2122" s="114"/>
      <c r="AA2122" s="884"/>
    </row>
    <row r="2123" spans="3:27" x14ac:dyDescent="0.3">
      <c r="C2123" s="450"/>
      <c r="D2123" s="182"/>
      <c r="E2123" s="182"/>
      <c r="F2123" s="182"/>
      <c r="G2123" s="450" t="str">
        <f t="shared" si="106"/>
        <v>--</v>
      </c>
      <c r="H2123" s="182"/>
      <c r="I2123" s="892"/>
      <c r="J2123" s="288"/>
      <c r="K2123" s="182"/>
      <c r="L2123" s="182"/>
      <c r="M2123" s="270"/>
      <c r="N2123" s="892"/>
      <c r="O2123" s="892"/>
      <c r="P2123" s="269" t="s">
        <v>209</v>
      </c>
      <c r="Q2123" s="895">
        <v>0</v>
      </c>
      <c r="R2123" s="114"/>
      <c r="S2123" s="905" t="s">
        <v>197</v>
      </c>
      <c r="T2123" s="895">
        <v>1</v>
      </c>
      <c r="U2123" s="114"/>
      <c r="V2123" s="114"/>
      <c r="W2123" s="114"/>
      <c r="X2123" s="114"/>
      <c r="Y2123" s="114"/>
      <c r="Z2123" s="114"/>
      <c r="AA2123" s="884"/>
    </row>
    <row r="2124" spans="3:27" x14ac:dyDescent="0.3">
      <c r="C2124" s="450"/>
      <c r="D2124" s="182"/>
      <c r="E2124" s="182"/>
      <c r="F2124" s="182"/>
      <c r="G2124" s="450" t="str">
        <f t="shared" si="106"/>
        <v>--</v>
      </c>
      <c r="H2124" s="182"/>
      <c r="I2124" s="892"/>
      <c r="J2124" s="288"/>
      <c r="K2124" s="182"/>
      <c r="L2124" s="182"/>
      <c r="M2124" s="270"/>
      <c r="N2124" s="892"/>
      <c r="O2124" s="892"/>
      <c r="P2124" s="269" t="s">
        <v>210</v>
      </c>
      <c r="Q2124" s="895">
        <v>0</v>
      </c>
      <c r="R2124" s="114"/>
      <c r="S2124" s="114" t="s">
        <v>216</v>
      </c>
      <c r="T2124" s="910">
        <f>(T2118*55)+(T2119*45)+(T2120*35)+(T2121*25)+(T2122*15)+(T2123*5)</f>
        <v>180</v>
      </c>
      <c r="U2124" s="1393" t="s">
        <v>217</v>
      </c>
      <c r="V2124" s="1393"/>
      <c r="W2124" s="1393"/>
      <c r="X2124" s="114"/>
      <c r="Y2124" s="114"/>
      <c r="Z2124" s="114"/>
      <c r="AA2124" s="884"/>
    </row>
    <row r="2125" spans="3:27" x14ac:dyDescent="0.3">
      <c r="C2125" s="450"/>
      <c r="D2125" s="182"/>
      <c r="E2125" s="182"/>
      <c r="F2125" s="182"/>
      <c r="G2125" s="450" t="str">
        <f t="shared" si="106"/>
        <v>--</v>
      </c>
      <c r="H2125" s="182"/>
      <c r="I2125" s="892"/>
      <c r="J2125" s="288"/>
      <c r="K2125" s="182"/>
      <c r="L2125" s="182"/>
      <c r="M2125" s="270"/>
      <c r="N2125" s="892"/>
      <c r="O2125" s="892"/>
      <c r="P2125" s="263" t="s">
        <v>46</v>
      </c>
      <c r="Q2125" s="897">
        <f>SUM(Q2118:Q2124)</f>
        <v>1</v>
      </c>
      <c r="R2125" s="899"/>
      <c r="S2125" s="899"/>
      <c r="T2125" s="899"/>
      <c r="U2125" s="1394"/>
      <c r="V2125" s="1394"/>
      <c r="W2125" s="1394"/>
      <c r="X2125" s="899"/>
      <c r="Y2125" s="899"/>
      <c r="Z2125" s="899"/>
      <c r="AA2125" s="900"/>
    </row>
    <row r="2126" spans="3:27" x14ac:dyDescent="0.3">
      <c r="C2126" s="450"/>
      <c r="D2126" s="182"/>
      <c r="E2126" s="182"/>
      <c r="F2126" s="182"/>
      <c r="G2126" s="450" t="str">
        <f t="shared" si="106"/>
        <v>--</v>
      </c>
      <c r="H2126" s="182"/>
      <c r="I2126" s="892"/>
      <c r="J2126" s="288"/>
      <c r="K2126" s="182"/>
      <c r="L2126" s="182"/>
      <c r="M2126" s="270"/>
      <c r="N2126" s="892"/>
      <c r="O2126" s="892"/>
      <c r="P2126" s="114"/>
      <c r="Q2126" s="114"/>
      <c r="R2126" s="114"/>
      <c r="S2126" s="114"/>
      <c r="T2126" s="114"/>
      <c r="U2126" s="114"/>
      <c r="V2126" s="114"/>
      <c r="W2126" s="114"/>
      <c r="X2126" s="270"/>
      <c r="Y2126" s="270"/>
      <c r="Z2126" s="270"/>
      <c r="AA2126" s="270"/>
    </row>
    <row r="2127" spans="3:27" x14ac:dyDescent="0.3">
      <c r="C2127" s="450"/>
      <c r="D2127" s="182"/>
      <c r="E2127" s="182"/>
      <c r="F2127" s="182"/>
      <c r="G2127" s="450" t="str">
        <f t="shared" si="106"/>
        <v>--</v>
      </c>
      <c r="H2127" s="182"/>
      <c r="I2127" s="892"/>
      <c r="J2127" s="288"/>
      <c r="K2127" s="182"/>
      <c r="L2127" s="182"/>
      <c r="M2127" s="270"/>
      <c r="N2127" s="892"/>
      <c r="O2127" s="892"/>
      <c r="P2127" s="268" t="s">
        <v>174</v>
      </c>
      <c r="Q2127" s="911"/>
      <c r="R2127" s="872"/>
      <c r="S2127" s="874"/>
      <c r="T2127" s="270"/>
      <c r="U2127" s="270"/>
      <c r="V2127" s="270"/>
      <c r="W2127" s="270"/>
      <c r="X2127" s="270"/>
      <c r="Y2127" s="270"/>
      <c r="Z2127" s="270"/>
      <c r="AA2127" s="270"/>
    </row>
    <row r="2128" spans="3:27" ht="15" thickBot="1" x14ac:dyDescent="0.35">
      <c r="C2128" s="450"/>
      <c r="D2128" s="182"/>
      <c r="E2128" s="182"/>
      <c r="F2128" s="182"/>
      <c r="G2128" s="450" t="str">
        <f t="shared" si="106"/>
        <v>--</v>
      </c>
      <c r="H2128" s="182"/>
      <c r="I2128" s="892"/>
      <c r="J2128" s="892"/>
      <c r="K2128" s="182"/>
      <c r="L2128" s="182"/>
      <c r="M2128" s="901" t="s">
        <v>155</v>
      </c>
      <c r="N2128" s="870" t="s">
        <v>188</v>
      </c>
      <c r="O2128" s="870"/>
      <c r="P2128" s="273" t="s">
        <v>220</v>
      </c>
      <c r="Q2128" s="871" t="s">
        <v>155</v>
      </c>
      <c r="R2128" s="114"/>
      <c r="S2128" s="884"/>
      <c r="T2128" s="270"/>
      <c r="U2128" s="270"/>
      <c r="V2128" s="270"/>
      <c r="W2128" s="270"/>
      <c r="X2128" s="270"/>
      <c r="Y2128" s="270"/>
      <c r="Z2128" s="270"/>
      <c r="AA2128" s="270"/>
    </row>
    <row r="2129" spans="3:27" ht="15" thickBot="1" x14ac:dyDescent="0.35">
      <c r="C2129" s="566" t="s">
        <v>97</v>
      </c>
      <c r="D2129" s="875" t="str">
        <f>VLOOKUP(C2129,'Airport Mapping'!$C$5:$D$39,2,FALSE)</f>
        <v xml:space="preserve"> </v>
      </c>
      <c r="E2129" s="567" t="s">
        <v>38</v>
      </c>
      <c r="F2129" s="567" t="s">
        <v>20</v>
      </c>
      <c r="G2129" s="450" t="str">
        <f t="shared" si="106"/>
        <v>Hotel B-Food Service-Ice machines</v>
      </c>
      <c r="H2129" s="567" t="s">
        <v>17</v>
      </c>
      <c r="I2129" s="877" t="s">
        <v>64</v>
      </c>
      <c r="J2129" s="878">
        <f>SUMIFS('Level of Efficiency Assumptions'!J:J,'Level of Efficiency Assumptions'!D:D,E2129,'Level of Efficiency Assumptions'!F:F,F2129,'Level of Efficiency Assumptions'!I:I,I2129)</f>
        <v>1.5</v>
      </c>
      <c r="K2129" s="383" t="s">
        <v>220</v>
      </c>
      <c r="L2129" s="253" t="s">
        <v>64</v>
      </c>
      <c r="M2129" s="879">
        <f>SUM(Q2129:Q2131)</f>
        <v>0</v>
      </c>
      <c r="N2129" s="880">
        <f>IFERROR(M2129/M2132,"-")</f>
        <v>0</v>
      </c>
      <c r="O2129" s="881">
        <f>SUMIFS('Data Entry'!R:R,'Data Entry'!K:K,G2129)</f>
        <v>0</v>
      </c>
      <c r="P2129" s="266" t="s">
        <v>204</v>
      </c>
      <c r="Q2129" s="895">
        <v>0</v>
      </c>
      <c r="R2129" s="114"/>
      <c r="S2129" s="884"/>
      <c r="T2129" s="270"/>
      <c r="U2129" s="270"/>
      <c r="V2129" s="270"/>
      <c r="W2129" s="912"/>
      <c r="X2129" s="270"/>
      <c r="Y2129" s="270"/>
      <c r="Z2129" s="270"/>
      <c r="AA2129" s="270"/>
    </row>
    <row r="2130" spans="3:27" ht="15" thickBot="1" x14ac:dyDescent="0.35">
      <c r="C2130" s="494" t="s">
        <v>97</v>
      </c>
      <c r="D2130" s="577"/>
      <c r="E2130" s="577" t="s">
        <v>38</v>
      </c>
      <c r="F2130" s="577" t="s">
        <v>20</v>
      </c>
      <c r="G2130" s="450" t="str">
        <f t="shared" si="106"/>
        <v>Hotel B-Food Service-Ice machines</v>
      </c>
      <c r="H2130" s="577"/>
      <c r="I2130" s="887" t="s">
        <v>65</v>
      </c>
      <c r="J2130" s="878">
        <f>SUMIFS('Level of Efficiency Assumptions'!J:J,'Level of Efficiency Assumptions'!D:D,E2130,'Level of Efficiency Assumptions'!F:F,F2130,'Level of Efficiency Assumptions'!I:I,I2130)</f>
        <v>0.25</v>
      </c>
      <c r="K2130" s="383" t="s">
        <v>220</v>
      </c>
      <c r="L2130" s="255" t="s">
        <v>65</v>
      </c>
      <c r="M2130" s="879">
        <f>Q2132+Q2133</f>
        <v>1</v>
      </c>
      <c r="N2130" s="880">
        <f>IFERROR(M2130/M2132,"-")</f>
        <v>1</v>
      </c>
      <c r="O2130" s="881">
        <f>SUMIFS('Data Entry'!S:S,'Data Entry'!K:K,G2130)</f>
        <v>0</v>
      </c>
      <c r="P2130" s="272" t="s">
        <v>205</v>
      </c>
      <c r="Q2130" s="895">
        <v>0</v>
      </c>
      <c r="R2130" s="114"/>
      <c r="S2130" s="884"/>
      <c r="T2130" s="270"/>
      <c r="U2130" s="270"/>
      <c r="V2130" s="270"/>
      <c r="W2130" s="912"/>
      <c r="X2130" s="270"/>
      <c r="Y2130" s="270"/>
      <c r="Z2130" s="270"/>
      <c r="AA2130" s="270"/>
    </row>
    <row r="2131" spans="3:27" ht="15" thickBot="1" x14ac:dyDescent="0.35">
      <c r="C2131" s="501" t="s">
        <v>97</v>
      </c>
      <c r="D2131" s="116"/>
      <c r="E2131" s="116" t="s">
        <v>38</v>
      </c>
      <c r="F2131" s="116" t="s">
        <v>20</v>
      </c>
      <c r="G2131" s="450" t="str">
        <f t="shared" si="106"/>
        <v>Hotel B-Food Service-Ice machines</v>
      </c>
      <c r="H2131" s="116"/>
      <c r="I2131" s="889" t="s">
        <v>66</v>
      </c>
      <c r="J2131" s="890">
        <f>SUMIFS('Level of Efficiency Assumptions'!J:J,'Level of Efficiency Assumptions'!D:D,E2131,'Level of Efficiency Assumptions'!F:F,F2131,'Level of Efficiency Assumptions'!I:I,I2131)</f>
        <v>0.12</v>
      </c>
      <c r="K2131" s="383" t="s">
        <v>220</v>
      </c>
      <c r="L2131" s="257" t="s">
        <v>66</v>
      </c>
      <c r="M2131" s="879">
        <f>Q2134+Q2135</f>
        <v>0</v>
      </c>
      <c r="N2131" s="880">
        <f>IFERROR(M2131/M2132,"-")</f>
        <v>0</v>
      </c>
      <c r="O2131" s="881">
        <f>SUMIFS('Data Entry'!T:T,'Data Entry'!K:K,G2131)</f>
        <v>0</v>
      </c>
      <c r="P2131" s="272" t="s">
        <v>206</v>
      </c>
      <c r="Q2131" s="895">
        <v>0</v>
      </c>
      <c r="R2131" s="114"/>
      <c r="S2131" s="884"/>
      <c r="T2131" s="270"/>
      <c r="U2131" s="270"/>
      <c r="V2131" s="270"/>
      <c r="W2131" s="280"/>
      <c r="X2131" s="270"/>
      <c r="Y2131" s="270"/>
      <c r="Z2131" s="270"/>
      <c r="AA2131" s="270"/>
    </row>
    <row r="2132" spans="3:27" x14ac:dyDescent="0.3">
      <c r="C2132" s="450"/>
      <c r="D2132" s="182"/>
      <c r="E2132" s="182"/>
      <c r="F2132" s="182"/>
      <c r="G2132" s="450" t="str">
        <f t="shared" si="106"/>
        <v>--</v>
      </c>
      <c r="H2132" s="182"/>
      <c r="I2132" s="440"/>
      <c r="J2132" s="892"/>
      <c r="K2132" s="259"/>
      <c r="L2132" s="259" t="s">
        <v>46</v>
      </c>
      <c r="M2132" s="893">
        <f>SUM(M2129:M2131)</f>
        <v>1</v>
      </c>
      <c r="N2132" s="894"/>
      <c r="O2132" s="894">
        <f>SUM(O2129:O2131)</f>
        <v>0</v>
      </c>
      <c r="P2132" s="274" t="s">
        <v>228</v>
      </c>
      <c r="Q2132" s="895">
        <v>1</v>
      </c>
      <c r="R2132" s="114"/>
      <c r="S2132" s="884"/>
      <c r="T2132" s="270"/>
      <c r="U2132" s="270"/>
      <c r="V2132" s="270"/>
      <c r="W2132" s="270"/>
      <c r="X2132" s="270"/>
      <c r="Y2132" s="270"/>
      <c r="Z2132" s="270"/>
      <c r="AA2132" s="270"/>
    </row>
    <row r="2133" spans="3:27" x14ac:dyDescent="0.3">
      <c r="C2133" s="450"/>
      <c r="D2133" s="182"/>
      <c r="E2133" s="182"/>
      <c r="F2133" s="182"/>
      <c r="G2133" s="450" t="str">
        <f t="shared" ref="G2133:G2187" si="107">C2133&amp;"-"&amp;E2133&amp;"-"&amp;F2133</f>
        <v>--</v>
      </c>
      <c r="H2133" s="182"/>
      <c r="I2133" s="892"/>
      <c r="J2133" s="288"/>
      <c r="K2133" s="182"/>
      <c r="L2133" s="182"/>
      <c r="M2133" s="270"/>
      <c r="N2133" s="892"/>
      <c r="O2133" s="892"/>
      <c r="P2133" s="274" t="s">
        <v>227</v>
      </c>
      <c r="Q2133" s="895">
        <v>0</v>
      </c>
      <c r="R2133" s="114"/>
      <c r="S2133" s="884"/>
      <c r="T2133" s="270"/>
      <c r="U2133" s="270"/>
      <c r="V2133" s="270"/>
      <c r="W2133" s="270"/>
      <c r="X2133" s="270"/>
      <c r="Y2133" s="270"/>
      <c r="Z2133" s="270"/>
      <c r="AA2133" s="270"/>
    </row>
    <row r="2134" spans="3:27" x14ac:dyDescent="0.3">
      <c r="C2134" s="450"/>
      <c r="D2134" s="182"/>
      <c r="E2134" s="182"/>
      <c r="F2134" s="182"/>
      <c r="G2134" s="450" t="str">
        <f t="shared" si="107"/>
        <v>--</v>
      </c>
      <c r="H2134" s="182"/>
      <c r="I2134" s="892"/>
      <c r="J2134" s="288"/>
      <c r="K2134" s="182"/>
      <c r="L2134" s="182"/>
      <c r="M2134" s="270"/>
      <c r="N2134" s="892"/>
      <c r="O2134" s="892"/>
      <c r="P2134" s="275" t="s">
        <v>226</v>
      </c>
      <c r="Q2134" s="895">
        <v>0</v>
      </c>
      <c r="R2134" s="114"/>
      <c r="S2134" s="884"/>
      <c r="T2134" s="270"/>
      <c r="U2134" s="270"/>
      <c r="V2134" s="270"/>
      <c r="W2134" s="270"/>
      <c r="X2134" s="270"/>
      <c r="Y2134" s="270"/>
      <c r="Z2134" s="270"/>
      <c r="AA2134" s="270"/>
    </row>
    <row r="2135" spans="3:27" x14ac:dyDescent="0.3">
      <c r="C2135" s="450"/>
      <c r="D2135" s="182"/>
      <c r="E2135" s="182"/>
      <c r="F2135" s="182"/>
      <c r="G2135" s="450" t="str">
        <f t="shared" si="107"/>
        <v>--</v>
      </c>
      <c r="H2135" s="182"/>
      <c r="I2135" s="892"/>
      <c r="J2135" s="288"/>
      <c r="K2135" s="182"/>
      <c r="L2135" s="182"/>
      <c r="M2135" s="270"/>
      <c r="N2135" s="892"/>
      <c r="O2135" s="892"/>
      <c r="P2135" s="269" t="s">
        <v>225</v>
      </c>
      <c r="Q2135" s="895">
        <v>0</v>
      </c>
      <c r="R2135" s="114"/>
      <c r="S2135" s="884"/>
      <c r="T2135" s="270"/>
      <c r="U2135" s="270"/>
      <c r="V2135" s="270"/>
      <c r="W2135" s="270"/>
      <c r="X2135" s="270"/>
      <c r="Y2135" s="270"/>
      <c r="Z2135" s="270"/>
      <c r="AA2135" s="270"/>
    </row>
    <row r="2136" spans="3:27" x14ac:dyDescent="0.3">
      <c r="C2136" s="450"/>
      <c r="D2136" s="182"/>
      <c r="E2136" s="182"/>
      <c r="F2136" s="182"/>
      <c r="G2136" s="450" t="str">
        <f t="shared" si="107"/>
        <v>--</v>
      </c>
      <c r="H2136" s="182"/>
      <c r="I2136" s="892"/>
      <c r="J2136" s="288"/>
      <c r="K2136" s="182"/>
      <c r="L2136" s="182"/>
      <c r="M2136" s="270"/>
      <c r="N2136" s="892"/>
      <c r="O2136" s="892"/>
      <c r="P2136" s="263" t="s">
        <v>46</v>
      </c>
      <c r="Q2136" s="897">
        <f>SUM(Q2129:Q2135)</f>
        <v>1</v>
      </c>
      <c r="R2136" s="899"/>
      <c r="S2136" s="900"/>
      <c r="T2136" s="270"/>
      <c r="U2136" s="270"/>
      <c r="V2136" s="270"/>
      <c r="W2136" s="270"/>
      <c r="X2136" s="270"/>
      <c r="Y2136" s="270"/>
      <c r="Z2136" s="270"/>
      <c r="AA2136" s="270"/>
    </row>
    <row r="2137" spans="3:27" x14ac:dyDescent="0.3">
      <c r="C2137" s="450"/>
      <c r="D2137" s="182"/>
      <c r="E2137" s="182"/>
      <c r="F2137" s="182"/>
      <c r="G2137" s="450" t="str">
        <f t="shared" si="107"/>
        <v>--</v>
      </c>
      <c r="H2137" s="182"/>
      <c r="I2137" s="892"/>
      <c r="J2137" s="288"/>
      <c r="K2137" s="182"/>
      <c r="L2137" s="182"/>
      <c r="M2137" s="270"/>
      <c r="N2137" s="892"/>
      <c r="O2137" s="892"/>
      <c r="P2137" s="270"/>
      <c r="Q2137" s="270"/>
      <c r="R2137" s="270"/>
      <c r="S2137" s="270"/>
      <c r="T2137" s="270"/>
      <c r="U2137" s="270"/>
      <c r="V2137" s="270"/>
      <c r="W2137" s="270"/>
      <c r="X2137" s="270"/>
      <c r="Y2137" s="270"/>
      <c r="Z2137" s="270"/>
      <c r="AA2137" s="270"/>
    </row>
    <row r="2138" spans="3:27" ht="15" thickBot="1" x14ac:dyDescent="0.35">
      <c r="C2138" s="450"/>
      <c r="D2138" s="182"/>
      <c r="E2138" s="182"/>
      <c r="F2138" s="182"/>
      <c r="G2138" s="450" t="str">
        <f t="shared" si="107"/>
        <v>--</v>
      </c>
      <c r="H2138" s="182"/>
      <c r="I2138" s="892"/>
      <c r="J2138" s="892"/>
      <c r="K2138" s="182"/>
      <c r="L2138" s="182"/>
      <c r="M2138" s="901" t="s">
        <v>155</v>
      </c>
      <c r="N2138" s="870" t="s">
        <v>188</v>
      </c>
      <c r="O2138" s="870"/>
      <c r="P2138" s="276" t="s">
        <v>111</v>
      </c>
      <c r="Q2138" s="871" t="s">
        <v>155</v>
      </c>
      <c r="R2138" s="902"/>
      <c r="S2138" s="874"/>
      <c r="T2138" s="270"/>
      <c r="U2138" s="270"/>
      <c r="V2138" s="270"/>
      <c r="W2138" s="270"/>
      <c r="X2138" s="270"/>
      <c r="Y2138" s="270"/>
      <c r="Z2138" s="270"/>
      <c r="AA2138" s="270"/>
    </row>
    <row r="2139" spans="3:27" ht="15" thickBot="1" x14ac:dyDescent="0.35">
      <c r="C2139" s="566" t="s">
        <v>97</v>
      </c>
      <c r="D2139" s="875" t="str">
        <f>VLOOKUP(C2139,'Airport Mapping'!$C$5:$D$39,2,FALSE)</f>
        <v xml:space="preserve"> </v>
      </c>
      <c r="E2139" s="567" t="s">
        <v>43</v>
      </c>
      <c r="F2139" s="567" t="s">
        <v>111</v>
      </c>
      <c r="G2139" s="450" t="str">
        <f t="shared" si="107"/>
        <v>Hotel B-Maintenance-Boiler</v>
      </c>
      <c r="H2139" s="567" t="s">
        <v>424</v>
      </c>
      <c r="I2139" s="877" t="s">
        <v>64</v>
      </c>
      <c r="J2139" s="878">
        <f>SUMIFS('Level of Efficiency Assumptions'!J:J,'Level of Efficiency Assumptions'!D:D,E2139,'Level of Efficiency Assumptions'!F:F,F2139,'Level of Efficiency Assumptions'!I:I,I2139)</f>
        <v>100</v>
      </c>
      <c r="K2139" s="383" t="s">
        <v>585</v>
      </c>
      <c r="L2139" s="253" t="s">
        <v>64</v>
      </c>
      <c r="M2139" s="879">
        <f>SUM(Q2139:Q2140)</f>
        <v>0</v>
      </c>
      <c r="N2139" s="880">
        <f>IFERROR(M2139/M2142,"-")</f>
        <v>0</v>
      </c>
      <c r="O2139" s="881">
        <f>SUMIFS('Data Entry'!R:R,'Data Entry'!K:K,G2139)</f>
        <v>0</v>
      </c>
      <c r="P2139" s="272"/>
      <c r="Q2139" s="895">
        <v>0</v>
      </c>
      <c r="R2139" s="114"/>
      <c r="S2139" s="884"/>
      <c r="T2139" s="270"/>
      <c r="U2139" s="270"/>
      <c r="V2139" s="270"/>
      <c r="W2139" s="270"/>
      <c r="X2139" s="270"/>
      <c r="Y2139" s="270"/>
      <c r="Z2139" s="270"/>
      <c r="AA2139" s="270"/>
    </row>
    <row r="2140" spans="3:27" ht="15" thickBot="1" x14ac:dyDescent="0.35">
      <c r="C2140" s="494" t="s">
        <v>97</v>
      </c>
      <c r="D2140" s="577"/>
      <c r="E2140" s="577" t="s">
        <v>43</v>
      </c>
      <c r="F2140" s="577" t="s">
        <v>111</v>
      </c>
      <c r="G2140" s="450" t="str">
        <f t="shared" si="107"/>
        <v>Hotel B-Maintenance-Boiler</v>
      </c>
      <c r="H2140" s="577"/>
      <c r="I2140" s="887" t="s">
        <v>65</v>
      </c>
      <c r="J2140" s="878">
        <f>SUMIFS('Level of Efficiency Assumptions'!J:J,'Level of Efficiency Assumptions'!D:D,E2140,'Level of Efficiency Assumptions'!F:F,F2140,'Level of Efficiency Assumptions'!I:I,I2140)</f>
        <v>75</v>
      </c>
      <c r="K2140" s="383" t="s">
        <v>585</v>
      </c>
      <c r="L2140" s="255" t="s">
        <v>65</v>
      </c>
      <c r="M2140" s="879">
        <f>Q2141+Q2142</f>
        <v>1</v>
      </c>
      <c r="N2140" s="880">
        <f>IFERROR(M2140/M2142,"-")</f>
        <v>1</v>
      </c>
      <c r="O2140" s="881">
        <f>SUMIFS('Data Entry'!S:S,'Data Entry'!K:K,G2140)</f>
        <v>0</v>
      </c>
      <c r="P2140" s="272"/>
      <c r="Q2140" s="895">
        <v>0</v>
      </c>
      <c r="R2140" s="114"/>
      <c r="S2140" s="884"/>
      <c r="T2140" s="270"/>
      <c r="U2140" s="114"/>
      <c r="V2140" s="114"/>
      <c r="W2140" s="270"/>
      <c r="X2140" s="270"/>
      <c r="Y2140" s="270"/>
      <c r="Z2140" s="270"/>
      <c r="AA2140" s="270"/>
    </row>
    <row r="2141" spans="3:27" ht="15" thickBot="1" x14ac:dyDescent="0.35">
      <c r="C2141" s="501" t="s">
        <v>97</v>
      </c>
      <c r="D2141" s="116"/>
      <c r="E2141" s="116" t="s">
        <v>43</v>
      </c>
      <c r="F2141" s="116" t="s">
        <v>111</v>
      </c>
      <c r="G2141" s="450" t="str">
        <f t="shared" si="107"/>
        <v>Hotel B-Maintenance-Boiler</v>
      </c>
      <c r="H2141" s="116"/>
      <c r="I2141" s="889" t="s">
        <v>66</v>
      </c>
      <c r="J2141" s="890">
        <f>SUMIFS('Level of Efficiency Assumptions'!J:J,'Level of Efficiency Assumptions'!D:D,E2141,'Level of Efficiency Assumptions'!F:F,F2141,'Level of Efficiency Assumptions'!I:I,I2141)</f>
        <v>50</v>
      </c>
      <c r="K2141" s="383" t="s">
        <v>585</v>
      </c>
      <c r="L2141" s="257" t="s">
        <v>66</v>
      </c>
      <c r="M2141" s="879">
        <f>Q2143+Q2144</f>
        <v>0</v>
      </c>
      <c r="N2141" s="880">
        <f>IFERROR(M2141/M2142,"-")</f>
        <v>0</v>
      </c>
      <c r="O2141" s="881">
        <f>SUMIFS('Data Entry'!T:T,'Data Entry'!K:K,G2141)</f>
        <v>0</v>
      </c>
      <c r="P2141" s="274"/>
      <c r="Q2141" s="895">
        <v>1</v>
      </c>
      <c r="R2141" s="114"/>
      <c r="S2141" s="884"/>
      <c r="T2141" s="270"/>
      <c r="U2141" s="114"/>
      <c r="V2141" s="114"/>
      <c r="W2141" s="270"/>
      <c r="X2141" s="270"/>
      <c r="Y2141" s="270"/>
      <c r="Z2141" s="270"/>
      <c r="AA2141" s="270"/>
    </row>
    <row r="2142" spans="3:27" x14ac:dyDescent="0.3">
      <c r="C2142" s="450"/>
      <c r="D2142" s="182"/>
      <c r="E2142" s="182"/>
      <c r="F2142" s="182"/>
      <c r="G2142" s="450" t="str">
        <f t="shared" si="107"/>
        <v>--</v>
      </c>
      <c r="H2142" s="182"/>
      <c r="I2142" s="440"/>
      <c r="J2142" s="892"/>
      <c r="K2142" s="259"/>
      <c r="L2142" s="259" t="s">
        <v>46</v>
      </c>
      <c r="M2142" s="893">
        <f>SUM(M2139:M2141)</f>
        <v>1</v>
      </c>
      <c r="N2142" s="894"/>
      <c r="O2142" s="894">
        <f>SUM(O2139:O2141)</f>
        <v>0</v>
      </c>
      <c r="P2142" s="274"/>
      <c r="Q2142" s="895">
        <v>0</v>
      </c>
      <c r="R2142" s="114"/>
      <c r="S2142" s="884"/>
      <c r="T2142" s="270"/>
      <c r="U2142" s="114"/>
      <c r="V2142" s="114"/>
      <c r="W2142" s="114"/>
      <c r="X2142" s="114"/>
      <c r="Y2142" s="270"/>
      <c r="Z2142" s="270"/>
      <c r="AA2142" s="270"/>
    </row>
    <row r="2143" spans="3:27" x14ac:dyDescent="0.3">
      <c r="C2143" s="450"/>
      <c r="D2143" s="182"/>
      <c r="E2143" s="182"/>
      <c r="F2143" s="182"/>
      <c r="G2143" s="450" t="str">
        <f t="shared" si="107"/>
        <v>--</v>
      </c>
      <c r="H2143" s="182"/>
      <c r="I2143" s="892"/>
      <c r="J2143" s="288"/>
      <c r="K2143" s="182"/>
      <c r="L2143" s="182"/>
      <c r="M2143" s="270"/>
      <c r="N2143" s="892"/>
      <c r="O2143" s="892"/>
      <c r="P2143" s="275"/>
      <c r="Q2143" s="895">
        <v>0</v>
      </c>
      <c r="R2143" s="114"/>
      <c r="S2143" s="884"/>
      <c r="T2143" s="270"/>
      <c r="U2143" s="114"/>
      <c r="V2143" s="114"/>
      <c r="W2143" s="114"/>
      <c r="X2143" s="114"/>
      <c r="Y2143" s="270"/>
      <c r="Z2143" s="270"/>
      <c r="AA2143" s="270"/>
    </row>
    <row r="2144" spans="3:27" x14ac:dyDescent="0.3">
      <c r="C2144" s="450"/>
      <c r="D2144" s="182"/>
      <c r="E2144" s="182"/>
      <c r="F2144" s="182"/>
      <c r="G2144" s="450" t="str">
        <f t="shared" si="107"/>
        <v>--</v>
      </c>
      <c r="H2144" s="182"/>
      <c r="I2144" s="892"/>
      <c r="J2144" s="288"/>
      <c r="K2144" s="182"/>
      <c r="L2144" s="182"/>
      <c r="M2144" s="270"/>
      <c r="N2144" s="892"/>
      <c r="O2144" s="892"/>
      <c r="P2144" s="269"/>
      <c r="Q2144" s="895">
        <v>0</v>
      </c>
      <c r="R2144" s="114"/>
      <c r="S2144" s="884"/>
      <c r="T2144" s="270"/>
      <c r="U2144" s="270"/>
      <c r="V2144" s="270"/>
      <c r="W2144" s="114"/>
      <c r="X2144" s="114"/>
      <c r="Y2144" s="270"/>
      <c r="Z2144" s="270"/>
      <c r="AA2144" s="270"/>
    </row>
    <row r="2145" spans="3:27" x14ac:dyDescent="0.3">
      <c r="C2145" s="450"/>
      <c r="D2145" s="182"/>
      <c r="E2145" s="182"/>
      <c r="F2145" s="182"/>
      <c r="G2145" s="450" t="str">
        <f t="shared" si="107"/>
        <v>--</v>
      </c>
      <c r="H2145" s="182"/>
      <c r="I2145" s="892"/>
      <c r="J2145" s="288"/>
      <c r="K2145" s="182"/>
      <c r="L2145" s="182"/>
      <c r="M2145" s="270"/>
      <c r="N2145" s="892"/>
      <c r="O2145" s="892"/>
      <c r="P2145" s="263" t="s">
        <v>46</v>
      </c>
      <c r="Q2145" s="897">
        <f>SUM(Q2139:Q2144)</f>
        <v>1</v>
      </c>
      <c r="R2145" s="899"/>
      <c r="S2145" s="900"/>
      <c r="T2145" s="270"/>
      <c r="U2145" s="270"/>
      <c r="V2145" s="270"/>
      <c r="W2145" s="114"/>
      <c r="X2145" s="114"/>
      <c r="Y2145" s="270"/>
      <c r="Z2145" s="270"/>
      <c r="AA2145" s="270"/>
    </row>
    <row r="2146" spans="3:27" x14ac:dyDescent="0.3">
      <c r="C2146" s="225"/>
      <c r="D2146" s="288"/>
      <c r="E2146" s="288"/>
      <c r="F2146" s="288"/>
      <c r="G2146" s="450" t="str">
        <f t="shared" si="107"/>
        <v>--</v>
      </c>
      <c r="H2146" s="182"/>
      <c r="I2146" s="892"/>
      <c r="J2146" s="288"/>
      <c r="K2146" s="182"/>
      <c r="L2146" s="182"/>
      <c r="M2146" s="270"/>
      <c r="N2146" s="892"/>
      <c r="O2146" s="892"/>
      <c r="P2146" s="259"/>
      <c r="Q2146" s="114"/>
      <c r="R2146" s="270"/>
      <c r="S2146" s="270"/>
      <c r="T2146" s="270"/>
      <c r="U2146" s="270"/>
      <c r="V2146" s="270"/>
      <c r="W2146" s="270"/>
      <c r="X2146" s="270"/>
      <c r="Y2146" s="270"/>
      <c r="Z2146" s="270"/>
      <c r="AA2146" s="270"/>
    </row>
    <row r="2147" spans="3:27" ht="15" thickBot="1" x14ac:dyDescent="0.35">
      <c r="C2147" s="225"/>
      <c r="D2147" s="182"/>
      <c r="E2147" s="182"/>
      <c r="F2147" s="182"/>
      <c r="G2147" s="450" t="str">
        <f t="shared" si="107"/>
        <v>--</v>
      </c>
      <c r="H2147" s="182"/>
      <c r="I2147" s="892"/>
      <c r="J2147" s="892"/>
      <c r="K2147" s="182"/>
      <c r="L2147" s="182"/>
      <c r="M2147" s="901" t="s">
        <v>155</v>
      </c>
      <c r="N2147" s="870" t="s">
        <v>188</v>
      </c>
      <c r="O2147" s="870"/>
      <c r="P2147" s="276" t="s">
        <v>34</v>
      </c>
      <c r="Q2147" s="871" t="s">
        <v>155</v>
      </c>
      <c r="R2147" s="902"/>
      <c r="S2147" s="874"/>
      <c r="T2147" s="270"/>
      <c r="U2147" s="270"/>
      <c r="V2147" s="270"/>
      <c r="W2147" s="270"/>
      <c r="X2147" s="270"/>
      <c r="Y2147" s="270"/>
      <c r="Z2147" s="270"/>
      <c r="AA2147" s="270"/>
    </row>
    <row r="2148" spans="3:27" ht="15" thickBot="1" x14ac:dyDescent="0.35">
      <c r="C2148" s="566" t="s">
        <v>97</v>
      </c>
      <c r="D2148" s="875" t="str">
        <f>VLOOKUP(C2148,'Airport Mapping'!$C$5:$D$39,2,FALSE)</f>
        <v xml:space="preserve"> </v>
      </c>
      <c r="E2148" s="567" t="s">
        <v>43</v>
      </c>
      <c r="F2148" s="567" t="s">
        <v>34</v>
      </c>
      <c r="G2148" s="450" t="str">
        <f t="shared" si="107"/>
        <v>Hotel B-Maintenance-Swimming Pool</v>
      </c>
      <c r="H2148" s="567" t="s">
        <v>36</v>
      </c>
      <c r="I2148" s="877" t="s">
        <v>64</v>
      </c>
      <c r="J2148" s="878">
        <f>SUMIFS('Level of Efficiency Assumptions'!J:J,'Level of Efficiency Assumptions'!D:D,E2148,'Level of Efficiency Assumptions'!F:F,F2148,'Level of Efficiency Assumptions'!I:I,I2148)</f>
        <v>10</v>
      </c>
      <c r="K2148" s="383" t="s">
        <v>816</v>
      </c>
      <c r="L2148" s="253" t="s">
        <v>64</v>
      </c>
      <c r="M2148" s="879">
        <f>SUM(Q2148:Q2149)</f>
        <v>0</v>
      </c>
      <c r="N2148" s="880">
        <f>IFERROR(M2148/M2151,"-")</f>
        <v>0</v>
      </c>
      <c r="O2148" s="881">
        <f>SUMIFS('Data Entry'!R:R,'Data Entry'!K:K,G2148)</f>
        <v>0</v>
      </c>
      <c r="P2148" s="272"/>
      <c r="Q2148" s="895">
        <v>0</v>
      </c>
      <c r="R2148" s="114"/>
      <c r="S2148" s="884"/>
      <c r="T2148" s="270"/>
      <c r="U2148" s="270"/>
      <c r="V2148" s="270"/>
      <c r="W2148" s="270"/>
      <c r="X2148" s="270"/>
      <c r="Y2148" s="270"/>
      <c r="Z2148" s="270"/>
      <c r="AA2148" s="270"/>
    </row>
    <row r="2149" spans="3:27" ht="15" thickBot="1" x14ac:dyDescent="0.35">
      <c r="C2149" s="494" t="s">
        <v>97</v>
      </c>
      <c r="D2149" s="577"/>
      <c r="E2149" s="577" t="s">
        <v>43</v>
      </c>
      <c r="F2149" s="577" t="s">
        <v>34</v>
      </c>
      <c r="G2149" s="450" t="str">
        <f t="shared" si="107"/>
        <v>Hotel B-Maintenance-Swimming Pool</v>
      </c>
      <c r="H2149" s="577"/>
      <c r="I2149" s="887" t="s">
        <v>65</v>
      </c>
      <c r="J2149" s="878">
        <f>SUMIFS('Level of Efficiency Assumptions'!J:J,'Level of Efficiency Assumptions'!D:D,E2149,'Level of Efficiency Assumptions'!F:F,F2149,'Level of Efficiency Assumptions'!I:I,I2149)</f>
        <v>7.5</v>
      </c>
      <c r="K2149" s="383" t="s">
        <v>816</v>
      </c>
      <c r="L2149" s="255" t="s">
        <v>65</v>
      </c>
      <c r="M2149" s="879">
        <f>Q2150+Q2151</f>
        <v>1</v>
      </c>
      <c r="N2149" s="880">
        <f>IFERROR(M2149/M2151,"-")</f>
        <v>1</v>
      </c>
      <c r="O2149" s="881">
        <f>SUMIFS('Data Entry'!S:S,'Data Entry'!K:K,G2149)</f>
        <v>0</v>
      </c>
      <c r="P2149" s="272"/>
      <c r="Q2149" s="895">
        <v>0</v>
      </c>
      <c r="R2149" s="114"/>
      <c r="S2149" s="884"/>
      <c r="T2149" s="270"/>
      <c r="U2149" s="270"/>
      <c r="V2149" s="270"/>
      <c r="W2149" s="270"/>
      <c r="X2149" s="270"/>
      <c r="Y2149" s="270"/>
      <c r="Z2149" s="270"/>
      <c r="AA2149" s="270"/>
    </row>
    <row r="2150" spans="3:27" ht="15" thickBot="1" x14ac:dyDescent="0.35">
      <c r="C2150" s="501" t="s">
        <v>97</v>
      </c>
      <c r="D2150" s="116"/>
      <c r="E2150" s="116" t="s">
        <v>43</v>
      </c>
      <c r="F2150" s="116" t="s">
        <v>34</v>
      </c>
      <c r="G2150" s="450" t="str">
        <f t="shared" si="107"/>
        <v>Hotel B-Maintenance-Swimming Pool</v>
      </c>
      <c r="H2150" s="116"/>
      <c r="I2150" s="889" t="s">
        <v>66</v>
      </c>
      <c r="J2150" s="890">
        <f>SUMIFS('Level of Efficiency Assumptions'!J:J,'Level of Efficiency Assumptions'!D:D,E2150,'Level of Efficiency Assumptions'!F:F,F2150,'Level of Efficiency Assumptions'!I:I,I2150)</f>
        <v>5</v>
      </c>
      <c r="K2150" s="383" t="s">
        <v>816</v>
      </c>
      <c r="L2150" s="257" t="s">
        <v>66</v>
      </c>
      <c r="M2150" s="879">
        <f>Q2152+Q2153</f>
        <v>0</v>
      </c>
      <c r="N2150" s="880">
        <f>IFERROR(M2150/M2151,"-")</f>
        <v>0</v>
      </c>
      <c r="O2150" s="881">
        <f>SUMIFS('Data Entry'!T:T,'Data Entry'!K:K,G2150)</f>
        <v>0</v>
      </c>
      <c r="P2150" s="274"/>
      <c r="Q2150" s="895">
        <v>1</v>
      </c>
      <c r="R2150" s="114"/>
      <c r="S2150" s="884"/>
      <c r="T2150" s="270"/>
      <c r="U2150" s="270"/>
      <c r="V2150" s="270"/>
      <c r="W2150" s="270"/>
      <c r="X2150" s="270"/>
      <c r="Y2150" s="270"/>
      <c r="Z2150" s="270"/>
      <c r="AA2150" s="270"/>
    </row>
    <row r="2151" spans="3:27" x14ac:dyDescent="0.3">
      <c r="C2151" s="450"/>
      <c r="D2151" s="182"/>
      <c r="E2151" s="182"/>
      <c r="F2151" s="182"/>
      <c r="G2151" s="450" t="str">
        <f t="shared" si="107"/>
        <v>--</v>
      </c>
      <c r="H2151" s="182"/>
      <c r="I2151" s="440"/>
      <c r="J2151" s="892"/>
      <c r="K2151" s="259"/>
      <c r="L2151" s="259" t="s">
        <v>46</v>
      </c>
      <c r="M2151" s="893">
        <f>SUM(M2148:M2150)</f>
        <v>1</v>
      </c>
      <c r="N2151" s="894"/>
      <c r="O2151" s="894">
        <f>SUM(O2148:O2150)</f>
        <v>0</v>
      </c>
      <c r="P2151" s="274"/>
      <c r="Q2151" s="895">
        <v>0</v>
      </c>
      <c r="R2151" s="114"/>
      <c r="S2151" s="884"/>
      <c r="T2151" s="270"/>
      <c r="U2151" s="270"/>
      <c r="V2151" s="270"/>
      <c r="W2151" s="270"/>
      <c r="X2151" s="270"/>
      <c r="Y2151" s="270"/>
      <c r="Z2151" s="270"/>
      <c r="AA2151" s="270"/>
    </row>
    <row r="2152" spans="3:27" x14ac:dyDescent="0.3">
      <c r="C2152" s="450"/>
      <c r="D2152" s="182"/>
      <c r="E2152" s="182"/>
      <c r="F2152" s="182"/>
      <c r="G2152" s="450" t="str">
        <f t="shared" si="107"/>
        <v>--</v>
      </c>
      <c r="H2152" s="182"/>
      <c r="I2152" s="892"/>
      <c r="J2152" s="288"/>
      <c r="K2152" s="182"/>
      <c r="L2152" s="182"/>
      <c r="M2152" s="270"/>
      <c r="N2152" s="892"/>
      <c r="O2152" s="892"/>
      <c r="P2152" s="275"/>
      <c r="Q2152" s="895">
        <v>0</v>
      </c>
      <c r="R2152" s="114"/>
      <c r="S2152" s="884"/>
      <c r="T2152" s="270"/>
      <c r="U2152" s="270"/>
      <c r="V2152" s="270"/>
      <c r="W2152" s="270"/>
      <c r="X2152" s="270"/>
      <c r="Y2152" s="270"/>
      <c r="Z2152" s="270"/>
      <c r="AA2152" s="270"/>
    </row>
    <row r="2153" spans="3:27" x14ac:dyDescent="0.3">
      <c r="C2153" s="450"/>
      <c r="D2153" s="182"/>
      <c r="E2153" s="182"/>
      <c r="F2153" s="182"/>
      <c r="G2153" s="450" t="str">
        <f t="shared" si="107"/>
        <v>--</v>
      </c>
      <c r="H2153" s="182"/>
      <c r="I2153" s="892"/>
      <c r="J2153" s="288"/>
      <c r="K2153" s="182"/>
      <c r="L2153" s="182"/>
      <c r="M2153" s="270"/>
      <c r="N2153" s="892"/>
      <c r="O2153" s="892"/>
      <c r="P2153" s="269"/>
      <c r="Q2153" s="895">
        <v>0</v>
      </c>
      <c r="R2153" s="114"/>
      <c r="S2153" s="884"/>
      <c r="T2153" s="270"/>
      <c r="U2153" s="270"/>
      <c r="V2153" s="270"/>
      <c r="W2153" s="270"/>
      <c r="X2153" s="270"/>
      <c r="Y2153" s="270"/>
      <c r="Z2153" s="270"/>
      <c r="AA2153" s="270"/>
    </row>
    <row r="2154" spans="3:27" x14ac:dyDescent="0.3">
      <c r="C2154" s="450"/>
      <c r="D2154" s="182"/>
      <c r="E2154" s="182"/>
      <c r="F2154" s="182"/>
      <c r="G2154" s="450" t="str">
        <f t="shared" si="107"/>
        <v>--</v>
      </c>
      <c r="H2154" s="182"/>
      <c r="I2154" s="892"/>
      <c r="J2154" s="288"/>
      <c r="K2154" s="182"/>
      <c r="L2154" s="182"/>
      <c r="M2154" s="270"/>
      <c r="N2154" s="892"/>
      <c r="O2154" s="892"/>
      <c r="P2154" s="263" t="s">
        <v>46</v>
      </c>
      <c r="Q2154" s="897">
        <f>SUM(Q2148:Q2153)</f>
        <v>1</v>
      </c>
      <c r="R2154" s="899"/>
      <c r="S2154" s="900"/>
      <c r="T2154" s="270"/>
      <c r="U2154" s="270"/>
      <c r="V2154" s="270"/>
      <c r="W2154" s="270"/>
      <c r="X2154" s="270"/>
      <c r="Y2154" s="270"/>
      <c r="Z2154" s="270"/>
      <c r="AA2154" s="270"/>
    </row>
    <row r="2155" spans="3:27" x14ac:dyDescent="0.3">
      <c r="C2155" s="450"/>
      <c r="D2155" s="182"/>
      <c r="E2155" s="182"/>
      <c r="F2155" s="182"/>
      <c r="G2155" s="450" t="str">
        <f t="shared" si="107"/>
        <v>--</v>
      </c>
      <c r="H2155" s="182"/>
      <c r="I2155" s="892"/>
      <c r="J2155" s="288"/>
      <c r="K2155" s="182"/>
      <c r="L2155" s="182"/>
      <c r="M2155" s="270"/>
      <c r="N2155" s="892"/>
      <c r="O2155" s="892"/>
      <c r="P2155" s="259"/>
      <c r="Q2155" s="114"/>
      <c r="R2155" s="114"/>
      <c r="S2155" s="114"/>
      <c r="T2155" s="270"/>
      <c r="U2155" s="270"/>
      <c r="V2155" s="270"/>
      <c r="W2155" s="270"/>
      <c r="X2155" s="270"/>
      <c r="Y2155" s="270"/>
      <c r="Z2155" s="270"/>
      <c r="AA2155" s="270"/>
    </row>
    <row r="2156" spans="3:27" ht="15" thickBot="1" x14ac:dyDescent="0.35">
      <c r="C2156" s="450"/>
      <c r="D2156" s="182"/>
      <c r="E2156" s="182"/>
      <c r="F2156" s="182"/>
      <c r="G2156" s="450" t="str">
        <f t="shared" si="107"/>
        <v>--</v>
      </c>
      <c r="H2156" s="182"/>
      <c r="I2156" s="892"/>
      <c r="J2156" s="892"/>
      <c r="K2156" s="182"/>
      <c r="L2156" s="182"/>
      <c r="M2156" s="901" t="s">
        <v>155</v>
      </c>
      <c r="N2156" s="870" t="s">
        <v>188</v>
      </c>
      <c r="O2156" s="870"/>
      <c r="P2156" s="276" t="s">
        <v>21</v>
      </c>
      <c r="Q2156" s="871" t="s">
        <v>155</v>
      </c>
      <c r="R2156" s="902"/>
      <c r="S2156" s="874"/>
      <c r="T2156" s="270"/>
      <c r="U2156" s="270"/>
      <c r="V2156" s="270"/>
      <c r="W2156" s="270"/>
      <c r="X2156" s="270"/>
      <c r="Y2156" s="270"/>
      <c r="Z2156" s="270"/>
      <c r="AA2156" s="270"/>
    </row>
    <row r="2157" spans="3:27" ht="15" thickBot="1" x14ac:dyDescent="0.35">
      <c r="C2157" s="566" t="s">
        <v>97</v>
      </c>
      <c r="D2157" s="875" t="str">
        <f>VLOOKUP(C2157,'Airport Mapping'!$C$5:$D$39,2,FALSE)</f>
        <v xml:space="preserve"> </v>
      </c>
      <c r="E2157" s="567" t="s">
        <v>43</v>
      </c>
      <c r="F2157" s="567" t="s">
        <v>21</v>
      </c>
      <c r="G2157" s="450" t="str">
        <f t="shared" si="107"/>
        <v>Hotel B-Maintenance-Laundry</v>
      </c>
      <c r="H2157" s="567" t="s">
        <v>17</v>
      </c>
      <c r="I2157" s="877" t="s">
        <v>64</v>
      </c>
      <c r="J2157" s="878">
        <f>SUMIFS('Level of Efficiency Assumptions'!J:J,'Level of Efficiency Assumptions'!D:D,E2157,'Level of Efficiency Assumptions'!F:F,F2157,'Level of Efficiency Assumptions'!I:I,I2157)</f>
        <v>3.5</v>
      </c>
      <c r="K2157" s="383" t="s">
        <v>235</v>
      </c>
      <c r="L2157" s="253" t="s">
        <v>64</v>
      </c>
      <c r="M2157" s="879">
        <f>SUM(Q2157:Q2158)</f>
        <v>0</v>
      </c>
      <c r="N2157" s="880">
        <f>IFERROR(M2157/M2160,"-")</f>
        <v>0</v>
      </c>
      <c r="O2157" s="881">
        <f>SUMIFS('Data Entry'!R:R,'Data Entry'!K:K,G2157)</f>
        <v>0</v>
      </c>
      <c r="P2157" s="272"/>
      <c r="Q2157" s="895">
        <v>0</v>
      </c>
      <c r="R2157" s="114"/>
      <c r="S2157" s="884"/>
      <c r="T2157" s="270"/>
      <c r="U2157" s="270"/>
      <c r="V2157" s="270"/>
      <c r="W2157" s="270"/>
      <c r="X2157" s="270"/>
      <c r="Y2157" s="270"/>
      <c r="Z2157" s="270"/>
      <c r="AA2157" s="270"/>
    </row>
    <row r="2158" spans="3:27" ht="15" thickBot="1" x14ac:dyDescent="0.35">
      <c r="C2158" s="494" t="s">
        <v>97</v>
      </c>
      <c r="D2158" s="577"/>
      <c r="E2158" s="577" t="s">
        <v>43</v>
      </c>
      <c r="F2158" s="577" t="s">
        <v>21</v>
      </c>
      <c r="G2158" s="450" t="str">
        <f t="shared" si="107"/>
        <v>Hotel B-Maintenance-Laundry</v>
      </c>
      <c r="H2158" s="577"/>
      <c r="I2158" s="887" t="s">
        <v>65</v>
      </c>
      <c r="J2158" s="878">
        <f>SUMIFS('Level of Efficiency Assumptions'!J:J,'Level of Efficiency Assumptions'!D:D,E2158,'Level of Efficiency Assumptions'!F:F,F2158,'Level of Efficiency Assumptions'!I:I,I2158)</f>
        <v>2.5</v>
      </c>
      <c r="K2158" s="383" t="s">
        <v>235</v>
      </c>
      <c r="L2158" s="255" t="s">
        <v>65</v>
      </c>
      <c r="M2158" s="879">
        <f>Q2159+Q2160</f>
        <v>1</v>
      </c>
      <c r="N2158" s="880">
        <f>IFERROR(M2158/M2160,"-")</f>
        <v>1</v>
      </c>
      <c r="O2158" s="881">
        <f>SUMIFS('Data Entry'!S:S,'Data Entry'!K:K,G2158)</f>
        <v>0</v>
      </c>
      <c r="P2158" s="272"/>
      <c r="Q2158" s="895">
        <v>0</v>
      </c>
      <c r="R2158" s="114"/>
      <c r="S2158" s="884"/>
      <c r="T2158" s="270"/>
      <c r="U2158" s="270"/>
      <c r="V2158" s="270"/>
      <c r="W2158" s="270"/>
      <c r="X2158" s="270"/>
      <c r="Y2158" s="270"/>
      <c r="Z2158" s="270"/>
      <c r="AA2158" s="270"/>
    </row>
    <row r="2159" spans="3:27" ht="15" thickBot="1" x14ac:dyDescent="0.35">
      <c r="C2159" s="501" t="s">
        <v>97</v>
      </c>
      <c r="D2159" s="116"/>
      <c r="E2159" s="116" t="s">
        <v>43</v>
      </c>
      <c r="F2159" s="116" t="s">
        <v>21</v>
      </c>
      <c r="G2159" s="450" t="str">
        <f t="shared" si="107"/>
        <v>Hotel B-Maintenance-Laundry</v>
      </c>
      <c r="H2159" s="116"/>
      <c r="I2159" s="889" t="s">
        <v>66</v>
      </c>
      <c r="J2159" s="890">
        <f>SUMIFS('Level of Efficiency Assumptions'!J:J,'Level of Efficiency Assumptions'!D:D,E2159,'Level of Efficiency Assumptions'!F:F,F2159,'Level of Efficiency Assumptions'!I:I,I2159)</f>
        <v>1.5</v>
      </c>
      <c r="K2159" s="383" t="s">
        <v>235</v>
      </c>
      <c r="L2159" s="257" t="s">
        <v>66</v>
      </c>
      <c r="M2159" s="879">
        <f>Q2161+Q2162</f>
        <v>0</v>
      </c>
      <c r="N2159" s="880">
        <f>IFERROR(M2159/M2160,"-")</f>
        <v>0</v>
      </c>
      <c r="O2159" s="881">
        <f>SUMIFS('Data Entry'!T:T,'Data Entry'!K:K,G2159)</f>
        <v>0</v>
      </c>
      <c r="P2159" s="274"/>
      <c r="Q2159" s="895">
        <v>1</v>
      </c>
      <c r="R2159" s="114"/>
      <c r="S2159" s="884"/>
      <c r="T2159" s="270"/>
      <c r="U2159" s="270"/>
      <c r="V2159" s="270"/>
      <c r="W2159" s="270"/>
      <c r="X2159" s="270"/>
      <c r="Y2159" s="270"/>
      <c r="Z2159" s="270"/>
      <c r="AA2159" s="270"/>
    </row>
    <row r="2160" spans="3:27" x14ac:dyDescent="0.3">
      <c r="C2160" s="450"/>
      <c r="D2160" s="182"/>
      <c r="E2160" s="182"/>
      <c r="F2160" s="182"/>
      <c r="G2160" s="450" t="str">
        <f t="shared" si="107"/>
        <v>--</v>
      </c>
      <c r="H2160" s="182"/>
      <c r="I2160" s="440"/>
      <c r="J2160" s="892"/>
      <c r="K2160" s="259"/>
      <c r="L2160" s="259" t="s">
        <v>46</v>
      </c>
      <c r="M2160" s="893">
        <f>SUM(M2157:M2159)</f>
        <v>1</v>
      </c>
      <c r="N2160" s="894"/>
      <c r="O2160" s="894">
        <f>SUM(O2157:O2159)</f>
        <v>0</v>
      </c>
      <c r="P2160" s="274"/>
      <c r="Q2160" s="895">
        <v>0</v>
      </c>
      <c r="R2160" s="114"/>
      <c r="S2160" s="884"/>
      <c r="T2160" s="270"/>
      <c r="U2160" s="270"/>
      <c r="V2160" s="270"/>
      <c r="W2160" s="270"/>
      <c r="X2160" s="270"/>
      <c r="Y2160" s="270"/>
      <c r="Z2160" s="270"/>
      <c r="AA2160" s="270"/>
    </row>
    <row r="2161" spans="3:31" x14ac:dyDescent="0.3">
      <c r="C2161" s="450"/>
      <c r="D2161" s="182"/>
      <c r="E2161" s="182"/>
      <c r="F2161" s="182"/>
      <c r="G2161" s="450" t="str">
        <f t="shared" si="107"/>
        <v>--</v>
      </c>
      <c r="H2161" s="182"/>
      <c r="I2161" s="892"/>
      <c r="J2161" s="288"/>
      <c r="K2161" s="182"/>
      <c r="L2161" s="182"/>
      <c r="M2161" s="270"/>
      <c r="N2161" s="892"/>
      <c r="O2161" s="892"/>
      <c r="P2161" s="275"/>
      <c r="Q2161" s="895">
        <v>0</v>
      </c>
      <c r="R2161" s="114"/>
      <c r="S2161" s="884"/>
      <c r="T2161" s="270"/>
      <c r="U2161" s="270"/>
      <c r="V2161" s="270"/>
      <c r="W2161" s="270"/>
      <c r="X2161" s="270"/>
      <c r="Y2161" s="270"/>
      <c r="Z2161" s="270"/>
      <c r="AA2161" s="270"/>
    </row>
    <row r="2162" spans="3:31" s="45" customFormat="1" x14ac:dyDescent="0.3">
      <c r="C2162" s="450"/>
      <c r="D2162" s="182"/>
      <c r="E2162" s="182"/>
      <c r="F2162" s="182"/>
      <c r="G2162" s="450" t="str">
        <f t="shared" si="107"/>
        <v>--</v>
      </c>
      <c r="H2162" s="182"/>
      <c r="I2162" s="892"/>
      <c r="J2162" s="288"/>
      <c r="K2162" s="182"/>
      <c r="L2162" s="182"/>
      <c r="M2162" s="270"/>
      <c r="N2162" s="892"/>
      <c r="O2162" s="892"/>
      <c r="P2162" s="269"/>
      <c r="Q2162" s="895">
        <v>0</v>
      </c>
      <c r="R2162" s="114"/>
      <c r="S2162" s="884"/>
      <c r="T2162" s="270"/>
      <c r="U2162" s="270"/>
      <c r="V2162" s="270"/>
      <c r="W2162" s="270"/>
      <c r="X2162" s="270"/>
      <c r="Y2162" s="270"/>
      <c r="Z2162" s="270"/>
      <c r="AA2162" s="270"/>
      <c r="AB2162" s="85"/>
      <c r="AC2162" s="85"/>
      <c r="AD2162" s="85"/>
      <c r="AE2162" s="85"/>
    </row>
    <row r="2163" spans="3:31" s="45" customFormat="1" x14ac:dyDescent="0.3">
      <c r="C2163" s="450"/>
      <c r="D2163" s="182"/>
      <c r="E2163" s="182"/>
      <c r="F2163" s="182"/>
      <c r="G2163" s="450" t="str">
        <f t="shared" si="107"/>
        <v>--</v>
      </c>
      <c r="H2163" s="182"/>
      <c r="I2163" s="892"/>
      <c r="J2163" s="288"/>
      <c r="K2163" s="182"/>
      <c r="L2163" s="182"/>
      <c r="M2163" s="270"/>
      <c r="N2163" s="892"/>
      <c r="O2163" s="892"/>
      <c r="P2163" s="263" t="s">
        <v>46</v>
      </c>
      <c r="Q2163" s="897">
        <f>SUM(Q2157:Q2162)</f>
        <v>1</v>
      </c>
      <c r="R2163" s="899"/>
      <c r="S2163" s="900"/>
      <c r="T2163" s="270"/>
      <c r="U2163" s="270"/>
      <c r="V2163" s="270"/>
      <c r="W2163" s="270"/>
      <c r="X2163" s="270"/>
      <c r="Y2163" s="270"/>
      <c r="Z2163" s="270"/>
      <c r="AA2163" s="270"/>
      <c r="AB2163" s="85"/>
      <c r="AC2163" s="85"/>
      <c r="AD2163" s="85"/>
      <c r="AE2163" s="85"/>
    </row>
    <row r="2164" spans="3:31" s="45" customFormat="1" x14ac:dyDescent="0.3">
      <c r="C2164" s="450"/>
      <c r="D2164" s="182"/>
      <c r="E2164" s="182"/>
      <c r="F2164" s="182"/>
      <c r="G2164" s="450" t="str">
        <f t="shared" si="107"/>
        <v>--</v>
      </c>
      <c r="H2164" s="182"/>
      <c r="I2164" s="892"/>
      <c r="J2164" s="288"/>
      <c r="K2164" s="182"/>
      <c r="L2164" s="270"/>
      <c r="M2164" s="270"/>
      <c r="N2164" s="923"/>
      <c r="O2164" s="923"/>
      <c r="P2164" s="270"/>
      <c r="Q2164" s="270"/>
      <c r="R2164" s="270"/>
      <c r="S2164" s="270"/>
      <c r="T2164" s="270"/>
      <c r="U2164" s="270"/>
      <c r="V2164" s="270"/>
      <c r="W2164" s="270"/>
      <c r="X2164" s="270"/>
      <c r="Y2164" s="270"/>
      <c r="Z2164" s="270"/>
      <c r="AA2164" s="270"/>
      <c r="AB2164" s="85"/>
      <c r="AC2164" s="85"/>
      <c r="AD2164" s="85"/>
      <c r="AE2164" s="85"/>
    </row>
    <row r="2165" spans="3:31" s="45" customFormat="1" x14ac:dyDescent="0.3">
      <c r="C2165" s="450"/>
      <c r="D2165" s="182"/>
      <c r="E2165" s="182"/>
      <c r="F2165" s="182"/>
      <c r="G2165" s="450" t="str">
        <f t="shared" si="107"/>
        <v>--</v>
      </c>
      <c r="H2165" s="182"/>
      <c r="I2165" s="892"/>
      <c r="J2165" s="288"/>
      <c r="K2165" s="182"/>
      <c r="L2165" s="182"/>
      <c r="M2165" s="270"/>
      <c r="N2165" s="892"/>
      <c r="O2165" s="892"/>
      <c r="P2165" s="276" t="s">
        <v>42</v>
      </c>
      <c r="Q2165" s="902"/>
      <c r="R2165" s="902"/>
      <c r="S2165" s="902"/>
      <c r="T2165" s="271"/>
      <c r="U2165" s="114"/>
      <c r="V2165" s="114"/>
      <c r="W2165" s="270"/>
      <c r="X2165" s="270"/>
      <c r="Y2165" s="270"/>
      <c r="Z2165" s="270"/>
      <c r="AA2165" s="270"/>
      <c r="AB2165" s="85"/>
      <c r="AC2165" s="85"/>
      <c r="AD2165" s="85"/>
      <c r="AE2165" s="85"/>
    </row>
    <row r="2166" spans="3:31" ht="15" thickBot="1" x14ac:dyDescent="0.35">
      <c r="C2166" s="450"/>
      <c r="D2166" s="182"/>
      <c r="E2166" s="182"/>
      <c r="F2166" s="182"/>
      <c r="G2166" s="450" t="str">
        <f t="shared" si="107"/>
        <v>--</v>
      </c>
      <c r="H2166" s="182"/>
      <c r="I2166" s="892"/>
      <c r="J2166" s="892"/>
      <c r="K2166" s="182"/>
      <c r="L2166" s="182"/>
      <c r="M2166" s="901" t="s">
        <v>155</v>
      </c>
      <c r="N2166" s="870" t="s">
        <v>188</v>
      </c>
      <c r="O2166" s="870"/>
      <c r="P2166" s="277" t="s">
        <v>818</v>
      </c>
      <c r="Q2166" s="871" t="s">
        <v>155</v>
      </c>
      <c r="R2166" s="114"/>
      <c r="S2166" s="114"/>
      <c r="T2166" s="271"/>
      <c r="U2166" s="114"/>
      <c r="V2166" s="114"/>
      <c r="W2166" s="270"/>
      <c r="X2166" s="270"/>
      <c r="Y2166" s="270"/>
      <c r="Z2166" s="270"/>
      <c r="AA2166" s="270"/>
    </row>
    <row r="2167" spans="3:31" ht="15" thickBot="1" x14ac:dyDescent="0.35">
      <c r="C2167" s="566" t="s">
        <v>97</v>
      </c>
      <c r="D2167" s="875" t="str">
        <f>VLOOKUP(C2167,'Airport Mapping'!$C$5:$D$39,2,FALSE)</f>
        <v xml:space="preserve"> </v>
      </c>
      <c r="E2167" s="567" t="s">
        <v>39</v>
      </c>
      <c r="F2167" s="567" t="s">
        <v>42</v>
      </c>
      <c r="G2167" s="450" t="str">
        <f t="shared" si="107"/>
        <v>Hotel B-Landscaping-Outdoor irrigation</v>
      </c>
      <c r="H2167" s="567" t="s">
        <v>32</v>
      </c>
      <c r="I2167" s="877" t="s">
        <v>64</v>
      </c>
      <c r="J2167" s="878">
        <f>SUMIFS('Level of Efficiency Assumptions'!J:J,'Level of Efficiency Assumptions'!D:D,E2167,'Level of Efficiency Assumptions'!F:F,F2167,'Level of Efficiency Assumptions'!I:I,I2167)</f>
        <v>28.6</v>
      </c>
      <c r="K2167" s="383" t="s">
        <v>816</v>
      </c>
      <c r="L2167" s="253" t="s">
        <v>64</v>
      </c>
      <c r="M2167" s="879">
        <f>SUM(Q2167:Q2168)</f>
        <v>0</v>
      </c>
      <c r="N2167" s="880">
        <f>IFERROR(M2167/M2170,"-")</f>
        <v>0</v>
      </c>
      <c r="O2167" s="881">
        <f>SUMIFS('Data Entry'!R:R,'Data Entry'!K:K,G2167)</f>
        <v>0</v>
      </c>
      <c r="P2167" s="272" t="s">
        <v>237</v>
      </c>
      <c r="Q2167" s="895">
        <v>0</v>
      </c>
      <c r="R2167" s="114"/>
      <c r="S2167" s="114"/>
      <c r="T2167" s="271"/>
      <c r="U2167" s="114"/>
      <c r="V2167" s="114"/>
      <c r="W2167" s="270"/>
      <c r="X2167" s="270"/>
      <c r="Y2167" s="270"/>
      <c r="Z2167" s="270"/>
      <c r="AA2167" s="270"/>
    </row>
    <row r="2168" spans="3:31" ht="15" thickBot="1" x14ac:dyDescent="0.35">
      <c r="C2168" s="494" t="s">
        <v>97</v>
      </c>
      <c r="D2168" s="577"/>
      <c r="E2168" s="577" t="s">
        <v>39</v>
      </c>
      <c r="F2168" s="577" t="s">
        <v>42</v>
      </c>
      <c r="G2168" s="450" t="str">
        <f t="shared" si="107"/>
        <v>Hotel B-Landscaping-Outdoor irrigation</v>
      </c>
      <c r="H2168" s="577"/>
      <c r="I2168" s="887" t="s">
        <v>65</v>
      </c>
      <c r="J2168" s="878">
        <f>SUMIFS('Level of Efficiency Assumptions'!J:J,'Level of Efficiency Assumptions'!D:D,E2168,'Level of Efficiency Assumptions'!F:F,F2168,'Level of Efficiency Assumptions'!I:I,I2168)</f>
        <v>13.980821518350929</v>
      </c>
      <c r="K2168" s="383" t="s">
        <v>816</v>
      </c>
      <c r="L2168" s="255" t="s">
        <v>65</v>
      </c>
      <c r="M2168" s="879">
        <f>Q2169+Q2170</f>
        <v>1</v>
      </c>
      <c r="N2168" s="880">
        <f>IFERROR(M2168/M2170,"-")</f>
        <v>1</v>
      </c>
      <c r="O2168" s="881">
        <f>SUMIFS('Data Entry'!S:S,'Data Entry'!K:K,G2168)</f>
        <v>0</v>
      </c>
      <c r="P2168" s="272" t="s">
        <v>232</v>
      </c>
      <c r="Q2168" s="895">
        <v>0</v>
      </c>
      <c r="R2168" s="114"/>
      <c r="S2168" s="114"/>
      <c r="T2168" s="271"/>
      <c r="U2168" s="114"/>
      <c r="V2168" s="114"/>
      <c r="W2168" s="270"/>
      <c r="X2168" s="270"/>
      <c r="Y2168" s="270"/>
      <c r="Z2168" s="270"/>
      <c r="AA2168" s="270"/>
    </row>
    <row r="2169" spans="3:31" ht="15" thickBot="1" x14ac:dyDescent="0.35">
      <c r="C2169" s="501" t="s">
        <v>97</v>
      </c>
      <c r="D2169" s="116"/>
      <c r="E2169" s="116" t="s">
        <v>39</v>
      </c>
      <c r="F2169" s="116" t="s">
        <v>42</v>
      </c>
      <c r="G2169" s="450" t="str">
        <f t="shared" si="107"/>
        <v>Hotel B-Landscaping-Outdoor irrigation</v>
      </c>
      <c r="H2169" s="116"/>
      <c r="I2169" s="889" t="s">
        <v>66</v>
      </c>
      <c r="J2169" s="890">
        <f>SUMIFS('Level of Efficiency Assumptions'!J:J,'Level of Efficiency Assumptions'!D:D,E2169,'Level of Efficiency Assumptions'!F:F,F2169,'Level of Efficiency Assumptions'!I:I,I2169)</f>
        <v>0.59137254901960778</v>
      </c>
      <c r="K2169" s="383" t="s">
        <v>816</v>
      </c>
      <c r="L2169" s="257" t="s">
        <v>66</v>
      </c>
      <c r="M2169" s="879">
        <f>Q2171+Q2172</f>
        <v>0</v>
      </c>
      <c r="N2169" s="880">
        <f>IFERROR(M2169/M2170,"-")</f>
        <v>0</v>
      </c>
      <c r="O2169" s="881">
        <f>SUMIFS('Data Entry'!T:T,'Data Entry'!K:K,G2169)</f>
        <v>0</v>
      </c>
      <c r="P2169" s="274" t="s">
        <v>231</v>
      </c>
      <c r="Q2169" s="895">
        <v>1</v>
      </c>
      <c r="R2169" s="114"/>
      <c r="S2169" s="114"/>
      <c r="T2169" s="271"/>
      <c r="U2169" s="114"/>
      <c r="V2169" s="114"/>
      <c r="W2169" s="270"/>
      <c r="X2169" s="270"/>
      <c r="Y2169" s="270"/>
      <c r="Z2169" s="270"/>
      <c r="AA2169" s="114"/>
    </row>
    <row r="2170" spans="3:31" x14ac:dyDescent="0.3">
      <c r="C2170" s="450"/>
      <c r="D2170" s="182"/>
      <c r="E2170" s="182"/>
      <c r="F2170" s="182"/>
      <c r="G2170" s="450" t="str">
        <f t="shared" si="107"/>
        <v>--</v>
      </c>
      <c r="H2170" s="182"/>
      <c r="I2170" s="440"/>
      <c r="J2170" s="892"/>
      <c r="K2170" s="259"/>
      <c r="L2170" s="259" t="s">
        <v>46</v>
      </c>
      <c r="M2170" s="893">
        <f>SUM(M2167:M2169)</f>
        <v>1</v>
      </c>
      <c r="N2170" s="894"/>
      <c r="O2170" s="894">
        <f>SUM(O2167:O2169)</f>
        <v>0</v>
      </c>
      <c r="P2170" s="274" t="s">
        <v>230</v>
      </c>
      <c r="Q2170" s="895">
        <v>0</v>
      </c>
      <c r="R2170" s="114"/>
      <c r="S2170" s="114"/>
      <c r="T2170" s="271"/>
      <c r="U2170" s="114"/>
      <c r="V2170" s="114"/>
      <c r="W2170" s="270"/>
      <c r="X2170" s="270"/>
      <c r="Y2170" s="270"/>
      <c r="Z2170" s="270"/>
      <c r="AA2170" s="114"/>
    </row>
    <row r="2171" spans="3:31" x14ac:dyDescent="0.3">
      <c r="C2171" s="450"/>
      <c r="D2171" s="182"/>
      <c r="E2171" s="182"/>
      <c r="F2171" s="182"/>
      <c r="G2171" s="450" t="str">
        <f t="shared" si="107"/>
        <v>--</v>
      </c>
      <c r="H2171" s="182"/>
      <c r="I2171" s="892"/>
      <c r="J2171" s="288"/>
      <c r="K2171" s="182"/>
      <c r="L2171" s="182"/>
      <c r="M2171" s="270"/>
      <c r="N2171" s="892"/>
      <c r="O2171" s="892"/>
      <c r="P2171" s="275" t="s">
        <v>229</v>
      </c>
      <c r="Q2171" s="895">
        <v>0</v>
      </c>
      <c r="R2171" s="114"/>
      <c r="S2171" s="114"/>
      <c r="T2171" s="271"/>
      <c r="U2171" s="114"/>
      <c r="V2171" s="114"/>
      <c r="W2171" s="270"/>
      <c r="X2171" s="270"/>
      <c r="Y2171" s="270"/>
      <c r="Z2171" s="270"/>
      <c r="AA2171" s="114"/>
    </row>
    <row r="2172" spans="3:31" x14ac:dyDescent="0.3">
      <c r="C2172" s="450"/>
      <c r="D2172" s="182"/>
      <c r="E2172" s="182"/>
      <c r="F2172" s="182"/>
      <c r="G2172" s="450" t="str">
        <f t="shared" si="107"/>
        <v>--</v>
      </c>
      <c r="H2172" s="182"/>
      <c r="I2172" s="892"/>
      <c r="J2172" s="288"/>
      <c r="K2172" s="182"/>
      <c r="L2172" s="182"/>
      <c r="M2172" s="270"/>
      <c r="N2172" s="892"/>
      <c r="O2172" s="892"/>
      <c r="P2172" s="269" t="s">
        <v>225</v>
      </c>
      <c r="Q2172" s="895">
        <v>0</v>
      </c>
      <c r="R2172" s="114"/>
      <c r="S2172" s="114"/>
      <c r="T2172" s="271"/>
      <c r="U2172" s="114"/>
      <c r="V2172" s="114"/>
      <c r="W2172" s="270"/>
      <c r="X2172" s="270"/>
      <c r="Y2172" s="270"/>
      <c r="Z2172" s="270"/>
      <c r="AA2172" s="114"/>
    </row>
    <row r="2173" spans="3:31" x14ac:dyDescent="0.3">
      <c r="C2173" s="450"/>
      <c r="D2173" s="182"/>
      <c r="E2173" s="182"/>
      <c r="F2173" s="182"/>
      <c r="G2173" s="450" t="str">
        <f t="shared" si="107"/>
        <v>--</v>
      </c>
      <c r="H2173" s="182"/>
      <c r="I2173" s="892"/>
      <c r="J2173" s="288"/>
      <c r="K2173" s="182"/>
      <c r="L2173" s="182"/>
      <c r="M2173" s="270"/>
      <c r="N2173" s="892"/>
      <c r="O2173" s="892"/>
      <c r="P2173" s="263" t="s">
        <v>46</v>
      </c>
      <c r="Q2173" s="897">
        <f>SUM(Q2167:Q2172)</f>
        <v>1</v>
      </c>
      <c r="R2173" s="899"/>
      <c r="S2173" s="899"/>
      <c r="T2173" s="271"/>
      <c r="U2173" s="114"/>
      <c r="V2173" s="114"/>
      <c r="W2173" s="270"/>
      <c r="X2173" s="270"/>
      <c r="Y2173" s="270"/>
      <c r="Z2173" s="270"/>
      <c r="AA2173" s="114"/>
    </row>
    <row r="2174" spans="3:31" x14ac:dyDescent="0.3">
      <c r="C2174" s="450"/>
      <c r="D2174" s="182"/>
      <c r="E2174" s="182"/>
      <c r="F2174" s="182"/>
      <c r="G2174" s="450" t="str">
        <f t="shared" si="107"/>
        <v>--</v>
      </c>
      <c r="H2174" s="182"/>
      <c r="I2174" s="892"/>
      <c r="J2174" s="288"/>
      <c r="K2174" s="182"/>
      <c r="L2174" s="211"/>
      <c r="M2174" s="114"/>
      <c r="N2174" s="905"/>
      <c r="O2174" s="926"/>
      <c r="P2174" s="211"/>
      <c r="Q2174" s="114"/>
      <c r="R2174" s="211"/>
      <c r="S2174" s="211"/>
      <c r="T2174" s="270"/>
      <c r="U2174" s="270"/>
      <c r="V2174" s="270"/>
      <c r="W2174" s="270"/>
      <c r="X2174" s="270"/>
      <c r="Y2174" s="270"/>
      <c r="Z2174" s="270"/>
      <c r="AA2174" s="114"/>
    </row>
    <row r="2175" spans="3:31" ht="15" thickBot="1" x14ac:dyDescent="0.35">
      <c r="C2175" s="450"/>
      <c r="D2175" s="182"/>
      <c r="E2175" s="182"/>
      <c r="F2175" s="182"/>
      <c r="G2175" s="450" t="str">
        <f t="shared" si="107"/>
        <v>--</v>
      </c>
      <c r="H2175" s="182"/>
      <c r="I2175" s="892"/>
      <c r="J2175" s="892"/>
      <c r="K2175" s="182"/>
      <c r="L2175" s="182"/>
      <c r="M2175" s="901" t="s">
        <v>155</v>
      </c>
      <c r="N2175" s="870" t="s">
        <v>188</v>
      </c>
      <c r="O2175" s="870"/>
      <c r="P2175" s="276" t="s">
        <v>52</v>
      </c>
      <c r="Q2175" s="871" t="s">
        <v>155</v>
      </c>
      <c r="R2175" s="902"/>
      <c r="S2175" s="874"/>
      <c r="T2175" s="270"/>
      <c r="U2175" s="270"/>
      <c r="V2175" s="270"/>
      <c r="W2175" s="270"/>
      <c r="X2175" s="270"/>
      <c r="Y2175" s="114"/>
      <c r="Z2175" s="114"/>
      <c r="AA2175" s="114"/>
    </row>
    <row r="2176" spans="3:31" ht="15" thickBot="1" x14ac:dyDescent="0.35">
      <c r="C2176" s="566" t="s">
        <v>97</v>
      </c>
      <c r="D2176" s="875" t="str">
        <f>VLOOKUP(C2176,'Airport Mapping'!$C$5:$D$39,2,FALSE)</f>
        <v xml:space="preserve"> </v>
      </c>
      <c r="E2176" s="567" t="s">
        <v>8</v>
      </c>
      <c r="F2176" s="567" t="s">
        <v>52</v>
      </c>
      <c r="G2176" s="450" t="str">
        <f t="shared" si="107"/>
        <v>Hotel B-Other-Other 1</v>
      </c>
      <c r="H2176" s="567" t="s">
        <v>362</v>
      </c>
      <c r="I2176" s="877" t="s">
        <v>64</v>
      </c>
      <c r="J2176" s="878">
        <f>SUMIFS('Level of Efficiency Assumptions'!J:J,'Level of Efficiency Assumptions'!D:D,E2176,'Level of Efficiency Assumptions'!F:F,F2176,'Level of Efficiency Assumptions'!I:I,I2176)</f>
        <v>10</v>
      </c>
      <c r="K2176" s="383" t="s">
        <v>588</v>
      </c>
      <c r="L2176" s="253" t="s">
        <v>64</v>
      </c>
      <c r="M2176" s="879">
        <f>SUM(Q2176:Q2176)</f>
        <v>0</v>
      </c>
      <c r="N2176" s="880">
        <f>IFERROR(M2176/M2179,"-")</f>
        <v>0</v>
      </c>
      <c r="O2176" s="881">
        <f>SUMIFS('Data Entry'!R:R,'Data Entry'!K:K,G2176)</f>
        <v>0</v>
      </c>
      <c r="P2176" s="272" t="s">
        <v>129</v>
      </c>
      <c r="Q2176" s="895">
        <v>0</v>
      </c>
      <c r="R2176" s="114"/>
      <c r="S2176" s="884"/>
      <c r="T2176" s="270"/>
      <c r="U2176" s="270"/>
      <c r="V2176" s="270"/>
      <c r="W2176" s="270"/>
      <c r="X2176" s="270"/>
      <c r="Y2176" s="114"/>
      <c r="Z2176" s="114"/>
      <c r="AA2176" s="270"/>
    </row>
    <row r="2177" spans="3:27" ht="15" thickBot="1" x14ac:dyDescent="0.35">
      <c r="C2177" s="494" t="s">
        <v>97</v>
      </c>
      <c r="D2177" s="577"/>
      <c r="E2177" s="577" t="s">
        <v>8</v>
      </c>
      <c r="F2177" s="577" t="s">
        <v>52</v>
      </c>
      <c r="G2177" s="450" t="str">
        <f t="shared" si="107"/>
        <v>Hotel B-Other-Other 1</v>
      </c>
      <c r="H2177" s="577"/>
      <c r="I2177" s="887" t="s">
        <v>65</v>
      </c>
      <c r="J2177" s="878">
        <f>SUMIFS('Level of Efficiency Assumptions'!J:J,'Level of Efficiency Assumptions'!D:D,E2177,'Level of Efficiency Assumptions'!F:F,F2177,'Level of Efficiency Assumptions'!I:I,I2177)</f>
        <v>7.5</v>
      </c>
      <c r="K2177" s="383" t="s">
        <v>588</v>
      </c>
      <c r="L2177" s="255" t="s">
        <v>65</v>
      </c>
      <c r="M2177" s="879">
        <f t="shared" ref="M2177:M2178" si="108">SUM(Q2177:Q2177)</f>
        <v>1</v>
      </c>
      <c r="N2177" s="880">
        <f>IFERROR(M2177/M2179,"-")</f>
        <v>1</v>
      </c>
      <c r="O2177" s="881">
        <f>SUMIFS('Data Entry'!S:S,'Data Entry'!K:K,G2177)</f>
        <v>0</v>
      </c>
      <c r="P2177" s="274" t="s">
        <v>233</v>
      </c>
      <c r="Q2177" s="895">
        <v>1</v>
      </c>
      <c r="R2177" s="114"/>
      <c r="S2177" s="884"/>
      <c r="T2177" s="114"/>
      <c r="U2177" s="270"/>
      <c r="V2177" s="270"/>
      <c r="W2177" s="270"/>
      <c r="X2177" s="270"/>
      <c r="Y2177" s="114"/>
      <c r="Z2177" s="114"/>
      <c r="AA2177" s="270"/>
    </row>
    <row r="2178" spans="3:27" ht="15" thickBot="1" x14ac:dyDescent="0.35">
      <c r="C2178" s="501" t="s">
        <v>97</v>
      </c>
      <c r="D2178" s="116"/>
      <c r="E2178" s="116" t="s">
        <v>8</v>
      </c>
      <c r="F2178" s="116" t="s">
        <v>52</v>
      </c>
      <c r="G2178" s="450" t="str">
        <f t="shared" si="107"/>
        <v>Hotel B-Other-Other 1</v>
      </c>
      <c r="H2178" s="116"/>
      <c r="I2178" s="889" t="s">
        <v>66</v>
      </c>
      <c r="J2178" s="890">
        <f>SUMIFS('Level of Efficiency Assumptions'!J:J,'Level of Efficiency Assumptions'!D:D,E2178,'Level of Efficiency Assumptions'!F:F,F2178,'Level of Efficiency Assumptions'!I:I,I2178)</f>
        <v>5</v>
      </c>
      <c r="K2178" s="383" t="s">
        <v>588</v>
      </c>
      <c r="L2178" s="257" t="s">
        <v>66</v>
      </c>
      <c r="M2178" s="879">
        <f t="shared" si="108"/>
        <v>0</v>
      </c>
      <c r="N2178" s="880">
        <f>IFERROR(M2178/M2179,"-")</f>
        <v>0</v>
      </c>
      <c r="O2178" s="881">
        <f>SUMIFS('Data Entry'!T:T,'Data Entry'!K:K,G2178)</f>
        <v>0</v>
      </c>
      <c r="P2178" s="269" t="s">
        <v>234</v>
      </c>
      <c r="Q2178" s="895">
        <v>0</v>
      </c>
      <c r="R2178" s="114"/>
      <c r="S2178" s="884"/>
      <c r="T2178" s="270"/>
      <c r="U2178" s="270"/>
      <c r="V2178" s="270"/>
      <c r="W2178" s="270"/>
      <c r="X2178" s="270"/>
      <c r="Y2178" s="270"/>
      <c r="Z2178" s="270"/>
      <c r="AA2178" s="270"/>
    </row>
    <row r="2179" spans="3:27" x14ac:dyDescent="0.3">
      <c r="C2179" s="450"/>
      <c r="D2179" s="182"/>
      <c r="E2179" s="182"/>
      <c r="F2179" s="182"/>
      <c r="G2179" s="450" t="str">
        <f t="shared" si="107"/>
        <v>--</v>
      </c>
      <c r="H2179" s="182"/>
      <c r="I2179" s="440"/>
      <c r="J2179" s="892"/>
      <c r="K2179" s="259"/>
      <c r="L2179" s="259" t="s">
        <v>46</v>
      </c>
      <c r="M2179" s="893">
        <f>SUM(M2176:M2178)</f>
        <v>1</v>
      </c>
      <c r="N2179" s="894"/>
      <c r="O2179" s="894">
        <f>SUM(O2176:O2178)</f>
        <v>0</v>
      </c>
      <c r="P2179" s="263" t="s">
        <v>46</v>
      </c>
      <c r="Q2179" s="897">
        <f>SUM(Q2176:Q2178)</f>
        <v>1</v>
      </c>
      <c r="R2179" s="899"/>
      <c r="S2179" s="900"/>
      <c r="T2179" s="270"/>
      <c r="U2179" s="270"/>
      <c r="V2179" s="270"/>
      <c r="W2179" s="270"/>
      <c r="X2179" s="270"/>
      <c r="Y2179" s="270"/>
      <c r="Z2179" s="270"/>
      <c r="AA2179" s="270"/>
    </row>
    <row r="2180" spans="3:27" x14ac:dyDescent="0.3">
      <c r="C2180" s="450"/>
      <c r="D2180" s="182"/>
      <c r="E2180" s="182"/>
      <c r="F2180" s="182"/>
      <c r="G2180" s="450" t="str">
        <f t="shared" si="107"/>
        <v>--</v>
      </c>
      <c r="H2180" s="182"/>
      <c r="I2180" s="892"/>
      <c r="J2180" s="288"/>
      <c r="K2180" s="182"/>
      <c r="L2180" s="182"/>
      <c r="M2180" s="270"/>
      <c r="N2180" s="892"/>
      <c r="O2180" s="892"/>
      <c r="P2180" s="270"/>
      <c r="Q2180" s="270"/>
      <c r="R2180" s="270"/>
      <c r="S2180" s="270"/>
      <c r="T2180" s="270"/>
      <c r="U2180" s="270"/>
      <c r="V2180" s="270"/>
      <c r="W2180" s="270"/>
      <c r="X2180" s="270"/>
      <c r="Y2180" s="270"/>
      <c r="Z2180" s="270"/>
      <c r="AA2180" s="270"/>
    </row>
    <row r="2181" spans="3:27" ht="15" thickBot="1" x14ac:dyDescent="0.35">
      <c r="C2181" s="450"/>
      <c r="D2181" s="182"/>
      <c r="E2181" s="182"/>
      <c r="F2181" s="182"/>
      <c r="G2181" s="450" t="str">
        <f t="shared" si="107"/>
        <v>--</v>
      </c>
      <c r="H2181" s="182"/>
      <c r="I2181" s="892"/>
      <c r="J2181" s="892"/>
      <c r="K2181" s="182"/>
      <c r="L2181" s="182"/>
      <c r="M2181" s="901" t="s">
        <v>155</v>
      </c>
      <c r="N2181" s="870" t="s">
        <v>188</v>
      </c>
      <c r="O2181" s="870"/>
      <c r="P2181" s="276" t="s">
        <v>53</v>
      </c>
      <c r="Q2181" s="871" t="s">
        <v>155</v>
      </c>
      <c r="R2181" s="902"/>
      <c r="S2181" s="874"/>
      <c r="T2181" s="270"/>
      <c r="U2181" s="270"/>
      <c r="V2181" s="270"/>
      <c r="W2181" s="270"/>
      <c r="X2181" s="270"/>
      <c r="Y2181" s="270"/>
      <c r="Z2181" s="270"/>
      <c r="AA2181" s="270"/>
    </row>
    <row r="2182" spans="3:27" ht="15" thickBot="1" x14ac:dyDescent="0.35">
      <c r="C2182" s="566" t="s">
        <v>97</v>
      </c>
      <c r="D2182" s="875" t="str">
        <f>VLOOKUP(C2182,'Airport Mapping'!$C$5:$D$39,2,FALSE)</f>
        <v xml:space="preserve"> </v>
      </c>
      <c r="E2182" s="567" t="s">
        <v>8</v>
      </c>
      <c r="F2182" s="567" t="s">
        <v>53</v>
      </c>
      <c r="G2182" s="450" t="str">
        <f t="shared" si="107"/>
        <v>Hotel B-Other-Other 2</v>
      </c>
      <c r="H2182" s="567" t="s">
        <v>363</v>
      </c>
      <c r="I2182" s="877" t="s">
        <v>64</v>
      </c>
      <c r="J2182" s="878">
        <f>SUMIFS('Level of Efficiency Assumptions'!J:J,'Level of Efficiency Assumptions'!D:D,E2182,'Level of Efficiency Assumptions'!F:F,F2182,'Level of Efficiency Assumptions'!I:I,I2182)</f>
        <v>10</v>
      </c>
      <c r="K2182" s="383" t="s">
        <v>588</v>
      </c>
      <c r="L2182" s="253" t="s">
        <v>64</v>
      </c>
      <c r="M2182" s="879">
        <f>SUM(Q2182:Q2182)</f>
        <v>0</v>
      </c>
      <c r="N2182" s="880">
        <f>IFERROR(M2182/M2185,"-")</f>
        <v>0</v>
      </c>
      <c r="O2182" s="881">
        <f>SUMIFS('Data Entry'!R:R,'Data Entry'!K:K,G2182)</f>
        <v>0</v>
      </c>
      <c r="P2182" s="272" t="s">
        <v>129</v>
      </c>
      <c r="Q2182" s="895">
        <v>0</v>
      </c>
      <c r="R2182" s="114"/>
      <c r="S2182" s="884"/>
      <c r="T2182" s="270"/>
      <c r="U2182" s="270"/>
      <c r="V2182" s="270"/>
      <c r="W2182" s="270"/>
      <c r="X2182" s="270"/>
      <c r="Y2182" s="270"/>
      <c r="Z2182" s="270"/>
      <c r="AA2182" s="270"/>
    </row>
    <row r="2183" spans="3:27" ht="15" thickBot="1" x14ac:dyDescent="0.35">
      <c r="C2183" s="494" t="s">
        <v>97</v>
      </c>
      <c r="D2183" s="577"/>
      <c r="E2183" s="577" t="s">
        <v>8</v>
      </c>
      <c r="F2183" s="577" t="s">
        <v>53</v>
      </c>
      <c r="G2183" s="450" t="str">
        <f t="shared" si="107"/>
        <v>Hotel B-Other-Other 2</v>
      </c>
      <c r="H2183" s="577"/>
      <c r="I2183" s="887" t="s">
        <v>65</v>
      </c>
      <c r="J2183" s="878">
        <f>SUMIFS('Level of Efficiency Assumptions'!J:J,'Level of Efficiency Assumptions'!D:D,E2183,'Level of Efficiency Assumptions'!F:F,F2183,'Level of Efficiency Assumptions'!I:I,I2183)</f>
        <v>7.5</v>
      </c>
      <c r="K2183" s="383" t="s">
        <v>588</v>
      </c>
      <c r="L2183" s="255" t="s">
        <v>65</v>
      </c>
      <c r="M2183" s="879">
        <f t="shared" ref="M2183:M2184" si="109">SUM(Q2183:Q2183)</f>
        <v>1</v>
      </c>
      <c r="N2183" s="880">
        <f>IFERROR(M2183/M2185,"-")</f>
        <v>1</v>
      </c>
      <c r="O2183" s="881">
        <f>SUMIFS('Data Entry'!S:S,'Data Entry'!K:K,G2183)</f>
        <v>0</v>
      </c>
      <c r="P2183" s="274" t="s">
        <v>233</v>
      </c>
      <c r="Q2183" s="895">
        <v>1</v>
      </c>
      <c r="R2183" s="114"/>
      <c r="S2183" s="884"/>
      <c r="T2183" s="270"/>
      <c r="U2183" s="270"/>
      <c r="V2183" s="270"/>
      <c r="W2183" s="270"/>
      <c r="X2183" s="270"/>
      <c r="Y2183" s="270"/>
      <c r="Z2183" s="270"/>
      <c r="AA2183" s="270"/>
    </row>
    <row r="2184" spans="3:27" ht="15" thickBot="1" x14ac:dyDescent="0.35">
      <c r="C2184" s="501" t="s">
        <v>97</v>
      </c>
      <c r="D2184" s="116"/>
      <c r="E2184" s="116" t="s">
        <v>8</v>
      </c>
      <c r="F2184" s="116" t="s">
        <v>53</v>
      </c>
      <c r="G2184" s="450" t="str">
        <f t="shared" si="107"/>
        <v>Hotel B-Other-Other 2</v>
      </c>
      <c r="H2184" s="116"/>
      <c r="I2184" s="889" t="s">
        <v>66</v>
      </c>
      <c r="J2184" s="890">
        <f>SUMIFS('Level of Efficiency Assumptions'!J:J,'Level of Efficiency Assumptions'!D:D,E2184,'Level of Efficiency Assumptions'!F:F,F2184,'Level of Efficiency Assumptions'!I:I,I2184)</f>
        <v>5</v>
      </c>
      <c r="K2184" s="383" t="s">
        <v>588</v>
      </c>
      <c r="L2184" s="257" t="s">
        <v>66</v>
      </c>
      <c r="M2184" s="879">
        <f t="shared" si="109"/>
        <v>0</v>
      </c>
      <c r="N2184" s="880">
        <f>IFERROR(M2184/M2185,"-")</f>
        <v>0</v>
      </c>
      <c r="O2184" s="881">
        <f>SUMIFS('Data Entry'!T:T,'Data Entry'!K:K,G2184)</f>
        <v>0</v>
      </c>
      <c r="P2184" s="269" t="s">
        <v>234</v>
      </c>
      <c r="Q2184" s="895">
        <v>0</v>
      </c>
      <c r="R2184" s="114"/>
      <c r="S2184" s="884"/>
      <c r="T2184" s="270"/>
      <c r="U2184" s="270"/>
      <c r="V2184" s="270"/>
      <c r="W2184" s="270"/>
      <c r="X2184" s="270"/>
      <c r="Y2184" s="270"/>
      <c r="Z2184" s="270"/>
      <c r="AA2184" s="270"/>
    </row>
    <row r="2185" spans="3:27" x14ac:dyDescent="0.3">
      <c r="C2185" s="450"/>
      <c r="D2185" s="182"/>
      <c r="E2185" s="182"/>
      <c r="F2185" s="182"/>
      <c r="G2185" s="450" t="str">
        <f t="shared" si="107"/>
        <v>--</v>
      </c>
      <c r="H2185" s="182"/>
      <c r="I2185" s="440"/>
      <c r="J2185" s="892"/>
      <c r="K2185" s="259"/>
      <c r="L2185" s="259" t="s">
        <v>46</v>
      </c>
      <c r="M2185" s="893">
        <f>SUM(M2182:M2184)</f>
        <v>1</v>
      </c>
      <c r="N2185" s="894"/>
      <c r="O2185" s="894">
        <f>SUM(O2182:O2184)</f>
        <v>0</v>
      </c>
      <c r="P2185" s="263" t="s">
        <v>46</v>
      </c>
      <c r="Q2185" s="897">
        <f>SUM(Q2182:Q2184)</f>
        <v>1</v>
      </c>
      <c r="R2185" s="899"/>
      <c r="S2185" s="900"/>
      <c r="T2185" s="270"/>
      <c r="U2185" s="270"/>
      <c r="V2185" s="270"/>
      <c r="W2185" s="270"/>
      <c r="X2185" s="270"/>
      <c r="Y2185" s="270"/>
      <c r="Z2185" s="270"/>
      <c r="AA2185" s="270"/>
    </row>
    <row r="2186" spans="3:27" x14ac:dyDescent="0.3">
      <c r="C2186" s="450"/>
      <c r="D2186" s="182"/>
      <c r="E2186" s="182"/>
      <c r="F2186" s="182"/>
      <c r="G2186" s="450" t="str">
        <f t="shared" si="107"/>
        <v>--</v>
      </c>
      <c r="H2186" s="182"/>
      <c r="I2186" s="892"/>
      <c r="J2186" s="288"/>
      <c r="K2186" s="182"/>
      <c r="L2186" s="182"/>
      <c r="M2186" s="270"/>
      <c r="N2186" s="892"/>
      <c r="O2186" s="892"/>
      <c r="P2186" s="270"/>
      <c r="Q2186" s="270"/>
      <c r="R2186" s="270"/>
      <c r="S2186" s="270"/>
      <c r="T2186" s="270"/>
      <c r="U2186" s="270"/>
      <c r="V2186" s="270"/>
      <c r="W2186" s="270"/>
      <c r="X2186" s="270"/>
      <c r="Y2186" s="270"/>
      <c r="Z2186" s="270"/>
      <c r="AA2186" s="270"/>
    </row>
    <row r="2187" spans="3:27" ht="15" thickBot="1" x14ac:dyDescent="0.35">
      <c r="C2187" s="450"/>
      <c r="D2187" s="182"/>
      <c r="E2187" s="182"/>
      <c r="F2187" s="182"/>
      <c r="G2187" s="450" t="str">
        <f t="shared" si="107"/>
        <v>--</v>
      </c>
      <c r="H2187" s="182"/>
      <c r="I2187" s="892"/>
      <c r="J2187" s="892"/>
      <c r="K2187" s="182"/>
      <c r="L2187" s="182"/>
      <c r="M2187" s="901" t="s">
        <v>155</v>
      </c>
      <c r="N2187" s="870" t="s">
        <v>188</v>
      </c>
      <c r="O2187" s="870"/>
      <c r="P2187" s="276" t="s">
        <v>54</v>
      </c>
      <c r="Q2187" s="871" t="s">
        <v>155</v>
      </c>
      <c r="R2187" s="902"/>
      <c r="S2187" s="874"/>
      <c r="T2187" s="270"/>
      <c r="U2187" s="270"/>
      <c r="V2187" s="270"/>
      <c r="W2187" s="270"/>
      <c r="X2187" s="270"/>
      <c r="Y2187" s="270"/>
      <c r="Z2187" s="270"/>
      <c r="AA2187" s="270"/>
    </row>
    <row r="2188" spans="3:27" ht="15" thickBot="1" x14ac:dyDescent="0.35">
      <c r="C2188" s="566" t="s">
        <v>97</v>
      </c>
      <c r="D2188" s="875" t="str">
        <f>VLOOKUP(C2188,'Airport Mapping'!$C$5:$D$39,2,FALSE)</f>
        <v xml:space="preserve"> </v>
      </c>
      <c r="E2188" s="567" t="s">
        <v>8</v>
      </c>
      <c r="F2188" s="567" t="s">
        <v>54</v>
      </c>
      <c r="G2188" s="450" t="str">
        <f t="shared" ref="G2188:G2249" si="110">C2188&amp;"-"&amp;E2188&amp;"-"&amp;F2188</f>
        <v>Hotel B-Other-Other 3</v>
      </c>
      <c r="H2188" s="567" t="s">
        <v>364</v>
      </c>
      <c r="I2188" s="877" t="s">
        <v>64</v>
      </c>
      <c r="J2188" s="878">
        <f>SUMIFS('Level of Efficiency Assumptions'!J:J,'Level of Efficiency Assumptions'!D:D,E2188,'Level of Efficiency Assumptions'!F:F,F2188,'Level of Efficiency Assumptions'!I:I,I2188)</f>
        <v>10</v>
      </c>
      <c r="K2188" s="383" t="s">
        <v>588</v>
      </c>
      <c r="L2188" s="253" t="s">
        <v>64</v>
      </c>
      <c r="M2188" s="879">
        <f>SUM(Q2188:Q2188)</f>
        <v>0</v>
      </c>
      <c r="N2188" s="880">
        <f>IFERROR(M2188/M2191,"-")</f>
        <v>0</v>
      </c>
      <c r="O2188" s="881">
        <f>SUMIFS('Data Entry'!R:R,'Data Entry'!K:K,G2188)</f>
        <v>0</v>
      </c>
      <c r="P2188" s="272" t="s">
        <v>129</v>
      </c>
      <c r="Q2188" s="895">
        <v>0</v>
      </c>
      <c r="R2188" s="114"/>
      <c r="S2188" s="884"/>
      <c r="T2188" s="270"/>
      <c r="U2188" s="270"/>
      <c r="V2188" s="270"/>
      <c r="W2188" s="270"/>
      <c r="X2188" s="270"/>
      <c r="Y2188" s="270"/>
      <c r="Z2188" s="270"/>
      <c r="AA2188" s="270"/>
    </row>
    <row r="2189" spans="3:27" ht="15" thickBot="1" x14ac:dyDescent="0.35">
      <c r="C2189" s="494" t="s">
        <v>97</v>
      </c>
      <c r="D2189" s="577"/>
      <c r="E2189" s="577" t="s">
        <v>8</v>
      </c>
      <c r="F2189" s="577" t="s">
        <v>54</v>
      </c>
      <c r="G2189" s="450" t="str">
        <f t="shared" si="110"/>
        <v>Hotel B-Other-Other 3</v>
      </c>
      <c r="H2189" s="577"/>
      <c r="I2189" s="887" t="s">
        <v>65</v>
      </c>
      <c r="J2189" s="878">
        <f>SUMIFS('Level of Efficiency Assumptions'!J:J,'Level of Efficiency Assumptions'!D:D,E2189,'Level of Efficiency Assumptions'!F:F,F2189,'Level of Efficiency Assumptions'!I:I,I2189)</f>
        <v>7.5</v>
      </c>
      <c r="K2189" s="383" t="s">
        <v>588</v>
      </c>
      <c r="L2189" s="255" t="s">
        <v>65</v>
      </c>
      <c r="M2189" s="879">
        <f t="shared" ref="M2189:M2190" si="111">SUM(Q2189:Q2189)</f>
        <v>1</v>
      </c>
      <c r="N2189" s="880">
        <f>IFERROR(M2189/M2191,"-")</f>
        <v>1</v>
      </c>
      <c r="O2189" s="881">
        <f>SUMIFS('Data Entry'!S:S,'Data Entry'!K:K,G2189)</f>
        <v>0</v>
      </c>
      <c r="P2189" s="274" t="s">
        <v>233</v>
      </c>
      <c r="Q2189" s="895">
        <v>1</v>
      </c>
      <c r="R2189" s="114"/>
      <c r="S2189" s="884"/>
      <c r="T2189" s="270"/>
      <c r="U2189" s="270"/>
      <c r="V2189" s="270"/>
      <c r="W2189" s="270"/>
      <c r="X2189" s="270"/>
      <c r="Y2189" s="270"/>
      <c r="Z2189" s="270"/>
      <c r="AA2189" s="270"/>
    </row>
    <row r="2190" spans="3:27" ht="15" thickBot="1" x14ac:dyDescent="0.35">
      <c r="C2190" s="501" t="s">
        <v>97</v>
      </c>
      <c r="D2190" s="116"/>
      <c r="E2190" s="116" t="s">
        <v>8</v>
      </c>
      <c r="F2190" s="116" t="s">
        <v>54</v>
      </c>
      <c r="G2190" s="450" t="str">
        <f t="shared" si="110"/>
        <v>Hotel B-Other-Other 3</v>
      </c>
      <c r="H2190" s="116"/>
      <c r="I2190" s="889" t="s">
        <v>66</v>
      </c>
      <c r="J2190" s="890">
        <f>SUMIFS('Level of Efficiency Assumptions'!J:J,'Level of Efficiency Assumptions'!D:D,E2190,'Level of Efficiency Assumptions'!F:F,F2190,'Level of Efficiency Assumptions'!I:I,I2190)</f>
        <v>5</v>
      </c>
      <c r="K2190" s="383" t="s">
        <v>588</v>
      </c>
      <c r="L2190" s="257" t="s">
        <v>66</v>
      </c>
      <c r="M2190" s="879">
        <f t="shared" si="111"/>
        <v>0</v>
      </c>
      <c r="N2190" s="880">
        <f>IFERROR(M2190/M2191,"-")</f>
        <v>0</v>
      </c>
      <c r="O2190" s="881">
        <f>SUMIFS('Data Entry'!T:T,'Data Entry'!K:K,G2190)</f>
        <v>0</v>
      </c>
      <c r="P2190" s="269" t="s">
        <v>234</v>
      </c>
      <c r="Q2190" s="895">
        <v>0</v>
      </c>
      <c r="R2190" s="114"/>
      <c r="S2190" s="884"/>
      <c r="T2190" s="270"/>
      <c r="U2190" s="270"/>
      <c r="V2190" s="270"/>
      <c r="W2190" s="270"/>
      <c r="X2190" s="270"/>
      <c r="Y2190" s="270"/>
      <c r="Z2190" s="270"/>
      <c r="AA2190" s="270"/>
    </row>
    <row r="2191" spans="3:27" x14ac:dyDescent="0.3">
      <c r="C2191" s="450"/>
      <c r="D2191" s="182"/>
      <c r="E2191" s="182"/>
      <c r="F2191" s="182"/>
      <c r="G2191" s="450" t="str">
        <f t="shared" si="110"/>
        <v>--</v>
      </c>
      <c r="H2191" s="182"/>
      <c r="I2191" s="440"/>
      <c r="J2191" s="892"/>
      <c r="K2191" s="259"/>
      <c r="L2191" s="259" t="s">
        <v>46</v>
      </c>
      <c r="M2191" s="893">
        <f>SUM(M2188:M2190)</f>
        <v>1</v>
      </c>
      <c r="N2191" s="894"/>
      <c r="O2191" s="894">
        <f>SUM(O2188:O2190)</f>
        <v>0</v>
      </c>
      <c r="P2191" s="263" t="s">
        <v>46</v>
      </c>
      <c r="Q2191" s="897">
        <f>SUM(Q2188:Q2190)</f>
        <v>1</v>
      </c>
      <c r="R2191" s="899"/>
      <c r="S2191" s="900"/>
      <c r="T2191" s="270"/>
      <c r="U2191" s="270"/>
      <c r="V2191" s="270"/>
      <c r="W2191" s="270"/>
      <c r="X2191" s="270"/>
      <c r="Y2191" s="270"/>
      <c r="Z2191" s="270"/>
      <c r="AA2191" s="270"/>
    </row>
    <row r="2192" spans="3:27" ht="15" thickBot="1" x14ac:dyDescent="0.35">
      <c r="C2192" s="451"/>
      <c r="D2192" s="184"/>
      <c r="E2192" s="184"/>
      <c r="F2192" s="184"/>
      <c r="G2192" s="450" t="str">
        <f t="shared" si="110"/>
        <v>--</v>
      </c>
      <c r="H2192" s="184"/>
      <c r="I2192" s="281"/>
      <c r="J2192" s="281"/>
      <c r="K2192" s="184"/>
      <c r="L2192" s="184"/>
      <c r="M2192" s="278"/>
      <c r="N2192" s="281"/>
      <c r="O2192" s="281"/>
      <c r="P2192" s="278"/>
      <c r="Q2192" s="278"/>
      <c r="R2192" s="278"/>
      <c r="S2192" s="278"/>
      <c r="T2192" s="278"/>
      <c r="U2192" s="270"/>
      <c r="V2192" s="270"/>
      <c r="W2192" s="270"/>
      <c r="X2192" s="270"/>
      <c r="Y2192" s="270"/>
      <c r="Z2192" s="270"/>
      <c r="AA2192" s="270"/>
    </row>
    <row r="2193" spans="3:27" x14ac:dyDescent="0.3">
      <c r="C2193" s="450"/>
      <c r="D2193" s="182"/>
      <c r="E2193" s="182"/>
      <c r="F2193" s="182"/>
      <c r="G2193" s="450" t="str">
        <f t="shared" si="110"/>
        <v>--</v>
      </c>
      <c r="H2193" s="182"/>
      <c r="I2193" s="892"/>
      <c r="J2193" s="892"/>
      <c r="K2193" s="182"/>
      <c r="L2193" s="182"/>
      <c r="M2193" s="270"/>
      <c r="N2193" s="892"/>
      <c r="O2193" s="892"/>
      <c r="P2193" s="270"/>
      <c r="Q2193" s="270"/>
      <c r="R2193" s="270"/>
      <c r="S2193" s="270"/>
      <c r="T2193" s="270"/>
      <c r="U2193" s="270"/>
      <c r="V2193" s="270"/>
      <c r="W2193" s="270"/>
      <c r="X2193" s="270"/>
      <c r="Y2193" s="270"/>
      <c r="Z2193" s="270"/>
      <c r="AA2193" s="270"/>
    </row>
    <row r="2194" spans="3:27" ht="15" thickBot="1" x14ac:dyDescent="0.35">
      <c r="C2194" s="450"/>
      <c r="D2194" s="182"/>
      <c r="E2194" s="182"/>
      <c r="F2194" s="182"/>
      <c r="G2194" s="450" t="str">
        <f t="shared" si="110"/>
        <v>--</v>
      </c>
      <c r="H2194" s="182"/>
      <c r="I2194" s="892"/>
      <c r="J2194" s="892"/>
      <c r="K2194" s="182"/>
      <c r="L2194" s="182"/>
      <c r="M2194" s="901" t="s">
        <v>155</v>
      </c>
      <c r="N2194" s="870" t="s">
        <v>188</v>
      </c>
      <c r="O2194" s="870"/>
      <c r="P2194" s="252" t="s">
        <v>158</v>
      </c>
      <c r="Q2194" s="871" t="s">
        <v>155</v>
      </c>
      <c r="R2194" s="872" t="s">
        <v>168</v>
      </c>
      <c r="S2194" s="872" t="s">
        <v>169</v>
      </c>
      <c r="T2194" s="873"/>
      <c r="U2194" s="874"/>
      <c r="V2194" s="270"/>
      <c r="W2194" s="270"/>
      <c r="X2194" s="270"/>
      <c r="Y2194" s="114"/>
      <c r="Z2194" s="270"/>
      <c r="AA2194" s="270"/>
    </row>
    <row r="2195" spans="3:27" ht="15" thickBot="1" x14ac:dyDescent="0.35">
      <c r="C2195" s="566" t="s">
        <v>98</v>
      </c>
      <c r="D2195" s="875" t="str">
        <f>VLOOKUP(C2195,'Airport Mapping'!$C$5:$D$39,2,FALSE)</f>
        <v xml:space="preserve"> </v>
      </c>
      <c r="E2195" s="567" t="s">
        <v>45</v>
      </c>
      <c r="F2195" s="567" t="s">
        <v>2</v>
      </c>
      <c r="G2195" s="450" t="str">
        <f t="shared" si="110"/>
        <v>Hotel C-Guestrooms-Toilets</v>
      </c>
      <c r="H2195" s="567" t="s">
        <v>17</v>
      </c>
      <c r="I2195" s="877" t="s">
        <v>64</v>
      </c>
      <c r="J2195" s="878">
        <f>SUMIFS('Level of Efficiency Assumptions'!J:J,'Level of Efficiency Assumptions'!D:D,E2195,'Level of Efficiency Assumptions'!F:F,F2195,'Level of Efficiency Assumptions'!I:I,I2195)</f>
        <v>3.5</v>
      </c>
      <c r="K2195" s="383" t="s">
        <v>68</v>
      </c>
      <c r="L2195" s="253" t="s">
        <v>64</v>
      </c>
      <c r="M2195" s="879">
        <f>Q2195+Q2201</f>
        <v>0</v>
      </c>
      <c r="N2195" s="880">
        <f>IFERROR(M2195/M2198,"-")</f>
        <v>0</v>
      </c>
      <c r="O2195" s="881">
        <f>SUMIFS('Data Entry'!R:R,'Data Entry'!K:K,G2195)</f>
        <v>0</v>
      </c>
      <c r="P2195" s="254" t="s">
        <v>159</v>
      </c>
      <c r="Q2195" s="882">
        <v>0</v>
      </c>
      <c r="R2195" s="883"/>
      <c r="S2195" s="883"/>
      <c r="T2195" s="114" t="s">
        <v>182</v>
      </c>
      <c r="U2195" s="884"/>
      <c r="V2195" s="270"/>
      <c r="W2195" s="270"/>
      <c r="X2195" s="270"/>
      <c r="Y2195" s="114"/>
      <c r="Z2195" s="270"/>
      <c r="AA2195" s="270"/>
    </row>
    <row r="2196" spans="3:27" ht="15" thickBot="1" x14ac:dyDescent="0.35">
      <c r="C2196" s="494" t="s">
        <v>98</v>
      </c>
      <c r="D2196" s="577"/>
      <c r="E2196" s="577" t="s">
        <v>45</v>
      </c>
      <c r="F2196" s="577" t="s">
        <v>2</v>
      </c>
      <c r="G2196" s="450" t="str">
        <f t="shared" si="110"/>
        <v>Hotel C-Guestrooms-Toilets</v>
      </c>
      <c r="H2196" s="577"/>
      <c r="I2196" s="887" t="s">
        <v>65</v>
      </c>
      <c r="J2196" s="878">
        <f>SUMIFS('Level of Efficiency Assumptions'!J:J,'Level of Efficiency Assumptions'!D:D,E2196,'Level of Efficiency Assumptions'!F:F,F2196,'Level of Efficiency Assumptions'!I:I,I2196)</f>
        <v>1.6</v>
      </c>
      <c r="K2196" s="383" t="s">
        <v>68</v>
      </c>
      <c r="L2196" s="255" t="s">
        <v>65</v>
      </c>
      <c r="M2196" s="879">
        <f>Q2196+Q2199+Q2202</f>
        <v>1</v>
      </c>
      <c r="N2196" s="880">
        <f>IFERROR(M2196/M2198,"-")</f>
        <v>1</v>
      </c>
      <c r="O2196" s="881">
        <f>SUMIFS('Data Entry'!S:S,'Data Entry'!K:K,G2196)</f>
        <v>0</v>
      </c>
      <c r="P2196" s="256" t="s">
        <v>161</v>
      </c>
      <c r="Q2196" s="882">
        <v>1</v>
      </c>
      <c r="R2196" s="883"/>
      <c r="S2196" s="883"/>
      <c r="T2196" s="114" t="s">
        <v>184</v>
      </c>
      <c r="U2196" s="884"/>
      <c r="V2196" s="270"/>
      <c r="W2196" s="270"/>
      <c r="X2196" s="270"/>
      <c r="Y2196" s="114"/>
      <c r="Z2196" s="270"/>
      <c r="AA2196" s="270"/>
    </row>
    <row r="2197" spans="3:27" ht="15" thickBot="1" x14ac:dyDescent="0.35">
      <c r="C2197" s="501" t="s">
        <v>98</v>
      </c>
      <c r="D2197" s="116"/>
      <c r="E2197" s="116" t="s">
        <v>45</v>
      </c>
      <c r="F2197" s="116" t="s">
        <v>2</v>
      </c>
      <c r="G2197" s="450" t="str">
        <f t="shared" si="110"/>
        <v>Hotel C-Guestrooms-Toilets</v>
      </c>
      <c r="H2197" s="116"/>
      <c r="I2197" s="889" t="s">
        <v>66</v>
      </c>
      <c r="J2197" s="890">
        <f>SUMIFS('Level of Efficiency Assumptions'!J:J,'Level of Efficiency Assumptions'!D:D,E2197,'Level of Efficiency Assumptions'!F:F,F2197,'Level of Efficiency Assumptions'!I:I,I2197)</f>
        <v>1.28</v>
      </c>
      <c r="K2197" s="383" t="s">
        <v>68</v>
      </c>
      <c r="L2197" s="257" t="s">
        <v>66</v>
      </c>
      <c r="M2197" s="879">
        <f>Q2197+Q2198+Q2200+Q2203+Q2204</f>
        <v>0</v>
      </c>
      <c r="N2197" s="880">
        <f>IFERROR(M2197/M2198,"-")</f>
        <v>0</v>
      </c>
      <c r="O2197" s="881">
        <f>SUMIFS('Data Entry'!T:T,'Data Entry'!K:K,G2197)</f>
        <v>0</v>
      </c>
      <c r="P2197" s="258" t="s">
        <v>163</v>
      </c>
      <c r="Q2197" s="882">
        <v>0</v>
      </c>
      <c r="R2197" s="883"/>
      <c r="S2197" s="883"/>
      <c r="T2197" s="891"/>
      <c r="U2197" s="884"/>
      <c r="V2197" s="270"/>
      <c r="W2197" s="270"/>
      <c r="X2197" s="270"/>
      <c r="Y2197" s="114"/>
      <c r="Z2197" s="270"/>
      <c r="AA2197" s="270"/>
    </row>
    <row r="2198" spans="3:27" x14ac:dyDescent="0.3">
      <c r="C2198" s="450"/>
      <c r="D2198" s="182"/>
      <c r="E2198" s="182"/>
      <c r="F2198" s="182"/>
      <c r="G2198" s="450" t="str">
        <f t="shared" si="110"/>
        <v>--</v>
      </c>
      <c r="H2198" s="182"/>
      <c r="I2198" s="440"/>
      <c r="J2198" s="892"/>
      <c r="K2198" s="259"/>
      <c r="L2198" s="259" t="s">
        <v>46</v>
      </c>
      <c r="M2198" s="893">
        <f>SUM(M2195:M2197)</f>
        <v>1</v>
      </c>
      <c r="N2198" s="894"/>
      <c r="O2198" s="894">
        <f>SUM(O2195:O2197)</f>
        <v>0</v>
      </c>
      <c r="P2198" s="258" t="s">
        <v>165</v>
      </c>
      <c r="Q2198" s="882">
        <v>0</v>
      </c>
      <c r="R2198" s="883"/>
      <c r="S2198" s="883"/>
      <c r="T2198" s="891"/>
      <c r="U2198" s="884"/>
      <c r="V2198" s="270"/>
      <c r="W2198" s="270"/>
      <c r="X2198" s="270"/>
      <c r="Y2198" s="114"/>
      <c r="Z2198" s="270"/>
      <c r="AA2198" s="270"/>
    </row>
    <row r="2199" spans="3:27" ht="15" thickBot="1" x14ac:dyDescent="0.35">
      <c r="C2199" s="450"/>
      <c r="D2199" s="182"/>
      <c r="E2199" s="182"/>
      <c r="F2199" s="182"/>
      <c r="G2199" s="450" t="str">
        <f t="shared" si="110"/>
        <v>--</v>
      </c>
      <c r="H2199" s="182"/>
      <c r="I2199" s="892"/>
      <c r="J2199" s="288"/>
      <c r="K2199" s="182"/>
      <c r="L2199" s="181"/>
      <c r="M2199" s="181"/>
      <c r="N2199" s="892"/>
      <c r="O2199" s="892"/>
      <c r="P2199" s="256" t="s">
        <v>166</v>
      </c>
      <c r="Q2199" s="895">
        <v>0</v>
      </c>
      <c r="R2199" s="883"/>
      <c r="S2199" s="883"/>
      <c r="T2199" s="891"/>
      <c r="U2199" s="896"/>
      <c r="V2199" s="891"/>
      <c r="W2199" s="270"/>
      <c r="X2199" s="270"/>
      <c r="Y2199" s="114"/>
      <c r="Z2199" s="270"/>
      <c r="AA2199" s="270"/>
    </row>
    <row r="2200" spans="3:27" x14ac:dyDescent="0.3">
      <c r="C2200" s="450"/>
      <c r="D2200" s="182"/>
      <c r="E2200" s="182"/>
      <c r="F2200" s="182"/>
      <c r="G2200" s="450" t="str">
        <f t="shared" si="110"/>
        <v>--</v>
      </c>
      <c r="H2200" s="182"/>
      <c r="I2200" s="892"/>
      <c r="J2200" s="288"/>
      <c r="K2200" s="182"/>
      <c r="L2200" s="1384" t="s">
        <v>377</v>
      </c>
      <c r="M2200" s="1385"/>
      <c r="N2200" s="1385"/>
      <c r="O2200" s="1386"/>
      <c r="P2200" s="258" t="s">
        <v>167</v>
      </c>
      <c r="Q2200" s="895">
        <v>0</v>
      </c>
      <c r="R2200" s="883"/>
      <c r="S2200" s="883"/>
      <c r="T2200" s="891"/>
      <c r="U2200" s="896"/>
      <c r="V2200" s="891"/>
      <c r="W2200" s="270"/>
      <c r="X2200" s="270"/>
      <c r="Y2200" s="270"/>
      <c r="Z2200" s="270"/>
      <c r="AA2200" s="270"/>
    </row>
    <row r="2201" spans="3:27" x14ac:dyDescent="0.3">
      <c r="C2201" s="450"/>
      <c r="D2201" s="182"/>
      <c r="E2201" s="182"/>
      <c r="F2201" s="182"/>
      <c r="G2201" s="450" t="str">
        <f t="shared" si="110"/>
        <v>--</v>
      </c>
      <c r="H2201" s="182"/>
      <c r="I2201" s="892"/>
      <c r="J2201" s="288"/>
      <c r="K2201" s="182"/>
      <c r="L2201" s="1387"/>
      <c r="M2201" s="1388"/>
      <c r="N2201" s="1388"/>
      <c r="O2201" s="1389"/>
      <c r="P2201" s="254" t="s">
        <v>160</v>
      </c>
      <c r="Q2201" s="895">
        <v>0</v>
      </c>
      <c r="R2201" s="891"/>
      <c r="S2201" s="891"/>
      <c r="T2201" s="891"/>
      <c r="U2201" s="896"/>
      <c r="V2201" s="891"/>
      <c r="W2201" s="270"/>
      <c r="X2201" s="270"/>
      <c r="Y2201" s="270"/>
      <c r="Z2201" s="270"/>
      <c r="AA2201" s="270"/>
    </row>
    <row r="2202" spans="3:27" x14ac:dyDescent="0.3">
      <c r="C2202" s="450"/>
      <c r="D2202" s="182"/>
      <c r="E2202" s="182"/>
      <c r="F2202" s="182"/>
      <c r="G2202" s="450" t="str">
        <f t="shared" si="110"/>
        <v>--</v>
      </c>
      <c r="H2202" s="182"/>
      <c r="I2202" s="892"/>
      <c r="J2202" s="288"/>
      <c r="K2202" s="182"/>
      <c r="L2202" s="1387"/>
      <c r="M2202" s="1388"/>
      <c r="N2202" s="1388"/>
      <c r="O2202" s="1389"/>
      <c r="P2202" s="256" t="s">
        <v>162</v>
      </c>
      <c r="Q2202" s="895">
        <v>0</v>
      </c>
      <c r="R2202" s="891"/>
      <c r="S2202" s="891"/>
      <c r="T2202" s="891"/>
      <c r="U2202" s="896"/>
      <c r="V2202" s="891"/>
      <c r="W2202" s="270"/>
      <c r="X2202" s="270"/>
      <c r="Y2202" s="270"/>
      <c r="Z2202" s="270"/>
      <c r="AA2202" s="270"/>
    </row>
    <row r="2203" spans="3:27" ht="15" thickBot="1" x14ac:dyDescent="0.35">
      <c r="C2203" s="450"/>
      <c r="D2203" s="182"/>
      <c r="E2203" s="182"/>
      <c r="F2203" s="182"/>
      <c r="G2203" s="450" t="str">
        <f t="shared" si="110"/>
        <v>--</v>
      </c>
      <c r="H2203" s="182"/>
      <c r="I2203" s="892"/>
      <c r="J2203" s="288"/>
      <c r="K2203" s="182"/>
      <c r="L2203" s="1390"/>
      <c r="M2203" s="1391"/>
      <c r="N2203" s="1391"/>
      <c r="O2203" s="1392"/>
      <c r="P2203" s="258" t="s">
        <v>164</v>
      </c>
      <c r="Q2203" s="895">
        <v>0</v>
      </c>
      <c r="R2203" s="114"/>
      <c r="S2203" s="891"/>
      <c r="T2203" s="114"/>
      <c r="U2203" s="884"/>
      <c r="V2203" s="114"/>
      <c r="W2203" s="270"/>
      <c r="X2203" s="270"/>
      <c r="Y2203" s="270"/>
      <c r="Z2203" s="270"/>
      <c r="AA2203" s="270"/>
    </row>
    <row r="2204" spans="3:27" x14ac:dyDescent="0.3">
      <c r="C2204" s="450"/>
      <c r="D2204" s="182"/>
      <c r="E2204" s="182"/>
      <c r="F2204" s="182"/>
      <c r="G2204" s="450" t="str">
        <f t="shared" si="110"/>
        <v>--</v>
      </c>
      <c r="H2204" s="182"/>
      <c r="I2204" s="892"/>
      <c r="J2204" s="288"/>
      <c r="K2204" s="182"/>
      <c r="L2204" s="181"/>
      <c r="M2204" s="181"/>
      <c r="N2204" s="892"/>
      <c r="O2204" s="892"/>
      <c r="P2204" s="258" t="s">
        <v>187</v>
      </c>
      <c r="Q2204" s="895">
        <v>0</v>
      </c>
      <c r="R2204" s="114"/>
      <c r="S2204" s="891"/>
      <c r="T2204" s="114"/>
      <c r="U2204" s="884"/>
      <c r="V2204" s="114"/>
      <c r="W2204" s="270"/>
      <c r="X2204" s="270"/>
      <c r="Y2204" s="270"/>
      <c r="Z2204" s="270"/>
      <c r="AA2204" s="270"/>
    </row>
    <row r="2205" spans="3:27" x14ac:dyDescent="0.3">
      <c r="C2205" s="450"/>
      <c r="D2205" s="182"/>
      <c r="E2205" s="182"/>
      <c r="F2205" s="182"/>
      <c r="G2205" s="450" t="str">
        <f t="shared" si="110"/>
        <v>--</v>
      </c>
      <c r="H2205" s="182"/>
      <c r="I2205" s="892"/>
      <c r="J2205" s="288"/>
      <c r="K2205" s="182"/>
      <c r="L2205" s="181"/>
      <c r="M2205" s="181"/>
      <c r="N2205" s="892"/>
      <c r="O2205" s="892"/>
      <c r="P2205" s="263" t="s">
        <v>46</v>
      </c>
      <c r="Q2205" s="897">
        <f>SUM(Q2195:Q2204)</f>
        <v>1</v>
      </c>
      <c r="R2205" s="898"/>
      <c r="S2205" s="898"/>
      <c r="T2205" s="899"/>
      <c r="U2205" s="900"/>
      <c r="V2205" s="114"/>
      <c r="W2205" s="270"/>
      <c r="X2205" s="270"/>
      <c r="Y2205" s="270"/>
      <c r="Z2205" s="270"/>
      <c r="AA2205" s="270"/>
    </row>
    <row r="2206" spans="3:27" x14ac:dyDescent="0.3">
      <c r="C2206" s="450"/>
      <c r="D2206" s="182"/>
      <c r="E2206" s="182"/>
      <c r="F2206" s="182"/>
      <c r="G2206" s="450" t="str">
        <f t="shared" si="110"/>
        <v>--</v>
      </c>
      <c r="H2206" s="182"/>
      <c r="I2206" s="892"/>
      <c r="J2206" s="288"/>
      <c r="K2206" s="182"/>
      <c r="L2206" s="181"/>
      <c r="M2206" s="181"/>
      <c r="N2206" s="892"/>
      <c r="O2206" s="892"/>
      <c r="P2206" s="114"/>
      <c r="Q2206" s="114"/>
      <c r="R2206" s="891"/>
      <c r="S2206" s="891"/>
      <c r="T2206" s="114"/>
      <c r="U2206" s="114"/>
      <c r="V2206" s="114"/>
      <c r="W2206" s="270"/>
      <c r="X2206" s="270"/>
      <c r="Y2206" s="270"/>
      <c r="Z2206" s="270"/>
      <c r="AA2206" s="270"/>
    </row>
    <row r="2207" spans="3:27" ht="15" thickBot="1" x14ac:dyDescent="0.35">
      <c r="C2207" s="450"/>
      <c r="D2207" s="182"/>
      <c r="E2207" s="182"/>
      <c r="F2207" s="182"/>
      <c r="G2207" s="450" t="str">
        <f t="shared" si="110"/>
        <v>--</v>
      </c>
      <c r="H2207" s="182"/>
      <c r="I2207" s="892"/>
      <c r="J2207" s="892"/>
      <c r="K2207" s="182"/>
      <c r="L2207" s="182"/>
      <c r="M2207" s="901" t="s">
        <v>155</v>
      </c>
      <c r="N2207" s="870" t="s">
        <v>188</v>
      </c>
      <c r="O2207" s="870"/>
      <c r="P2207" s="283" t="s">
        <v>18</v>
      </c>
      <c r="Q2207" s="871" t="s">
        <v>155</v>
      </c>
      <c r="R2207" s="872"/>
      <c r="S2207" s="872"/>
      <c r="T2207" s="902"/>
      <c r="U2207" s="903"/>
      <c r="V2207" s="270"/>
      <c r="W2207" s="270"/>
      <c r="X2207" s="270"/>
      <c r="Y2207" s="270"/>
      <c r="Z2207" s="270"/>
      <c r="AA2207" s="270"/>
    </row>
    <row r="2208" spans="3:27" ht="15" thickBot="1" x14ac:dyDescent="0.35">
      <c r="C2208" s="566" t="s">
        <v>98</v>
      </c>
      <c r="D2208" s="875" t="str">
        <f>VLOOKUP(C2208,'Airport Mapping'!$C$5:$D$39,2,FALSE)</f>
        <v xml:space="preserve"> </v>
      </c>
      <c r="E2208" s="567" t="s">
        <v>45</v>
      </c>
      <c r="F2208" s="567" t="s">
        <v>18</v>
      </c>
      <c r="G2208" s="450" t="str">
        <f t="shared" si="110"/>
        <v>Hotel C-Guestrooms-Showers</v>
      </c>
      <c r="H2208" s="567" t="s">
        <v>17</v>
      </c>
      <c r="I2208" s="877" t="s">
        <v>64</v>
      </c>
      <c r="J2208" s="878">
        <f>SUMIFS('Level of Efficiency Assumptions'!J:J,'Level of Efficiency Assumptions'!D:D,E2208,'Level of Efficiency Assumptions'!F:F,F2208,'Level of Efficiency Assumptions'!I:I,I2208)</f>
        <v>3</v>
      </c>
      <c r="K2208" s="383" t="s">
        <v>78</v>
      </c>
      <c r="L2208" s="253" t="s">
        <v>64</v>
      </c>
      <c r="M2208" s="879">
        <f>Q2208+Q2209</f>
        <v>0</v>
      </c>
      <c r="N2208" s="880">
        <f>IFERROR(M2208/M2211,"-")</f>
        <v>0</v>
      </c>
      <c r="O2208" s="881">
        <f>SUMIFS('Data Entry'!R:R,'Data Entry'!K:K,G2208)</f>
        <v>0</v>
      </c>
      <c r="P2208" s="254" t="s">
        <v>258</v>
      </c>
      <c r="Q2208" s="882">
        <v>0</v>
      </c>
      <c r="R2208" s="114"/>
      <c r="S2208" s="114"/>
      <c r="T2208" s="114"/>
      <c r="U2208" s="904"/>
      <c r="V2208" s="270"/>
      <c r="W2208" s="270"/>
      <c r="X2208" s="270"/>
      <c r="Y2208" s="270"/>
      <c r="Z2208" s="270"/>
      <c r="AA2208" s="270"/>
    </row>
    <row r="2209" spans="3:27" ht="15" thickBot="1" x14ac:dyDescent="0.35">
      <c r="C2209" s="494" t="s">
        <v>98</v>
      </c>
      <c r="D2209" s="577"/>
      <c r="E2209" s="577" t="s">
        <v>45</v>
      </c>
      <c r="F2209" s="577" t="s">
        <v>18</v>
      </c>
      <c r="G2209" s="450" t="str">
        <f t="shared" si="110"/>
        <v>Hotel C-Guestrooms-Showers</v>
      </c>
      <c r="H2209" s="577"/>
      <c r="I2209" s="887" t="s">
        <v>65</v>
      </c>
      <c r="J2209" s="878">
        <f>SUMIFS('Level of Efficiency Assumptions'!J:J,'Level of Efficiency Assumptions'!D:D,E2209,'Level of Efficiency Assumptions'!F:F,F2209,'Level of Efficiency Assumptions'!I:I,I2209)</f>
        <v>2</v>
      </c>
      <c r="K2209" s="383" t="s">
        <v>78</v>
      </c>
      <c r="L2209" s="255" t="s">
        <v>65</v>
      </c>
      <c r="M2209" s="879">
        <f>Q2210+Q2211</f>
        <v>1</v>
      </c>
      <c r="N2209" s="880">
        <f>IFERROR(M2209/M2211,"-")</f>
        <v>1</v>
      </c>
      <c r="O2209" s="881">
        <f>SUMIFS('Data Entry'!S:S,'Data Entry'!K:K,G2209)</f>
        <v>0</v>
      </c>
      <c r="P2209" s="272" t="s">
        <v>262</v>
      </c>
      <c r="Q2209" s="882">
        <v>0</v>
      </c>
      <c r="R2209" s="114"/>
      <c r="S2209" s="114"/>
      <c r="T2209" s="114"/>
      <c r="U2209" s="904"/>
      <c r="V2209" s="270"/>
      <c r="W2209" s="270"/>
      <c r="X2209" s="270"/>
      <c r="Y2209" s="270"/>
      <c r="Z2209" s="270"/>
      <c r="AA2209" s="270"/>
    </row>
    <row r="2210" spans="3:27" ht="15" thickBot="1" x14ac:dyDescent="0.35">
      <c r="C2210" s="501" t="s">
        <v>98</v>
      </c>
      <c r="D2210" s="116"/>
      <c r="E2210" s="116" t="s">
        <v>45</v>
      </c>
      <c r="F2210" s="116" t="s">
        <v>18</v>
      </c>
      <c r="G2210" s="450" t="str">
        <f t="shared" si="110"/>
        <v>Hotel C-Guestrooms-Showers</v>
      </c>
      <c r="H2210" s="116"/>
      <c r="I2210" s="889" t="s">
        <v>66</v>
      </c>
      <c r="J2210" s="890">
        <f>SUMIFS('Level of Efficiency Assumptions'!J:J,'Level of Efficiency Assumptions'!D:D,E2210,'Level of Efficiency Assumptions'!F:F,F2210,'Level of Efficiency Assumptions'!I:I,I2210)</f>
        <v>1</v>
      </c>
      <c r="K2210" s="383" t="s">
        <v>78</v>
      </c>
      <c r="L2210" s="257" t="s">
        <v>66</v>
      </c>
      <c r="M2210" s="879">
        <f>Q2212+Q2213</f>
        <v>0</v>
      </c>
      <c r="N2210" s="880">
        <f>IFERROR(M2210/M2211,"-")</f>
        <v>0</v>
      </c>
      <c r="O2210" s="881">
        <f>SUMIFS('Data Entry'!T:T,'Data Entry'!K:K,G2210)</f>
        <v>0</v>
      </c>
      <c r="P2210" s="267" t="s">
        <v>263</v>
      </c>
      <c r="Q2210" s="882">
        <v>0</v>
      </c>
      <c r="R2210" s="114"/>
      <c r="S2210" s="114"/>
      <c r="T2210" s="114"/>
      <c r="U2210" s="904"/>
      <c r="V2210" s="270"/>
      <c r="W2210" s="270"/>
      <c r="X2210" s="270"/>
      <c r="Y2210" s="270"/>
      <c r="Z2210" s="270"/>
      <c r="AA2210" s="270"/>
    </row>
    <row r="2211" spans="3:27" x14ac:dyDescent="0.3">
      <c r="C2211" s="450"/>
      <c r="D2211" s="182"/>
      <c r="E2211" s="182"/>
      <c r="F2211" s="182"/>
      <c r="G2211" s="450" t="str">
        <f t="shared" si="110"/>
        <v>--</v>
      </c>
      <c r="H2211" s="182"/>
      <c r="I2211" s="440"/>
      <c r="J2211" s="892"/>
      <c r="K2211" s="259"/>
      <c r="L2211" s="259" t="s">
        <v>46</v>
      </c>
      <c r="M2211" s="893">
        <f>SUM(M2208:M2210)</f>
        <v>1</v>
      </c>
      <c r="N2211" s="894"/>
      <c r="O2211" s="894">
        <f>SUM(O2208:O2210)</f>
        <v>0</v>
      </c>
      <c r="P2211" s="274" t="s">
        <v>261</v>
      </c>
      <c r="Q2211" s="882">
        <v>1</v>
      </c>
      <c r="R2211" s="114"/>
      <c r="S2211" s="114"/>
      <c r="T2211" s="114"/>
      <c r="U2211" s="264"/>
      <c r="V2211" s="270"/>
      <c r="W2211" s="270"/>
      <c r="X2211" s="270"/>
      <c r="Y2211" s="270"/>
      <c r="Z2211" s="270"/>
      <c r="AA2211" s="270"/>
    </row>
    <row r="2212" spans="3:27" x14ac:dyDescent="0.3">
      <c r="C2212" s="450"/>
      <c r="D2212" s="182"/>
      <c r="E2212" s="182"/>
      <c r="F2212" s="182"/>
      <c r="G2212" s="450" t="str">
        <f t="shared" si="110"/>
        <v>--</v>
      </c>
      <c r="H2212" s="182"/>
      <c r="I2212" s="892"/>
      <c r="J2212" s="288"/>
      <c r="K2212" s="182"/>
      <c r="L2212" s="181"/>
      <c r="M2212" s="181"/>
      <c r="N2212" s="892"/>
      <c r="O2212" s="892"/>
      <c r="P2212" s="284" t="s">
        <v>260</v>
      </c>
      <c r="Q2212" s="882">
        <v>0</v>
      </c>
      <c r="R2212" s="114"/>
      <c r="S2212" s="114"/>
      <c r="T2212" s="114"/>
      <c r="U2212" s="884"/>
      <c r="V2212" s="114"/>
      <c r="W2212" s="270"/>
      <c r="X2212" s="270"/>
      <c r="Y2212" s="270"/>
      <c r="Z2212" s="270"/>
      <c r="AA2212" s="270"/>
    </row>
    <row r="2213" spans="3:27" x14ac:dyDescent="0.3">
      <c r="C2213" s="450"/>
      <c r="D2213" s="182"/>
      <c r="E2213" s="182"/>
      <c r="F2213" s="182"/>
      <c r="G2213" s="450" t="str">
        <f t="shared" si="110"/>
        <v>--</v>
      </c>
      <c r="H2213" s="182"/>
      <c r="I2213" s="892"/>
      <c r="J2213" s="288"/>
      <c r="K2213" s="182"/>
      <c r="L2213" s="181"/>
      <c r="M2213" s="181"/>
      <c r="N2213" s="892"/>
      <c r="O2213" s="892"/>
      <c r="P2213" s="258" t="s">
        <v>259</v>
      </c>
      <c r="Q2213" s="882">
        <v>0</v>
      </c>
      <c r="R2213" s="114"/>
      <c r="S2213" s="114"/>
      <c r="T2213" s="114"/>
      <c r="U2213" s="884"/>
      <c r="V2213" s="114"/>
      <c r="W2213" s="270"/>
      <c r="X2213" s="270"/>
      <c r="Y2213" s="270"/>
      <c r="Z2213" s="270"/>
      <c r="AA2213" s="270"/>
    </row>
    <row r="2214" spans="3:27" x14ac:dyDescent="0.3">
      <c r="C2214" s="450"/>
      <c r="D2214" s="182"/>
      <c r="E2214" s="182"/>
      <c r="F2214" s="182"/>
      <c r="G2214" s="450" t="str">
        <f t="shared" si="110"/>
        <v>--</v>
      </c>
      <c r="H2214" s="182"/>
      <c r="I2214" s="892"/>
      <c r="J2214" s="288"/>
      <c r="K2214" s="182"/>
      <c r="L2214" s="181"/>
      <c r="M2214" s="181"/>
      <c r="N2214" s="892"/>
      <c r="O2214" s="892"/>
      <c r="P2214" s="263" t="s">
        <v>46</v>
      </c>
      <c r="Q2214" s="897">
        <f>SUM(Q2208:Q2213)</f>
        <v>1</v>
      </c>
      <c r="R2214" s="899"/>
      <c r="S2214" s="899"/>
      <c r="T2214" s="899"/>
      <c r="U2214" s="900"/>
      <c r="V2214" s="114"/>
      <c r="W2214" s="270"/>
      <c r="X2214" s="270"/>
      <c r="Y2214" s="270"/>
      <c r="Z2214" s="270"/>
      <c r="AA2214" s="270"/>
    </row>
    <row r="2215" spans="3:27" x14ac:dyDescent="0.3">
      <c r="C2215" s="450"/>
      <c r="D2215" s="182"/>
      <c r="E2215" s="182"/>
      <c r="F2215" s="182"/>
      <c r="G2215" s="450" t="str">
        <f t="shared" si="110"/>
        <v>--</v>
      </c>
      <c r="H2215" s="182"/>
      <c r="I2215" s="892"/>
      <c r="J2215" s="288"/>
      <c r="K2215" s="182"/>
      <c r="L2215" s="181"/>
      <c r="M2215" s="181"/>
      <c r="N2215" s="892"/>
      <c r="O2215" s="892"/>
      <c r="P2215" s="262"/>
      <c r="Q2215" s="114"/>
      <c r="R2215" s="114"/>
      <c r="S2215" s="114"/>
      <c r="T2215" s="114"/>
      <c r="U2215" s="114"/>
      <c r="V2215" s="114"/>
      <c r="W2215" s="270"/>
      <c r="X2215" s="270"/>
      <c r="Y2215" s="270"/>
      <c r="Z2215" s="270"/>
      <c r="AA2215" s="270"/>
    </row>
    <row r="2216" spans="3:27" ht="15" thickBot="1" x14ac:dyDescent="0.35">
      <c r="C2216" s="450"/>
      <c r="D2216" s="182"/>
      <c r="E2216" s="182"/>
      <c r="F2216" s="182"/>
      <c r="G2216" s="450" t="str">
        <f t="shared" si="110"/>
        <v>--</v>
      </c>
      <c r="H2216" s="182"/>
      <c r="I2216" s="892"/>
      <c r="J2216" s="892"/>
      <c r="K2216" s="182"/>
      <c r="L2216" s="182"/>
      <c r="M2216" s="901" t="s">
        <v>155</v>
      </c>
      <c r="N2216" s="870" t="s">
        <v>188</v>
      </c>
      <c r="O2216" s="870"/>
      <c r="P2216" s="265" t="s">
        <v>33</v>
      </c>
      <c r="Q2216" s="871" t="s">
        <v>155</v>
      </c>
      <c r="R2216" s="872" t="s">
        <v>168</v>
      </c>
      <c r="S2216" s="872" t="s">
        <v>169</v>
      </c>
      <c r="T2216" s="872" t="s">
        <v>170</v>
      </c>
      <c r="U2216" s="872" t="s">
        <v>171</v>
      </c>
      <c r="V2216" s="902"/>
      <c r="W2216" s="902"/>
      <c r="X2216" s="874"/>
      <c r="Y2216" s="270"/>
      <c r="Z2216" s="270"/>
      <c r="AA2216" s="270"/>
    </row>
    <row r="2217" spans="3:27" ht="15" thickBot="1" x14ac:dyDescent="0.35">
      <c r="C2217" s="566" t="s">
        <v>98</v>
      </c>
      <c r="D2217" s="875" t="str">
        <f>VLOOKUP(C2217,'Airport Mapping'!$C$5:$D$39,2,FALSE)</f>
        <v xml:space="preserve"> </v>
      </c>
      <c r="E2217" s="567" t="s">
        <v>45</v>
      </c>
      <c r="F2217" s="567" t="s">
        <v>33</v>
      </c>
      <c r="G2217" s="450" t="str">
        <f t="shared" si="110"/>
        <v>Hotel C-Guestrooms-Faucets</v>
      </c>
      <c r="H2217" s="567" t="s">
        <v>17</v>
      </c>
      <c r="I2217" s="877" t="s">
        <v>64</v>
      </c>
      <c r="J2217" s="878">
        <f>SUMIFS('Level of Efficiency Assumptions'!J:J,'Level of Efficiency Assumptions'!D:D,E2217,'Level of Efficiency Assumptions'!F:F,F2217,'Level of Efficiency Assumptions'!I:I,I2217)</f>
        <v>2</v>
      </c>
      <c r="K2217" s="383" t="s">
        <v>78</v>
      </c>
      <c r="L2217" s="253" t="s">
        <v>64</v>
      </c>
      <c r="M2217" s="879">
        <f>Q2217+Q2218</f>
        <v>0</v>
      </c>
      <c r="N2217" s="880">
        <f>IFERROR(M2217/M2220,"-")</f>
        <v>0</v>
      </c>
      <c r="O2217" s="881">
        <f>SUMIFS('Data Entry'!R:R,'Data Entry'!K:K,G2217)</f>
        <v>0</v>
      </c>
      <c r="P2217" s="266" t="s">
        <v>180</v>
      </c>
      <c r="Q2217" s="895">
        <v>0</v>
      </c>
      <c r="R2217" s="883"/>
      <c r="S2217" s="883"/>
      <c r="T2217" s="883"/>
      <c r="U2217" s="883"/>
      <c r="V2217" s="114" t="s">
        <v>182</v>
      </c>
      <c r="W2217" s="114"/>
      <c r="X2217" s="884"/>
      <c r="Y2217" s="270"/>
      <c r="Z2217" s="270"/>
      <c r="AA2217" s="270"/>
    </row>
    <row r="2218" spans="3:27" ht="15" thickBot="1" x14ac:dyDescent="0.35">
      <c r="C2218" s="494" t="s">
        <v>98</v>
      </c>
      <c r="D2218" s="577"/>
      <c r="E2218" s="577" t="s">
        <v>45</v>
      </c>
      <c r="F2218" s="577" t="s">
        <v>33</v>
      </c>
      <c r="G2218" s="450" t="str">
        <f t="shared" si="110"/>
        <v>Hotel C-Guestrooms-Faucets</v>
      </c>
      <c r="H2218" s="577"/>
      <c r="I2218" s="887" t="s">
        <v>65</v>
      </c>
      <c r="J2218" s="878">
        <f>SUMIFS('Level of Efficiency Assumptions'!J:J,'Level of Efficiency Assumptions'!D:D,E2218,'Level of Efficiency Assumptions'!F:F,F2218,'Level of Efficiency Assumptions'!I:I,I2218)</f>
        <v>1</v>
      </c>
      <c r="K2218" s="383" t="s">
        <v>78</v>
      </c>
      <c r="L2218" s="255" t="s">
        <v>65</v>
      </c>
      <c r="M2218" s="879">
        <f>Q2219+Q2220</f>
        <v>1</v>
      </c>
      <c r="N2218" s="880">
        <f>IFERROR(M2218/M2220,"-")</f>
        <v>1</v>
      </c>
      <c r="O2218" s="881">
        <f>SUMIFS('Data Entry'!S:S,'Data Entry'!K:K,G2218)</f>
        <v>0</v>
      </c>
      <c r="P2218" s="266" t="s">
        <v>178</v>
      </c>
      <c r="Q2218" s="895">
        <v>0</v>
      </c>
      <c r="R2218" s="883"/>
      <c r="S2218" s="883"/>
      <c r="T2218" s="883"/>
      <c r="U2218" s="883"/>
      <c r="V2218" s="114" t="s">
        <v>184</v>
      </c>
      <c r="W2218" s="114"/>
      <c r="X2218" s="884"/>
      <c r="Y2218" s="270"/>
      <c r="Z2218" s="270"/>
      <c r="AA2218" s="270"/>
    </row>
    <row r="2219" spans="3:27" ht="15" thickBot="1" x14ac:dyDescent="0.35">
      <c r="C2219" s="501" t="s">
        <v>98</v>
      </c>
      <c r="D2219" s="116"/>
      <c r="E2219" s="116" t="s">
        <v>45</v>
      </c>
      <c r="F2219" s="116" t="s">
        <v>33</v>
      </c>
      <c r="G2219" s="450" t="str">
        <f t="shared" si="110"/>
        <v>Hotel C-Guestrooms-Faucets</v>
      </c>
      <c r="H2219" s="116"/>
      <c r="I2219" s="889" t="s">
        <v>66</v>
      </c>
      <c r="J2219" s="890">
        <f>SUMIFS('Level of Efficiency Assumptions'!J:J,'Level of Efficiency Assumptions'!D:D,E2219,'Level of Efficiency Assumptions'!F:F,F2219,'Level of Efficiency Assumptions'!I:I,I2219)</f>
        <v>0.5</v>
      </c>
      <c r="K2219" s="383" t="s">
        <v>78</v>
      </c>
      <c r="L2219" s="257" t="s">
        <v>66</v>
      </c>
      <c r="M2219" s="879">
        <f>Q2221</f>
        <v>0</v>
      </c>
      <c r="N2219" s="880">
        <f>IFERROR(M2219/M2220,"-")</f>
        <v>0</v>
      </c>
      <c r="O2219" s="881">
        <f>SUMIFS('Data Entry'!T:T,'Data Entry'!K:K,G2219)</f>
        <v>0</v>
      </c>
      <c r="P2219" s="267" t="s">
        <v>176</v>
      </c>
      <c r="Q2219" s="895">
        <v>1</v>
      </c>
      <c r="R2219" s="883"/>
      <c r="S2219" s="883"/>
      <c r="T2219" s="883"/>
      <c r="U2219" s="883"/>
      <c r="V2219" s="114" t="s">
        <v>185</v>
      </c>
      <c r="W2219" s="114"/>
      <c r="X2219" s="884"/>
      <c r="Y2219" s="270"/>
      <c r="Z2219" s="270"/>
      <c r="AA2219" s="270"/>
    </row>
    <row r="2220" spans="3:27" x14ac:dyDescent="0.3">
      <c r="C2220" s="450"/>
      <c r="D2220" s="182"/>
      <c r="E2220" s="182"/>
      <c r="F2220" s="182"/>
      <c r="G2220" s="450" t="str">
        <f t="shared" si="110"/>
        <v>--</v>
      </c>
      <c r="H2220" s="182"/>
      <c r="I2220" s="440"/>
      <c r="J2220" s="892"/>
      <c r="K2220" s="259"/>
      <c r="L2220" s="259" t="s">
        <v>46</v>
      </c>
      <c r="M2220" s="893">
        <f>SUM(M2217:M2219)</f>
        <v>1</v>
      </c>
      <c r="N2220" s="894"/>
      <c r="O2220" s="894">
        <f>SUM(O2217:O2219)</f>
        <v>0</v>
      </c>
      <c r="P2220" s="256" t="s">
        <v>173</v>
      </c>
      <c r="Q2220" s="895">
        <v>0</v>
      </c>
      <c r="R2220" s="883"/>
      <c r="S2220" s="883"/>
      <c r="T2220" s="883"/>
      <c r="U2220" s="883"/>
      <c r="V2220" s="114" t="s">
        <v>186</v>
      </c>
      <c r="W2220" s="114"/>
      <c r="X2220" s="884"/>
      <c r="Y2220" s="270"/>
      <c r="Z2220" s="270"/>
      <c r="AA2220" s="270"/>
    </row>
    <row r="2221" spans="3:27" x14ac:dyDescent="0.3">
      <c r="C2221" s="450"/>
      <c r="D2221" s="182"/>
      <c r="E2221" s="182"/>
      <c r="F2221" s="182"/>
      <c r="G2221" s="450" t="str">
        <f t="shared" si="110"/>
        <v>--</v>
      </c>
      <c r="H2221" s="182"/>
      <c r="I2221" s="892"/>
      <c r="J2221" s="288"/>
      <c r="K2221" s="182"/>
      <c r="L2221" s="114"/>
      <c r="M2221" s="114"/>
      <c r="N2221" s="905"/>
      <c r="O2221" s="905"/>
      <c r="P2221" s="258" t="s">
        <v>172</v>
      </c>
      <c r="Q2221" s="895">
        <v>0</v>
      </c>
      <c r="R2221" s="883"/>
      <c r="S2221" s="883"/>
      <c r="T2221" s="883"/>
      <c r="U2221" s="883"/>
      <c r="V2221" s="114"/>
      <c r="W2221" s="114"/>
      <c r="X2221" s="884"/>
      <c r="Y2221" s="270"/>
      <c r="Z2221" s="270"/>
      <c r="AA2221" s="270"/>
    </row>
    <row r="2222" spans="3:27" x14ac:dyDescent="0.3">
      <c r="C2222" s="450"/>
      <c r="D2222" s="182"/>
      <c r="E2222" s="182"/>
      <c r="F2222" s="182"/>
      <c r="G2222" s="450" t="str">
        <f t="shared" si="110"/>
        <v>--</v>
      </c>
      <c r="H2222" s="182"/>
      <c r="I2222" s="892"/>
      <c r="J2222" s="288"/>
      <c r="K2222" s="182"/>
      <c r="L2222" s="181"/>
      <c r="M2222" s="181"/>
      <c r="N2222" s="892"/>
      <c r="O2222" s="892"/>
      <c r="P2222" s="263" t="s">
        <v>46</v>
      </c>
      <c r="Q2222" s="897">
        <f>SUM(Q2216:Q2221)</f>
        <v>1</v>
      </c>
      <c r="R2222" s="899"/>
      <c r="S2222" s="899"/>
      <c r="T2222" s="899"/>
      <c r="U2222" s="899"/>
      <c r="V2222" s="899"/>
      <c r="W2222" s="899"/>
      <c r="X2222" s="900"/>
      <c r="Y2222" s="270"/>
      <c r="Z2222" s="270"/>
      <c r="AA2222" s="270"/>
    </row>
    <row r="2223" spans="3:27" x14ac:dyDescent="0.3">
      <c r="C2223" s="450"/>
      <c r="D2223" s="182"/>
      <c r="E2223" s="182"/>
      <c r="F2223" s="182"/>
      <c r="G2223" s="450" t="str">
        <f t="shared" si="110"/>
        <v>--</v>
      </c>
      <c r="H2223" s="182"/>
      <c r="I2223" s="892"/>
      <c r="J2223" s="288"/>
      <c r="K2223" s="182"/>
      <c r="L2223" s="181"/>
      <c r="M2223" s="181"/>
      <c r="N2223" s="892"/>
      <c r="O2223" s="892"/>
      <c r="P2223" s="262"/>
      <c r="Q2223" s="114"/>
      <c r="R2223" s="114"/>
      <c r="S2223" s="114"/>
      <c r="T2223" s="114"/>
      <c r="U2223" s="114"/>
      <c r="V2223" s="114"/>
      <c r="W2223" s="270"/>
      <c r="X2223" s="270"/>
      <c r="Y2223" s="270"/>
      <c r="Z2223" s="270"/>
      <c r="AA2223" s="270"/>
    </row>
    <row r="2224" spans="3:27" ht="15" thickBot="1" x14ac:dyDescent="0.35">
      <c r="C2224" s="450"/>
      <c r="D2224" s="182"/>
      <c r="E2224" s="182"/>
      <c r="F2224" s="182"/>
      <c r="G2224" s="450" t="str">
        <f t="shared" si="110"/>
        <v>--</v>
      </c>
      <c r="H2224" s="182"/>
      <c r="I2224" s="892"/>
      <c r="J2224" s="892"/>
      <c r="K2224" s="182"/>
      <c r="L2224" s="182"/>
      <c r="M2224" s="901" t="s">
        <v>155</v>
      </c>
      <c r="N2224" s="870" t="s">
        <v>188</v>
      </c>
      <c r="O2224" s="870"/>
      <c r="P2224" s="265" t="s">
        <v>33</v>
      </c>
      <c r="Q2224" s="871" t="s">
        <v>155</v>
      </c>
      <c r="R2224" s="872" t="s">
        <v>168</v>
      </c>
      <c r="S2224" s="872" t="s">
        <v>169</v>
      </c>
      <c r="T2224" s="872" t="s">
        <v>170</v>
      </c>
      <c r="U2224" s="872" t="s">
        <v>171</v>
      </c>
      <c r="V2224" s="902"/>
      <c r="W2224" s="902"/>
      <c r="X2224" s="874"/>
      <c r="Y2224" s="270"/>
      <c r="Z2224" s="270"/>
      <c r="AA2224" s="270"/>
    </row>
    <row r="2225" spans="3:27" ht="15" thickBot="1" x14ac:dyDescent="0.35">
      <c r="C2225" s="566" t="s">
        <v>98</v>
      </c>
      <c r="D2225" s="875" t="str">
        <f>VLOOKUP(C2225,'Airport Mapping'!$C$5:$D$39,2,FALSE)</f>
        <v xml:space="preserve"> </v>
      </c>
      <c r="E2225" s="567" t="s">
        <v>38</v>
      </c>
      <c r="F2225" s="567" t="s">
        <v>114</v>
      </c>
      <c r="G2225" s="450" t="str">
        <f t="shared" si="110"/>
        <v>Hotel C-Food Service-Kitchen faucets</v>
      </c>
      <c r="H2225" s="567" t="s">
        <v>118</v>
      </c>
      <c r="I2225" s="877" t="s">
        <v>64</v>
      </c>
      <c r="J2225" s="878">
        <f>SUMIFS('Level of Efficiency Assumptions'!J:J,'Level of Efficiency Assumptions'!D:D,E2225,'Level of Efficiency Assumptions'!F:F,F2225,'Level of Efficiency Assumptions'!I:I,I2225)</f>
        <v>2</v>
      </c>
      <c r="K2225" s="383" t="s">
        <v>78</v>
      </c>
      <c r="L2225" s="253" t="s">
        <v>64</v>
      </c>
      <c r="M2225" s="879">
        <f>Q2225+Q2226</f>
        <v>0</v>
      </c>
      <c r="N2225" s="880">
        <f>IFERROR(M2225/M2228,"-")</f>
        <v>0</v>
      </c>
      <c r="O2225" s="881">
        <f>SUMIFS('Data Entry'!R:R,'Data Entry'!K:K,G2225)</f>
        <v>0</v>
      </c>
      <c r="P2225" s="266" t="s">
        <v>180</v>
      </c>
      <c r="Q2225" s="895">
        <v>0</v>
      </c>
      <c r="R2225" s="883"/>
      <c r="S2225" s="883"/>
      <c r="T2225" s="883"/>
      <c r="U2225" s="883"/>
      <c r="V2225" s="114" t="s">
        <v>182</v>
      </c>
      <c r="W2225" s="114"/>
      <c r="X2225" s="884"/>
      <c r="Y2225" s="270"/>
      <c r="Z2225" s="270"/>
      <c r="AA2225" s="270"/>
    </row>
    <row r="2226" spans="3:27" ht="15" thickBot="1" x14ac:dyDescent="0.35">
      <c r="C2226" s="494" t="s">
        <v>98</v>
      </c>
      <c r="D2226" s="577"/>
      <c r="E2226" s="577" t="s">
        <v>38</v>
      </c>
      <c r="F2226" s="577" t="s">
        <v>114</v>
      </c>
      <c r="G2226" s="450" t="str">
        <f t="shared" si="110"/>
        <v>Hotel C-Food Service-Kitchen faucets</v>
      </c>
      <c r="H2226" s="577"/>
      <c r="I2226" s="887" t="s">
        <v>65</v>
      </c>
      <c r="J2226" s="878">
        <f>SUMIFS('Level of Efficiency Assumptions'!J:J,'Level of Efficiency Assumptions'!D:D,E2226,'Level of Efficiency Assumptions'!F:F,F2226,'Level of Efficiency Assumptions'!I:I,I2226)</f>
        <v>1</v>
      </c>
      <c r="K2226" s="383" t="s">
        <v>78</v>
      </c>
      <c r="L2226" s="255" t="s">
        <v>65</v>
      </c>
      <c r="M2226" s="879">
        <f>Q2227+Q2228</f>
        <v>1</v>
      </c>
      <c r="N2226" s="880">
        <f>IFERROR(M2226/M2228,"-")</f>
        <v>1</v>
      </c>
      <c r="O2226" s="881">
        <f>SUMIFS('Data Entry'!S:S,'Data Entry'!K:K,G2226)</f>
        <v>0</v>
      </c>
      <c r="P2226" s="266" t="s">
        <v>178</v>
      </c>
      <c r="Q2226" s="895">
        <v>0</v>
      </c>
      <c r="R2226" s="883"/>
      <c r="S2226" s="883"/>
      <c r="T2226" s="883"/>
      <c r="U2226" s="883"/>
      <c r="V2226" s="114" t="s">
        <v>184</v>
      </c>
      <c r="W2226" s="114"/>
      <c r="X2226" s="884"/>
      <c r="Y2226" s="270"/>
      <c r="Z2226" s="270"/>
      <c r="AA2226" s="270"/>
    </row>
    <row r="2227" spans="3:27" ht="15" thickBot="1" x14ac:dyDescent="0.35">
      <c r="C2227" s="501" t="s">
        <v>98</v>
      </c>
      <c r="D2227" s="116"/>
      <c r="E2227" s="116" t="s">
        <v>38</v>
      </c>
      <c r="F2227" s="116" t="s">
        <v>114</v>
      </c>
      <c r="G2227" s="450" t="str">
        <f t="shared" si="110"/>
        <v>Hotel C-Food Service-Kitchen faucets</v>
      </c>
      <c r="H2227" s="116"/>
      <c r="I2227" s="889" t="s">
        <v>66</v>
      </c>
      <c r="J2227" s="890">
        <f>SUMIFS('Level of Efficiency Assumptions'!J:J,'Level of Efficiency Assumptions'!D:D,E2227,'Level of Efficiency Assumptions'!F:F,F2227,'Level of Efficiency Assumptions'!I:I,I2227)</f>
        <v>0.5</v>
      </c>
      <c r="K2227" s="383" t="s">
        <v>78</v>
      </c>
      <c r="L2227" s="257" t="s">
        <v>66</v>
      </c>
      <c r="M2227" s="879">
        <f>Q2229</f>
        <v>0</v>
      </c>
      <c r="N2227" s="880">
        <f>IFERROR(M2227/M2228,"-")</f>
        <v>0</v>
      </c>
      <c r="O2227" s="881">
        <f>SUMIFS('Data Entry'!T:T,'Data Entry'!K:K,G2227)</f>
        <v>0</v>
      </c>
      <c r="P2227" s="267" t="s">
        <v>176</v>
      </c>
      <c r="Q2227" s="895">
        <v>1</v>
      </c>
      <c r="R2227" s="883"/>
      <c r="S2227" s="883"/>
      <c r="T2227" s="883"/>
      <c r="U2227" s="883"/>
      <c r="V2227" s="114" t="s">
        <v>185</v>
      </c>
      <c r="W2227" s="114"/>
      <c r="X2227" s="884"/>
      <c r="Y2227" s="270"/>
      <c r="Z2227" s="270"/>
      <c r="AA2227" s="270"/>
    </row>
    <row r="2228" spans="3:27" x14ac:dyDescent="0.3">
      <c r="C2228" s="450"/>
      <c r="D2228" s="182"/>
      <c r="E2228" s="182"/>
      <c r="F2228" s="182"/>
      <c r="G2228" s="450" t="str">
        <f t="shared" si="110"/>
        <v>--</v>
      </c>
      <c r="H2228" s="182"/>
      <c r="I2228" s="440"/>
      <c r="J2228" s="892"/>
      <c r="K2228" s="259"/>
      <c r="L2228" s="259" t="s">
        <v>46</v>
      </c>
      <c r="M2228" s="893">
        <f>SUM(M2225:M2227)</f>
        <v>1</v>
      </c>
      <c r="N2228" s="894"/>
      <c r="O2228" s="894">
        <f>SUM(O2225:O2227)</f>
        <v>0</v>
      </c>
      <c r="P2228" s="256" t="s">
        <v>173</v>
      </c>
      <c r="Q2228" s="895">
        <v>0</v>
      </c>
      <c r="R2228" s="883"/>
      <c r="S2228" s="883"/>
      <c r="T2228" s="883"/>
      <c r="U2228" s="883"/>
      <c r="V2228" s="114" t="s">
        <v>186</v>
      </c>
      <c r="W2228" s="114"/>
      <c r="X2228" s="884"/>
      <c r="Y2228" s="270"/>
      <c r="Z2228" s="270"/>
      <c r="AA2228" s="270"/>
    </row>
    <row r="2229" spans="3:27" x14ac:dyDescent="0.3">
      <c r="C2229" s="450"/>
      <c r="D2229" s="182"/>
      <c r="E2229" s="182"/>
      <c r="F2229" s="182"/>
      <c r="G2229" s="450" t="str">
        <f t="shared" si="110"/>
        <v>--</v>
      </c>
      <c r="H2229" s="182"/>
      <c r="I2229" s="892"/>
      <c r="J2229" s="288"/>
      <c r="K2229" s="182"/>
      <c r="L2229" s="182"/>
      <c r="M2229" s="270"/>
      <c r="N2229" s="892"/>
      <c r="O2229" s="892"/>
      <c r="P2229" s="258" t="s">
        <v>172</v>
      </c>
      <c r="Q2229" s="895">
        <v>0</v>
      </c>
      <c r="R2229" s="883"/>
      <c r="S2229" s="883"/>
      <c r="T2229" s="883"/>
      <c r="U2229" s="883"/>
      <c r="V2229" s="114"/>
      <c r="W2229" s="114"/>
      <c r="X2229" s="884"/>
      <c r="Y2229" s="270"/>
      <c r="Z2229" s="270"/>
      <c r="AA2229" s="270"/>
    </row>
    <row r="2230" spans="3:27" x14ac:dyDescent="0.3">
      <c r="C2230" s="450"/>
      <c r="D2230" s="182"/>
      <c r="E2230" s="182"/>
      <c r="F2230" s="182"/>
      <c r="G2230" s="450" t="str">
        <f t="shared" si="110"/>
        <v>--</v>
      </c>
      <c r="H2230" s="182"/>
      <c r="I2230" s="892"/>
      <c r="J2230" s="288"/>
      <c r="K2230" s="182"/>
      <c r="L2230" s="182"/>
      <c r="M2230" s="270"/>
      <c r="N2230" s="892"/>
      <c r="O2230" s="892"/>
      <c r="P2230" s="263" t="s">
        <v>46</v>
      </c>
      <c r="Q2230" s="897">
        <f>SUM(Q2224:Q2229)</f>
        <v>1</v>
      </c>
      <c r="R2230" s="899"/>
      <c r="S2230" s="899"/>
      <c r="T2230" s="899"/>
      <c r="U2230" s="899"/>
      <c r="V2230" s="899"/>
      <c r="W2230" s="899"/>
      <c r="X2230" s="900"/>
      <c r="Y2230" s="270"/>
      <c r="Z2230" s="270"/>
      <c r="AA2230" s="270"/>
    </row>
    <row r="2231" spans="3:27" x14ac:dyDescent="0.3">
      <c r="C2231" s="450"/>
      <c r="D2231" s="182"/>
      <c r="E2231" s="182"/>
      <c r="F2231" s="182"/>
      <c r="G2231" s="450" t="str">
        <f t="shared" si="110"/>
        <v>--</v>
      </c>
      <c r="H2231" s="182"/>
      <c r="I2231" s="892"/>
      <c r="J2231" s="288"/>
      <c r="K2231" s="182"/>
      <c r="L2231" s="182"/>
      <c r="M2231" s="270"/>
      <c r="N2231" s="892"/>
      <c r="O2231" s="892"/>
      <c r="P2231" s="259"/>
      <c r="Q2231" s="114"/>
      <c r="R2231" s="114"/>
      <c r="S2231" s="114"/>
      <c r="T2231" s="114"/>
      <c r="U2231" s="114"/>
      <c r="V2231" s="114"/>
      <c r="W2231" s="270"/>
      <c r="X2231" s="270"/>
      <c r="Y2231" s="270"/>
      <c r="Z2231" s="270"/>
      <c r="AA2231" s="270"/>
    </row>
    <row r="2232" spans="3:27" ht="15" thickBot="1" x14ac:dyDescent="0.35">
      <c r="C2232" s="450"/>
      <c r="D2232" s="182"/>
      <c r="E2232" s="182"/>
      <c r="F2232" s="182"/>
      <c r="G2232" s="450" t="str">
        <f t="shared" si="110"/>
        <v>--</v>
      </c>
      <c r="H2232" s="182"/>
      <c r="I2232" s="892"/>
      <c r="J2232" s="892"/>
      <c r="K2232" s="182"/>
      <c r="L2232" s="182"/>
      <c r="M2232" s="901" t="s">
        <v>155</v>
      </c>
      <c r="N2232" s="870" t="s">
        <v>188</v>
      </c>
      <c r="O2232" s="870"/>
      <c r="P2232" s="268" t="s">
        <v>157</v>
      </c>
      <c r="Q2232" s="871" t="s">
        <v>155</v>
      </c>
      <c r="R2232" s="874"/>
      <c r="S2232" s="114"/>
      <c r="T2232" s="270"/>
      <c r="U2232" s="270"/>
      <c r="V2232" s="270"/>
      <c r="W2232" s="114"/>
      <c r="X2232" s="270"/>
      <c r="Y2232" s="270"/>
      <c r="Z2232" s="270"/>
      <c r="AA2232" s="270"/>
    </row>
    <row r="2233" spans="3:27" ht="15" thickBot="1" x14ac:dyDescent="0.35">
      <c r="C2233" s="566" t="s">
        <v>98</v>
      </c>
      <c r="D2233" s="875" t="str">
        <f>VLOOKUP(C2233,'Airport Mapping'!$C$5:$D$39,2,FALSE)</f>
        <v xml:space="preserve"> </v>
      </c>
      <c r="E2233" s="567" t="s">
        <v>38</v>
      </c>
      <c r="F2233" s="567" t="s">
        <v>127</v>
      </c>
      <c r="G2233" s="450" t="str">
        <f t="shared" si="110"/>
        <v>Hotel C-Food Service-Pre-rinse spray valves</v>
      </c>
      <c r="H2233" s="567" t="s">
        <v>118</v>
      </c>
      <c r="I2233" s="877" t="s">
        <v>64</v>
      </c>
      <c r="J2233" s="878">
        <f>SUMIFS('Level of Efficiency Assumptions'!J:J,'Level of Efficiency Assumptions'!D:D,E2233,'Level of Efficiency Assumptions'!F:F,F2233,'Level of Efficiency Assumptions'!I:I,I2233)</f>
        <v>3</v>
      </c>
      <c r="K2233" s="383" t="s">
        <v>78</v>
      </c>
      <c r="L2233" s="253" t="s">
        <v>64</v>
      </c>
      <c r="M2233" s="879">
        <f>Q2233+Q2234</f>
        <v>0</v>
      </c>
      <c r="N2233" s="880">
        <f>IFERROR(M2233/M2236,"-")</f>
        <v>0</v>
      </c>
      <c r="O2233" s="881">
        <f>SUMIFS('Data Entry'!R:R,'Data Entry'!K:K,G2233)</f>
        <v>0</v>
      </c>
      <c r="P2233" s="266" t="s">
        <v>191</v>
      </c>
      <c r="Q2233" s="895">
        <v>0</v>
      </c>
      <c r="R2233" s="884"/>
      <c r="S2233" s="114"/>
      <c r="T2233" s="270"/>
      <c r="U2233" s="270"/>
      <c r="V2233" s="270"/>
      <c r="W2233" s="114"/>
      <c r="X2233" s="270"/>
      <c r="Y2233" s="270"/>
      <c r="Z2233" s="270"/>
      <c r="AA2233" s="270"/>
    </row>
    <row r="2234" spans="3:27" ht="15" thickBot="1" x14ac:dyDescent="0.35">
      <c r="C2234" s="494" t="s">
        <v>98</v>
      </c>
      <c r="D2234" s="577"/>
      <c r="E2234" s="577" t="s">
        <v>38</v>
      </c>
      <c r="F2234" s="577" t="s">
        <v>127</v>
      </c>
      <c r="G2234" s="450" t="str">
        <f t="shared" si="110"/>
        <v>Hotel C-Food Service-Pre-rinse spray valves</v>
      </c>
      <c r="H2234" s="577"/>
      <c r="I2234" s="887" t="s">
        <v>65</v>
      </c>
      <c r="J2234" s="878">
        <f>SUMIFS('Level of Efficiency Assumptions'!J:J,'Level of Efficiency Assumptions'!D:D,E2234,'Level of Efficiency Assumptions'!F:F,F2234,'Level of Efficiency Assumptions'!I:I,I2234)</f>
        <v>2</v>
      </c>
      <c r="K2234" s="383" t="s">
        <v>78</v>
      </c>
      <c r="L2234" s="255" t="s">
        <v>65</v>
      </c>
      <c r="M2234" s="879">
        <f>Q2235+Q2236</f>
        <v>1</v>
      </c>
      <c r="N2234" s="880">
        <f>IFERROR(M2234/M2236,"-")</f>
        <v>1</v>
      </c>
      <c r="O2234" s="881">
        <f>SUMIFS('Data Entry'!S:S,'Data Entry'!K:K,G2234)</f>
        <v>0</v>
      </c>
      <c r="P2234" s="266" t="s">
        <v>192</v>
      </c>
      <c r="Q2234" s="895">
        <v>0</v>
      </c>
      <c r="R2234" s="884"/>
      <c r="S2234" s="114"/>
      <c r="T2234" s="270"/>
      <c r="U2234" s="270"/>
      <c r="V2234" s="270"/>
      <c r="W2234" s="114"/>
      <c r="X2234" s="270"/>
      <c r="Y2234" s="270"/>
      <c r="Z2234" s="270"/>
      <c r="AA2234" s="270"/>
    </row>
    <row r="2235" spans="3:27" ht="15" thickBot="1" x14ac:dyDescent="0.35">
      <c r="C2235" s="501" t="s">
        <v>98</v>
      </c>
      <c r="D2235" s="116"/>
      <c r="E2235" s="116" t="s">
        <v>38</v>
      </c>
      <c r="F2235" s="116" t="s">
        <v>127</v>
      </c>
      <c r="G2235" s="450" t="str">
        <f t="shared" si="110"/>
        <v>Hotel C-Food Service-Pre-rinse spray valves</v>
      </c>
      <c r="H2235" s="116"/>
      <c r="I2235" s="889" t="s">
        <v>66</v>
      </c>
      <c r="J2235" s="890">
        <f>SUMIFS('Level of Efficiency Assumptions'!J:J,'Level of Efficiency Assumptions'!D:D,E2235,'Level of Efficiency Assumptions'!F:F,F2235,'Level of Efficiency Assumptions'!I:I,I2235)</f>
        <v>1.28</v>
      </c>
      <c r="K2235" s="383" t="s">
        <v>78</v>
      </c>
      <c r="L2235" s="257" t="s">
        <v>66</v>
      </c>
      <c r="M2235" s="879">
        <f>Q2237</f>
        <v>0</v>
      </c>
      <c r="N2235" s="880">
        <f>IFERROR(M2235/M2236,"-")</f>
        <v>0</v>
      </c>
      <c r="O2235" s="881">
        <f>SUMIFS('Data Entry'!T:T,'Data Entry'!K:K,G2235)</f>
        <v>0</v>
      </c>
      <c r="P2235" s="267" t="s">
        <v>193</v>
      </c>
      <c r="Q2235" s="895">
        <v>0</v>
      </c>
      <c r="R2235" s="884"/>
      <c r="S2235" s="114"/>
      <c r="T2235" s="270"/>
      <c r="U2235" s="270"/>
      <c r="V2235" s="270"/>
      <c r="W2235" s="114"/>
      <c r="X2235" s="270"/>
      <c r="Y2235" s="270"/>
      <c r="Z2235" s="270"/>
      <c r="AA2235" s="270"/>
    </row>
    <row r="2236" spans="3:27" x14ac:dyDescent="0.3">
      <c r="C2236" s="450"/>
      <c r="D2236" s="182"/>
      <c r="E2236" s="182"/>
      <c r="F2236" s="182"/>
      <c r="G2236" s="450" t="str">
        <f t="shared" si="110"/>
        <v>--</v>
      </c>
      <c r="H2236" s="182"/>
      <c r="I2236" s="440"/>
      <c r="J2236" s="892"/>
      <c r="K2236" s="259"/>
      <c r="L2236" s="259" t="s">
        <v>46</v>
      </c>
      <c r="M2236" s="893">
        <f>SUM(M2233:M2235)</f>
        <v>1</v>
      </c>
      <c r="N2236" s="894"/>
      <c r="O2236" s="894">
        <f>SUM(O2233:O2235)</f>
        <v>0</v>
      </c>
      <c r="P2236" s="267" t="s">
        <v>194</v>
      </c>
      <c r="Q2236" s="895">
        <v>1</v>
      </c>
      <c r="R2236" s="884"/>
      <c r="S2236" s="114"/>
      <c r="T2236" s="270"/>
      <c r="U2236" s="270"/>
      <c r="V2236" s="270"/>
      <c r="W2236" s="114"/>
      <c r="X2236" s="270"/>
      <c r="Y2236" s="270"/>
      <c r="Z2236" s="270"/>
      <c r="AA2236" s="270"/>
    </row>
    <row r="2237" spans="3:27" x14ac:dyDescent="0.3">
      <c r="C2237" s="224"/>
      <c r="D2237" s="211"/>
      <c r="E2237" s="182"/>
      <c r="F2237" s="182"/>
      <c r="G2237" s="450" t="str">
        <f t="shared" si="110"/>
        <v>--</v>
      </c>
      <c r="H2237" s="182"/>
      <c r="I2237" s="892"/>
      <c r="J2237" s="288"/>
      <c r="K2237" s="182"/>
      <c r="L2237" s="182"/>
      <c r="M2237" s="270"/>
      <c r="N2237" s="892"/>
      <c r="O2237" s="892"/>
      <c r="P2237" s="269" t="s">
        <v>195</v>
      </c>
      <c r="Q2237" s="895">
        <v>0</v>
      </c>
      <c r="R2237" s="884"/>
      <c r="S2237" s="114"/>
      <c r="T2237" s="114"/>
      <c r="U2237" s="114"/>
      <c r="V2237" s="114"/>
      <c r="W2237" s="114"/>
      <c r="X2237" s="270"/>
      <c r="Y2237" s="270"/>
      <c r="Z2237" s="270"/>
      <c r="AA2237" s="270"/>
    </row>
    <row r="2238" spans="3:27" x14ac:dyDescent="0.3">
      <c r="C2238" s="224"/>
      <c r="D2238" s="211"/>
      <c r="E2238" s="182"/>
      <c r="F2238" s="182"/>
      <c r="G2238" s="450" t="str">
        <f t="shared" si="110"/>
        <v>--</v>
      </c>
      <c r="H2238" s="182"/>
      <c r="I2238" s="892"/>
      <c r="J2238" s="288"/>
      <c r="K2238" s="182"/>
      <c r="L2238" s="182"/>
      <c r="M2238" s="270"/>
      <c r="N2238" s="892"/>
      <c r="O2238" s="892"/>
      <c r="P2238" s="263" t="s">
        <v>46</v>
      </c>
      <c r="Q2238" s="897">
        <f>SUM(Q2233:Q2237)</f>
        <v>1</v>
      </c>
      <c r="R2238" s="900"/>
      <c r="S2238" s="114"/>
      <c r="T2238" s="114"/>
      <c r="U2238" s="114"/>
      <c r="V2238" s="114"/>
      <c r="W2238" s="114"/>
      <c r="X2238" s="270"/>
      <c r="Y2238" s="270"/>
      <c r="Z2238" s="270"/>
      <c r="AA2238" s="270"/>
    </row>
    <row r="2239" spans="3:27" x14ac:dyDescent="0.3">
      <c r="C2239" s="224"/>
      <c r="D2239" s="211"/>
      <c r="E2239" s="182"/>
      <c r="F2239" s="182"/>
      <c r="G2239" s="450" t="str">
        <f t="shared" si="110"/>
        <v>--</v>
      </c>
      <c r="H2239" s="182"/>
      <c r="I2239" s="892"/>
      <c r="J2239" s="288"/>
      <c r="K2239" s="182"/>
      <c r="L2239" s="182"/>
      <c r="M2239" s="270"/>
      <c r="N2239" s="892"/>
      <c r="O2239" s="892"/>
      <c r="P2239" s="270"/>
      <c r="Q2239" s="270"/>
      <c r="R2239" s="270"/>
      <c r="S2239" s="270"/>
      <c r="T2239" s="270"/>
      <c r="U2239" s="270"/>
      <c r="V2239" s="270"/>
      <c r="W2239" s="270"/>
      <c r="X2239" s="270"/>
      <c r="Y2239" s="270"/>
      <c r="Z2239" s="270"/>
      <c r="AA2239" s="270"/>
    </row>
    <row r="2240" spans="3:27" x14ac:dyDescent="0.3">
      <c r="C2240" s="224"/>
      <c r="D2240" s="211"/>
      <c r="E2240" s="182"/>
      <c r="F2240" s="182"/>
      <c r="G2240" s="450" t="str">
        <f t="shared" si="110"/>
        <v>--</v>
      </c>
      <c r="H2240" s="182"/>
      <c r="I2240" s="892"/>
      <c r="J2240" s="288"/>
      <c r="K2240" s="182"/>
      <c r="L2240" s="182"/>
      <c r="M2240" s="270"/>
      <c r="N2240" s="892"/>
      <c r="O2240" s="892"/>
      <c r="P2240" s="268" t="s">
        <v>196</v>
      </c>
      <c r="Q2240" s="906"/>
      <c r="R2240" s="902"/>
      <c r="S2240" s="902"/>
      <c r="T2240" s="902"/>
      <c r="U2240" s="902"/>
      <c r="V2240" s="902"/>
      <c r="W2240" s="902"/>
      <c r="X2240" s="902"/>
      <c r="Y2240" s="902"/>
      <c r="Z2240" s="902"/>
      <c r="AA2240" s="874"/>
    </row>
    <row r="2241" spans="3:27" ht="15" thickBot="1" x14ac:dyDescent="0.35">
      <c r="C2241" s="224"/>
      <c r="D2241" s="182"/>
      <c r="E2241" s="182"/>
      <c r="F2241" s="182"/>
      <c r="G2241" s="450" t="str">
        <f t="shared" si="110"/>
        <v>--</v>
      </c>
      <c r="H2241" s="182"/>
      <c r="I2241" s="892"/>
      <c r="J2241" s="892"/>
      <c r="K2241" s="182"/>
      <c r="L2241" s="182"/>
      <c r="M2241" s="901" t="s">
        <v>155</v>
      </c>
      <c r="N2241" s="870" t="s">
        <v>188</v>
      </c>
      <c r="O2241" s="870"/>
      <c r="P2241" s="271" t="s">
        <v>203</v>
      </c>
      <c r="Q2241" s="871" t="s">
        <v>155</v>
      </c>
      <c r="R2241" s="114"/>
      <c r="S2241" s="114"/>
      <c r="T2241" s="907" t="s">
        <v>156</v>
      </c>
      <c r="U2241" s="114"/>
      <c r="V2241" s="114"/>
      <c r="W2241" s="114"/>
      <c r="X2241" s="114"/>
      <c r="Y2241" s="114"/>
      <c r="Z2241" s="114"/>
      <c r="AA2241" s="884"/>
    </row>
    <row r="2242" spans="3:27" ht="15" thickBot="1" x14ac:dyDescent="0.35">
      <c r="C2242" s="566" t="s">
        <v>98</v>
      </c>
      <c r="D2242" s="875" t="str">
        <f>VLOOKUP(C2242,'Airport Mapping'!$C$5:$D$39,2,FALSE)</f>
        <v xml:space="preserve"> </v>
      </c>
      <c r="E2242" s="567" t="s">
        <v>38</v>
      </c>
      <c r="F2242" s="567" t="s">
        <v>41</v>
      </c>
      <c r="G2242" s="450" t="str">
        <f t="shared" si="110"/>
        <v>Hotel C-Food Service-Dishwashers</v>
      </c>
      <c r="H2242" s="567" t="s">
        <v>118</v>
      </c>
      <c r="I2242" s="877" t="s">
        <v>64</v>
      </c>
      <c r="J2242" s="878">
        <f>SUMIFS('Level of Efficiency Assumptions'!J:J,'Level of Efficiency Assumptions'!D:D,E2242,'Level of Efficiency Assumptions'!F:F,F2242,'Level of Efficiency Assumptions'!I:I,I2242)</f>
        <v>4.5</v>
      </c>
      <c r="K2242" s="383" t="s">
        <v>203</v>
      </c>
      <c r="L2242" s="253" t="s">
        <v>64</v>
      </c>
      <c r="M2242" s="879">
        <f>SUM(Q2242:Q2244)</f>
        <v>0</v>
      </c>
      <c r="N2242" s="880">
        <f>IFERROR(M2242/M2245,"-")</f>
        <v>0</v>
      </c>
      <c r="O2242" s="881">
        <f>SUMIFS('Data Entry'!R:R,'Data Entry'!K:K,G2242)</f>
        <v>0</v>
      </c>
      <c r="P2242" s="266" t="s">
        <v>204</v>
      </c>
      <c r="Q2242" s="895">
        <v>0</v>
      </c>
      <c r="R2242" s="114"/>
      <c r="S2242" s="905" t="s">
        <v>200</v>
      </c>
      <c r="T2242" s="895">
        <v>1</v>
      </c>
      <c r="U2242" s="114"/>
      <c r="V2242" s="114" t="s">
        <v>218</v>
      </c>
      <c r="W2242" s="114"/>
      <c r="X2242" s="114"/>
      <c r="Y2242" s="114"/>
      <c r="Z2242" s="114"/>
      <c r="AA2242" s="884"/>
    </row>
    <row r="2243" spans="3:27" ht="15" thickBot="1" x14ac:dyDescent="0.35">
      <c r="C2243" s="494" t="s">
        <v>98</v>
      </c>
      <c r="D2243" s="577"/>
      <c r="E2243" s="577" t="s">
        <v>38</v>
      </c>
      <c r="F2243" s="577" t="s">
        <v>41</v>
      </c>
      <c r="G2243" s="450" t="str">
        <f t="shared" si="110"/>
        <v>Hotel C-Food Service-Dishwashers</v>
      </c>
      <c r="H2243" s="577"/>
      <c r="I2243" s="887" t="s">
        <v>65</v>
      </c>
      <c r="J2243" s="878">
        <f>SUMIFS('Level of Efficiency Assumptions'!J:J,'Level of Efficiency Assumptions'!D:D,E2243,'Level of Efficiency Assumptions'!F:F,F2243,'Level of Efficiency Assumptions'!I:I,I2243)</f>
        <v>2.5</v>
      </c>
      <c r="K2243" s="383" t="s">
        <v>203</v>
      </c>
      <c r="L2243" s="255" t="s">
        <v>65</v>
      </c>
      <c r="M2243" s="879">
        <f>Q2245+Q2246</f>
        <v>1</v>
      </c>
      <c r="N2243" s="880">
        <f>IFERROR(M2243/M2245,"-")</f>
        <v>1</v>
      </c>
      <c r="O2243" s="881">
        <f>SUMIFS('Data Entry'!S:S,'Data Entry'!K:K,G2243)</f>
        <v>0</v>
      </c>
      <c r="P2243" s="272" t="s">
        <v>205</v>
      </c>
      <c r="Q2243" s="895">
        <v>0</v>
      </c>
      <c r="R2243" s="114"/>
      <c r="S2243" s="908" t="s">
        <v>201</v>
      </c>
      <c r="T2243" s="895">
        <v>1</v>
      </c>
      <c r="U2243" s="114"/>
      <c r="V2243" s="114"/>
      <c r="W2243" s="114"/>
      <c r="X2243" s="114"/>
      <c r="Y2243" s="114"/>
      <c r="Z2243" s="114"/>
      <c r="AA2243" s="884"/>
    </row>
    <row r="2244" spans="3:27" ht="15" thickBot="1" x14ac:dyDescent="0.35">
      <c r="C2244" s="501" t="s">
        <v>98</v>
      </c>
      <c r="D2244" s="116"/>
      <c r="E2244" s="116" t="s">
        <v>38</v>
      </c>
      <c r="F2244" s="116" t="s">
        <v>41</v>
      </c>
      <c r="G2244" s="450" t="str">
        <f t="shared" si="110"/>
        <v>Hotel C-Food Service-Dishwashers</v>
      </c>
      <c r="H2244" s="116"/>
      <c r="I2244" s="889" t="s">
        <v>66</v>
      </c>
      <c r="J2244" s="890">
        <f>SUMIFS('Level of Efficiency Assumptions'!J:J,'Level of Efficiency Assumptions'!D:D,E2244,'Level of Efficiency Assumptions'!F:F,F2244,'Level of Efficiency Assumptions'!I:I,I2244)</f>
        <v>1</v>
      </c>
      <c r="K2244" s="383" t="s">
        <v>203</v>
      </c>
      <c r="L2244" s="257" t="s">
        <v>66</v>
      </c>
      <c r="M2244" s="879">
        <f>Q2247+Q2248</f>
        <v>0</v>
      </c>
      <c r="N2244" s="880">
        <f>IFERROR(M2244/M2245,"-")</f>
        <v>0</v>
      </c>
      <c r="O2244" s="881">
        <f>SUMIFS('Data Entry'!T:T,'Data Entry'!K:K,G2244)</f>
        <v>0</v>
      </c>
      <c r="P2244" s="272" t="s">
        <v>206</v>
      </c>
      <c r="Q2244" s="895">
        <v>0</v>
      </c>
      <c r="R2244" s="114"/>
      <c r="S2244" s="908" t="s">
        <v>202</v>
      </c>
      <c r="T2244" s="895">
        <v>1</v>
      </c>
      <c r="U2244" s="114"/>
      <c r="V2244" s="114"/>
      <c r="W2244" s="114"/>
      <c r="X2244" s="114"/>
      <c r="Y2244" s="114"/>
      <c r="Z2244" s="114"/>
      <c r="AA2244" s="884"/>
    </row>
    <row r="2245" spans="3:27" x14ac:dyDescent="0.3">
      <c r="C2245" s="450"/>
      <c r="D2245" s="182"/>
      <c r="E2245" s="182"/>
      <c r="F2245" s="182"/>
      <c r="G2245" s="450" t="str">
        <f t="shared" si="110"/>
        <v>--</v>
      </c>
      <c r="H2245" s="182"/>
      <c r="I2245" s="440"/>
      <c r="J2245" s="892"/>
      <c r="K2245" s="259"/>
      <c r="L2245" s="259" t="s">
        <v>46</v>
      </c>
      <c r="M2245" s="893">
        <f>SUM(M2242:M2244)</f>
        <v>1</v>
      </c>
      <c r="N2245" s="894"/>
      <c r="O2245" s="894">
        <f>SUM(O2242:O2244)</f>
        <v>0</v>
      </c>
      <c r="P2245" s="267" t="s">
        <v>207</v>
      </c>
      <c r="Q2245" s="895">
        <v>1</v>
      </c>
      <c r="R2245" s="114"/>
      <c r="S2245" s="908" t="s">
        <v>199</v>
      </c>
      <c r="T2245" s="895">
        <v>1</v>
      </c>
      <c r="U2245" s="114"/>
      <c r="V2245" s="114"/>
      <c r="W2245" s="114"/>
      <c r="X2245" s="114"/>
      <c r="Y2245" s="114"/>
      <c r="Z2245" s="114"/>
      <c r="AA2245" s="884"/>
    </row>
    <row r="2246" spans="3:27" x14ac:dyDescent="0.3">
      <c r="C2246" s="450"/>
      <c r="D2246" s="182"/>
      <c r="E2246" s="182"/>
      <c r="F2246" s="182"/>
      <c r="G2246" s="450" t="str">
        <f t="shared" si="110"/>
        <v>--</v>
      </c>
      <c r="H2246" s="182"/>
      <c r="I2246" s="892"/>
      <c r="J2246" s="288"/>
      <c r="K2246" s="182"/>
      <c r="L2246" s="182"/>
      <c r="M2246" s="270"/>
      <c r="N2246" s="892"/>
      <c r="O2246" s="892"/>
      <c r="P2246" s="267" t="s">
        <v>208</v>
      </c>
      <c r="Q2246" s="895">
        <v>0</v>
      </c>
      <c r="R2246" s="114"/>
      <c r="S2246" s="909" t="s">
        <v>198</v>
      </c>
      <c r="T2246" s="895">
        <v>1</v>
      </c>
      <c r="U2246" s="114"/>
      <c r="V2246" s="114"/>
      <c r="W2246" s="114"/>
      <c r="X2246" s="114"/>
      <c r="Y2246" s="114"/>
      <c r="Z2246" s="114"/>
      <c r="AA2246" s="884"/>
    </row>
    <row r="2247" spans="3:27" x14ac:dyDescent="0.3">
      <c r="C2247" s="450"/>
      <c r="D2247" s="182"/>
      <c r="E2247" s="182"/>
      <c r="F2247" s="182"/>
      <c r="G2247" s="450" t="str">
        <f t="shared" si="110"/>
        <v>--</v>
      </c>
      <c r="H2247" s="182"/>
      <c r="I2247" s="892"/>
      <c r="J2247" s="288"/>
      <c r="K2247" s="182"/>
      <c r="L2247" s="182"/>
      <c r="M2247" s="270"/>
      <c r="N2247" s="892"/>
      <c r="O2247" s="892"/>
      <c r="P2247" s="269" t="s">
        <v>209</v>
      </c>
      <c r="Q2247" s="895">
        <v>0</v>
      </c>
      <c r="R2247" s="114"/>
      <c r="S2247" s="905" t="s">
        <v>197</v>
      </c>
      <c r="T2247" s="895">
        <v>1</v>
      </c>
      <c r="U2247" s="114"/>
      <c r="V2247" s="114"/>
      <c r="W2247" s="114"/>
      <c r="X2247" s="114"/>
      <c r="Y2247" s="114"/>
      <c r="Z2247" s="114"/>
      <c r="AA2247" s="884"/>
    </row>
    <row r="2248" spans="3:27" x14ac:dyDescent="0.3">
      <c r="C2248" s="450"/>
      <c r="D2248" s="182"/>
      <c r="E2248" s="182"/>
      <c r="F2248" s="182"/>
      <c r="G2248" s="450" t="str">
        <f t="shared" si="110"/>
        <v>--</v>
      </c>
      <c r="H2248" s="182"/>
      <c r="I2248" s="892"/>
      <c r="J2248" s="288"/>
      <c r="K2248" s="182"/>
      <c r="L2248" s="182"/>
      <c r="M2248" s="270"/>
      <c r="N2248" s="892"/>
      <c r="O2248" s="892"/>
      <c r="P2248" s="269" t="s">
        <v>210</v>
      </c>
      <c r="Q2248" s="895">
        <v>0</v>
      </c>
      <c r="R2248" s="114"/>
      <c r="S2248" s="114" t="s">
        <v>216</v>
      </c>
      <c r="T2248" s="910">
        <f>(T2242*55)+(T2243*45)+(T2244*35)+(T2245*25)+(T2246*15)+(T2247*5)</f>
        <v>180</v>
      </c>
      <c r="U2248" s="1393" t="s">
        <v>217</v>
      </c>
      <c r="V2248" s="1393"/>
      <c r="W2248" s="1393"/>
      <c r="X2248" s="114"/>
      <c r="Y2248" s="114"/>
      <c r="Z2248" s="114"/>
      <c r="AA2248" s="884"/>
    </row>
    <row r="2249" spans="3:27" x14ac:dyDescent="0.3">
      <c r="C2249" s="450"/>
      <c r="D2249" s="182"/>
      <c r="E2249" s="182"/>
      <c r="F2249" s="182"/>
      <c r="G2249" s="450" t="str">
        <f t="shared" si="110"/>
        <v>--</v>
      </c>
      <c r="H2249" s="182"/>
      <c r="I2249" s="892"/>
      <c r="J2249" s="288"/>
      <c r="K2249" s="182"/>
      <c r="L2249" s="182"/>
      <c r="M2249" s="270"/>
      <c r="N2249" s="892"/>
      <c r="O2249" s="892"/>
      <c r="P2249" s="263" t="s">
        <v>46</v>
      </c>
      <c r="Q2249" s="897">
        <f>SUM(Q2242:Q2248)</f>
        <v>1</v>
      </c>
      <c r="R2249" s="899"/>
      <c r="S2249" s="899"/>
      <c r="T2249" s="899"/>
      <c r="U2249" s="1394"/>
      <c r="V2249" s="1394"/>
      <c r="W2249" s="1394"/>
      <c r="X2249" s="899"/>
      <c r="Y2249" s="899"/>
      <c r="Z2249" s="899"/>
      <c r="AA2249" s="900"/>
    </row>
    <row r="2250" spans="3:27" x14ac:dyDescent="0.3">
      <c r="C2250" s="450"/>
      <c r="D2250" s="182"/>
      <c r="E2250" s="182"/>
      <c r="F2250" s="182"/>
      <c r="G2250" s="450" t="str">
        <f t="shared" ref="G2250:G2304" si="112">C2250&amp;"-"&amp;E2250&amp;"-"&amp;F2250</f>
        <v>--</v>
      </c>
      <c r="H2250" s="182"/>
      <c r="I2250" s="892"/>
      <c r="J2250" s="288"/>
      <c r="K2250" s="182"/>
      <c r="L2250" s="182"/>
      <c r="M2250" s="270"/>
      <c r="N2250" s="892"/>
      <c r="O2250" s="892"/>
      <c r="P2250" s="114"/>
      <c r="Q2250" s="114"/>
      <c r="R2250" s="114"/>
      <c r="S2250" s="114"/>
      <c r="T2250" s="114"/>
      <c r="U2250" s="114"/>
      <c r="V2250" s="114"/>
      <c r="W2250" s="114"/>
      <c r="X2250" s="270"/>
      <c r="Y2250" s="270"/>
      <c r="Z2250" s="270"/>
      <c r="AA2250" s="270"/>
    </row>
    <row r="2251" spans="3:27" x14ac:dyDescent="0.3">
      <c r="C2251" s="450"/>
      <c r="D2251" s="182"/>
      <c r="E2251" s="182"/>
      <c r="F2251" s="182"/>
      <c r="G2251" s="450" t="str">
        <f t="shared" si="112"/>
        <v>--</v>
      </c>
      <c r="H2251" s="182"/>
      <c r="I2251" s="892"/>
      <c r="J2251" s="288"/>
      <c r="K2251" s="182"/>
      <c r="L2251" s="182"/>
      <c r="M2251" s="270"/>
      <c r="N2251" s="892"/>
      <c r="O2251" s="892"/>
      <c r="P2251" s="268" t="s">
        <v>174</v>
      </c>
      <c r="Q2251" s="911"/>
      <c r="R2251" s="872"/>
      <c r="S2251" s="874"/>
      <c r="T2251" s="270"/>
      <c r="U2251" s="270"/>
      <c r="V2251" s="270"/>
      <c r="W2251" s="270"/>
      <c r="X2251" s="270"/>
      <c r="Y2251" s="270"/>
      <c r="Z2251" s="270"/>
      <c r="AA2251" s="270"/>
    </row>
    <row r="2252" spans="3:27" ht="15" thickBot="1" x14ac:dyDescent="0.35">
      <c r="C2252" s="450"/>
      <c r="D2252" s="182"/>
      <c r="E2252" s="182"/>
      <c r="F2252" s="182"/>
      <c r="G2252" s="450" t="str">
        <f t="shared" si="112"/>
        <v>--</v>
      </c>
      <c r="H2252" s="182"/>
      <c r="I2252" s="892"/>
      <c r="J2252" s="892"/>
      <c r="K2252" s="182"/>
      <c r="L2252" s="182"/>
      <c r="M2252" s="901" t="s">
        <v>155</v>
      </c>
      <c r="N2252" s="870" t="s">
        <v>188</v>
      </c>
      <c r="O2252" s="870"/>
      <c r="P2252" s="273" t="s">
        <v>220</v>
      </c>
      <c r="Q2252" s="871" t="s">
        <v>155</v>
      </c>
      <c r="R2252" s="114"/>
      <c r="S2252" s="884"/>
      <c r="T2252" s="270"/>
      <c r="U2252" s="270"/>
      <c r="V2252" s="270"/>
      <c r="W2252" s="270"/>
      <c r="X2252" s="270"/>
      <c r="Y2252" s="270"/>
      <c r="Z2252" s="270"/>
      <c r="AA2252" s="270"/>
    </row>
    <row r="2253" spans="3:27" ht="15" thickBot="1" x14ac:dyDescent="0.35">
      <c r="C2253" s="566" t="s">
        <v>98</v>
      </c>
      <c r="D2253" s="875" t="str">
        <f>VLOOKUP(C2253,'Airport Mapping'!$C$5:$D$39,2,FALSE)</f>
        <v xml:space="preserve"> </v>
      </c>
      <c r="E2253" s="567" t="s">
        <v>38</v>
      </c>
      <c r="F2253" s="567" t="s">
        <v>20</v>
      </c>
      <c r="G2253" s="450" t="str">
        <f t="shared" si="112"/>
        <v>Hotel C-Food Service-Ice machines</v>
      </c>
      <c r="H2253" s="567" t="s">
        <v>17</v>
      </c>
      <c r="I2253" s="877" t="s">
        <v>64</v>
      </c>
      <c r="J2253" s="878">
        <f>SUMIFS('Level of Efficiency Assumptions'!J:J,'Level of Efficiency Assumptions'!D:D,E2253,'Level of Efficiency Assumptions'!F:F,F2253,'Level of Efficiency Assumptions'!I:I,I2253)</f>
        <v>1.5</v>
      </c>
      <c r="K2253" s="383" t="s">
        <v>220</v>
      </c>
      <c r="L2253" s="253" t="s">
        <v>64</v>
      </c>
      <c r="M2253" s="879">
        <f>SUM(Q2253:Q2255)</f>
        <v>0</v>
      </c>
      <c r="N2253" s="880">
        <f>IFERROR(M2253/M2256,"-")</f>
        <v>0</v>
      </c>
      <c r="O2253" s="881">
        <f>SUMIFS('Data Entry'!R:R,'Data Entry'!K:K,G2253)</f>
        <v>0</v>
      </c>
      <c r="P2253" s="266" t="s">
        <v>204</v>
      </c>
      <c r="Q2253" s="895">
        <v>0</v>
      </c>
      <c r="R2253" s="114"/>
      <c r="S2253" s="884"/>
      <c r="T2253" s="270"/>
      <c r="U2253" s="270"/>
      <c r="V2253" s="270"/>
      <c r="W2253" s="912"/>
      <c r="X2253" s="270"/>
      <c r="Y2253" s="270"/>
      <c r="Z2253" s="270"/>
      <c r="AA2253" s="270"/>
    </row>
    <row r="2254" spans="3:27" ht="15" thickBot="1" x14ac:dyDescent="0.35">
      <c r="C2254" s="494" t="s">
        <v>98</v>
      </c>
      <c r="D2254" s="577"/>
      <c r="E2254" s="577" t="s">
        <v>38</v>
      </c>
      <c r="F2254" s="577" t="s">
        <v>20</v>
      </c>
      <c r="G2254" s="450" t="str">
        <f t="shared" si="112"/>
        <v>Hotel C-Food Service-Ice machines</v>
      </c>
      <c r="H2254" s="577"/>
      <c r="I2254" s="887" t="s">
        <v>65</v>
      </c>
      <c r="J2254" s="878">
        <f>SUMIFS('Level of Efficiency Assumptions'!J:J,'Level of Efficiency Assumptions'!D:D,E2254,'Level of Efficiency Assumptions'!F:F,F2254,'Level of Efficiency Assumptions'!I:I,I2254)</f>
        <v>0.25</v>
      </c>
      <c r="K2254" s="383" t="s">
        <v>220</v>
      </c>
      <c r="L2254" s="255" t="s">
        <v>65</v>
      </c>
      <c r="M2254" s="879">
        <f>Q2256+Q2257</f>
        <v>1</v>
      </c>
      <c r="N2254" s="880">
        <f>IFERROR(M2254/M2256,"-")</f>
        <v>1</v>
      </c>
      <c r="O2254" s="881">
        <f>SUMIFS('Data Entry'!S:S,'Data Entry'!K:K,G2254)</f>
        <v>0</v>
      </c>
      <c r="P2254" s="272" t="s">
        <v>205</v>
      </c>
      <c r="Q2254" s="895">
        <v>0</v>
      </c>
      <c r="R2254" s="114"/>
      <c r="S2254" s="884"/>
      <c r="T2254" s="270"/>
      <c r="U2254" s="270"/>
      <c r="V2254" s="270"/>
      <c r="W2254" s="912"/>
      <c r="X2254" s="270"/>
      <c r="Y2254" s="270"/>
      <c r="Z2254" s="270"/>
      <c r="AA2254" s="270"/>
    </row>
    <row r="2255" spans="3:27" ht="15" thickBot="1" x14ac:dyDescent="0.35">
      <c r="C2255" s="501" t="s">
        <v>98</v>
      </c>
      <c r="D2255" s="116"/>
      <c r="E2255" s="116" t="s">
        <v>38</v>
      </c>
      <c r="F2255" s="116" t="s">
        <v>20</v>
      </c>
      <c r="G2255" s="450" t="str">
        <f t="shared" si="112"/>
        <v>Hotel C-Food Service-Ice machines</v>
      </c>
      <c r="H2255" s="116"/>
      <c r="I2255" s="889" t="s">
        <v>66</v>
      </c>
      <c r="J2255" s="890">
        <f>SUMIFS('Level of Efficiency Assumptions'!J:J,'Level of Efficiency Assumptions'!D:D,E2255,'Level of Efficiency Assumptions'!F:F,F2255,'Level of Efficiency Assumptions'!I:I,I2255)</f>
        <v>0.12</v>
      </c>
      <c r="K2255" s="383" t="s">
        <v>220</v>
      </c>
      <c r="L2255" s="257" t="s">
        <v>66</v>
      </c>
      <c r="M2255" s="879">
        <f>Q2258+Q2259</f>
        <v>0</v>
      </c>
      <c r="N2255" s="880">
        <f>IFERROR(M2255/M2256,"-")</f>
        <v>0</v>
      </c>
      <c r="O2255" s="881">
        <f>SUMIFS('Data Entry'!T:T,'Data Entry'!K:K,G2255)</f>
        <v>0</v>
      </c>
      <c r="P2255" s="272" t="s">
        <v>206</v>
      </c>
      <c r="Q2255" s="895">
        <v>0</v>
      </c>
      <c r="R2255" s="114"/>
      <c r="S2255" s="884"/>
      <c r="T2255" s="270"/>
      <c r="U2255" s="270"/>
      <c r="V2255" s="270"/>
      <c r="W2255" s="280"/>
      <c r="X2255" s="270"/>
      <c r="Y2255" s="270"/>
      <c r="Z2255" s="270"/>
      <c r="AA2255" s="270"/>
    </row>
    <row r="2256" spans="3:27" x14ac:dyDescent="0.3">
      <c r="C2256" s="450"/>
      <c r="D2256" s="182"/>
      <c r="E2256" s="182"/>
      <c r="F2256" s="182"/>
      <c r="G2256" s="450" t="str">
        <f t="shared" si="112"/>
        <v>--</v>
      </c>
      <c r="H2256" s="182"/>
      <c r="I2256" s="440"/>
      <c r="J2256" s="892"/>
      <c r="K2256" s="259"/>
      <c r="L2256" s="259" t="s">
        <v>46</v>
      </c>
      <c r="M2256" s="893">
        <f>SUM(M2253:M2255)</f>
        <v>1</v>
      </c>
      <c r="N2256" s="894"/>
      <c r="O2256" s="894">
        <f>SUM(O2253:O2255)</f>
        <v>0</v>
      </c>
      <c r="P2256" s="274" t="s">
        <v>228</v>
      </c>
      <c r="Q2256" s="895">
        <v>1</v>
      </c>
      <c r="R2256" s="114"/>
      <c r="S2256" s="884"/>
      <c r="T2256" s="270"/>
      <c r="U2256" s="270"/>
      <c r="V2256" s="270"/>
      <c r="W2256" s="270"/>
      <c r="X2256" s="270"/>
      <c r="Y2256" s="270"/>
      <c r="Z2256" s="270"/>
      <c r="AA2256" s="270"/>
    </row>
    <row r="2257" spans="3:27" x14ac:dyDescent="0.3">
      <c r="C2257" s="450"/>
      <c r="D2257" s="182"/>
      <c r="E2257" s="182"/>
      <c r="F2257" s="182"/>
      <c r="G2257" s="450" t="str">
        <f t="shared" si="112"/>
        <v>--</v>
      </c>
      <c r="H2257" s="182"/>
      <c r="I2257" s="892"/>
      <c r="J2257" s="288"/>
      <c r="K2257" s="182"/>
      <c r="L2257" s="182"/>
      <c r="M2257" s="270"/>
      <c r="N2257" s="892"/>
      <c r="O2257" s="892"/>
      <c r="P2257" s="274" t="s">
        <v>227</v>
      </c>
      <c r="Q2257" s="895">
        <v>0</v>
      </c>
      <c r="R2257" s="114"/>
      <c r="S2257" s="884"/>
      <c r="T2257" s="270"/>
      <c r="U2257" s="270"/>
      <c r="V2257" s="270"/>
      <c r="W2257" s="270"/>
      <c r="X2257" s="270"/>
      <c r="Y2257" s="270"/>
      <c r="Z2257" s="270"/>
      <c r="AA2257" s="270"/>
    </row>
    <row r="2258" spans="3:27" x14ac:dyDescent="0.3">
      <c r="C2258" s="450"/>
      <c r="D2258" s="182"/>
      <c r="E2258" s="182"/>
      <c r="F2258" s="182"/>
      <c r="G2258" s="450" t="str">
        <f t="shared" si="112"/>
        <v>--</v>
      </c>
      <c r="H2258" s="182"/>
      <c r="I2258" s="892"/>
      <c r="J2258" s="288"/>
      <c r="K2258" s="182"/>
      <c r="L2258" s="182"/>
      <c r="M2258" s="270"/>
      <c r="N2258" s="892"/>
      <c r="O2258" s="892"/>
      <c r="P2258" s="275" t="s">
        <v>226</v>
      </c>
      <c r="Q2258" s="895">
        <v>0</v>
      </c>
      <c r="R2258" s="114"/>
      <c r="S2258" s="884"/>
      <c r="T2258" s="270"/>
      <c r="U2258" s="270"/>
      <c r="V2258" s="270"/>
      <c r="W2258" s="270"/>
      <c r="X2258" s="270"/>
      <c r="Y2258" s="270"/>
      <c r="Z2258" s="270"/>
      <c r="AA2258" s="270"/>
    </row>
    <row r="2259" spans="3:27" x14ac:dyDescent="0.3">
      <c r="C2259" s="450"/>
      <c r="D2259" s="182"/>
      <c r="E2259" s="182"/>
      <c r="F2259" s="182"/>
      <c r="G2259" s="450" t="str">
        <f t="shared" si="112"/>
        <v>--</v>
      </c>
      <c r="H2259" s="182"/>
      <c r="I2259" s="892"/>
      <c r="J2259" s="288"/>
      <c r="K2259" s="182"/>
      <c r="L2259" s="182"/>
      <c r="M2259" s="270"/>
      <c r="N2259" s="892"/>
      <c r="O2259" s="892"/>
      <c r="P2259" s="269" t="s">
        <v>225</v>
      </c>
      <c r="Q2259" s="895">
        <v>0</v>
      </c>
      <c r="R2259" s="114"/>
      <c r="S2259" s="884"/>
      <c r="T2259" s="270"/>
      <c r="U2259" s="270"/>
      <c r="V2259" s="270"/>
      <c r="W2259" s="270"/>
      <c r="X2259" s="270"/>
      <c r="Y2259" s="270"/>
      <c r="Z2259" s="270"/>
      <c r="AA2259" s="270"/>
    </row>
    <row r="2260" spans="3:27" x14ac:dyDescent="0.3">
      <c r="C2260" s="450"/>
      <c r="D2260" s="182"/>
      <c r="E2260" s="182"/>
      <c r="F2260" s="182"/>
      <c r="G2260" s="450" t="str">
        <f t="shared" si="112"/>
        <v>--</v>
      </c>
      <c r="H2260" s="182"/>
      <c r="I2260" s="892"/>
      <c r="J2260" s="288"/>
      <c r="K2260" s="182"/>
      <c r="L2260" s="182"/>
      <c r="M2260" s="270"/>
      <c r="N2260" s="892"/>
      <c r="O2260" s="892"/>
      <c r="P2260" s="263" t="s">
        <v>46</v>
      </c>
      <c r="Q2260" s="897">
        <f>SUM(Q2253:Q2259)</f>
        <v>1</v>
      </c>
      <c r="R2260" s="899"/>
      <c r="S2260" s="900"/>
      <c r="T2260" s="270"/>
      <c r="U2260" s="270"/>
      <c r="V2260" s="270"/>
      <c r="W2260" s="270"/>
      <c r="X2260" s="270"/>
      <c r="Y2260" s="270"/>
      <c r="Z2260" s="270"/>
      <c r="AA2260" s="270"/>
    </row>
    <row r="2261" spans="3:27" x14ac:dyDescent="0.3">
      <c r="C2261" s="450"/>
      <c r="D2261" s="182"/>
      <c r="E2261" s="182"/>
      <c r="F2261" s="182"/>
      <c r="G2261" s="450" t="str">
        <f t="shared" si="112"/>
        <v>--</v>
      </c>
      <c r="H2261" s="182"/>
      <c r="I2261" s="892"/>
      <c r="J2261" s="288"/>
      <c r="K2261" s="182"/>
      <c r="L2261" s="182"/>
      <c r="M2261" s="270"/>
      <c r="N2261" s="892"/>
      <c r="O2261" s="892"/>
      <c r="P2261" s="270"/>
      <c r="Q2261" s="270"/>
      <c r="R2261" s="270"/>
      <c r="S2261" s="270"/>
      <c r="T2261" s="270"/>
      <c r="U2261" s="270"/>
      <c r="V2261" s="270"/>
      <c r="W2261" s="270"/>
      <c r="X2261" s="270"/>
      <c r="Y2261" s="270"/>
      <c r="Z2261" s="270"/>
      <c r="AA2261" s="270"/>
    </row>
    <row r="2262" spans="3:27" ht="15" thickBot="1" x14ac:dyDescent="0.35">
      <c r="C2262" s="450"/>
      <c r="D2262" s="182"/>
      <c r="E2262" s="182"/>
      <c r="F2262" s="182"/>
      <c r="G2262" s="450" t="str">
        <f t="shared" si="112"/>
        <v>--</v>
      </c>
      <c r="H2262" s="182"/>
      <c r="I2262" s="892"/>
      <c r="J2262" s="892"/>
      <c r="K2262" s="182"/>
      <c r="L2262" s="182"/>
      <c r="M2262" s="901" t="s">
        <v>155</v>
      </c>
      <c r="N2262" s="870" t="s">
        <v>188</v>
      </c>
      <c r="O2262" s="870"/>
      <c r="P2262" s="276" t="s">
        <v>111</v>
      </c>
      <c r="Q2262" s="871" t="s">
        <v>155</v>
      </c>
      <c r="R2262" s="902"/>
      <c r="S2262" s="874"/>
      <c r="T2262" s="270"/>
      <c r="U2262" s="270"/>
      <c r="V2262" s="270"/>
      <c r="W2262" s="270"/>
      <c r="X2262" s="270"/>
      <c r="Y2262" s="270"/>
      <c r="Z2262" s="270"/>
      <c r="AA2262" s="270"/>
    </row>
    <row r="2263" spans="3:27" ht="15" thickBot="1" x14ac:dyDescent="0.35">
      <c r="C2263" s="566" t="s">
        <v>98</v>
      </c>
      <c r="D2263" s="875" t="str">
        <f>VLOOKUP(C2263,'Airport Mapping'!$C$5:$D$39,2,FALSE)</f>
        <v xml:space="preserve"> </v>
      </c>
      <c r="E2263" s="567" t="s">
        <v>43</v>
      </c>
      <c r="F2263" s="567" t="s">
        <v>111</v>
      </c>
      <c r="G2263" s="450" t="str">
        <f t="shared" si="112"/>
        <v>Hotel C-Maintenance-Boiler</v>
      </c>
      <c r="H2263" s="567" t="s">
        <v>424</v>
      </c>
      <c r="I2263" s="877" t="s">
        <v>64</v>
      </c>
      <c r="J2263" s="878">
        <f>SUMIFS('Level of Efficiency Assumptions'!J:J,'Level of Efficiency Assumptions'!D:D,E2263,'Level of Efficiency Assumptions'!F:F,F2263,'Level of Efficiency Assumptions'!I:I,I2263)</f>
        <v>100</v>
      </c>
      <c r="K2263" s="383" t="s">
        <v>585</v>
      </c>
      <c r="L2263" s="253" t="s">
        <v>64</v>
      </c>
      <c r="M2263" s="879">
        <f>SUM(Q2263:Q2264)</f>
        <v>0</v>
      </c>
      <c r="N2263" s="880">
        <f>IFERROR(M2263/M2266,"-")</f>
        <v>0</v>
      </c>
      <c r="O2263" s="881">
        <f>SUMIFS('Data Entry'!R:R,'Data Entry'!K:K,G2263)</f>
        <v>0</v>
      </c>
      <c r="P2263" s="272"/>
      <c r="Q2263" s="895">
        <v>0</v>
      </c>
      <c r="R2263" s="114"/>
      <c r="S2263" s="884"/>
      <c r="T2263" s="270"/>
      <c r="U2263" s="270"/>
      <c r="V2263" s="270"/>
      <c r="W2263" s="270"/>
      <c r="X2263" s="270"/>
      <c r="Y2263" s="270"/>
      <c r="Z2263" s="270"/>
      <c r="AA2263" s="270"/>
    </row>
    <row r="2264" spans="3:27" ht="15" thickBot="1" x14ac:dyDescent="0.35">
      <c r="C2264" s="494" t="s">
        <v>98</v>
      </c>
      <c r="D2264" s="577"/>
      <c r="E2264" s="577" t="s">
        <v>43</v>
      </c>
      <c r="F2264" s="577" t="s">
        <v>111</v>
      </c>
      <c r="G2264" s="450" t="str">
        <f t="shared" si="112"/>
        <v>Hotel C-Maintenance-Boiler</v>
      </c>
      <c r="H2264" s="577"/>
      <c r="I2264" s="887" t="s">
        <v>65</v>
      </c>
      <c r="J2264" s="878">
        <f>SUMIFS('Level of Efficiency Assumptions'!J:J,'Level of Efficiency Assumptions'!D:D,E2264,'Level of Efficiency Assumptions'!F:F,F2264,'Level of Efficiency Assumptions'!I:I,I2264)</f>
        <v>75</v>
      </c>
      <c r="K2264" s="383" t="s">
        <v>585</v>
      </c>
      <c r="L2264" s="255" t="s">
        <v>65</v>
      </c>
      <c r="M2264" s="879">
        <f>Q2265+Q2266</f>
        <v>1</v>
      </c>
      <c r="N2264" s="880">
        <f>IFERROR(M2264/M2266,"-")</f>
        <v>1</v>
      </c>
      <c r="O2264" s="881">
        <f>SUMIFS('Data Entry'!S:S,'Data Entry'!K:K,G2264)</f>
        <v>0</v>
      </c>
      <c r="P2264" s="272"/>
      <c r="Q2264" s="895">
        <v>0</v>
      </c>
      <c r="R2264" s="114"/>
      <c r="S2264" s="884"/>
      <c r="T2264" s="270"/>
      <c r="U2264" s="114"/>
      <c r="V2264" s="114"/>
      <c r="W2264" s="270"/>
      <c r="X2264" s="270"/>
      <c r="Y2264" s="270"/>
      <c r="Z2264" s="270"/>
      <c r="AA2264" s="270"/>
    </row>
    <row r="2265" spans="3:27" ht="15" thickBot="1" x14ac:dyDescent="0.35">
      <c r="C2265" s="501" t="s">
        <v>98</v>
      </c>
      <c r="D2265" s="116"/>
      <c r="E2265" s="116" t="s">
        <v>43</v>
      </c>
      <c r="F2265" s="116" t="s">
        <v>111</v>
      </c>
      <c r="G2265" s="450" t="str">
        <f t="shared" si="112"/>
        <v>Hotel C-Maintenance-Boiler</v>
      </c>
      <c r="H2265" s="116"/>
      <c r="I2265" s="889" t="s">
        <v>66</v>
      </c>
      <c r="J2265" s="890">
        <f>SUMIFS('Level of Efficiency Assumptions'!J:J,'Level of Efficiency Assumptions'!D:D,E2265,'Level of Efficiency Assumptions'!F:F,F2265,'Level of Efficiency Assumptions'!I:I,I2265)</f>
        <v>50</v>
      </c>
      <c r="K2265" s="383" t="s">
        <v>585</v>
      </c>
      <c r="L2265" s="257" t="s">
        <v>66</v>
      </c>
      <c r="M2265" s="879">
        <f>Q2267+Q2268</f>
        <v>0</v>
      </c>
      <c r="N2265" s="880">
        <f>IFERROR(M2265/M2266,"-")</f>
        <v>0</v>
      </c>
      <c r="O2265" s="881">
        <f>SUMIFS('Data Entry'!T:T,'Data Entry'!K:K,G2265)</f>
        <v>0</v>
      </c>
      <c r="P2265" s="274"/>
      <c r="Q2265" s="895">
        <v>1</v>
      </c>
      <c r="R2265" s="114"/>
      <c r="S2265" s="884"/>
      <c r="T2265" s="270"/>
      <c r="U2265" s="114"/>
      <c r="V2265" s="114"/>
      <c r="W2265" s="270"/>
      <c r="X2265" s="270"/>
      <c r="Y2265" s="270"/>
      <c r="Z2265" s="270"/>
      <c r="AA2265" s="270"/>
    </row>
    <row r="2266" spans="3:27" x14ac:dyDescent="0.3">
      <c r="C2266" s="450"/>
      <c r="D2266" s="182"/>
      <c r="E2266" s="182"/>
      <c r="F2266" s="182"/>
      <c r="G2266" s="450" t="str">
        <f t="shared" si="112"/>
        <v>--</v>
      </c>
      <c r="H2266" s="182"/>
      <c r="I2266" s="440"/>
      <c r="J2266" s="892"/>
      <c r="K2266" s="259"/>
      <c r="L2266" s="259" t="s">
        <v>46</v>
      </c>
      <c r="M2266" s="893">
        <f>SUM(M2263:M2265)</f>
        <v>1</v>
      </c>
      <c r="N2266" s="894"/>
      <c r="O2266" s="894">
        <f>SUM(O2263:O2265)</f>
        <v>0</v>
      </c>
      <c r="P2266" s="274"/>
      <c r="Q2266" s="895">
        <v>0</v>
      </c>
      <c r="R2266" s="114"/>
      <c r="S2266" s="884"/>
      <c r="T2266" s="270"/>
      <c r="U2266" s="114"/>
      <c r="V2266" s="114"/>
      <c r="W2266" s="114"/>
      <c r="X2266" s="114"/>
      <c r="Y2266" s="270"/>
      <c r="Z2266" s="270"/>
      <c r="AA2266" s="270"/>
    </row>
    <row r="2267" spans="3:27" x14ac:dyDescent="0.3">
      <c r="C2267" s="450"/>
      <c r="D2267" s="182"/>
      <c r="E2267" s="182"/>
      <c r="F2267" s="182"/>
      <c r="G2267" s="450" t="str">
        <f t="shared" si="112"/>
        <v>--</v>
      </c>
      <c r="H2267" s="182"/>
      <c r="I2267" s="892"/>
      <c r="J2267" s="288"/>
      <c r="K2267" s="182"/>
      <c r="L2267" s="182"/>
      <c r="M2267" s="270"/>
      <c r="N2267" s="892"/>
      <c r="O2267" s="892"/>
      <c r="P2267" s="275"/>
      <c r="Q2267" s="895">
        <v>0</v>
      </c>
      <c r="R2267" s="114"/>
      <c r="S2267" s="884"/>
      <c r="T2267" s="270"/>
      <c r="U2267" s="114"/>
      <c r="V2267" s="114"/>
      <c r="W2267" s="114"/>
      <c r="X2267" s="114"/>
      <c r="Y2267" s="270"/>
      <c r="Z2267" s="270"/>
      <c r="AA2267" s="270"/>
    </row>
    <row r="2268" spans="3:27" x14ac:dyDescent="0.3">
      <c r="C2268" s="450"/>
      <c r="D2268" s="182"/>
      <c r="E2268" s="182"/>
      <c r="F2268" s="182"/>
      <c r="G2268" s="450" t="str">
        <f t="shared" si="112"/>
        <v>--</v>
      </c>
      <c r="H2268" s="182"/>
      <c r="I2268" s="892"/>
      <c r="J2268" s="288"/>
      <c r="K2268" s="182"/>
      <c r="L2268" s="182"/>
      <c r="M2268" s="270"/>
      <c r="N2268" s="892"/>
      <c r="O2268" s="892"/>
      <c r="P2268" s="269"/>
      <c r="Q2268" s="895">
        <v>0</v>
      </c>
      <c r="R2268" s="114"/>
      <c r="S2268" s="884"/>
      <c r="T2268" s="270"/>
      <c r="U2268" s="270"/>
      <c r="V2268" s="270"/>
      <c r="W2268" s="114"/>
      <c r="X2268" s="114"/>
      <c r="Y2268" s="270"/>
      <c r="Z2268" s="270"/>
      <c r="AA2268" s="270"/>
    </row>
    <row r="2269" spans="3:27" x14ac:dyDescent="0.3">
      <c r="C2269" s="450"/>
      <c r="D2269" s="182"/>
      <c r="E2269" s="182"/>
      <c r="F2269" s="182"/>
      <c r="G2269" s="450" t="str">
        <f t="shared" si="112"/>
        <v>--</v>
      </c>
      <c r="H2269" s="182"/>
      <c r="I2269" s="892"/>
      <c r="J2269" s="288"/>
      <c r="K2269" s="182"/>
      <c r="L2269" s="182"/>
      <c r="M2269" s="270"/>
      <c r="N2269" s="892"/>
      <c r="O2269" s="892"/>
      <c r="P2269" s="263" t="s">
        <v>46</v>
      </c>
      <c r="Q2269" s="897">
        <f>SUM(Q2263:Q2268)</f>
        <v>1</v>
      </c>
      <c r="R2269" s="899"/>
      <c r="S2269" s="900"/>
      <c r="T2269" s="270"/>
      <c r="U2269" s="270"/>
      <c r="V2269" s="270"/>
      <c r="W2269" s="114"/>
      <c r="X2269" s="114"/>
      <c r="Y2269" s="270"/>
      <c r="Z2269" s="270"/>
      <c r="AA2269" s="270"/>
    </row>
    <row r="2270" spans="3:27" x14ac:dyDescent="0.3">
      <c r="C2270" s="225"/>
      <c r="D2270" s="288"/>
      <c r="E2270" s="288"/>
      <c r="F2270" s="288"/>
      <c r="G2270" s="450" t="str">
        <f t="shared" si="112"/>
        <v>--</v>
      </c>
      <c r="H2270" s="182"/>
      <c r="I2270" s="892"/>
      <c r="J2270" s="288"/>
      <c r="K2270" s="182"/>
      <c r="L2270" s="182"/>
      <c r="M2270" s="270"/>
      <c r="N2270" s="892"/>
      <c r="O2270" s="892"/>
      <c r="P2270" s="259"/>
      <c r="Q2270" s="114"/>
      <c r="R2270" s="270"/>
      <c r="S2270" s="270"/>
      <c r="T2270" s="270"/>
      <c r="U2270" s="270"/>
      <c r="V2270" s="270"/>
      <c r="W2270" s="270"/>
      <c r="X2270" s="270"/>
      <c r="Y2270" s="270"/>
      <c r="Z2270" s="270"/>
      <c r="AA2270" s="270"/>
    </row>
    <row r="2271" spans="3:27" ht="15" thickBot="1" x14ac:dyDescent="0.35">
      <c r="C2271" s="225"/>
      <c r="D2271" s="182"/>
      <c r="E2271" s="182"/>
      <c r="F2271" s="182"/>
      <c r="G2271" s="450" t="str">
        <f t="shared" si="112"/>
        <v>--</v>
      </c>
      <c r="H2271" s="182"/>
      <c r="I2271" s="892"/>
      <c r="J2271" s="892"/>
      <c r="K2271" s="182"/>
      <c r="L2271" s="182"/>
      <c r="M2271" s="901" t="s">
        <v>155</v>
      </c>
      <c r="N2271" s="870" t="s">
        <v>188</v>
      </c>
      <c r="O2271" s="870"/>
      <c r="P2271" s="276" t="s">
        <v>34</v>
      </c>
      <c r="Q2271" s="871" t="s">
        <v>155</v>
      </c>
      <c r="R2271" s="902"/>
      <c r="S2271" s="874"/>
      <c r="T2271" s="270"/>
      <c r="U2271" s="270"/>
      <c r="V2271" s="270"/>
      <c r="W2271" s="270"/>
      <c r="X2271" s="270"/>
      <c r="Y2271" s="270"/>
      <c r="Z2271" s="270"/>
      <c r="AA2271" s="270"/>
    </row>
    <row r="2272" spans="3:27" ht="15" thickBot="1" x14ac:dyDescent="0.35">
      <c r="C2272" s="566" t="s">
        <v>98</v>
      </c>
      <c r="D2272" s="875" t="str">
        <f>VLOOKUP(C2272,'Airport Mapping'!$C$5:$D$39,2,FALSE)</f>
        <v xml:space="preserve"> </v>
      </c>
      <c r="E2272" s="567" t="s">
        <v>43</v>
      </c>
      <c r="F2272" s="567" t="s">
        <v>34</v>
      </c>
      <c r="G2272" s="450" t="str">
        <f t="shared" si="112"/>
        <v>Hotel C-Maintenance-Swimming Pool</v>
      </c>
      <c r="H2272" s="567" t="s">
        <v>36</v>
      </c>
      <c r="I2272" s="877" t="s">
        <v>64</v>
      </c>
      <c r="J2272" s="878">
        <f>SUMIFS('Level of Efficiency Assumptions'!J:J,'Level of Efficiency Assumptions'!D:D,E2272,'Level of Efficiency Assumptions'!F:F,F2272,'Level of Efficiency Assumptions'!I:I,I2272)</f>
        <v>10</v>
      </c>
      <c r="K2272" s="383" t="s">
        <v>816</v>
      </c>
      <c r="L2272" s="253" t="s">
        <v>64</v>
      </c>
      <c r="M2272" s="879">
        <f>SUM(Q2272:Q2273)</f>
        <v>0</v>
      </c>
      <c r="N2272" s="880">
        <f>IFERROR(M2272/M2275,"-")</f>
        <v>0</v>
      </c>
      <c r="O2272" s="881">
        <f>SUMIFS('Data Entry'!R:R,'Data Entry'!K:K,G2272)</f>
        <v>0</v>
      </c>
      <c r="P2272" s="272"/>
      <c r="Q2272" s="895">
        <v>0</v>
      </c>
      <c r="R2272" s="114"/>
      <c r="S2272" s="884"/>
      <c r="T2272" s="270"/>
      <c r="U2272" s="270"/>
      <c r="V2272" s="270"/>
      <c r="W2272" s="270"/>
      <c r="X2272" s="270"/>
      <c r="Y2272" s="270"/>
      <c r="Z2272" s="270"/>
      <c r="AA2272" s="270"/>
    </row>
    <row r="2273" spans="3:31" ht="15" thickBot="1" x14ac:dyDescent="0.35">
      <c r="C2273" s="494" t="s">
        <v>98</v>
      </c>
      <c r="D2273" s="577"/>
      <c r="E2273" s="577" t="s">
        <v>43</v>
      </c>
      <c r="F2273" s="577" t="s">
        <v>34</v>
      </c>
      <c r="G2273" s="450" t="str">
        <f t="shared" si="112"/>
        <v>Hotel C-Maintenance-Swimming Pool</v>
      </c>
      <c r="H2273" s="577"/>
      <c r="I2273" s="887" t="s">
        <v>65</v>
      </c>
      <c r="J2273" s="878">
        <f>SUMIFS('Level of Efficiency Assumptions'!J:J,'Level of Efficiency Assumptions'!D:D,E2273,'Level of Efficiency Assumptions'!F:F,F2273,'Level of Efficiency Assumptions'!I:I,I2273)</f>
        <v>7.5</v>
      </c>
      <c r="K2273" s="383" t="s">
        <v>816</v>
      </c>
      <c r="L2273" s="255" t="s">
        <v>65</v>
      </c>
      <c r="M2273" s="879">
        <f>Q2274+Q2275</f>
        <v>1</v>
      </c>
      <c r="N2273" s="880">
        <f>IFERROR(M2273/M2275,"-")</f>
        <v>1</v>
      </c>
      <c r="O2273" s="881">
        <f>SUMIFS('Data Entry'!S:S,'Data Entry'!K:K,G2273)</f>
        <v>0</v>
      </c>
      <c r="P2273" s="272"/>
      <c r="Q2273" s="895">
        <v>0</v>
      </c>
      <c r="R2273" s="114"/>
      <c r="S2273" s="884"/>
      <c r="T2273" s="270"/>
      <c r="U2273" s="270"/>
      <c r="V2273" s="270"/>
      <c r="W2273" s="270"/>
      <c r="X2273" s="270"/>
      <c r="Y2273" s="270"/>
      <c r="Z2273" s="270"/>
      <c r="AA2273" s="270"/>
    </row>
    <row r="2274" spans="3:31" ht="15" thickBot="1" x14ac:dyDescent="0.35">
      <c r="C2274" s="501" t="s">
        <v>98</v>
      </c>
      <c r="D2274" s="116"/>
      <c r="E2274" s="116" t="s">
        <v>43</v>
      </c>
      <c r="F2274" s="116" t="s">
        <v>34</v>
      </c>
      <c r="G2274" s="450" t="str">
        <f t="shared" si="112"/>
        <v>Hotel C-Maintenance-Swimming Pool</v>
      </c>
      <c r="H2274" s="116"/>
      <c r="I2274" s="889" t="s">
        <v>66</v>
      </c>
      <c r="J2274" s="890">
        <f>SUMIFS('Level of Efficiency Assumptions'!J:J,'Level of Efficiency Assumptions'!D:D,E2274,'Level of Efficiency Assumptions'!F:F,F2274,'Level of Efficiency Assumptions'!I:I,I2274)</f>
        <v>5</v>
      </c>
      <c r="K2274" s="383" t="s">
        <v>816</v>
      </c>
      <c r="L2274" s="257" t="s">
        <v>66</v>
      </c>
      <c r="M2274" s="879">
        <f>Q2276+Q2277</f>
        <v>0</v>
      </c>
      <c r="N2274" s="880">
        <f>IFERROR(M2274/M2275,"-")</f>
        <v>0</v>
      </c>
      <c r="O2274" s="881">
        <f>SUMIFS('Data Entry'!T:T,'Data Entry'!K:K,G2274)</f>
        <v>0</v>
      </c>
      <c r="P2274" s="274"/>
      <c r="Q2274" s="895">
        <v>1</v>
      </c>
      <c r="R2274" s="114"/>
      <c r="S2274" s="884"/>
      <c r="T2274" s="270"/>
      <c r="U2274" s="270"/>
      <c r="V2274" s="270"/>
      <c r="W2274" s="270"/>
      <c r="X2274" s="270"/>
      <c r="Y2274" s="270"/>
      <c r="Z2274" s="270"/>
      <c r="AA2274" s="270"/>
    </row>
    <row r="2275" spans="3:31" x14ac:dyDescent="0.3">
      <c r="C2275" s="450"/>
      <c r="D2275" s="182"/>
      <c r="E2275" s="182"/>
      <c r="F2275" s="182"/>
      <c r="G2275" s="450" t="str">
        <f t="shared" si="112"/>
        <v>--</v>
      </c>
      <c r="H2275" s="182"/>
      <c r="I2275" s="440"/>
      <c r="J2275" s="892"/>
      <c r="K2275" s="259"/>
      <c r="L2275" s="259" t="s">
        <v>46</v>
      </c>
      <c r="M2275" s="893">
        <f>SUM(M2272:M2274)</f>
        <v>1</v>
      </c>
      <c r="N2275" s="894"/>
      <c r="O2275" s="894">
        <f>SUM(O2272:O2274)</f>
        <v>0</v>
      </c>
      <c r="P2275" s="274"/>
      <c r="Q2275" s="895">
        <v>0</v>
      </c>
      <c r="R2275" s="114"/>
      <c r="S2275" s="884"/>
      <c r="T2275" s="270"/>
      <c r="U2275" s="270"/>
      <c r="V2275" s="270"/>
      <c r="W2275" s="270"/>
      <c r="X2275" s="270"/>
      <c r="Y2275" s="270"/>
      <c r="Z2275" s="270"/>
      <c r="AA2275" s="270"/>
    </row>
    <row r="2276" spans="3:31" x14ac:dyDescent="0.3">
      <c r="C2276" s="450"/>
      <c r="D2276" s="182"/>
      <c r="E2276" s="182"/>
      <c r="F2276" s="182"/>
      <c r="G2276" s="450" t="str">
        <f t="shared" si="112"/>
        <v>--</v>
      </c>
      <c r="H2276" s="182"/>
      <c r="I2276" s="892"/>
      <c r="J2276" s="288"/>
      <c r="K2276" s="182"/>
      <c r="L2276" s="182"/>
      <c r="M2276" s="270"/>
      <c r="N2276" s="892"/>
      <c r="O2276" s="892"/>
      <c r="P2276" s="275"/>
      <c r="Q2276" s="895">
        <v>0</v>
      </c>
      <c r="R2276" s="114"/>
      <c r="S2276" s="884"/>
      <c r="T2276" s="270"/>
      <c r="U2276" s="270"/>
      <c r="V2276" s="270"/>
      <c r="W2276" s="270"/>
      <c r="X2276" s="270"/>
      <c r="Y2276" s="270"/>
      <c r="Z2276" s="270"/>
      <c r="AA2276" s="270"/>
    </row>
    <row r="2277" spans="3:31" x14ac:dyDescent="0.3">
      <c r="C2277" s="450"/>
      <c r="D2277" s="182"/>
      <c r="E2277" s="182"/>
      <c r="F2277" s="182"/>
      <c r="G2277" s="450" t="str">
        <f t="shared" si="112"/>
        <v>--</v>
      </c>
      <c r="H2277" s="182"/>
      <c r="I2277" s="892"/>
      <c r="J2277" s="288"/>
      <c r="K2277" s="182"/>
      <c r="L2277" s="182"/>
      <c r="M2277" s="270"/>
      <c r="N2277" s="892"/>
      <c r="O2277" s="892"/>
      <c r="P2277" s="269"/>
      <c r="Q2277" s="895">
        <v>0</v>
      </c>
      <c r="R2277" s="114"/>
      <c r="S2277" s="884"/>
      <c r="T2277" s="270"/>
      <c r="U2277" s="270"/>
      <c r="V2277" s="270"/>
      <c r="W2277" s="270"/>
      <c r="X2277" s="270"/>
      <c r="Y2277" s="270"/>
      <c r="Z2277" s="270"/>
      <c r="AA2277" s="270"/>
    </row>
    <row r="2278" spans="3:31" x14ac:dyDescent="0.3">
      <c r="C2278" s="450"/>
      <c r="D2278" s="182"/>
      <c r="E2278" s="182"/>
      <c r="F2278" s="182"/>
      <c r="G2278" s="450" t="str">
        <f t="shared" si="112"/>
        <v>--</v>
      </c>
      <c r="H2278" s="182"/>
      <c r="I2278" s="892"/>
      <c r="J2278" s="288"/>
      <c r="K2278" s="182"/>
      <c r="L2278" s="182"/>
      <c r="M2278" s="270"/>
      <c r="N2278" s="892"/>
      <c r="O2278" s="892"/>
      <c r="P2278" s="263" t="s">
        <v>46</v>
      </c>
      <c r="Q2278" s="897">
        <f>SUM(Q2272:Q2277)</f>
        <v>1</v>
      </c>
      <c r="R2278" s="899"/>
      <c r="S2278" s="900"/>
      <c r="T2278" s="270"/>
      <c r="U2278" s="270"/>
      <c r="V2278" s="270"/>
      <c r="W2278" s="270"/>
      <c r="X2278" s="270"/>
      <c r="Y2278" s="270"/>
      <c r="Z2278" s="270"/>
      <c r="AA2278" s="270"/>
    </row>
    <row r="2279" spans="3:31" s="45" customFormat="1" x14ac:dyDescent="0.3">
      <c r="C2279" s="450"/>
      <c r="D2279" s="182"/>
      <c r="E2279" s="182"/>
      <c r="F2279" s="182"/>
      <c r="G2279" s="450" t="str">
        <f t="shared" si="112"/>
        <v>--</v>
      </c>
      <c r="H2279" s="182"/>
      <c r="I2279" s="892"/>
      <c r="J2279" s="288"/>
      <c r="K2279" s="182"/>
      <c r="L2279" s="182"/>
      <c r="M2279" s="270"/>
      <c r="N2279" s="892"/>
      <c r="O2279" s="892"/>
      <c r="P2279" s="259"/>
      <c r="Q2279" s="114"/>
      <c r="R2279" s="114"/>
      <c r="S2279" s="114"/>
      <c r="T2279" s="270"/>
      <c r="U2279" s="270"/>
      <c r="V2279" s="270"/>
      <c r="W2279" s="270"/>
      <c r="X2279" s="270"/>
      <c r="Y2279" s="270"/>
      <c r="Z2279" s="270"/>
      <c r="AA2279" s="270"/>
      <c r="AB2279" s="85"/>
      <c r="AC2279" s="85"/>
      <c r="AD2279" s="85"/>
      <c r="AE2279" s="85"/>
    </row>
    <row r="2280" spans="3:31" s="45" customFormat="1" ht="15" thickBot="1" x14ac:dyDescent="0.35">
      <c r="C2280" s="450"/>
      <c r="D2280" s="182"/>
      <c r="E2280" s="182"/>
      <c r="F2280" s="182"/>
      <c r="G2280" s="450" t="str">
        <f t="shared" si="112"/>
        <v>--</v>
      </c>
      <c r="H2280" s="182"/>
      <c r="I2280" s="892"/>
      <c r="J2280" s="892"/>
      <c r="K2280" s="182"/>
      <c r="L2280" s="182"/>
      <c r="M2280" s="901" t="s">
        <v>155</v>
      </c>
      <c r="N2280" s="870" t="s">
        <v>188</v>
      </c>
      <c r="O2280" s="870"/>
      <c r="P2280" s="276" t="s">
        <v>21</v>
      </c>
      <c r="Q2280" s="871" t="s">
        <v>155</v>
      </c>
      <c r="R2280" s="902"/>
      <c r="S2280" s="874"/>
      <c r="T2280" s="270"/>
      <c r="U2280" s="270"/>
      <c r="V2280" s="270"/>
      <c r="W2280" s="270"/>
      <c r="X2280" s="270"/>
      <c r="Y2280" s="270"/>
      <c r="Z2280" s="270"/>
      <c r="AA2280" s="270"/>
      <c r="AB2280" s="85"/>
      <c r="AC2280" s="85"/>
      <c r="AD2280" s="85"/>
      <c r="AE2280" s="85"/>
    </row>
    <row r="2281" spans="3:31" s="45" customFormat="1" ht="15" thickBot="1" x14ac:dyDescent="0.35">
      <c r="C2281" s="566" t="s">
        <v>98</v>
      </c>
      <c r="D2281" s="875" t="str">
        <f>VLOOKUP(C2281,'Airport Mapping'!$C$5:$D$39,2,FALSE)</f>
        <v xml:space="preserve"> </v>
      </c>
      <c r="E2281" s="567" t="s">
        <v>43</v>
      </c>
      <c r="F2281" s="567" t="s">
        <v>21</v>
      </c>
      <c r="G2281" s="450" t="str">
        <f t="shared" si="112"/>
        <v>Hotel C-Maintenance-Laundry</v>
      </c>
      <c r="H2281" s="567" t="s">
        <v>17</v>
      </c>
      <c r="I2281" s="877" t="s">
        <v>64</v>
      </c>
      <c r="J2281" s="878">
        <f>SUMIFS('Level of Efficiency Assumptions'!J:J,'Level of Efficiency Assumptions'!D:D,E2281,'Level of Efficiency Assumptions'!F:F,F2281,'Level of Efficiency Assumptions'!I:I,I2281)</f>
        <v>3.5</v>
      </c>
      <c r="K2281" s="383" t="s">
        <v>235</v>
      </c>
      <c r="L2281" s="253" t="s">
        <v>64</v>
      </c>
      <c r="M2281" s="879">
        <f>SUM(Q2281:Q2282)</f>
        <v>0</v>
      </c>
      <c r="N2281" s="880">
        <f>IFERROR(M2281/M2284,"-")</f>
        <v>0</v>
      </c>
      <c r="O2281" s="881">
        <f>SUMIFS('Data Entry'!R:R,'Data Entry'!K:K,G2281)</f>
        <v>0</v>
      </c>
      <c r="P2281" s="272"/>
      <c r="Q2281" s="895">
        <v>0</v>
      </c>
      <c r="R2281" s="114"/>
      <c r="S2281" s="884"/>
      <c r="T2281" s="270"/>
      <c r="U2281" s="270"/>
      <c r="V2281" s="270"/>
      <c r="W2281" s="270"/>
      <c r="X2281" s="270"/>
      <c r="Y2281" s="270"/>
      <c r="Z2281" s="270"/>
      <c r="AA2281" s="270"/>
      <c r="AB2281" s="85"/>
      <c r="AC2281" s="85"/>
      <c r="AD2281" s="85"/>
      <c r="AE2281" s="85"/>
    </row>
    <row r="2282" spans="3:31" ht="15" thickBot="1" x14ac:dyDescent="0.35">
      <c r="C2282" s="494" t="s">
        <v>98</v>
      </c>
      <c r="D2282" s="577"/>
      <c r="E2282" s="577" t="s">
        <v>43</v>
      </c>
      <c r="F2282" s="577" t="s">
        <v>21</v>
      </c>
      <c r="G2282" s="450" t="str">
        <f t="shared" si="112"/>
        <v>Hotel C-Maintenance-Laundry</v>
      </c>
      <c r="H2282" s="577"/>
      <c r="I2282" s="887" t="s">
        <v>65</v>
      </c>
      <c r="J2282" s="878">
        <f>SUMIFS('Level of Efficiency Assumptions'!J:J,'Level of Efficiency Assumptions'!D:D,E2282,'Level of Efficiency Assumptions'!F:F,F2282,'Level of Efficiency Assumptions'!I:I,I2282)</f>
        <v>2.5</v>
      </c>
      <c r="K2282" s="383" t="s">
        <v>235</v>
      </c>
      <c r="L2282" s="255" t="s">
        <v>65</v>
      </c>
      <c r="M2282" s="879">
        <f>Q2283+Q2284</f>
        <v>1</v>
      </c>
      <c r="N2282" s="880">
        <f>IFERROR(M2282/M2284,"-")</f>
        <v>1</v>
      </c>
      <c r="O2282" s="881">
        <f>SUMIFS('Data Entry'!S:S,'Data Entry'!K:K,G2282)</f>
        <v>0</v>
      </c>
      <c r="P2282" s="272"/>
      <c r="Q2282" s="895">
        <v>0</v>
      </c>
      <c r="R2282" s="114"/>
      <c r="S2282" s="884"/>
      <c r="T2282" s="270"/>
      <c r="U2282" s="270"/>
      <c r="V2282" s="270"/>
      <c r="W2282" s="270"/>
      <c r="X2282" s="270"/>
      <c r="Y2282" s="270"/>
      <c r="Z2282" s="270"/>
      <c r="AA2282" s="270"/>
    </row>
    <row r="2283" spans="3:31" ht="15" thickBot="1" x14ac:dyDescent="0.35">
      <c r="C2283" s="501" t="s">
        <v>98</v>
      </c>
      <c r="D2283" s="116"/>
      <c r="E2283" s="116" t="s">
        <v>43</v>
      </c>
      <c r="F2283" s="116" t="s">
        <v>21</v>
      </c>
      <c r="G2283" s="450" t="str">
        <f t="shared" si="112"/>
        <v>Hotel C-Maintenance-Laundry</v>
      </c>
      <c r="H2283" s="116"/>
      <c r="I2283" s="889" t="s">
        <v>66</v>
      </c>
      <c r="J2283" s="890">
        <f>SUMIFS('Level of Efficiency Assumptions'!J:J,'Level of Efficiency Assumptions'!D:D,E2283,'Level of Efficiency Assumptions'!F:F,F2283,'Level of Efficiency Assumptions'!I:I,I2283)</f>
        <v>1.5</v>
      </c>
      <c r="K2283" s="383" t="s">
        <v>235</v>
      </c>
      <c r="L2283" s="257" t="s">
        <v>66</v>
      </c>
      <c r="M2283" s="879">
        <f>Q2285+Q2286</f>
        <v>0</v>
      </c>
      <c r="N2283" s="880">
        <f>IFERROR(M2283/M2284,"-")</f>
        <v>0</v>
      </c>
      <c r="O2283" s="881">
        <f>SUMIFS('Data Entry'!T:T,'Data Entry'!K:K,G2283)</f>
        <v>0</v>
      </c>
      <c r="P2283" s="274"/>
      <c r="Q2283" s="895">
        <v>1</v>
      </c>
      <c r="R2283" s="114"/>
      <c r="S2283" s="884"/>
      <c r="T2283" s="270"/>
      <c r="U2283" s="270"/>
      <c r="V2283" s="270"/>
      <c r="W2283" s="270"/>
      <c r="X2283" s="270"/>
      <c r="Y2283" s="270"/>
      <c r="Z2283" s="270"/>
      <c r="AA2283" s="270"/>
    </row>
    <row r="2284" spans="3:31" x14ac:dyDescent="0.3">
      <c r="C2284" s="450"/>
      <c r="D2284" s="182"/>
      <c r="E2284" s="182"/>
      <c r="F2284" s="182"/>
      <c r="G2284" s="450" t="str">
        <f t="shared" si="112"/>
        <v>--</v>
      </c>
      <c r="H2284" s="182"/>
      <c r="I2284" s="440"/>
      <c r="J2284" s="892"/>
      <c r="K2284" s="259"/>
      <c r="L2284" s="259" t="s">
        <v>46</v>
      </c>
      <c r="M2284" s="893">
        <f>SUM(M2281:M2283)</f>
        <v>1</v>
      </c>
      <c r="N2284" s="894"/>
      <c r="O2284" s="894">
        <f>SUM(O2281:O2283)</f>
        <v>0</v>
      </c>
      <c r="P2284" s="274"/>
      <c r="Q2284" s="895">
        <v>0</v>
      </c>
      <c r="R2284" s="114"/>
      <c r="S2284" s="884"/>
      <c r="T2284" s="270"/>
      <c r="U2284" s="270"/>
      <c r="V2284" s="270"/>
      <c r="W2284" s="270"/>
      <c r="X2284" s="270"/>
      <c r="Y2284" s="270"/>
      <c r="Z2284" s="270"/>
      <c r="AA2284" s="270"/>
    </row>
    <row r="2285" spans="3:31" x14ac:dyDescent="0.3">
      <c r="C2285" s="450"/>
      <c r="D2285" s="182"/>
      <c r="E2285" s="182"/>
      <c r="F2285" s="182"/>
      <c r="G2285" s="450" t="str">
        <f t="shared" si="112"/>
        <v>--</v>
      </c>
      <c r="H2285" s="182"/>
      <c r="I2285" s="892"/>
      <c r="J2285" s="288"/>
      <c r="K2285" s="182"/>
      <c r="L2285" s="182"/>
      <c r="M2285" s="270"/>
      <c r="N2285" s="892"/>
      <c r="O2285" s="892"/>
      <c r="P2285" s="275"/>
      <c r="Q2285" s="895">
        <v>0</v>
      </c>
      <c r="R2285" s="114"/>
      <c r="S2285" s="884"/>
      <c r="T2285" s="270"/>
      <c r="U2285" s="270"/>
      <c r="V2285" s="270"/>
      <c r="W2285" s="270"/>
      <c r="X2285" s="270"/>
      <c r="Y2285" s="270"/>
      <c r="Z2285" s="270"/>
      <c r="AA2285" s="270"/>
    </row>
    <row r="2286" spans="3:31" x14ac:dyDescent="0.3">
      <c r="C2286" s="450"/>
      <c r="D2286" s="182"/>
      <c r="E2286" s="182"/>
      <c r="F2286" s="182"/>
      <c r="G2286" s="450" t="str">
        <f t="shared" si="112"/>
        <v>--</v>
      </c>
      <c r="H2286" s="182"/>
      <c r="I2286" s="892"/>
      <c r="J2286" s="288"/>
      <c r="K2286" s="182"/>
      <c r="L2286" s="182"/>
      <c r="M2286" s="270"/>
      <c r="N2286" s="892"/>
      <c r="O2286" s="892"/>
      <c r="P2286" s="269"/>
      <c r="Q2286" s="895">
        <v>0</v>
      </c>
      <c r="R2286" s="114"/>
      <c r="S2286" s="884"/>
      <c r="T2286" s="270"/>
      <c r="U2286" s="270"/>
      <c r="V2286" s="270"/>
      <c r="W2286" s="270"/>
      <c r="X2286" s="270"/>
      <c r="Y2286" s="270"/>
      <c r="Z2286" s="270"/>
      <c r="AA2286" s="270"/>
    </row>
    <row r="2287" spans="3:31" x14ac:dyDescent="0.3">
      <c r="C2287" s="450"/>
      <c r="D2287" s="182"/>
      <c r="E2287" s="182"/>
      <c r="F2287" s="182"/>
      <c r="G2287" s="450" t="str">
        <f t="shared" si="112"/>
        <v>--</v>
      </c>
      <c r="H2287" s="182"/>
      <c r="I2287" s="892"/>
      <c r="J2287" s="288"/>
      <c r="K2287" s="182"/>
      <c r="L2287" s="182"/>
      <c r="M2287" s="270"/>
      <c r="N2287" s="892"/>
      <c r="O2287" s="892"/>
      <c r="P2287" s="263" t="s">
        <v>46</v>
      </c>
      <c r="Q2287" s="897">
        <f>SUM(Q2281:Q2286)</f>
        <v>1</v>
      </c>
      <c r="R2287" s="899"/>
      <c r="S2287" s="900"/>
      <c r="T2287" s="270"/>
      <c r="U2287" s="270"/>
      <c r="V2287" s="270"/>
      <c r="W2287" s="270"/>
      <c r="X2287" s="270"/>
      <c r="Y2287" s="270"/>
      <c r="Z2287" s="270"/>
      <c r="AA2287" s="270"/>
    </row>
    <row r="2288" spans="3:31" x14ac:dyDescent="0.3">
      <c r="C2288" s="450"/>
      <c r="D2288" s="182"/>
      <c r="E2288" s="182"/>
      <c r="F2288" s="182"/>
      <c r="G2288" s="450" t="str">
        <f t="shared" si="112"/>
        <v>--</v>
      </c>
      <c r="H2288" s="182"/>
      <c r="I2288" s="892"/>
      <c r="J2288" s="288"/>
      <c r="K2288" s="182"/>
      <c r="L2288" s="270"/>
      <c r="M2288" s="270"/>
      <c r="N2288" s="923"/>
      <c r="O2288" s="923"/>
      <c r="P2288" s="270"/>
      <c r="Q2288" s="270"/>
      <c r="R2288" s="270"/>
      <c r="S2288" s="270"/>
      <c r="T2288" s="270"/>
      <c r="U2288" s="270"/>
      <c r="V2288" s="270"/>
      <c r="W2288" s="270"/>
      <c r="X2288" s="270"/>
      <c r="Y2288" s="270"/>
      <c r="Z2288" s="270"/>
      <c r="AA2288" s="270"/>
    </row>
    <row r="2289" spans="3:27" x14ac:dyDescent="0.3">
      <c r="C2289" s="450"/>
      <c r="D2289" s="182"/>
      <c r="E2289" s="182"/>
      <c r="F2289" s="182"/>
      <c r="G2289" s="450" t="str">
        <f t="shared" si="112"/>
        <v>--</v>
      </c>
      <c r="H2289" s="182"/>
      <c r="I2289" s="892"/>
      <c r="J2289" s="288"/>
      <c r="K2289" s="182"/>
      <c r="L2289" s="182"/>
      <c r="M2289" s="270"/>
      <c r="N2289" s="892"/>
      <c r="O2289" s="892"/>
      <c r="P2289" s="276" t="s">
        <v>42</v>
      </c>
      <c r="Q2289" s="902"/>
      <c r="R2289" s="902"/>
      <c r="S2289" s="902"/>
      <c r="T2289" s="271"/>
      <c r="U2289" s="114"/>
      <c r="V2289" s="114"/>
      <c r="W2289" s="270"/>
      <c r="X2289" s="270"/>
      <c r="Y2289" s="270"/>
      <c r="Z2289" s="270"/>
      <c r="AA2289" s="270"/>
    </row>
    <row r="2290" spans="3:27" ht="15" thickBot="1" x14ac:dyDescent="0.35">
      <c r="C2290" s="450"/>
      <c r="D2290" s="182"/>
      <c r="E2290" s="182"/>
      <c r="F2290" s="182"/>
      <c r="G2290" s="450" t="str">
        <f t="shared" si="112"/>
        <v>--</v>
      </c>
      <c r="H2290" s="182"/>
      <c r="I2290" s="892"/>
      <c r="J2290" s="892"/>
      <c r="K2290" s="182"/>
      <c r="L2290" s="182"/>
      <c r="M2290" s="901" t="s">
        <v>155</v>
      </c>
      <c r="N2290" s="870" t="s">
        <v>188</v>
      </c>
      <c r="O2290" s="870"/>
      <c r="P2290" s="277" t="s">
        <v>818</v>
      </c>
      <c r="Q2290" s="871" t="s">
        <v>155</v>
      </c>
      <c r="R2290" s="114"/>
      <c r="S2290" s="114"/>
      <c r="T2290" s="271"/>
      <c r="U2290" s="114"/>
      <c r="V2290" s="114"/>
      <c r="W2290" s="270"/>
      <c r="X2290" s="270"/>
      <c r="Y2290" s="270"/>
      <c r="Z2290" s="270"/>
      <c r="AA2290" s="270"/>
    </row>
    <row r="2291" spans="3:27" ht="15" thickBot="1" x14ac:dyDescent="0.35">
      <c r="C2291" s="566" t="s">
        <v>98</v>
      </c>
      <c r="D2291" s="875" t="str">
        <f>VLOOKUP(C2291,'Airport Mapping'!$C$5:$D$39,2,FALSE)</f>
        <v xml:space="preserve"> </v>
      </c>
      <c r="E2291" s="567" t="s">
        <v>39</v>
      </c>
      <c r="F2291" s="567" t="s">
        <v>42</v>
      </c>
      <c r="G2291" s="450" t="str">
        <f t="shared" si="112"/>
        <v>Hotel C-Landscaping-Outdoor irrigation</v>
      </c>
      <c r="H2291" s="567" t="s">
        <v>32</v>
      </c>
      <c r="I2291" s="877" t="s">
        <v>64</v>
      </c>
      <c r="J2291" s="878">
        <f>SUMIFS('Level of Efficiency Assumptions'!J:J,'Level of Efficiency Assumptions'!D:D,E2291,'Level of Efficiency Assumptions'!F:F,F2291,'Level of Efficiency Assumptions'!I:I,I2291)</f>
        <v>28.6</v>
      </c>
      <c r="K2291" s="383" t="s">
        <v>816</v>
      </c>
      <c r="L2291" s="253" t="s">
        <v>64</v>
      </c>
      <c r="M2291" s="879">
        <f>SUM(Q2291:Q2292)</f>
        <v>0</v>
      </c>
      <c r="N2291" s="880">
        <f>IFERROR(M2291/M2294,"-")</f>
        <v>0</v>
      </c>
      <c r="O2291" s="881">
        <f>SUMIFS('Data Entry'!R:R,'Data Entry'!K:K,G2291)</f>
        <v>0</v>
      </c>
      <c r="P2291" s="272" t="s">
        <v>237</v>
      </c>
      <c r="Q2291" s="895">
        <v>0</v>
      </c>
      <c r="R2291" s="114"/>
      <c r="S2291" s="114"/>
      <c r="T2291" s="271"/>
      <c r="U2291" s="114"/>
      <c r="V2291" s="114"/>
      <c r="W2291" s="270"/>
      <c r="X2291" s="270"/>
      <c r="Y2291" s="270"/>
      <c r="Z2291" s="270"/>
      <c r="AA2291" s="270"/>
    </row>
    <row r="2292" spans="3:27" ht="15" thickBot="1" x14ac:dyDescent="0.35">
      <c r="C2292" s="494" t="s">
        <v>98</v>
      </c>
      <c r="D2292" s="577"/>
      <c r="E2292" s="577" t="s">
        <v>39</v>
      </c>
      <c r="F2292" s="577" t="s">
        <v>42</v>
      </c>
      <c r="G2292" s="450" t="str">
        <f t="shared" si="112"/>
        <v>Hotel C-Landscaping-Outdoor irrigation</v>
      </c>
      <c r="H2292" s="577"/>
      <c r="I2292" s="887" t="s">
        <v>65</v>
      </c>
      <c r="J2292" s="878">
        <f>SUMIFS('Level of Efficiency Assumptions'!J:J,'Level of Efficiency Assumptions'!D:D,E2292,'Level of Efficiency Assumptions'!F:F,F2292,'Level of Efficiency Assumptions'!I:I,I2292)</f>
        <v>13.980821518350929</v>
      </c>
      <c r="K2292" s="383" t="s">
        <v>816</v>
      </c>
      <c r="L2292" s="255" t="s">
        <v>65</v>
      </c>
      <c r="M2292" s="879">
        <f>Q2293+Q2294</f>
        <v>1</v>
      </c>
      <c r="N2292" s="880">
        <f>IFERROR(M2292/M2294,"-")</f>
        <v>1</v>
      </c>
      <c r="O2292" s="881">
        <f>SUMIFS('Data Entry'!S:S,'Data Entry'!K:K,G2292)</f>
        <v>0</v>
      </c>
      <c r="P2292" s="272" t="s">
        <v>232</v>
      </c>
      <c r="Q2292" s="895">
        <v>0</v>
      </c>
      <c r="R2292" s="114"/>
      <c r="S2292" s="114"/>
      <c r="T2292" s="271"/>
      <c r="U2292" s="114"/>
      <c r="V2292" s="114"/>
      <c r="W2292" s="270"/>
      <c r="X2292" s="270"/>
      <c r="Y2292" s="270"/>
      <c r="Z2292" s="270"/>
      <c r="AA2292" s="270"/>
    </row>
    <row r="2293" spans="3:27" ht="15" thickBot="1" x14ac:dyDescent="0.35">
      <c r="C2293" s="501" t="s">
        <v>98</v>
      </c>
      <c r="D2293" s="116"/>
      <c r="E2293" s="116" t="s">
        <v>39</v>
      </c>
      <c r="F2293" s="116" t="s">
        <v>42</v>
      </c>
      <c r="G2293" s="450" t="str">
        <f t="shared" si="112"/>
        <v>Hotel C-Landscaping-Outdoor irrigation</v>
      </c>
      <c r="H2293" s="116"/>
      <c r="I2293" s="889" t="s">
        <v>66</v>
      </c>
      <c r="J2293" s="890">
        <f>SUMIFS('Level of Efficiency Assumptions'!J:J,'Level of Efficiency Assumptions'!D:D,E2293,'Level of Efficiency Assumptions'!F:F,F2293,'Level of Efficiency Assumptions'!I:I,I2293)</f>
        <v>0.59137254901960778</v>
      </c>
      <c r="K2293" s="383" t="s">
        <v>816</v>
      </c>
      <c r="L2293" s="257" t="s">
        <v>66</v>
      </c>
      <c r="M2293" s="879">
        <f>Q2295+Q2296</f>
        <v>0</v>
      </c>
      <c r="N2293" s="880">
        <f>IFERROR(M2293/M2294,"-")</f>
        <v>0</v>
      </c>
      <c r="O2293" s="881">
        <f>SUMIFS('Data Entry'!T:T,'Data Entry'!K:K,G2293)</f>
        <v>0</v>
      </c>
      <c r="P2293" s="274" t="s">
        <v>231</v>
      </c>
      <c r="Q2293" s="895">
        <v>1</v>
      </c>
      <c r="R2293" s="114"/>
      <c r="S2293" s="114"/>
      <c r="T2293" s="271"/>
      <c r="U2293" s="114"/>
      <c r="V2293" s="114"/>
      <c r="W2293" s="270"/>
      <c r="X2293" s="270"/>
      <c r="Y2293" s="270"/>
      <c r="Z2293" s="270"/>
      <c r="AA2293" s="114"/>
    </row>
    <row r="2294" spans="3:27" x14ac:dyDescent="0.3">
      <c r="C2294" s="450"/>
      <c r="D2294" s="182"/>
      <c r="E2294" s="182"/>
      <c r="F2294" s="182"/>
      <c r="G2294" s="450" t="str">
        <f t="shared" si="112"/>
        <v>--</v>
      </c>
      <c r="H2294" s="182"/>
      <c r="I2294" s="440"/>
      <c r="J2294" s="892"/>
      <c r="K2294" s="259"/>
      <c r="L2294" s="259" t="s">
        <v>46</v>
      </c>
      <c r="M2294" s="893">
        <f>SUM(M2291:M2293)</f>
        <v>1</v>
      </c>
      <c r="N2294" s="894"/>
      <c r="O2294" s="894">
        <f>SUM(O2291:O2293)</f>
        <v>0</v>
      </c>
      <c r="P2294" s="274" t="s">
        <v>230</v>
      </c>
      <c r="Q2294" s="895">
        <v>0</v>
      </c>
      <c r="R2294" s="114"/>
      <c r="S2294" s="114"/>
      <c r="T2294" s="271"/>
      <c r="U2294" s="114"/>
      <c r="V2294" s="114"/>
      <c r="W2294" s="270"/>
      <c r="X2294" s="270"/>
      <c r="Y2294" s="270"/>
      <c r="Z2294" s="270"/>
      <c r="AA2294" s="114"/>
    </row>
    <row r="2295" spans="3:27" x14ac:dyDescent="0.3">
      <c r="C2295" s="450"/>
      <c r="D2295" s="182"/>
      <c r="E2295" s="182"/>
      <c r="F2295" s="182"/>
      <c r="G2295" s="450" t="str">
        <f t="shared" si="112"/>
        <v>--</v>
      </c>
      <c r="H2295" s="182"/>
      <c r="I2295" s="892"/>
      <c r="J2295" s="288"/>
      <c r="K2295" s="182"/>
      <c r="L2295" s="182"/>
      <c r="M2295" s="270"/>
      <c r="N2295" s="892"/>
      <c r="O2295" s="892"/>
      <c r="P2295" s="275" t="s">
        <v>229</v>
      </c>
      <c r="Q2295" s="895">
        <v>0</v>
      </c>
      <c r="R2295" s="114"/>
      <c r="S2295" s="114"/>
      <c r="T2295" s="271"/>
      <c r="U2295" s="114"/>
      <c r="V2295" s="114"/>
      <c r="W2295" s="270"/>
      <c r="X2295" s="270"/>
      <c r="Y2295" s="270"/>
      <c r="Z2295" s="270"/>
      <c r="AA2295" s="114"/>
    </row>
    <row r="2296" spans="3:27" x14ac:dyDescent="0.3">
      <c r="C2296" s="450"/>
      <c r="D2296" s="182"/>
      <c r="E2296" s="182"/>
      <c r="F2296" s="182"/>
      <c r="G2296" s="450" t="str">
        <f t="shared" si="112"/>
        <v>--</v>
      </c>
      <c r="H2296" s="182"/>
      <c r="I2296" s="892"/>
      <c r="J2296" s="288"/>
      <c r="K2296" s="182"/>
      <c r="L2296" s="182"/>
      <c r="M2296" s="270"/>
      <c r="N2296" s="892"/>
      <c r="O2296" s="892"/>
      <c r="P2296" s="269" t="s">
        <v>225</v>
      </c>
      <c r="Q2296" s="895">
        <v>0</v>
      </c>
      <c r="R2296" s="114"/>
      <c r="S2296" s="114"/>
      <c r="T2296" s="271"/>
      <c r="U2296" s="114"/>
      <c r="V2296" s="114"/>
      <c r="W2296" s="270"/>
      <c r="X2296" s="270"/>
      <c r="Y2296" s="270"/>
      <c r="Z2296" s="270"/>
      <c r="AA2296" s="114"/>
    </row>
    <row r="2297" spans="3:27" x14ac:dyDescent="0.3">
      <c r="C2297" s="450"/>
      <c r="D2297" s="182"/>
      <c r="E2297" s="182"/>
      <c r="F2297" s="182"/>
      <c r="G2297" s="450" t="str">
        <f t="shared" si="112"/>
        <v>--</v>
      </c>
      <c r="H2297" s="182"/>
      <c r="I2297" s="892"/>
      <c r="J2297" s="288"/>
      <c r="K2297" s="182"/>
      <c r="L2297" s="182"/>
      <c r="M2297" s="270"/>
      <c r="N2297" s="892"/>
      <c r="O2297" s="892"/>
      <c r="P2297" s="263" t="s">
        <v>46</v>
      </c>
      <c r="Q2297" s="897">
        <f>SUM(Q2291:Q2296)</f>
        <v>1</v>
      </c>
      <c r="R2297" s="899"/>
      <c r="S2297" s="899"/>
      <c r="T2297" s="271"/>
      <c r="U2297" s="114"/>
      <c r="V2297" s="114"/>
      <c r="W2297" s="270"/>
      <c r="X2297" s="270"/>
      <c r="Y2297" s="270"/>
      <c r="Z2297" s="270"/>
      <c r="AA2297" s="114"/>
    </row>
    <row r="2298" spans="3:27" x14ac:dyDescent="0.3">
      <c r="C2298" s="450"/>
      <c r="D2298" s="182"/>
      <c r="E2298" s="182"/>
      <c r="F2298" s="182"/>
      <c r="G2298" s="450" t="str">
        <f t="shared" si="112"/>
        <v>--</v>
      </c>
      <c r="H2298" s="182"/>
      <c r="I2298" s="892"/>
      <c r="J2298" s="288"/>
      <c r="K2298" s="182"/>
      <c r="L2298" s="211"/>
      <c r="M2298" s="114"/>
      <c r="N2298" s="905"/>
      <c r="O2298" s="926"/>
      <c r="P2298" s="211"/>
      <c r="Q2298" s="114"/>
      <c r="R2298" s="211"/>
      <c r="S2298" s="211"/>
      <c r="T2298" s="270"/>
      <c r="U2298" s="270"/>
      <c r="V2298" s="270"/>
      <c r="W2298" s="270"/>
      <c r="X2298" s="270"/>
      <c r="Y2298" s="270"/>
      <c r="Z2298" s="270"/>
      <c r="AA2298" s="114"/>
    </row>
    <row r="2299" spans="3:27" ht="15" thickBot="1" x14ac:dyDescent="0.35">
      <c r="C2299" s="450"/>
      <c r="D2299" s="182"/>
      <c r="E2299" s="182"/>
      <c r="F2299" s="182"/>
      <c r="G2299" s="450" t="str">
        <f t="shared" si="112"/>
        <v>--</v>
      </c>
      <c r="H2299" s="182"/>
      <c r="I2299" s="892"/>
      <c r="J2299" s="892"/>
      <c r="K2299" s="182"/>
      <c r="L2299" s="182"/>
      <c r="M2299" s="901" t="s">
        <v>155</v>
      </c>
      <c r="N2299" s="870" t="s">
        <v>188</v>
      </c>
      <c r="O2299" s="870"/>
      <c r="P2299" s="276" t="s">
        <v>52</v>
      </c>
      <c r="Q2299" s="871" t="s">
        <v>155</v>
      </c>
      <c r="R2299" s="902"/>
      <c r="S2299" s="874"/>
      <c r="T2299" s="270"/>
      <c r="U2299" s="270"/>
      <c r="V2299" s="270"/>
      <c r="W2299" s="270"/>
      <c r="X2299" s="270"/>
      <c r="Y2299" s="114"/>
      <c r="Z2299" s="114"/>
      <c r="AA2299" s="114"/>
    </row>
    <row r="2300" spans="3:27" ht="15" thickBot="1" x14ac:dyDescent="0.35">
      <c r="C2300" s="566" t="s">
        <v>98</v>
      </c>
      <c r="D2300" s="875" t="str">
        <f>VLOOKUP(C2300,'Airport Mapping'!$C$5:$D$39,2,FALSE)</f>
        <v xml:space="preserve"> </v>
      </c>
      <c r="E2300" s="567" t="s">
        <v>8</v>
      </c>
      <c r="F2300" s="567" t="s">
        <v>52</v>
      </c>
      <c r="G2300" s="450" t="str">
        <f t="shared" si="112"/>
        <v>Hotel C-Other-Other 1</v>
      </c>
      <c r="H2300" s="567" t="s">
        <v>362</v>
      </c>
      <c r="I2300" s="877" t="s">
        <v>64</v>
      </c>
      <c r="J2300" s="878">
        <f>SUMIFS('Level of Efficiency Assumptions'!J:J,'Level of Efficiency Assumptions'!D:D,E2300,'Level of Efficiency Assumptions'!F:F,F2300,'Level of Efficiency Assumptions'!I:I,I2300)</f>
        <v>10</v>
      </c>
      <c r="K2300" s="383" t="s">
        <v>588</v>
      </c>
      <c r="L2300" s="253" t="s">
        <v>64</v>
      </c>
      <c r="M2300" s="879">
        <f>SUM(Q2300:Q2300)</f>
        <v>0</v>
      </c>
      <c r="N2300" s="880">
        <f>IFERROR(M2300/M2303,"-")</f>
        <v>0</v>
      </c>
      <c r="O2300" s="881">
        <f>SUMIFS('Data Entry'!R:R,'Data Entry'!K:K,G2300)</f>
        <v>0</v>
      </c>
      <c r="P2300" s="272" t="s">
        <v>129</v>
      </c>
      <c r="Q2300" s="895">
        <v>0</v>
      </c>
      <c r="R2300" s="114"/>
      <c r="S2300" s="884"/>
      <c r="T2300" s="270"/>
      <c r="U2300" s="270"/>
      <c r="V2300" s="270"/>
      <c r="W2300" s="270"/>
      <c r="X2300" s="270"/>
      <c r="Y2300" s="114"/>
      <c r="Z2300" s="114"/>
      <c r="AA2300" s="270"/>
    </row>
    <row r="2301" spans="3:27" ht="15" thickBot="1" x14ac:dyDescent="0.35">
      <c r="C2301" s="494" t="s">
        <v>98</v>
      </c>
      <c r="D2301" s="577"/>
      <c r="E2301" s="577" t="s">
        <v>8</v>
      </c>
      <c r="F2301" s="577" t="s">
        <v>52</v>
      </c>
      <c r="G2301" s="450" t="str">
        <f t="shared" si="112"/>
        <v>Hotel C-Other-Other 1</v>
      </c>
      <c r="H2301" s="577"/>
      <c r="I2301" s="887" t="s">
        <v>65</v>
      </c>
      <c r="J2301" s="878">
        <f>SUMIFS('Level of Efficiency Assumptions'!J:J,'Level of Efficiency Assumptions'!D:D,E2301,'Level of Efficiency Assumptions'!F:F,F2301,'Level of Efficiency Assumptions'!I:I,I2301)</f>
        <v>7.5</v>
      </c>
      <c r="K2301" s="383" t="s">
        <v>588</v>
      </c>
      <c r="L2301" s="255" t="s">
        <v>65</v>
      </c>
      <c r="M2301" s="879">
        <f t="shared" ref="M2301:M2302" si="113">SUM(Q2301:Q2301)</f>
        <v>1</v>
      </c>
      <c r="N2301" s="880">
        <f>IFERROR(M2301/M2303,"-")</f>
        <v>1</v>
      </c>
      <c r="O2301" s="881">
        <f>SUMIFS('Data Entry'!S:S,'Data Entry'!K:K,G2301)</f>
        <v>0</v>
      </c>
      <c r="P2301" s="274" t="s">
        <v>233</v>
      </c>
      <c r="Q2301" s="895">
        <v>1</v>
      </c>
      <c r="R2301" s="114"/>
      <c r="S2301" s="884"/>
      <c r="T2301" s="114"/>
      <c r="U2301" s="270"/>
      <c r="V2301" s="270"/>
      <c r="W2301" s="270"/>
      <c r="X2301" s="270"/>
      <c r="Y2301" s="114"/>
      <c r="Z2301" s="114"/>
      <c r="AA2301" s="270"/>
    </row>
    <row r="2302" spans="3:27" ht="15" thickBot="1" x14ac:dyDescent="0.35">
      <c r="C2302" s="501" t="s">
        <v>98</v>
      </c>
      <c r="D2302" s="116"/>
      <c r="E2302" s="116" t="s">
        <v>8</v>
      </c>
      <c r="F2302" s="116" t="s">
        <v>52</v>
      </c>
      <c r="G2302" s="450" t="str">
        <f t="shared" si="112"/>
        <v>Hotel C-Other-Other 1</v>
      </c>
      <c r="H2302" s="116"/>
      <c r="I2302" s="889" t="s">
        <v>66</v>
      </c>
      <c r="J2302" s="890">
        <f>SUMIFS('Level of Efficiency Assumptions'!J:J,'Level of Efficiency Assumptions'!D:D,E2302,'Level of Efficiency Assumptions'!F:F,F2302,'Level of Efficiency Assumptions'!I:I,I2302)</f>
        <v>5</v>
      </c>
      <c r="K2302" s="383" t="s">
        <v>588</v>
      </c>
      <c r="L2302" s="257" t="s">
        <v>66</v>
      </c>
      <c r="M2302" s="879">
        <f t="shared" si="113"/>
        <v>0</v>
      </c>
      <c r="N2302" s="880">
        <f>IFERROR(M2302/M2303,"-")</f>
        <v>0</v>
      </c>
      <c r="O2302" s="881">
        <f>SUMIFS('Data Entry'!T:T,'Data Entry'!K:K,G2302)</f>
        <v>0</v>
      </c>
      <c r="P2302" s="269" t="s">
        <v>234</v>
      </c>
      <c r="Q2302" s="895">
        <v>0</v>
      </c>
      <c r="R2302" s="114"/>
      <c r="S2302" s="884"/>
      <c r="T2302" s="270"/>
      <c r="U2302" s="270"/>
      <c r="V2302" s="270"/>
      <c r="W2302" s="270"/>
      <c r="X2302" s="270"/>
      <c r="Y2302" s="270"/>
      <c r="Z2302" s="270"/>
      <c r="AA2302" s="270"/>
    </row>
    <row r="2303" spans="3:27" x14ac:dyDescent="0.3">
      <c r="C2303" s="450"/>
      <c r="D2303" s="182"/>
      <c r="E2303" s="182"/>
      <c r="F2303" s="182"/>
      <c r="G2303" s="450" t="str">
        <f t="shared" si="112"/>
        <v>--</v>
      </c>
      <c r="H2303" s="182"/>
      <c r="I2303" s="440"/>
      <c r="J2303" s="892"/>
      <c r="K2303" s="259"/>
      <c r="L2303" s="259" t="s">
        <v>46</v>
      </c>
      <c r="M2303" s="893">
        <f>SUM(M2300:M2302)</f>
        <v>1</v>
      </c>
      <c r="N2303" s="894"/>
      <c r="O2303" s="894">
        <f>SUM(O2300:O2302)</f>
        <v>0</v>
      </c>
      <c r="P2303" s="263" t="s">
        <v>46</v>
      </c>
      <c r="Q2303" s="897">
        <f>SUM(Q2300:Q2302)</f>
        <v>1</v>
      </c>
      <c r="R2303" s="899"/>
      <c r="S2303" s="900"/>
      <c r="T2303" s="270"/>
      <c r="U2303" s="270"/>
      <c r="V2303" s="270"/>
      <c r="W2303" s="270"/>
      <c r="X2303" s="270"/>
      <c r="Y2303" s="270"/>
      <c r="Z2303" s="270"/>
      <c r="AA2303" s="270"/>
    </row>
    <row r="2304" spans="3:27" x14ac:dyDescent="0.3">
      <c r="C2304" s="450"/>
      <c r="D2304" s="182"/>
      <c r="E2304" s="182"/>
      <c r="F2304" s="182"/>
      <c r="G2304" s="450" t="str">
        <f t="shared" si="112"/>
        <v>--</v>
      </c>
      <c r="H2304" s="182"/>
      <c r="I2304" s="892"/>
      <c r="J2304" s="288"/>
      <c r="K2304" s="182"/>
      <c r="L2304" s="182"/>
      <c r="M2304" s="270"/>
      <c r="N2304" s="892"/>
      <c r="O2304" s="892"/>
      <c r="P2304" s="270"/>
      <c r="Q2304" s="270"/>
      <c r="R2304" s="270"/>
      <c r="S2304" s="270"/>
      <c r="T2304" s="270"/>
      <c r="U2304" s="270"/>
      <c r="V2304" s="270"/>
      <c r="W2304" s="270"/>
      <c r="X2304" s="270"/>
      <c r="Y2304" s="270"/>
      <c r="Z2304" s="270"/>
      <c r="AA2304" s="270"/>
    </row>
    <row r="2305" spans="3:27" ht="15" thickBot="1" x14ac:dyDescent="0.35">
      <c r="C2305" s="450"/>
      <c r="D2305" s="182"/>
      <c r="E2305" s="182"/>
      <c r="F2305" s="182"/>
      <c r="G2305" s="450" t="str">
        <f t="shared" ref="G2305:G2365" si="114">C2305&amp;"-"&amp;E2305&amp;"-"&amp;F2305</f>
        <v>--</v>
      </c>
      <c r="H2305" s="182"/>
      <c r="I2305" s="892"/>
      <c r="J2305" s="892"/>
      <c r="K2305" s="182"/>
      <c r="L2305" s="182"/>
      <c r="M2305" s="901" t="s">
        <v>155</v>
      </c>
      <c r="N2305" s="870" t="s">
        <v>188</v>
      </c>
      <c r="O2305" s="870"/>
      <c r="P2305" s="276" t="s">
        <v>53</v>
      </c>
      <c r="Q2305" s="871" t="s">
        <v>155</v>
      </c>
      <c r="R2305" s="902"/>
      <c r="S2305" s="874"/>
      <c r="T2305" s="270"/>
      <c r="U2305" s="270"/>
      <c r="V2305" s="270"/>
      <c r="W2305" s="270"/>
      <c r="X2305" s="270"/>
      <c r="Y2305" s="270"/>
      <c r="Z2305" s="270"/>
      <c r="AA2305" s="270"/>
    </row>
    <row r="2306" spans="3:27" ht="15" thickBot="1" x14ac:dyDescent="0.35">
      <c r="C2306" s="566" t="s">
        <v>98</v>
      </c>
      <c r="D2306" s="875" t="str">
        <f>VLOOKUP(C2306,'Airport Mapping'!$C$5:$D$39,2,FALSE)</f>
        <v xml:space="preserve"> </v>
      </c>
      <c r="E2306" s="567" t="s">
        <v>8</v>
      </c>
      <c r="F2306" s="567" t="s">
        <v>53</v>
      </c>
      <c r="G2306" s="450" t="str">
        <f t="shared" si="114"/>
        <v>Hotel C-Other-Other 2</v>
      </c>
      <c r="H2306" s="567" t="s">
        <v>363</v>
      </c>
      <c r="I2306" s="877" t="s">
        <v>64</v>
      </c>
      <c r="J2306" s="878">
        <f>SUMIFS('Level of Efficiency Assumptions'!J:J,'Level of Efficiency Assumptions'!D:D,E2306,'Level of Efficiency Assumptions'!F:F,F2306,'Level of Efficiency Assumptions'!I:I,I2306)</f>
        <v>10</v>
      </c>
      <c r="K2306" s="383" t="s">
        <v>588</v>
      </c>
      <c r="L2306" s="253" t="s">
        <v>64</v>
      </c>
      <c r="M2306" s="879">
        <f>SUM(Q2306:Q2306)</f>
        <v>0</v>
      </c>
      <c r="N2306" s="880">
        <f>IFERROR(M2306/M2309,"-")</f>
        <v>0</v>
      </c>
      <c r="O2306" s="881">
        <f>SUMIFS('Data Entry'!R:R,'Data Entry'!K:K,G2306)</f>
        <v>0</v>
      </c>
      <c r="P2306" s="272" t="s">
        <v>129</v>
      </c>
      <c r="Q2306" s="895">
        <v>0</v>
      </c>
      <c r="R2306" s="114"/>
      <c r="S2306" s="884"/>
      <c r="T2306" s="270"/>
      <c r="U2306" s="270"/>
      <c r="V2306" s="270"/>
      <c r="W2306" s="270"/>
      <c r="X2306" s="270"/>
      <c r="Y2306" s="270"/>
      <c r="Z2306" s="270"/>
      <c r="AA2306" s="270"/>
    </row>
    <row r="2307" spans="3:27" ht="15" thickBot="1" x14ac:dyDescent="0.35">
      <c r="C2307" s="494" t="s">
        <v>98</v>
      </c>
      <c r="D2307" s="577"/>
      <c r="E2307" s="577" t="s">
        <v>8</v>
      </c>
      <c r="F2307" s="577" t="s">
        <v>53</v>
      </c>
      <c r="G2307" s="450" t="str">
        <f t="shared" si="114"/>
        <v>Hotel C-Other-Other 2</v>
      </c>
      <c r="H2307" s="577"/>
      <c r="I2307" s="887" t="s">
        <v>65</v>
      </c>
      <c r="J2307" s="878">
        <f>SUMIFS('Level of Efficiency Assumptions'!J:J,'Level of Efficiency Assumptions'!D:D,E2307,'Level of Efficiency Assumptions'!F:F,F2307,'Level of Efficiency Assumptions'!I:I,I2307)</f>
        <v>7.5</v>
      </c>
      <c r="K2307" s="383" t="s">
        <v>588</v>
      </c>
      <c r="L2307" s="255" t="s">
        <v>65</v>
      </c>
      <c r="M2307" s="879">
        <f t="shared" ref="M2307:M2308" si="115">SUM(Q2307:Q2307)</f>
        <v>1</v>
      </c>
      <c r="N2307" s="880">
        <f>IFERROR(M2307/M2309,"-")</f>
        <v>1</v>
      </c>
      <c r="O2307" s="881">
        <f>SUMIFS('Data Entry'!S:S,'Data Entry'!K:K,G2307)</f>
        <v>0</v>
      </c>
      <c r="P2307" s="274" t="s">
        <v>233</v>
      </c>
      <c r="Q2307" s="895">
        <v>1</v>
      </c>
      <c r="R2307" s="114"/>
      <c r="S2307" s="884"/>
      <c r="T2307" s="270"/>
      <c r="U2307" s="270"/>
      <c r="V2307" s="270"/>
      <c r="W2307" s="270"/>
      <c r="X2307" s="270"/>
      <c r="Y2307" s="270"/>
      <c r="Z2307" s="270"/>
      <c r="AA2307" s="270"/>
    </row>
    <row r="2308" spans="3:27" ht="15" thickBot="1" x14ac:dyDescent="0.35">
      <c r="C2308" s="501" t="s">
        <v>98</v>
      </c>
      <c r="D2308" s="116"/>
      <c r="E2308" s="116" t="s">
        <v>8</v>
      </c>
      <c r="F2308" s="116" t="s">
        <v>53</v>
      </c>
      <c r="G2308" s="450" t="str">
        <f t="shared" si="114"/>
        <v>Hotel C-Other-Other 2</v>
      </c>
      <c r="H2308" s="116"/>
      <c r="I2308" s="889" t="s">
        <v>66</v>
      </c>
      <c r="J2308" s="890">
        <f>SUMIFS('Level of Efficiency Assumptions'!J:J,'Level of Efficiency Assumptions'!D:D,E2308,'Level of Efficiency Assumptions'!F:F,F2308,'Level of Efficiency Assumptions'!I:I,I2308)</f>
        <v>5</v>
      </c>
      <c r="K2308" s="383" t="s">
        <v>588</v>
      </c>
      <c r="L2308" s="257" t="s">
        <v>66</v>
      </c>
      <c r="M2308" s="879">
        <f t="shared" si="115"/>
        <v>0</v>
      </c>
      <c r="N2308" s="880">
        <f>IFERROR(M2308/M2309,"-")</f>
        <v>0</v>
      </c>
      <c r="O2308" s="881">
        <f>SUMIFS('Data Entry'!T:T,'Data Entry'!K:K,G2308)</f>
        <v>0</v>
      </c>
      <c r="P2308" s="269" t="s">
        <v>234</v>
      </c>
      <c r="Q2308" s="895">
        <v>0</v>
      </c>
      <c r="R2308" s="114"/>
      <c r="S2308" s="884"/>
      <c r="T2308" s="270"/>
      <c r="U2308" s="270"/>
      <c r="V2308" s="270"/>
      <c r="W2308" s="270"/>
      <c r="X2308" s="270"/>
      <c r="Y2308" s="270"/>
      <c r="Z2308" s="270"/>
      <c r="AA2308" s="270"/>
    </row>
    <row r="2309" spans="3:27" x14ac:dyDescent="0.3">
      <c r="C2309" s="450"/>
      <c r="D2309" s="182"/>
      <c r="E2309" s="182"/>
      <c r="F2309" s="182"/>
      <c r="G2309" s="450" t="str">
        <f t="shared" si="114"/>
        <v>--</v>
      </c>
      <c r="H2309" s="182"/>
      <c r="I2309" s="440"/>
      <c r="J2309" s="892"/>
      <c r="K2309" s="259"/>
      <c r="L2309" s="259" t="s">
        <v>46</v>
      </c>
      <c r="M2309" s="893">
        <f>SUM(M2306:M2308)</f>
        <v>1</v>
      </c>
      <c r="N2309" s="894"/>
      <c r="O2309" s="894">
        <f>SUM(O2306:O2308)</f>
        <v>0</v>
      </c>
      <c r="P2309" s="263" t="s">
        <v>46</v>
      </c>
      <c r="Q2309" s="897">
        <f>SUM(Q2306:Q2308)</f>
        <v>1</v>
      </c>
      <c r="R2309" s="899"/>
      <c r="S2309" s="900"/>
      <c r="T2309" s="270"/>
      <c r="U2309" s="270"/>
      <c r="V2309" s="270"/>
      <c r="W2309" s="270"/>
      <c r="X2309" s="270"/>
      <c r="Y2309" s="270"/>
      <c r="Z2309" s="270"/>
      <c r="AA2309" s="270"/>
    </row>
    <row r="2310" spans="3:27" x14ac:dyDescent="0.3">
      <c r="C2310" s="450"/>
      <c r="D2310" s="182"/>
      <c r="E2310" s="182"/>
      <c r="F2310" s="182"/>
      <c r="G2310" s="450" t="str">
        <f t="shared" si="114"/>
        <v>--</v>
      </c>
      <c r="H2310" s="182"/>
      <c r="I2310" s="892"/>
      <c r="J2310" s="288"/>
      <c r="K2310" s="182"/>
      <c r="L2310" s="182"/>
      <c r="M2310" s="270"/>
      <c r="N2310" s="892"/>
      <c r="O2310" s="892"/>
      <c r="P2310" s="270"/>
      <c r="Q2310" s="270"/>
      <c r="R2310" s="270"/>
      <c r="S2310" s="270"/>
      <c r="T2310" s="270"/>
      <c r="U2310" s="270"/>
      <c r="V2310" s="270"/>
      <c r="W2310" s="270"/>
      <c r="X2310" s="270"/>
      <c r="Y2310" s="270"/>
      <c r="Z2310" s="270"/>
      <c r="AA2310" s="270"/>
    </row>
    <row r="2311" spans="3:27" ht="15" thickBot="1" x14ac:dyDescent="0.35">
      <c r="C2311" s="450"/>
      <c r="D2311" s="182"/>
      <c r="E2311" s="182"/>
      <c r="F2311" s="182"/>
      <c r="G2311" s="450" t="str">
        <f t="shared" si="114"/>
        <v>--</v>
      </c>
      <c r="H2311" s="182"/>
      <c r="I2311" s="892"/>
      <c r="J2311" s="892"/>
      <c r="K2311" s="182"/>
      <c r="L2311" s="182"/>
      <c r="M2311" s="901" t="s">
        <v>155</v>
      </c>
      <c r="N2311" s="870" t="s">
        <v>188</v>
      </c>
      <c r="O2311" s="870"/>
      <c r="P2311" s="276" t="s">
        <v>54</v>
      </c>
      <c r="Q2311" s="871" t="s">
        <v>155</v>
      </c>
      <c r="R2311" s="902"/>
      <c r="S2311" s="874"/>
      <c r="T2311" s="270"/>
      <c r="U2311" s="270"/>
      <c r="V2311" s="270"/>
      <c r="W2311" s="270"/>
      <c r="X2311" s="270"/>
      <c r="Y2311" s="270"/>
      <c r="Z2311" s="270"/>
      <c r="AA2311" s="270"/>
    </row>
    <row r="2312" spans="3:27" ht="15" thickBot="1" x14ac:dyDescent="0.35">
      <c r="C2312" s="566" t="s">
        <v>98</v>
      </c>
      <c r="D2312" s="875" t="str">
        <f>VLOOKUP(C2312,'Airport Mapping'!$C$5:$D$39,2,FALSE)</f>
        <v xml:space="preserve"> </v>
      </c>
      <c r="E2312" s="567" t="s">
        <v>8</v>
      </c>
      <c r="F2312" s="567" t="s">
        <v>54</v>
      </c>
      <c r="G2312" s="450" t="str">
        <f t="shared" si="114"/>
        <v>Hotel C-Other-Other 3</v>
      </c>
      <c r="H2312" s="567" t="s">
        <v>364</v>
      </c>
      <c r="I2312" s="877" t="s">
        <v>64</v>
      </c>
      <c r="J2312" s="878">
        <f>SUMIFS('Level of Efficiency Assumptions'!J:J,'Level of Efficiency Assumptions'!D:D,E2312,'Level of Efficiency Assumptions'!F:F,F2312,'Level of Efficiency Assumptions'!I:I,I2312)</f>
        <v>10</v>
      </c>
      <c r="K2312" s="383" t="s">
        <v>588</v>
      </c>
      <c r="L2312" s="253" t="s">
        <v>64</v>
      </c>
      <c r="M2312" s="879">
        <f>SUM(Q2312:Q2312)</f>
        <v>0</v>
      </c>
      <c r="N2312" s="880">
        <f>IFERROR(M2312/M2315,"-")</f>
        <v>0</v>
      </c>
      <c r="O2312" s="881">
        <f>SUMIFS('Data Entry'!R:R,'Data Entry'!K:K,G2312)</f>
        <v>0</v>
      </c>
      <c r="P2312" s="272" t="s">
        <v>129</v>
      </c>
      <c r="Q2312" s="895">
        <v>0</v>
      </c>
      <c r="R2312" s="114"/>
      <c r="S2312" s="884"/>
      <c r="T2312" s="270"/>
      <c r="U2312" s="270"/>
      <c r="V2312" s="270"/>
      <c r="W2312" s="270"/>
      <c r="X2312" s="270"/>
      <c r="Y2312" s="270"/>
      <c r="Z2312" s="270"/>
      <c r="AA2312" s="270"/>
    </row>
    <row r="2313" spans="3:27" ht="15" thickBot="1" x14ac:dyDescent="0.35">
      <c r="C2313" s="494" t="s">
        <v>98</v>
      </c>
      <c r="D2313" s="577"/>
      <c r="E2313" s="577" t="s">
        <v>8</v>
      </c>
      <c r="F2313" s="577" t="s">
        <v>54</v>
      </c>
      <c r="G2313" s="450" t="str">
        <f t="shared" si="114"/>
        <v>Hotel C-Other-Other 3</v>
      </c>
      <c r="H2313" s="577"/>
      <c r="I2313" s="887" t="s">
        <v>65</v>
      </c>
      <c r="J2313" s="878">
        <f>SUMIFS('Level of Efficiency Assumptions'!J:J,'Level of Efficiency Assumptions'!D:D,E2313,'Level of Efficiency Assumptions'!F:F,F2313,'Level of Efficiency Assumptions'!I:I,I2313)</f>
        <v>7.5</v>
      </c>
      <c r="K2313" s="383" t="s">
        <v>588</v>
      </c>
      <c r="L2313" s="255" t="s">
        <v>65</v>
      </c>
      <c r="M2313" s="879">
        <f t="shared" ref="M2313:M2314" si="116">SUM(Q2313:Q2313)</f>
        <v>1</v>
      </c>
      <c r="N2313" s="880">
        <f>IFERROR(M2313/M2315,"-")</f>
        <v>1</v>
      </c>
      <c r="O2313" s="881">
        <f>SUMIFS('Data Entry'!S:S,'Data Entry'!K:K,G2313)</f>
        <v>0</v>
      </c>
      <c r="P2313" s="274" t="s">
        <v>233</v>
      </c>
      <c r="Q2313" s="895">
        <v>1</v>
      </c>
      <c r="R2313" s="114"/>
      <c r="S2313" s="884"/>
      <c r="T2313" s="270"/>
      <c r="U2313" s="270"/>
      <c r="V2313" s="270"/>
      <c r="W2313" s="270"/>
      <c r="X2313" s="270"/>
      <c r="Y2313" s="270"/>
      <c r="Z2313" s="270"/>
      <c r="AA2313" s="270"/>
    </row>
    <row r="2314" spans="3:27" ht="15" thickBot="1" x14ac:dyDescent="0.35">
      <c r="C2314" s="501" t="s">
        <v>98</v>
      </c>
      <c r="D2314" s="116"/>
      <c r="E2314" s="116" t="s">
        <v>8</v>
      </c>
      <c r="F2314" s="116" t="s">
        <v>54</v>
      </c>
      <c r="G2314" s="450" t="str">
        <f t="shared" si="114"/>
        <v>Hotel C-Other-Other 3</v>
      </c>
      <c r="H2314" s="116"/>
      <c r="I2314" s="889" t="s">
        <v>66</v>
      </c>
      <c r="J2314" s="890">
        <f>SUMIFS('Level of Efficiency Assumptions'!J:J,'Level of Efficiency Assumptions'!D:D,E2314,'Level of Efficiency Assumptions'!F:F,F2314,'Level of Efficiency Assumptions'!I:I,I2314)</f>
        <v>5</v>
      </c>
      <c r="K2314" s="383" t="s">
        <v>588</v>
      </c>
      <c r="L2314" s="257" t="s">
        <v>66</v>
      </c>
      <c r="M2314" s="879">
        <f t="shared" si="116"/>
        <v>0</v>
      </c>
      <c r="N2314" s="880">
        <f>IFERROR(M2314/M2315,"-")</f>
        <v>0</v>
      </c>
      <c r="O2314" s="881">
        <f>SUMIFS('Data Entry'!T:T,'Data Entry'!K:K,G2314)</f>
        <v>0</v>
      </c>
      <c r="P2314" s="269" t="s">
        <v>234</v>
      </c>
      <c r="Q2314" s="895">
        <v>0</v>
      </c>
      <c r="R2314" s="114"/>
      <c r="S2314" s="884"/>
      <c r="T2314" s="270"/>
      <c r="U2314" s="270"/>
      <c r="V2314" s="270"/>
      <c r="W2314" s="270"/>
      <c r="X2314" s="270"/>
      <c r="Y2314" s="270"/>
      <c r="Z2314" s="270"/>
      <c r="AA2314" s="270"/>
    </row>
    <row r="2315" spans="3:27" x14ac:dyDescent="0.3">
      <c r="C2315" s="450"/>
      <c r="D2315" s="182"/>
      <c r="E2315" s="182"/>
      <c r="F2315" s="182"/>
      <c r="G2315" s="450" t="str">
        <f t="shared" si="114"/>
        <v>--</v>
      </c>
      <c r="H2315" s="182"/>
      <c r="I2315" s="440"/>
      <c r="J2315" s="892"/>
      <c r="K2315" s="259"/>
      <c r="L2315" s="259" t="s">
        <v>46</v>
      </c>
      <c r="M2315" s="893">
        <f>SUM(M2312:M2314)</f>
        <v>1</v>
      </c>
      <c r="N2315" s="894"/>
      <c r="O2315" s="894">
        <f>SUM(O2312:O2314)</f>
        <v>0</v>
      </c>
      <c r="P2315" s="263" t="s">
        <v>46</v>
      </c>
      <c r="Q2315" s="897">
        <f>SUM(Q2312:Q2314)</f>
        <v>1</v>
      </c>
      <c r="R2315" s="899"/>
      <c r="S2315" s="900"/>
      <c r="T2315" s="270"/>
      <c r="U2315" s="270"/>
      <c r="V2315" s="270"/>
      <c r="W2315" s="270"/>
      <c r="X2315" s="270"/>
      <c r="Y2315" s="270"/>
      <c r="Z2315" s="270"/>
      <c r="AA2315" s="270"/>
    </row>
    <row r="2316" spans="3:27" ht="15" thickBot="1" x14ac:dyDescent="0.35">
      <c r="C2316" s="451"/>
      <c r="D2316" s="184"/>
      <c r="E2316" s="184"/>
      <c r="F2316" s="184"/>
      <c r="G2316" s="450" t="str">
        <f t="shared" si="114"/>
        <v>--</v>
      </c>
      <c r="H2316" s="184"/>
      <c r="I2316" s="281"/>
      <c r="J2316" s="281"/>
      <c r="K2316" s="184"/>
      <c r="L2316" s="184"/>
      <c r="M2316" s="278"/>
      <c r="N2316" s="281"/>
      <c r="O2316" s="281"/>
      <c r="P2316" s="278"/>
      <c r="Q2316" s="278"/>
      <c r="R2316" s="278"/>
      <c r="S2316" s="278"/>
      <c r="T2316" s="270"/>
      <c r="U2316" s="270"/>
      <c r="V2316" s="270"/>
      <c r="W2316" s="270"/>
      <c r="X2316" s="270"/>
      <c r="Y2316" s="270"/>
      <c r="Z2316" s="270"/>
      <c r="AA2316" s="270"/>
    </row>
    <row r="2317" spans="3:27" x14ac:dyDescent="0.3">
      <c r="C2317" s="450"/>
      <c r="D2317" s="182"/>
      <c r="E2317" s="182"/>
      <c r="F2317" s="182"/>
      <c r="G2317" s="450" t="str">
        <f t="shared" si="114"/>
        <v>--</v>
      </c>
      <c r="H2317" s="182"/>
      <c r="I2317" s="892"/>
      <c r="J2317" s="892"/>
      <c r="K2317" s="182"/>
      <c r="L2317" s="182"/>
      <c r="M2317" s="270"/>
      <c r="N2317" s="892"/>
      <c r="O2317" s="892"/>
      <c r="P2317" s="270"/>
      <c r="Q2317" s="270"/>
      <c r="R2317" s="270"/>
      <c r="S2317" s="270"/>
      <c r="T2317" s="270"/>
      <c r="U2317" s="270"/>
      <c r="V2317" s="270"/>
      <c r="W2317" s="270"/>
      <c r="X2317" s="270"/>
      <c r="Y2317" s="270"/>
      <c r="Z2317" s="270"/>
      <c r="AA2317" s="270"/>
    </row>
    <row r="2318" spans="3:27" ht="15" thickBot="1" x14ac:dyDescent="0.35">
      <c r="C2318" s="450"/>
      <c r="D2318" s="182"/>
      <c r="E2318" s="182"/>
      <c r="F2318" s="182"/>
      <c r="G2318" s="450" t="str">
        <f t="shared" si="114"/>
        <v>--</v>
      </c>
      <c r="H2318" s="182"/>
      <c r="I2318" s="892"/>
      <c r="J2318" s="892"/>
      <c r="K2318" s="182"/>
      <c r="L2318" s="182"/>
      <c r="M2318" s="901" t="s">
        <v>155</v>
      </c>
      <c r="N2318" s="870" t="s">
        <v>188</v>
      </c>
      <c r="O2318" s="870"/>
      <c r="P2318" s="252" t="s">
        <v>158</v>
      </c>
      <c r="Q2318" s="871" t="s">
        <v>155</v>
      </c>
      <c r="R2318" s="872" t="s">
        <v>168</v>
      </c>
      <c r="S2318" s="872" t="s">
        <v>169</v>
      </c>
      <c r="T2318" s="873"/>
      <c r="U2318" s="874"/>
      <c r="V2318" s="270"/>
      <c r="W2318" s="270"/>
      <c r="X2318" s="270"/>
      <c r="Y2318" s="114"/>
      <c r="Z2318" s="270"/>
      <c r="AA2318" s="270"/>
    </row>
    <row r="2319" spans="3:27" ht="15" thickBot="1" x14ac:dyDescent="0.35">
      <c r="C2319" s="566" t="s">
        <v>99</v>
      </c>
      <c r="D2319" s="875" t="str">
        <f>VLOOKUP(C2319,'Airport Mapping'!$C$5:$D$39,2,FALSE)</f>
        <v xml:space="preserve"> </v>
      </c>
      <c r="E2319" s="567" t="s">
        <v>45</v>
      </c>
      <c r="F2319" s="567" t="s">
        <v>2</v>
      </c>
      <c r="G2319" s="450" t="str">
        <f t="shared" si="114"/>
        <v>Hotel D-Guestrooms-Toilets</v>
      </c>
      <c r="H2319" s="567" t="s">
        <v>17</v>
      </c>
      <c r="I2319" s="877" t="s">
        <v>64</v>
      </c>
      <c r="J2319" s="878">
        <f>SUMIFS('Level of Efficiency Assumptions'!J:J,'Level of Efficiency Assumptions'!D:D,E2319,'Level of Efficiency Assumptions'!F:F,F2319,'Level of Efficiency Assumptions'!I:I,I2319)</f>
        <v>3.5</v>
      </c>
      <c r="K2319" s="383" t="s">
        <v>68</v>
      </c>
      <c r="L2319" s="253" t="s">
        <v>64</v>
      </c>
      <c r="M2319" s="879">
        <f>Q2319+Q2325</f>
        <v>0</v>
      </c>
      <c r="N2319" s="880">
        <f>IFERROR(M2319/M2322,"-")</f>
        <v>0</v>
      </c>
      <c r="O2319" s="881">
        <f>SUMIFS('Data Entry'!R:R,'Data Entry'!K:K,G2319)</f>
        <v>0</v>
      </c>
      <c r="P2319" s="254" t="s">
        <v>159</v>
      </c>
      <c r="Q2319" s="882">
        <v>0</v>
      </c>
      <c r="R2319" s="883"/>
      <c r="S2319" s="883"/>
      <c r="T2319" s="114" t="s">
        <v>182</v>
      </c>
      <c r="U2319" s="884"/>
      <c r="V2319" s="270"/>
      <c r="W2319" s="270"/>
      <c r="X2319" s="270"/>
      <c r="Y2319" s="114"/>
      <c r="Z2319" s="270"/>
      <c r="AA2319" s="270"/>
    </row>
    <row r="2320" spans="3:27" ht="15" thickBot="1" x14ac:dyDescent="0.35">
      <c r="C2320" s="494" t="s">
        <v>99</v>
      </c>
      <c r="D2320" s="577"/>
      <c r="E2320" s="577" t="s">
        <v>45</v>
      </c>
      <c r="F2320" s="577" t="s">
        <v>2</v>
      </c>
      <c r="G2320" s="450" t="str">
        <f t="shared" si="114"/>
        <v>Hotel D-Guestrooms-Toilets</v>
      </c>
      <c r="H2320" s="577"/>
      <c r="I2320" s="887" t="s">
        <v>65</v>
      </c>
      <c r="J2320" s="878">
        <f>SUMIFS('Level of Efficiency Assumptions'!J:J,'Level of Efficiency Assumptions'!D:D,E2320,'Level of Efficiency Assumptions'!F:F,F2320,'Level of Efficiency Assumptions'!I:I,I2320)</f>
        <v>1.6</v>
      </c>
      <c r="K2320" s="383" t="s">
        <v>68</v>
      </c>
      <c r="L2320" s="255" t="s">
        <v>65</v>
      </c>
      <c r="M2320" s="879">
        <f>Q2320+Q2323+Q2326</f>
        <v>1</v>
      </c>
      <c r="N2320" s="880">
        <f>IFERROR(M2320/M2322,"-")</f>
        <v>1</v>
      </c>
      <c r="O2320" s="881">
        <f>SUMIFS('Data Entry'!S:S,'Data Entry'!K:K,G2320)</f>
        <v>0</v>
      </c>
      <c r="P2320" s="256" t="s">
        <v>161</v>
      </c>
      <c r="Q2320" s="882">
        <v>1</v>
      </c>
      <c r="R2320" s="883"/>
      <c r="S2320" s="883"/>
      <c r="T2320" s="114" t="s">
        <v>184</v>
      </c>
      <c r="U2320" s="884"/>
      <c r="V2320" s="270"/>
      <c r="W2320" s="270"/>
      <c r="X2320" s="270"/>
      <c r="Y2320" s="114"/>
      <c r="Z2320" s="270"/>
      <c r="AA2320" s="270"/>
    </row>
    <row r="2321" spans="3:27" ht="15" thickBot="1" x14ac:dyDescent="0.35">
      <c r="C2321" s="501" t="s">
        <v>99</v>
      </c>
      <c r="D2321" s="116"/>
      <c r="E2321" s="116" t="s">
        <v>45</v>
      </c>
      <c r="F2321" s="116" t="s">
        <v>2</v>
      </c>
      <c r="G2321" s="450" t="str">
        <f t="shared" si="114"/>
        <v>Hotel D-Guestrooms-Toilets</v>
      </c>
      <c r="H2321" s="116"/>
      <c r="I2321" s="889" t="s">
        <v>66</v>
      </c>
      <c r="J2321" s="890">
        <f>SUMIFS('Level of Efficiency Assumptions'!J:J,'Level of Efficiency Assumptions'!D:D,E2321,'Level of Efficiency Assumptions'!F:F,F2321,'Level of Efficiency Assumptions'!I:I,I2321)</f>
        <v>1.28</v>
      </c>
      <c r="K2321" s="383" t="s">
        <v>68</v>
      </c>
      <c r="L2321" s="257" t="s">
        <v>66</v>
      </c>
      <c r="M2321" s="879">
        <f>Q2321+Q2322+Q2324+Q2327+Q2328</f>
        <v>0</v>
      </c>
      <c r="N2321" s="880">
        <f>IFERROR(M2321/M2322,"-")</f>
        <v>0</v>
      </c>
      <c r="O2321" s="881">
        <f>SUMIFS('Data Entry'!T:T,'Data Entry'!K:K,G2321)</f>
        <v>0</v>
      </c>
      <c r="P2321" s="258" t="s">
        <v>163</v>
      </c>
      <c r="Q2321" s="882">
        <v>0</v>
      </c>
      <c r="R2321" s="883"/>
      <c r="S2321" s="883"/>
      <c r="T2321" s="891"/>
      <c r="U2321" s="884"/>
      <c r="V2321" s="270"/>
      <c r="W2321" s="270"/>
      <c r="X2321" s="270"/>
      <c r="Y2321" s="114"/>
      <c r="Z2321" s="270"/>
      <c r="AA2321" s="270"/>
    </row>
    <row r="2322" spans="3:27" x14ac:dyDescent="0.3">
      <c r="C2322" s="450"/>
      <c r="D2322" s="182"/>
      <c r="E2322" s="182"/>
      <c r="F2322" s="182"/>
      <c r="G2322" s="450" t="str">
        <f t="shared" si="114"/>
        <v>--</v>
      </c>
      <c r="H2322" s="182"/>
      <c r="I2322" s="440"/>
      <c r="J2322" s="892"/>
      <c r="K2322" s="259"/>
      <c r="L2322" s="259" t="s">
        <v>46</v>
      </c>
      <c r="M2322" s="893">
        <f>SUM(M2319:M2321)</f>
        <v>1</v>
      </c>
      <c r="N2322" s="894"/>
      <c r="O2322" s="894">
        <f>SUM(O2319:O2321)</f>
        <v>0</v>
      </c>
      <c r="P2322" s="258" t="s">
        <v>165</v>
      </c>
      <c r="Q2322" s="882">
        <v>0</v>
      </c>
      <c r="R2322" s="883"/>
      <c r="S2322" s="883"/>
      <c r="T2322" s="891"/>
      <c r="U2322" s="884"/>
      <c r="V2322" s="270"/>
      <c r="W2322" s="270"/>
      <c r="X2322" s="270"/>
      <c r="Y2322" s="114"/>
      <c r="Z2322" s="270"/>
      <c r="AA2322" s="270"/>
    </row>
    <row r="2323" spans="3:27" ht="15" thickBot="1" x14ac:dyDescent="0.35">
      <c r="C2323" s="450"/>
      <c r="D2323" s="182"/>
      <c r="E2323" s="182"/>
      <c r="F2323" s="182"/>
      <c r="G2323" s="450" t="str">
        <f t="shared" si="114"/>
        <v>--</v>
      </c>
      <c r="H2323" s="182"/>
      <c r="I2323" s="892"/>
      <c r="J2323" s="288"/>
      <c r="K2323" s="182"/>
      <c r="L2323" s="181"/>
      <c r="M2323" s="181"/>
      <c r="N2323" s="892"/>
      <c r="O2323" s="892"/>
      <c r="P2323" s="256" t="s">
        <v>166</v>
      </c>
      <c r="Q2323" s="895">
        <v>0</v>
      </c>
      <c r="R2323" s="883"/>
      <c r="S2323" s="883"/>
      <c r="T2323" s="891"/>
      <c r="U2323" s="896"/>
      <c r="V2323" s="891"/>
      <c r="W2323" s="270"/>
      <c r="X2323" s="270"/>
      <c r="Y2323" s="114"/>
      <c r="Z2323" s="270"/>
      <c r="AA2323" s="270"/>
    </row>
    <row r="2324" spans="3:27" x14ac:dyDescent="0.3">
      <c r="C2324" s="450"/>
      <c r="D2324" s="182"/>
      <c r="E2324" s="182"/>
      <c r="F2324" s="182"/>
      <c r="G2324" s="450" t="str">
        <f t="shared" si="114"/>
        <v>--</v>
      </c>
      <c r="H2324" s="182"/>
      <c r="I2324" s="892"/>
      <c r="J2324" s="288"/>
      <c r="K2324" s="182"/>
      <c r="L2324" s="1384" t="s">
        <v>377</v>
      </c>
      <c r="M2324" s="1385"/>
      <c r="N2324" s="1385"/>
      <c r="O2324" s="1386"/>
      <c r="P2324" s="258" t="s">
        <v>167</v>
      </c>
      <c r="Q2324" s="895">
        <v>0</v>
      </c>
      <c r="R2324" s="883"/>
      <c r="S2324" s="883"/>
      <c r="T2324" s="891"/>
      <c r="U2324" s="896"/>
      <c r="V2324" s="891"/>
      <c r="W2324" s="270"/>
      <c r="X2324" s="270"/>
      <c r="Y2324" s="270"/>
      <c r="Z2324" s="270"/>
      <c r="AA2324" s="270"/>
    </row>
    <row r="2325" spans="3:27" x14ac:dyDescent="0.3">
      <c r="C2325" s="450"/>
      <c r="D2325" s="182"/>
      <c r="E2325" s="182"/>
      <c r="F2325" s="182"/>
      <c r="G2325" s="450" t="str">
        <f t="shared" si="114"/>
        <v>--</v>
      </c>
      <c r="H2325" s="182"/>
      <c r="I2325" s="892"/>
      <c r="J2325" s="288"/>
      <c r="K2325" s="182"/>
      <c r="L2325" s="1387"/>
      <c r="M2325" s="1388"/>
      <c r="N2325" s="1388"/>
      <c r="O2325" s="1389"/>
      <c r="P2325" s="254" t="s">
        <v>160</v>
      </c>
      <c r="Q2325" s="895">
        <v>0</v>
      </c>
      <c r="R2325" s="891"/>
      <c r="S2325" s="891"/>
      <c r="T2325" s="891"/>
      <c r="U2325" s="896"/>
      <c r="V2325" s="891"/>
      <c r="W2325" s="270"/>
      <c r="X2325" s="270"/>
      <c r="Y2325" s="270"/>
      <c r="Z2325" s="270"/>
      <c r="AA2325" s="270"/>
    </row>
    <row r="2326" spans="3:27" x14ac:dyDescent="0.3">
      <c r="C2326" s="450"/>
      <c r="D2326" s="182"/>
      <c r="E2326" s="182"/>
      <c r="F2326" s="182"/>
      <c r="G2326" s="450" t="str">
        <f t="shared" si="114"/>
        <v>--</v>
      </c>
      <c r="H2326" s="182"/>
      <c r="I2326" s="892"/>
      <c r="J2326" s="288"/>
      <c r="K2326" s="182"/>
      <c r="L2326" s="1387"/>
      <c r="M2326" s="1388"/>
      <c r="N2326" s="1388"/>
      <c r="O2326" s="1389"/>
      <c r="P2326" s="256" t="s">
        <v>162</v>
      </c>
      <c r="Q2326" s="895">
        <v>0</v>
      </c>
      <c r="R2326" s="891"/>
      <c r="S2326" s="891"/>
      <c r="T2326" s="891"/>
      <c r="U2326" s="896"/>
      <c r="V2326" s="891"/>
      <c r="W2326" s="270"/>
      <c r="X2326" s="270"/>
      <c r="Y2326" s="270"/>
      <c r="Z2326" s="270"/>
      <c r="AA2326" s="270"/>
    </row>
    <row r="2327" spans="3:27" ht="15" thickBot="1" x14ac:dyDescent="0.35">
      <c r="C2327" s="450"/>
      <c r="D2327" s="182"/>
      <c r="E2327" s="182"/>
      <c r="F2327" s="182"/>
      <c r="G2327" s="450" t="str">
        <f t="shared" si="114"/>
        <v>--</v>
      </c>
      <c r="H2327" s="182"/>
      <c r="I2327" s="892"/>
      <c r="J2327" s="288"/>
      <c r="K2327" s="182"/>
      <c r="L2327" s="1390"/>
      <c r="M2327" s="1391"/>
      <c r="N2327" s="1391"/>
      <c r="O2327" s="1392"/>
      <c r="P2327" s="258" t="s">
        <v>164</v>
      </c>
      <c r="Q2327" s="895">
        <v>0</v>
      </c>
      <c r="R2327" s="114"/>
      <c r="S2327" s="891"/>
      <c r="T2327" s="114"/>
      <c r="U2327" s="884"/>
      <c r="V2327" s="114"/>
      <c r="W2327" s="270"/>
      <c r="X2327" s="270"/>
      <c r="Y2327" s="270"/>
      <c r="Z2327" s="270"/>
      <c r="AA2327" s="270"/>
    </row>
    <row r="2328" spans="3:27" x14ac:dyDescent="0.3">
      <c r="C2328" s="450"/>
      <c r="D2328" s="182"/>
      <c r="E2328" s="182"/>
      <c r="F2328" s="182"/>
      <c r="G2328" s="450" t="str">
        <f t="shared" si="114"/>
        <v>--</v>
      </c>
      <c r="H2328" s="182"/>
      <c r="I2328" s="892"/>
      <c r="J2328" s="288"/>
      <c r="K2328" s="182"/>
      <c r="L2328" s="181"/>
      <c r="M2328" s="181"/>
      <c r="N2328" s="892"/>
      <c r="O2328" s="892"/>
      <c r="P2328" s="258" t="s">
        <v>187</v>
      </c>
      <c r="Q2328" s="895">
        <v>0</v>
      </c>
      <c r="R2328" s="114"/>
      <c r="S2328" s="891"/>
      <c r="T2328" s="114"/>
      <c r="U2328" s="884"/>
      <c r="V2328" s="114"/>
      <c r="W2328" s="270"/>
      <c r="X2328" s="270"/>
      <c r="Y2328" s="270"/>
      <c r="Z2328" s="270"/>
      <c r="AA2328" s="270"/>
    </row>
    <row r="2329" spans="3:27" x14ac:dyDescent="0.3">
      <c r="C2329" s="450"/>
      <c r="D2329" s="182"/>
      <c r="E2329" s="182"/>
      <c r="F2329" s="182"/>
      <c r="G2329" s="450" t="str">
        <f t="shared" si="114"/>
        <v>--</v>
      </c>
      <c r="H2329" s="182"/>
      <c r="I2329" s="892"/>
      <c r="J2329" s="288"/>
      <c r="K2329" s="182"/>
      <c r="L2329" s="181"/>
      <c r="M2329" s="181"/>
      <c r="N2329" s="892"/>
      <c r="O2329" s="892"/>
      <c r="P2329" s="263" t="s">
        <v>46</v>
      </c>
      <c r="Q2329" s="897">
        <f>SUM(Q2319:Q2328)</f>
        <v>1</v>
      </c>
      <c r="R2329" s="898"/>
      <c r="S2329" s="898"/>
      <c r="T2329" s="899"/>
      <c r="U2329" s="900"/>
      <c r="V2329" s="114"/>
      <c r="W2329" s="270"/>
      <c r="X2329" s="270"/>
      <c r="Y2329" s="270"/>
      <c r="Z2329" s="270"/>
      <c r="AA2329" s="270"/>
    </row>
    <row r="2330" spans="3:27" x14ac:dyDescent="0.3">
      <c r="C2330" s="450"/>
      <c r="D2330" s="182"/>
      <c r="E2330" s="182"/>
      <c r="F2330" s="182"/>
      <c r="G2330" s="450" t="str">
        <f t="shared" si="114"/>
        <v>--</v>
      </c>
      <c r="H2330" s="182"/>
      <c r="I2330" s="892"/>
      <c r="J2330" s="288"/>
      <c r="K2330" s="182"/>
      <c r="L2330" s="181"/>
      <c r="M2330" s="181"/>
      <c r="N2330" s="892"/>
      <c r="O2330" s="892"/>
      <c r="P2330" s="114"/>
      <c r="Q2330" s="114"/>
      <c r="R2330" s="891"/>
      <c r="S2330" s="891"/>
      <c r="T2330" s="114"/>
      <c r="U2330" s="114"/>
      <c r="V2330" s="114"/>
      <c r="W2330" s="270"/>
      <c r="X2330" s="270"/>
      <c r="Y2330" s="270"/>
      <c r="Z2330" s="270"/>
      <c r="AA2330" s="270"/>
    </row>
    <row r="2331" spans="3:27" ht="15" thickBot="1" x14ac:dyDescent="0.35">
      <c r="C2331" s="450"/>
      <c r="D2331" s="182"/>
      <c r="E2331" s="182"/>
      <c r="F2331" s="182"/>
      <c r="G2331" s="450" t="str">
        <f t="shared" si="114"/>
        <v>--</v>
      </c>
      <c r="H2331" s="182"/>
      <c r="I2331" s="892"/>
      <c r="J2331" s="892"/>
      <c r="K2331" s="182"/>
      <c r="L2331" s="182"/>
      <c r="M2331" s="901" t="s">
        <v>155</v>
      </c>
      <c r="N2331" s="870" t="s">
        <v>188</v>
      </c>
      <c r="O2331" s="870"/>
      <c r="P2331" s="283" t="s">
        <v>18</v>
      </c>
      <c r="Q2331" s="871" t="s">
        <v>155</v>
      </c>
      <c r="R2331" s="872"/>
      <c r="S2331" s="872"/>
      <c r="T2331" s="902"/>
      <c r="U2331" s="903"/>
      <c r="V2331" s="270"/>
      <c r="W2331" s="270"/>
      <c r="X2331" s="270"/>
      <c r="Y2331" s="270"/>
      <c r="Z2331" s="270"/>
      <c r="AA2331" s="270"/>
    </row>
    <row r="2332" spans="3:27" ht="15" thickBot="1" x14ac:dyDescent="0.35">
      <c r="C2332" s="566" t="s">
        <v>99</v>
      </c>
      <c r="D2332" s="875" t="str">
        <f>VLOOKUP(C2332,'Airport Mapping'!$C$5:$D$39,2,FALSE)</f>
        <v xml:space="preserve"> </v>
      </c>
      <c r="E2332" s="567" t="s">
        <v>45</v>
      </c>
      <c r="F2332" s="567" t="s">
        <v>18</v>
      </c>
      <c r="G2332" s="450" t="str">
        <f t="shared" si="114"/>
        <v>Hotel D-Guestrooms-Showers</v>
      </c>
      <c r="H2332" s="567" t="s">
        <v>17</v>
      </c>
      <c r="I2332" s="877" t="s">
        <v>64</v>
      </c>
      <c r="J2332" s="878">
        <f>SUMIFS('Level of Efficiency Assumptions'!J:J,'Level of Efficiency Assumptions'!D:D,E2332,'Level of Efficiency Assumptions'!F:F,F2332,'Level of Efficiency Assumptions'!I:I,I2332)</f>
        <v>3</v>
      </c>
      <c r="K2332" s="383" t="s">
        <v>78</v>
      </c>
      <c r="L2332" s="253" t="s">
        <v>64</v>
      </c>
      <c r="M2332" s="879">
        <f>Q2332+Q2333</f>
        <v>0</v>
      </c>
      <c r="N2332" s="880">
        <f>IFERROR(M2332/M2335,"-")</f>
        <v>0</v>
      </c>
      <c r="O2332" s="881">
        <f>SUMIFS('Data Entry'!R:R,'Data Entry'!K:K,G2332)</f>
        <v>0</v>
      </c>
      <c r="P2332" s="254" t="s">
        <v>258</v>
      </c>
      <c r="Q2332" s="882">
        <v>0</v>
      </c>
      <c r="R2332" s="114"/>
      <c r="S2332" s="114"/>
      <c r="T2332" s="114"/>
      <c r="U2332" s="904"/>
      <c r="V2332" s="270"/>
      <c r="W2332" s="270"/>
      <c r="X2332" s="270"/>
      <c r="Y2332" s="270"/>
      <c r="Z2332" s="270"/>
      <c r="AA2332" s="270"/>
    </row>
    <row r="2333" spans="3:27" ht="15" thickBot="1" x14ac:dyDescent="0.35">
      <c r="C2333" s="494" t="s">
        <v>99</v>
      </c>
      <c r="D2333" s="577"/>
      <c r="E2333" s="577" t="s">
        <v>45</v>
      </c>
      <c r="F2333" s="577" t="s">
        <v>18</v>
      </c>
      <c r="G2333" s="450" t="str">
        <f t="shared" si="114"/>
        <v>Hotel D-Guestrooms-Showers</v>
      </c>
      <c r="H2333" s="577"/>
      <c r="I2333" s="887" t="s">
        <v>65</v>
      </c>
      <c r="J2333" s="878">
        <f>SUMIFS('Level of Efficiency Assumptions'!J:J,'Level of Efficiency Assumptions'!D:D,E2333,'Level of Efficiency Assumptions'!F:F,F2333,'Level of Efficiency Assumptions'!I:I,I2333)</f>
        <v>2</v>
      </c>
      <c r="K2333" s="383" t="s">
        <v>78</v>
      </c>
      <c r="L2333" s="255" t="s">
        <v>65</v>
      </c>
      <c r="M2333" s="879">
        <f>Q2334+Q2335</f>
        <v>1</v>
      </c>
      <c r="N2333" s="880">
        <f>IFERROR(M2333/M2335,"-")</f>
        <v>1</v>
      </c>
      <c r="O2333" s="881">
        <f>SUMIFS('Data Entry'!S:S,'Data Entry'!K:K,G2333)</f>
        <v>0</v>
      </c>
      <c r="P2333" s="272" t="s">
        <v>262</v>
      </c>
      <c r="Q2333" s="882">
        <v>0</v>
      </c>
      <c r="R2333" s="114"/>
      <c r="S2333" s="114"/>
      <c r="T2333" s="114"/>
      <c r="U2333" s="904"/>
      <c r="V2333" s="270"/>
      <c r="W2333" s="270"/>
      <c r="X2333" s="270"/>
      <c r="Y2333" s="270"/>
      <c r="Z2333" s="270"/>
      <c r="AA2333" s="270"/>
    </row>
    <row r="2334" spans="3:27" ht="15" thickBot="1" x14ac:dyDescent="0.35">
      <c r="C2334" s="501" t="s">
        <v>99</v>
      </c>
      <c r="D2334" s="116"/>
      <c r="E2334" s="116" t="s">
        <v>45</v>
      </c>
      <c r="F2334" s="116" t="s">
        <v>18</v>
      </c>
      <c r="G2334" s="450" t="str">
        <f t="shared" si="114"/>
        <v>Hotel D-Guestrooms-Showers</v>
      </c>
      <c r="H2334" s="116"/>
      <c r="I2334" s="889" t="s">
        <v>66</v>
      </c>
      <c r="J2334" s="890">
        <f>SUMIFS('Level of Efficiency Assumptions'!J:J,'Level of Efficiency Assumptions'!D:D,E2334,'Level of Efficiency Assumptions'!F:F,F2334,'Level of Efficiency Assumptions'!I:I,I2334)</f>
        <v>1</v>
      </c>
      <c r="K2334" s="383" t="s">
        <v>78</v>
      </c>
      <c r="L2334" s="257" t="s">
        <v>66</v>
      </c>
      <c r="M2334" s="879">
        <f>Q2336+Q2337</f>
        <v>0</v>
      </c>
      <c r="N2334" s="880">
        <f>IFERROR(M2334/M2335,"-")</f>
        <v>0</v>
      </c>
      <c r="O2334" s="881">
        <f>SUMIFS('Data Entry'!T:T,'Data Entry'!K:K,G2334)</f>
        <v>0</v>
      </c>
      <c r="P2334" s="267" t="s">
        <v>263</v>
      </c>
      <c r="Q2334" s="882">
        <v>0</v>
      </c>
      <c r="R2334" s="114"/>
      <c r="S2334" s="114"/>
      <c r="T2334" s="114"/>
      <c r="U2334" s="904"/>
      <c r="V2334" s="270"/>
      <c r="W2334" s="270"/>
      <c r="X2334" s="270"/>
      <c r="Y2334" s="270"/>
      <c r="Z2334" s="270"/>
      <c r="AA2334" s="270"/>
    </row>
    <row r="2335" spans="3:27" x14ac:dyDescent="0.3">
      <c r="C2335" s="450"/>
      <c r="D2335" s="182"/>
      <c r="E2335" s="182"/>
      <c r="F2335" s="182"/>
      <c r="G2335" s="450" t="str">
        <f t="shared" si="114"/>
        <v>--</v>
      </c>
      <c r="H2335" s="182"/>
      <c r="I2335" s="440"/>
      <c r="J2335" s="892"/>
      <c r="K2335" s="259"/>
      <c r="L2335" s="259" t="s">
        <v>46</v>
      </c>
      <c r="M2335" s="893">
        <f>SUM(M2332:M2334)</f>
        <v>1</v>
      </c>
      <c r="N2335" s="894"/>
      <c r="O2335" s="894">
        <f>SUM(O2332:O2334)</f>
        <v>0</v>
      </c>
      <c r="P2335" s="274" t="s">
        <v>261</v>
      </c>
      <c r="Q2335" s="882">
        <v>1</v>
      </c>
      <c r="R2335" s="114"/>
      <c r="S2335" s="114"/>
      <c r="T2335" s="114"/>
      <c r="U2335" s="264"/>
      <c r="V2335" s="270"/>
      <c r="W2335" s="270"/>
      <c r="X2335" s="270"/>
      <c r="Y2335" s="270"/>
      <c r="Z2335" s="270"/>
      <c r="AA2335" s="270"/>
    </row>
    <row r="2336" spans="3:27" x14ac:dyDescent="0.3">
      <c r="C2336" s="450"/>
      <c r="D2336" s="182"/>
      <c r="E2336" s="182"/>
      <c r="F2336" s="182"/>
      <c r="G2336" s="450" t="str">
        <f t="shared" si="114"/>
        <v>--</v>
      </c>
      <c r="H2336" s="182"/>
      <c r="I2336" s="892"/>
      <c r="J2336" s="288"/>
      <c r="K2336" s="182"/>
      <c r="L2336" s="181"/>
      <c r="M2336" s="181"/>
      <c r="N2336" s="892"/>
      <c r="O2336" s="892"/>
      <c r="P2336" s="284" t="s">
        <v>260</v>
      </c>
      <c r="Q2336" s="882">
        <v>0</v>
      </c>
      <c r="R2336" s="114"/>
      <c r="S2336" s="114"/>
      <c r="T2336" s="114"/>
      <c r="U2336" s="884"/>
      <c r="V2336" s="114"/>
      <c r="W2336" s="270"/>
      <c r="X2336" s="270"/>
      <c r="Y2336" s="270"/>
      <c r="Z2336" s="270"/>
      <c r="AA2336" s="270"/>
    </row>
    <row r="2337" spans="3:27" x14ac:dyDescent="0.3">
      <c r="C2337" s="450"/>
      <c r="D2337" s="182"/>
      <c r="E2337" s="182"/>
      <c r="F2337" s="182"/>
      <c r="G2337" s="450" t="str">
        <f t="shared" si="114"/>
        <v>--</v>
      </c>
      <c r="H2337" s="182"/>
      <c r="I2337" s="892"/>
      <c r="J2337" s="288"/>
      <c r="K2337" s="182"/>
      <c r="L2337" s="181"/>
      <c r="M2337" s="181"/>
      <c r="N2337" s="892"/>
      <c r="O2337" s="892"/>
      <c r="P2337" s="258" t="s">
        <v>259</v>
      </c>
      <c r="Q2337" s="882">
        <v>0</v>
      </c>
      <c r="R2337" s="114"/>
      <c r="S2337" s="114"/>
      <c r="T2337" s="114"/>
      <c r="U2337" s="884"/>
      <c r="V2337" s="114"/>
      <c r="W2337" s="270"/>
      <c r="X2337" s="270"/>
      <c r="Y2337" s="270"/>
      <c r="Z2337" s="270"/>
      <c r="AA2337" s="270"/>
    </row>
    <row r="2338" spans="3:27" x14ac:dyDescent="0.3">
      <c r="C2338" s="450"/>
      <c r="D2338" s="182"/>
      <c r="E2338" s="182"/>
      <c r="F2338" s="182"/>
      <c r="G2338" s="450" t="str">
        <f t="shared" si="114"/>
        <v>--</v>
      </c>
      <c r="H2338" s="182"/>
      <c r="I2338" s="892"/>
      <c r="J2338" s="288"/>
      <c r="K2338" s="182"/>
      <c r="L2338" s="181"/>
      <c r="M2338" s="181"/>
      <c r="N2338" s="892"/>
      <c r="O2338" s="892"/>
      <c r="P2338" s="263" t="s">
        <v>46</v>
      </c>
      <c r="Q2338" s="897">
        <f>SUM(Q2332:Q2337)</f>
        <v>1</v>
      </c>
      <c r="R2338" s="899"/>
      <c r="S2338" s="899"/>
      <c r="T2338" s="899"/>
      <c r="U2338" s="900"/>
      <c r="V2338" s="114"/>
      <c r="W2338" s="270"/>
      <c r="X2338" s="270"/>
      <c r="Y2338" s="270"/>
      <c r="Z2338" s="270"/>
      <c r="AA2338" s="270"/>
    </row>
    <row r="2339" spans="3:27" x14ac:dyDescent="0.3">
      <c r="C2339" s="450"/>
      <c r="D2339" s="182"/>
      <c r="E2339" s="182"/>
      <c r="F2339" s="182"/>
      <c r="G2339" s="450" t="str">
        <f t="shared" si="114"/>
        <v>--</v>
      </c>
      <c r="H2339" s="182"/>
      <c r="I2339" s="892"/>
      <c r="J2339" s="288"/>
      <c r="K2339" s="182"/>
      <c r="L2339" s="181"/>
      <c r="M2339" s="181"/>
      <c r="N2339" s="892"/>
      <c r="O2339" s="892"/>
      <c r="P2339" s="262"/>
      <c r="Q2339" s="114"/>
      <c r="R2339" s="114"/>
      <c r="S2339" s="114"/>
      <c r="T2339" s="114"/>
      <c r="U2339" s="114"/>
      <c r="V2339" s="114"/>
      <c r="W2339" s="270"/>
      <c r="X2339" s="270"/>
      <c r="Y2339" s="270"/>
      <c r="Z2339" s="270"/>
      <c r="AA2339" s="270"/>
    </row>
    <row r="2340" spans="3:27" ht="15" thickBot="1" x14ac:dyDescent="0.35">
      <c r="C2340" s="450"/>
      <c r="D2340" s="182"/>
      <c r="E2340" s="182"/>
      <c r="F2340" s="182"/>
      <c r="G2340" s="450" t="str">
        <f t="shared" si="114"/>
        <v>--</v>
      </c>
      <c r="H2340" s="182"/>
      <c r="I2340" s="892"/>
      <c r="J2340" s="892"/>
      <c r="K2340" s="182"/>
      <c r="L2340" s="182"/>
      <c r="M2340" s="901" t="s">
        <v>155</v>
      </c>
      <c r="N2340" s="870" t="s">
        <v>188</v>
      </c>
      <c r="O2340" s="870"/>
      <c r="P2340" s="265" t="s">
        <v>33</v>
      </c>
      <c r="Q2340" s="871" t="s">
        <v>155</v>
      </c>
      <c r="R2340" s="872" t="s">
        <v>168</v>
      </c>
      <c r="S2340" s="872" t="s">
        <v>169</v>
      </c>
      <c r="T2340" s="872" t="s">
        <v>170</v>
      </c>
      <c r="U2340" s="872" t="s">
        <v>171</v>
      </c>
      <c r="V2340" s="902"/>
      <c r="W2340" s="902"/>
      <c r="X2340" s="874"/>
      <c r="Y2340" s="270"/>
      <c r="Z2340" s="270"/>
      <c r="AA2340" s="270"/>
    </row>
    <row r="2341" spans="3:27" ht="15" thickBot="1" x14ac:dyDescent="0.35">
      <c r="C2341" s="566" t="s">
        <v>99</v>
      </c>
      <c r="D2341" s="875" t="str">
        <f>VLOOKUP(C2341,'Airport Mapping'!$C$5:$D$39,2,FALSE)</f>
        <v xml:space="preserve"> </v>
      </c>
      <c r="E2341" s="567" t="s">
        <v>45</v>
      </c>
      <c r="F2341" s="567" t="s">
        <v>33</v>
      </c>
      <c r="G2341" s="450" t="str">
        <f t="shared" si="114"/>
        <v>Hotel D-Guestrooms-Faucets</v>
      </c>
      <c r="H2341" s="567" t="s">
        <v>17</v>
      </c>
      <c r="I2341" s="877" t="s">
        <v>64</v>
      </c>
      <c r="J2341" s="878">
        <f>SUMIFS('Level of Efficiency Assumptions'!J:J,'Level of Efficiency Assumptions'!D:D,E2341,'Level of Efficiency Assumptions'!F:F,F2341,'Level of Efficiency Assumptions'!I:I,I2341)</f>
        <v>2</v>
      </c>
      <c r="K2341" s="383" t="s">
        <v>78</v>
      </c>
      <c r="L2341" s="253" t="s">
        <v>64</v>
      </c>
      <c r="M2341" s="879">
        <f>Q2341+Q2342</f>
        <v>0</v>
      </c>
      <c r="N2341" s="880">
        <f>IFERROR(M2341/M2344,"-")</f>
        <v>0</v>
      </c>
      <c r="O2341" s="881">
        <f>SUMIFS('Data Entry'!R:R,'Data Entry'!K:K,G2341)</f>
        <v>0</v>
      </c>
      <c r="P2341" s="266" t="s">
        <v>180</v>
      </c>
      <c r="Q2341" s="895">
        <v>0</v>
      </c>
      <c r="R2341" s="883"/>
      <c r="S2341" s="883"/>
      <c r="T2341" s="883"/>
      <c r="U2341" s="883"/>
      <c r="V2341" s="114" t="s">
        <v>182</v>
      </c>
      <c r="W2341" s="114"/>
      <c r="X2341" s="884"/>
      <c r="Y2341" s="270"/>
      <c r="Z2341" s="270"/>
      <c r="AA2341" s="270"/>
    </row>
    <row r="2342" spans="3:27" ht="15" thickBot="1" x14ac:dyDescent="0.35">
      <c r="C2342" s="494" t="s">
        <v>99</v>
      </c>
      <c r="D2342" s="577"/>
      <c r="E2342" s="577" t="s">
        <v>45</v>
      </c>
      <c r="F2342" s="577" t="s">
        <v>33</v>
      </c>
      <c r="G2342" s="450" t="str">
        <f t="shared" si="114"/>
        <v>Hotel D-Guestrooms-Faucets</v>
      </c>
      <c r="H2342" s="577"/>
      <c r="I2342" s="887" t="s">
        <v>65</v>
      </c>
      <c r="J2342" s="878">
        <f>SUMIFS('Level of Efficiency Assumptions'!J:J,'Level of Efficiency Assumptions'!D:D,E2342,'Level of Efficiency Assumptions'!F:F,F2342,'Level of Efficiency Assumptions'!I:I,I2342)</f>
        <v>1</v>
      </c>
      <c r="K2342" s="383" t="s">
        <v>78</v>
      </c>
      <c r="L2342" s="255" t="s">
        <v>65</v>
      </c>
      <c r="M2342" s="879">
        <f>Q2343+Q2344</f>
        <v>1</v>
      </c>
      <c r="N2342" s="880">
        <f>IFERROR(M2342/M2344,"-")</f>
        <v>1</v>
      </c>
      <c r="O2342" s="881">
        <f>SUMIFS('Data Entry'!S:S,'Data Entry'!K:K,G2342)</f>
        <v>0</v>
      </c>
      <c r="P2342" s="266" t="s">
        <v>178</v>
      </c>
      <c r="Q2342" s="895">
        <v>0</v>
      </c>
      <c r="R2342" s="883"/>
      <c r="S2342" s="883"/>
      <c r="T2342" s="883"/>
      <c r="U2342" s="883"/>
      <c r="V2342" s="114" t="s">
        <v>184</v>
      </c>
      <c r="W2342" s="114"/>
      <c r="X2342" s="884"/>
      <c r="Y2342" s="270"/>
      <c r="Z2342" s="270"/>
      <c r="AA2342" s="270"/>
    </row>
    <row r="2343" spans="3:27" ht="15" thickBot="1" x14ac:dyDescent="0.35">
      <c r="C2343" s="501" t="s">
        <v>99</v>
      </c>
      <c r="D2343" s="116"/>
      <c r="E2343" s="116" t="s">
        <v>45</v>
      </c>
      <c r="F2343" s="116" t="s">
        <v>33</v>
      </c>
      <c r="G2343" s="450" t="str">
        <f t="shared" si="114"/>
        <v>Hotel D-Guestrooms-Faucets</v>
      </c>
      <c r="H2343" s="116"/>
      <c r="I2343" s="889" t="s">
        <v>66</v>
      </c>
      <c r="J2343" s="890">
        <f>SUMIFS('Level of Efficiency Assumptions'!J:J,'Level of Efficiency Assumptions'!D:D,E2343,'Level of Efficiency Assumptions'!F:F,F2343,'Level of Efficiency Assumptions'!I:I,I2343)</f>
        <v>0.5</v>
      </c>
      <c r="K2343" s="383" t="s">
        <v>78</v>
      </c>
      <c r="L2343" s="257" t="s">
        <v>66</v>
      </c>
      <c r="M2343" s="879">
        <f>Q2345</f>
        <v>0</v>
      </c>
      <c r="N2343" s="880">
        <f>IFERROR(M2343/M2344,"-")</f>
        <v>0</v>
      </c>
      <c r="O2343" s="881">
        <f>SUMIFS('Data Entry'!T:T,'Data Entry'!K:K,G2343)</f>
        <v>0</v>
      </c>
      <c r="P2343" s="267" t="s">
        <v>176</v>
      </c>
      <c r="Q2343" s="895">
        <v>1</v>
      </c>
      <c r="R2343" s="883"/>
      <c r="S2343" s="883"/>
      <c r="T2343" s="883"/>
      <c r="U2343" s="883"/>
      <c r="V2343" s="114" t="s">
        <v>185</v>
      </c>
      <c r="W2343" s="114"/>
      <c r="X2343" s="884"/>
      <c r="Y2343" s="270"/>
      <c r="Z2343" s="270"/>
      <c r="AA2343" s="270"/>
    </row>
    <row r="2344" spans="3:27" x14ac:dyDescent="0.3">
      <c r="C2344" s="450"/>
      <c r="D2344" s="182"/>
      <c r="E2344" s="182"/>
      <c r="F2344" s="182"/>
      <c r="G2344" s="450" t="str">
        <f t="shared" si="114"/>
        <v>--</v>
      </c>
      <c r="H2344" s="182"/>
      <c r="I2344" s="440"/>
      <c r="J2344" s="892"/>
      <c r="K2344" s="259"/>
      <c r="L2344" s="259" t="s">
        <v>46</v>
      </c>
      <c r="M2344" s="893">
        <f>SUM(M2341:M2343)</f>
        <v>1</v>
      </c>
      <c r="N2344" s="894"/>
      <c r="O2344" s="894">
        <f>SUM(O2341:O2343)</f>
        <v>0</v>
      </c>
      <c r="P2344" s="256" t="s">
        <v>173</v>
      </c>
      <c r="Q2344" s="895">
        <v>0</v>
      </c>
      <c r="R2344" s="883"/>
      <c r="S2344" s="883"/>
      <c r="T2344" s="883"/>
      <c r="U2344" s="883"/>
      <c r="V2344" s="114" t="s">
        <v>186</v>
      </c>
      <c r="W2344" s="114"/>
      <c r="X2344" s="884"/>
      <c r="Y2344" s="270"/>
      <c r="Z2344" s="270"/>
      <c r="AA2344" s="270"/>
    </row>
    <row r="2345" spans="3:27" x14ac:dyDescent="0.3">
      <c r="C2345" s="450"/>
      <c r="D2345" s="182"/>
      <c r="E2345" s="182"/>
      <c r="F2345" s="182"/>
      <c r="G2345" s="450" t="str">
        <f t="shared" si="114"/>
        <v>--</v>
      </c>
      <c r="H2345" s="182"/>
      <c r="I2345" s="892"/>
      <c r="J2345" s="288"/>
      <c r="K2345" s="182"/>
      <c r="L2345" s="114"/>
      <c r="M2345" s="114"/>
      <c r="N2345" s="905"/>
      <c r="O2345" s="905"/>
      <c r="P2345" s="258" t="s">
        <v>172</v>
      </c>
      <c r="Q2345" s="895">
        <v>0</v>
      </c>
      <c r="R2345" s="883"/>
      <c r="S2345" s="883"/>
      <c r="T2345" s="883"/>
      <c r="U2345" s="883"/>
      <c r="V2345" s="114"/>
      <c r="W2345" s="114"/>
      <c r="X2345" s="884"/>
      <c r="Y2345" s="270"/>
      <c r="Z2345" s="270"/>
      <c r="AA2345" s="270"/>
    </row>
    <row r="2346" spans="3:27" x14ac:dyDescent="0.3">
      <c r="C2346" s="450"/>
      <c r="D2346" s="182"/>
      <c r="E2346" s="182"/>
      <c r="F2346" s="182"/>
      <c r="G2346" s="450" t="str">
        <f t="shared" si="114"/>
        <v>--</v>
      </c>
      <c r="H2346" s="182"/>
      <c r="I2346" s="892"/>
      <c r="J2346" s="288"/>
      <c r="K2346" s="182"/>
      <c r="L2346" s="181"/>
      <c r="M2346" s="181"/>
      <c r="N2346" s="892"/>
      <c r="O2346" s="892"/>
      <c r="P2346" s="263" t="s">
        <v>46</v>
      </c>
      <c r="Q2346" s="897">
        <f>SUM(Q2340:Q2345)</f>
        <v>1</v>
      </c>
      <c r="R2346" s="899"/>
      <c r="S2346" s="899"/>
      <c r="T2346" s="899"/>
      <c r="U2346" s="899"/>
      <c r="V2346" s="899"/>
      <c r="W2346" s="899"/>
      <c r="X2346" s="900"/>
      <c r="Y2346" s="270"/>
      <c r="Z2346" s="270"/>
      <c r="AA2346" s="270"/>
    </row>
    <row r="2347" spans="3:27" x14ac:dyDescent="0.3">
      <c r="C2347" s="450"/>
      <c r="D2347" s="182"/>
      <c r="E2347" s="182"/>
      <c r="F2347" s="182"/>
      <c r="G2347" s="450" t="str">
        <f t="shared" si="114"/>
        <v>--</v>
      </c>
      <c r="H2347" s="182"/>
      <c r="I2347" s="892"/>
      <c r="J2347" s="288"/>
      <c r="K2347" s="182"/>
      <c r="L2347" s="181"/>
      <c r="M2347" s="181"/>
      <c r="N2347" s="892"/>
      <c r="O2347" s="892"/>
      <c r="P2347" s="262"/>
      <c r="Q2347" s="114"/>
      <c r="R2347" s="114"/>
      <c r="S2347" s="114"/>
      <c r="T2347" s="114"/>
      <c r="U2347" s="114"/>
      <c r="V2347" s="114"/>
      <c r="W2347" s="270"/>
      <c r="X2347" s="270"/>
      <c r="Y2347" s="270"/>
      <c r="Z2347" s="270"/>
      <c r="AA2347" s="270"/>
    </row>
    <row r="2348" spans="3:27" ht="15" thickBot="1" x14ac:dyDescent="0.35">
      <c r="C2348" s="450"/>
      <c r="D2348" s="182"/>
      <c r="E2348" s="182"/>
      <c r="F2348" s="182"/>
      <c r="G2348" s="450" t="str">
        <f t="shared" si="114"/>
        <v>--</v>
      </c>
      <c r="H2348" s="182"/>
      <c r="I2348" s="892"/>
      <c r="J2348" s="892"/>
      <c r="K2348" s="182"/>
      <c r="L2348" s="182"/>
      <c r="M2348" s="901" t="s">
        <v>155</v>
      </c>
      <c r="N2348" s="870" t="s">
        <v>188</v>
      </c>
      <c r="O2348" s="870"/>
      <c r="P2348" s="265" t="s">
        <v>33</v>
      </c>
      <c r="Q2348" s="871" t="s">
        <v>155</v>
      </c>
      <c r="R2348" s="872" t="s">
        <v>168</v>
      </c>
      <c r="S2348" s="872" t="s">
        <v>169</v>
      </c>
      <c r="T2348" s="872" t="s">
        <v>170</v>
      </c>
      <c r="U2348" s="872" t="s">
        <v>171</v>
      </c>
      <c r="V2348" s="902"/>
      <c r="W2348" s="902"/>
      <c r="X2348" s="874"/>
      <c r="Y2348" s="270"/>
      <c r="Z2348" s="270"/>
      <c r="AA2348" s="270"/>
    </row>
    <row r="2349" spans="3:27" ht="15" thickBot="1" x14ac:dyDescent="0.35">
      <c r="C2349" s="566" t="s">
        <v>99</v>
      </c>
      <c r="D2349" s="875" t="str">
        <f>VLOOKUP(C2349,'Airport Mapping'!$C$5:$D$39,2,FALSE)</f>
        <v xml:space="preserve"> </v>
      </c>
      <c r="E2349" s="567" t="s">
        <v>38</v>
      </c>
      <c r="F2349" s="567" t="s">
        <v>114</v>
      </c>
      <c r="G2349" s="450" t="str">
        <f t="shared" si="114"/>
        <v>Hotel D-Food Service-Kitchen faucets</v>
      </c>
      <c r="H2349" s="567" t="s">
        <v>118</v>
      </c>
      <c r="I2349" s="877" t="s">
        <v>64</v>
      </c>
      <c r="J2349" s="878">
        <f>SUMIFS('Level of Efficiency Assumptions'!J:J,'Level of Efficiency Assumptions'!D:D,E2349,'Level of Efficiency Assumptions'!F:F,F2349,'Level of Efficiency Assumptions'!I:I,I2349)</f>
        <v>2</v>
      </c>
      <c r="K2349" s="383" t="s">
        <v>78</v>
      </c>
      <c r="L2349" s="253" t="s">
        <v>64</v>
      </c>
      <c r="M2349" s="879">
        <f>Q2349+Q2350</f>
        <v>0</v>
      </c>
      <c r="N2349" s="880">
        <f>IFERROR(M2349/M2352,"-")</f>
        <v>0</v>
      </c>
      <c r="O2349" s="881">
        <f>SUMIFS('Data Entry'!R:R,'Data Entry'!K:K,G2349)</f>
        <v>0</v>
      </c>
      <c r="P2349" s="266" t="s">
        <v>180</v>
      </c>
      <c r="Q2349" s="895">
        <v>0</v>
      </c>
      <c r="R2349" s="883"/>
      <c r="S2349" s="883"/>
      <c r="T2349" s="883"/>
      <c r="U2349" s="883"/>
      <c r="V2349" s="114" t="s">
        <v>182</v>
      </c>
      <c r="W2349" s="114"/>
      <c r="X2349" s="884"/>
      <c r="Y2349" s="270"/>
      <c r="Z2349" s="270"/>
      <c r="AA2349" s="270"/>
    </row>
    <row r="2350" spans="3:27" ht="15" thickBot="1" x14ac:dyDescent="0.35">
      <c r="C2350" s="494" t="s">
        <v>99</v>
      </c>
      <c r="D2350" s="577"/>
      <c r="E2350" s="577" t="s">
        <v>38</v>
      </c>
      <c r="F2350" s="577" t="s">
        <v>114</v>
      </c>
      <c r="G2350" s="450" t="str">
        <f t="shared" si="114"/>
        <v>Hotel D-Food Service-Kitchen faucets</v>
      </c>
      <c r="H2350" s="577"/>
      <c r="I2350" s="887" t="s">
        <v>65</v>
      </c>
      <c r="J2350" s="878">
        <f>SUMIFS('Level of Efficiency Assumptions'!J:J,'Level of Efficiency Assumptions'!D:D,E2350,'Level of Efficiency Assumptions'!F:F,F2350,'Level of Efficiency Assumptions'!I:I,I2350)</f>
        <v>1</v>
      </c>
      <c r="K2350" s="383" t="s">
        <v>78</v>
      </c>
      <c r="L2350" s="255" t="s">
        <v>65</v>
      </c>
      <c r="M2350" s="879">
        <f>Q2351+Q2352</f>
        <v>1</v>
      </c>
      <c r="N2350" s="880">
        <f>IFERROR(M2350/M2352,"-")</f>
        <v>1</v>
      </c>
      <c r="O2350" s="881">
        <f>SUMIFS('Data Entry'!S:S,'Data Entry'!K:K,G2350)</f>
        <v>0</v>
      </c>
      <c r="P2350" s="266" t="s">
        <v>178</v>
      </c>
      <c r="Q2350" s="895">
        <v>0</v>
      </c>
      <c r="R2350" s="883"/>
      <c r="S2350" s="883"/>
      <c r="T2350" s="883"/>
      <c r="U2350" s="883"/>
      <c r="V2350" s="114" t="s">
        <v>184</v>
      </c>
      <c r="W2350" s="114"/>
      <c r="X2350" s="884"/>
      <c r="Y2350" s="270"/>
      <c r="Z2350" s="270"/>
      <c r="AA2350" s="270"/>
    </row>
    <row r="2351" spans="3:27" ht="15" thickBot="1" x14ac:dyDescent="0.35">
      <c r="C2351" s="501" t="s">
        <v>99</v>
      </c>
      <c r="D2351" s="116"/>
      <c r="E2351" s="116" t="s">
        <v>38</v>
      </c>
      <c r="F2351" s="116" t="s">
        <v>114</v>
      </c>
      <c r="G2351" s="450" t="str">
        <f t="shared" si="114"/>
        <v>Hotel D-Food Service-Kitchen faucets</v>
      </c>
      <c r="H2351" s="116"/>
      <c r="I2351" s="889" t="s">
        <v>66</v>
      </c>
      <c r="J2351" s="890">
        <f>SUMIFS('Level of Efficiency Assumptions'!J:J,'Level of Efficiency Assumptions'!D:D,E2351,'Level of Efficiency Assumptions'!F:F,F2351,'Level of Efficiency Assumptions'!I:I,I2351)</f>
        <v>0.5</v>
      </c>
      <c r="K2351" s="383" t="s">
        <v>78</v>
      </c>
      <c r="L2351" s="257" t="s">
        <v>66</v>
      </c>
      <c r="M2351" s="879">
        <f>Q2353</f>
        <v>0</v>
      </c>
      <c r="N2351" s="880">
        <f>IFERROR(M2351/M2352,"-")</f>
        <v>0</v>
      </c>
      <c r="O2351" s="881">
        <f>SUMIFS('Data Entry'!T:T,'Data Entry'!K:K,G2351)</f>
        <v>0</v>
      </c>
      <c r="P2351" s="267" t="s">
        <v>176</v>
      </c>
      <c r="Q2351" s="895">
        <v>1</v>
      </c>
      <c r="R2351" s="883"/>
      <c r="S2351" s="883"/>
      <c r="T2351" s="883"/>
      <c r="U2351" s="883"/>
      <c r="V2351" s="114" t="s">
        <v>185</v>
      </c>
      <c r="W2351" s="114"/>
      <c r="X2351" s="884"/>
      <c r="Y2351" s="270"/>
      <c r="Z2351" s="270"/>
      <c r="AA2351" s="270"/>
    </row>
    <row r="2352" spans="3:27" x14ac:dyDescent="0.3">
      <c r="C2352" s="450"/>
      <c r="D2352" s="182"/>
      <c r="E2352" s="182"/>
      <c r="F2352" s="182"/>
      <c r="G2352" s="450" t="str">
        <f t="shared" si="114"/>
        <v>--</v>
      </c>
      <c r="H2352" s="182"/>
      <c r="I2352" s="440"/>
      <c r="J2352" s="892"/>
      <c r="K2352" s="259"/>
      <c r="L2352" s="259" t="s">
        <v>46</v>
      </c>
      <c r="M2352" s="893">
        <f>SUM(M2349:M2351)</f>
        <v>1</v>
      </c>
      <c r="N2352" s="894"/>
      <c r="O2352" s="894">
        <f>SUM(O2349:O2351)</f>
        <v>0</v>
      </c>
      <c r="P2352" s="256" t="s">
        <v>173</v>
      </c>
      <c r="Q2352" s="895">
        <v>0</v>
      </c>
      <c r="R2352" s="883"/>
      <c r="S2352" s="883"/>
      <c r="T2352" s="883"/>
      <c r="U2352" s="883"/>
      <c r="V2352" s="114" t="s">
        <v>186</v>
      </c>
      <c r="W2352" s="114"/>
      <c r="X2352" s="884"/>
      <c r="Y2352" s="270"/>
      <c r="Z2352" s="270"/>
      <c r="AA2352" s="270"/>
    </row>
    <row r="2353" spans="3:27" x14ac:dyDescent="0.3">
      <c r="C2353" s="450"/>
      <c r="D2353" s="182"/>
      <c r="E2353" s="182"/>
      <c r="F2353" s="182"/>
      <c r="G2353" s="450" t="str">
        <f t="shared" si="114"/>
        <v>--</v>
      </c>
      <c r="H2353" s="182"/>
      <c r="I2353" s="892"/>
      <c r="J2353" s="288"/>
      <c r="K2353" s="182"/>
      <c r="L2353" s="182"/>
      <c r="M2353" s="270"/>
      <c r="N2353" s="892"/>
      <c r="O2353" s="892"/>
      <c r="P2353" s="258" t="s">
        <v>172</v>
      </c>
      <c r="Q2353" s="895">
        <v>0</v>
      </c>
      <c r="R2353" s="883"/>
      <c r="S2353" s="883"/>
      <c r="T2353" s="883"/>
      <c r="U2353" s="883"/>
      <c r="V2353" s="114"/>
      <c r="W2353" s="114"/>
      <c r="X2353" s="884"/>
      <c r="Y2353" s="270"/>
      <c r="Z2353" s="270"/>
      <c r="AA2353" s="270"/>
    </row>
    <row r="2354" spans="3:27" x14ac:dyDescent="0.3">
      <c r="C2354" s="450"/>
      <c r="D2354" s="182"/>
      <c r="E2354" s="182"/>
      <c r="F2354" s="182"/>
      <c r="G2354" s="450" t="str">
        <f t="shared" si="114"/>
        <v>--</v>
      </c>
      <c r="H2354" s="182"/>
      <c r="I2354" s="892"/>
      <c r="J2354" s="288"/>
      <c r="K2354" s="182"/>
      <c r="L2354" s="182"/>
      <c r="M2354" s="270"/>
      <c r="N2354" s="892"/>
      <c r="O2354" s="892"/>
      <c r="P2354" s="263" t="s">
        <v>46</v>
      </c>
      <c r="Q2354" s="897">
        <f>SUM(Q2348:Q2353)</f>
        <v>1</v>
      </c>
      <c r="R2354" s="899"/>
      <c r="S2354" s="899"/>
      <c r="T2354" s="899"/>
      <c r="U2354" s="899"/>
      <c r="V2354" s="899"/>
      <c r="W2354" s="899"/>
      <c r="X2354" s="900"/>
      <c r="Y2354" s="270"/>
      <c r="Z2354" s="270"/>
      <c r="AA2354" s="270"/>
    </row>
    <row r="2355" spans="3:27" x14ac:dyDescent="0.3">
      <c r="C2355" s="450"/>
      <c r="D2355" s="182"/>
      <c r="E2355" s="182"/>
      <c r="F2355" s="182"/>
      <c r="G2355" s="450" t="str">
        <f t="shared" si="114"/>
        <v>--</v>
      </c>
      <c r="H2355" s="182"/>
      <c r="I2355" s="892"/>
      <c r="J2355" s="288"/>
      <c r="K2355" s="182"/>
      <c r="L2355" s="182"/>
      <c r="M2355" s="270"/>
      <c r="N2355" s="892"/>
      <c r="O2355" s="892"/>
      <c r="P2355" s="259"/>
      <c r="Q2355" s="114"/>
      <c r="R2355" s="114"/>
      <c r="S2355" s="114"/>
      <c r="T2355" s="114"/>
      <c r="U2355" s="114"/>
      <c r="V2355" s="114"/>
      <c r="W2355" s="270"/>
      <c r="X2355" s="270"/>
      <c r="Y2355" s="270"/>
      <c r="Z2355" s="270"/>
      <c r="AA2355" s="270"/>
    </row>
    <row r="2356" spans="3:27" ht="15" thickBot="1" x14ac:dyDescent="0.35">
      <c r="C2356" s="450"/>
      <c r="D2356" s="182"/>
      <c r="E2356" s="182"/>
      <c r="F2356" s="182"/>
      <c r="G2356" s="450" t="str">
        <f t="shared" si="114"/>
        <v>--</v>
      </c>
      <c r="H2356" s="182"/>
      <c r="I2356" s="892"/>
      <c r="J2356" s="892"/>
      <c r="K2356" s="182"/>
      <c r="L2356" s="182"/>
      <c r="M2356" s="901" t="s">
        <v>155</v>
      </c>
      <c r="N2356" s="870" t="s">
        <v>188</v>
      </c>
      <c r="O2356" s="870"/>
      <c r="P2356" s="268" t="s">
        <v>157</v>
      </c>
      <c r="Q2356" s="871" t="s">
        <v>155</v>
      </c>
      <c r="R2356" s="874"/>
      <c r="S2356" s="114"/>
      <c r="T2356" s="270"/>
      <c r="U2356" s="270"/>
      <c r="V2356" s="270"/>
      <c r="W2356" s="114"/>
      <c r="X2356" s="270"/>
      <c r="Y2356" s="270"/>
      <c r="Z2356" s="270"/>
      <c r="AA2356" s="270"/>
    </row>
    <row r="2357" spans="3:27" ht="15" thickBot="1" x14ac:dyDescent="0.35">
      <c r="C2357" s="566" t="s">
        <v>99</v>
      </c>
      <c r="D2357" s="875" t="str">
        <f>VLOOKUP(C2357,'Airport Mapping'!$C$5:$D$39,2,FALSE)</f>
        <v xml:space="preserve"> </v>
      </c>
      <c r="E2357" s="567" t="s">
        <v>38</v>
      </c>
      <c r="F2357" s="567" t="s">
        <v>127</v>
      </c>
      <c r="G2357" s="450" t="str">
        <f t="shared" si="114"/>
        <v>Hotel D-Food Service-Pre-rinse spray valves</v>
      </c>
      <c r="H2357" s="567" t="s">
        <v>118</v>
      </c>
      <c r="I2357" s="877" t="s">
        <v>64</v>
      </c>
      <c r="J2357" s="878">
        <f>SUMIFS('Level of Efficiency Assumptions'!J:J,'Level of Efficiency Assumptions'!D:D,E2357,'Level of Efficiency Assumptions'!F:F,F2357,'Level of Efficiency Assumptions'!I:I,I2357)</f>
        <v>3</v>
      </c>
      <c r="K2357" s="383" t="s">
        <v>78</v>
      </c>
      <c r="L2357" s="253" t="s">
        <v>64</v>
      </c>
      <c r="M2357" s="879">
        <f>Q2357+Q2358</f>
        <v>0</v>
      </c>
      <c r="N2357" s="880">
        <f>IFERROR(M2357/M2360,"-")</f>
        <v>0</v>
      </c>
      <c r="O2357" s="881">
        <f>SUMIFS('Data Entry'!R:R,'Data Entry'!K:K,G2357)</f>
        <v>0</v>
      </c>
      <c r="P2357" s="266" t="s">
        <v>191</v>
      </c>
      <c r="Q2357" s="895">
        <v>0</v>
      </c>
      <c r="R2357" s="884"/>
      <c r="S2357" s="114"/>
      <c r="T2357" s="270"/>
      <c r="U2357" s="270"/>
      <c r="V2357" s="270"/>
      <c r="W2357" s="114"/>
      <c r="X2357" s="270"/>
      <c r="Y2357" s="270"/>
      <c r="Z2357" s="270"/>
      <c r="AA2357" s="270"/>
    </row>
    <row r="2358" spans="3:27" ht="15" thickBot="1" x14ac:dyDescent="0.35">
      <c r="C2358" s="494" t="s">
        <v>99</v>
      </c>
      <c r="D2358" s="577"/>
      <c r="E2358" s="577" t="s">
        <v>38</v>
      </c>
      <c r="F2358" s="577" t="s">
        <v>127</v>
      </c>
      <c r="G2358" s="450" t="str">
        <f t="shared" si="114"/>
        <v>Hotel D-Food Service-Pre-rinse spray valves</v>
      </c>
      <c r="H2358" s="577"/>
      <c r="I2358" s="887" t="s">
        <v>65</v>
      </c>
      <c r="J2358" s="878">
        <f>SUMIFS('Level of Efficiency Assumptions'!J:J,'Level of Efficiency Assumptions'!D:D,E2358,'Level of Efficiency Assumptions'!F:F,F2358,'Level of Efficiency Assumptions'!I:I,I2358)</f>
        <v>2</v>
      </c>
      <c r="K2358" s="383" t="s">
        <v>78</v>
      </c>
      <c r="L2358" s="255" t="s">
        <v>65</v>
      </c>
      <c r="M2358" s="879">
        <f>Q2359+Q2360</f>
        <v>1</v>
      </c>
      <c r="N2358" s="880">
        <f>IFERROR(M2358/M2360,"-")</f>
        <v>1</v>
      </c>
      <c r="O2358" s="881">
        <f>SUMIFS('Data Entry'!S:S,'Data Entry'!K:K,G2358)</f>
        <v>0</v>
      </c>
      <c r="P2358" s="266" t="s">
        <v>192</v>
      </c>
      <c r="Q2358" s="895">
        <v>0</v>
      </c>
      <c r="R2358" s="884"/>
      <c r="S2358" s="114"/>
      <c r="T2358" s="270"/>
      <c r="U2358" s="270"/>
      <c r="V2358" s="270"/>
      <c r="W2358" s="114"/>
      <c r="X2358" s="270"/>
      <c r="Y2358" s="270"/>
      <c r="Z2358" s="270"/>
      <c r="AA2358" s="270"/>
    </row>
    <row r="2359" spans="3:27" ht="15" thickBot="1" x14ac:dyDescent="0.35">
      <c r="C2359" s="501" t="s">
        <v>99</v>
      </c>
      <c r="D2359" s="116"/>
      <c r="E2359" s="116" t="s">
        <v>38</v>
      </c>
      <c r="F2359" s="116" t="s">
        <v>127</v>
      </c>
      <c r="G2359" s="450" t="str">
        <f t="shared" si="114"/>
        <v>Hotel D-Food Service-Pre-rinse spray valves</v>
      </c>
      <c r="H2359" s="116"/>
      <c r="I2359" s="889" t="s">
        <v>66</v>
      </c>
      <c r="J2359" s="890">
        <f>SUMIFS('Level of Efficiency Assumptions'!J:J,'Level of Efficiency Assumptions'!D:D,E2359,'Level of Efficiency Assumptions'!F:F,F2359,'Level of Efficiency Assumptions'!I:I,I2359)</f>
        <v>1.28</v>
      </c>
      <c r="K2359" s="383" t="s">
        <v>78</v>
      </c>
      <c r="L2359" s="257" t="s">
        <v>66</v>
      </c>
      <c r="M2359" s="879">
        <f>Q2361</f>
        <v>0</v>
      </c>
      <c r="N2359" s="880">
        <f>IFERROR(M2359/M2360,"-")</f>
        <v>0</v>
      </c>
      <c r="O2359" s="881">
        <f>SUMIFS('Data Entry'!T:T,'Data Entry'!K:K,G2359)</f>
        <v>0</v>
      </c>
      <c r="P2359" s="267" t="s">
        <v>193</v>
      </c>
      <c r="Q2359" s="895">
        <v>0</v>
      </c>
      <c r="R2359" s="884"/>
      <c r="S2359" s="114"/>
      <c r="T2359" s="270"/>
      <c r="U2359" s="270"/>
      <c r="V2359" s="270"/>
      <c r="W2359" s="114"/>
      <c r="X2359" s="270"/>
      <c r="Y2359" s="270"/>
      <c r="Z2359" s="270"/>
      <c r="AA2359" s="270"/>
    </row>
    <row r="2360" spans="3:27" x14ac:dyDescent="0.3">
      <c r="C2360" s="450"/>
      <c r="D2360" s="182"/>
      <c r="E2360" s="182"/>
      <c r="F2360" s="182"/>
      <c r="G2360" s="450" t="str">
        <f t="shared" si="114"/>
        <v>--</v>
      </c>
      <c r="H2360" s="182"/>
      <c r="I2360" s="440"/>
      <c r="J2360" s="892"/>
      <c r="K2360" s="259"/>
      <c r="L2360" s="259" t="s">
        <v>46</v>
      </c>
      <c r="M2360" s="893">
        <f>SUM(M2357:M2359)</f>
        <v>1</v>
      </c>
      <c r="N2360" s="894"/>
      <c r="O2360" s="894">
        <f>SUM(O2357:O2359)</f>
        <v>0</v>
      </c>
      <c r="P2360" s="267" t="s">
        <v>194</v>
      </c>
      <c r="Q2360" s="895">
        <v>1</v>
      </c>
      <c r="R2360" s="884"/>
      <c r="S2360" s="114"/>
      <c r="T2360" s="270"/>
      <c r="U2360" s="270"/>
      <c r="V2360" s="270"/>
      <c r="W2360" s="114"/>
      <c r="X2360" s="270"/>
      <c r="Y2360" s="270"/>
      <c r="Z2360" s="270"/>
      <c r="AA2360" s="270"/>
    </row>
    <row r="2361" spans="3:27" x14ac:dyDescent="0.3">
      <c r="C2361" s="224"/>
      <c r="D2361" s="211"/>
      <c r="E2361" s="182"/>
      <c r="F2361" s="182"/>
      <c r="G2361" s="450" t="str">
        <f t="shared" si="114"/>
        <v>--</v>
      </c>
      <c r="H2361" s="182"/>
      <c r="I2361" s="892"/>
      <c r="J2361" s="288"/>
      <c r="K2361" s="182"/>
      <c r="L2361" s="182"/>
      <c r="M2361" s="270"/>
      <c r="N2361" s="892"/>
      <c r="O2361" s="892"/>
      <c r="P2361" s="269" t="s">
        <v>195</v>
      </c>
      <c r="Q2361" s="895">
        <v>0</v>
      </c>
      <c r="R2361" s="884"/>
      <c r="S2361" s="114"/>
      <c r="T2361" s="114"/>
      <c r="U2361" s="114"/>
      <c r="V2361" s="114"/>
      <c r="W2361" s="114"/>
      <c r="X2361" s="270"/>
      <c r="Y2361" s="270"/>
      <c r="Z2361" s="270"/>
      <c r="AA2361" s="270"/>
    </row>
    <row r="2362" spans="3:27" x14ac:dyDescent="0.3">
      <c r="C2362" s="224"/>
      <c r="D2362" s="211"/>
      <c r="E2362" s="182"/>
      <c r="F2362" s="182"/>
      <c r="G2362" s="450" t="str">
        <f t="shared" si="114"/>
        <v>--</v>
      </c>
      <c r="H2362" s="182"/>
      <c r="I2362" s="892"/>
      <c r="J2362" s="288"/>
      <c r="K2362" s="182"/>
      <c r="L2362" s="182"/>
      <c r="M2362" s="270"/>
      <c r="N2362" s="892"/>
      <c r="O2362" s="892"/>
      <c r="P2362" s="263" t="s">
        <v>46</v>
      </c>
      <c r="Q2362" s="897">
        <f>SUM(Q2357:Q2361)</f>
        <v>1</v>
      </c>
      <c r="R2362" s="900"/>
      <c r="S2362" s="114"/>
      <c r="T2362" s="114"/>
      <c r="U2362" s="114"/>
      <c r="V2362" s="114"/>
      <c r="W2362" s="114"/>
      <c r="X2362" s="270"/>
      <c r="Y2362" s="270"/>
      <c r="Z2362" s="270"/>
      <c r="AA2362" s="270"/>
    </row>
    <row r="2363" spans="3:27" x14ac:dyDescent="0.3">
      <c r="C2363" s="224"/>
      <c r="D2363" s="211"/>
      <c r="E2363" s="182"/>
      <c r="F2363" s="182"/>
      <c r="G2363" s="450" t="str">
        <f t="shared" si="114"/>
        <v>--</v>
      </c>
      <c r="H2363" s="182"/>
      <c r="I2363" s="892"/>
      <c r="J2363" s="288"/>
      <c r="K2363" s="182"/>
      <c r="L2363" s="182"/>
      <c r="M2363" s="270"/>
      <c r="N2363" s="892"/>
      <c r="O2363" s="892"/>
      <c r="P2363" s="270"/>
      <c r="Q2363" s="270"/>
      <c r="R2363" s="270"/>
      <c r="S2363" s="270"/>
      <c r="T2363" s="270"/>
      <c r="U2363" s="270"/>
      <c r="V2363" s="270"/>
      <c r="W2363" s="270"/>
      <c r="X2363" s="270"/>
      <c r="Y2363" s="270"/>
      <c r="Z2363" s="270"/>
      <c r="AA2363" s="270"/>
    </row>
    <row r="2364" spans="3:27" x14ac:dyDescent="0.3">
      <c r="C2364" s="224"/>
      <c r="D2364" s="211"/>
      <c r="E2364" s="182"/>
      <c r="F2364" s="182"/>
      <c r="G2364" s="450" t="str">
        <f t="shared" si="114"/>
        <v>--</v>
      </c>
      <c r="H2364" s="182"/>
      <c r="I2364" s="892"/>
      <c r="J2364" s="288"/>
      <c r="K2364" s="182"/>
      <c r="L2364" s="182"/>
      <c r="M2364" s="270"/>
      <c r="N2364" s="892"/>
      <c r="O2364" s="892"/>
      <c r="P2364" s="268" t="s">
        <v>196</v>
      </c>
      <c r="Q2364" s="906"/>
      <c r="R2364" s="902"/>
      <c r="S2364" s="902"/>
      <c r="T2364" s="902"/>
      <c r="U2364" s="902"/>
      <c r="V2364" s="902"/>
      <c r="W2364" s="902"/>
      <c r="X2364" s="902"/>
      <c r="Y2364" s="902"/>
      <c r="Z2364" s="902"/>
      <c r="AA2364" s="874"/>
    </row>
    <row r="2365" spans="3:27" ht="15" thickBot="1" x14ac:dyDescent="0.35">
      <c r="C2365" s="224"/>
      <c r="D2365" s="182"/>
      <c r="E2365" s="182"/>
      <c r="F2365" s="182"/>
      <c r="G2365" s="450" t="str">
        <f t="shared" si="114"/>
        <v>--</v>
      </c>
      <c r="H2365" s="182"/>
      <c r="I2365" s="892"/>
      <c r="J2365" s="892"/>
      <c r="K2365" s="182"/>
      <c r="L2365" s="182"/>
      <c r="M2365" s="901" t="s">
        <v>155</v>
      </c>
      <c r="N2365" s="870" t="s">
        <v>188</v>
      </c>
      <c r="O2365" s="870"/>
      <c r="P2365" s="271" t="s">
        <v>203</v>
      </c>
      <c r="Q2365" s="871" t="s">
        <v>155</v>
      </c>
      <c r="R2365" s="114"/>
      <c r="S2365" s="114"/>
      <c r="T2365" s="907" t="s">
        <v>156</v>
      </c>
      <c r="U2365" s="114"/>
      <c r="V2365" s="114"/>
      <c r="W2365" s="114"/>
      <c r="X2365" s="114"/>
      <c r="Y2365" s="114"/>
      <c r="Z2365" s="114"/>
      <c r="AA2365" s="884"/>
    </row>
    <row r="2366" spans="3:27" ht="15" thickBot="1" x14ac:dyDescent="0.35">
      <c r="C2366" s="566" t="s">
        <v>99</v>
      </c>
      <c r="D2366" s="875" t="str">
        <f>VLOOKUP(C2366,'Airport Mapping'!$C$5:$D$39,2,FALSE)</f>
        <v xml:space="preserve"> </v>
      </c>
      <c r="E2366" s="567" t="s">
        <v>38</v>
      </c>
      <c r="F2366" s="567" t="s">
        <v>41</v>
      </c>
      <c r="G2366" s="450" t="str">
        <f t="shared" ref="G2366:G2420" si="117">C2366&amp;"-"&amp;E2366&amp;"-"&amp;F2366</f>
        <v>Hotel D-Food Service-Dishwashers</v>
      </c>
      <c r="H2366" s="567" t="s">
        <v>118</v>
      </c>
      <c r="I2366" s="877" t="s">
        <v>64</v>
      </c>
      <c r="J2366" s="878">
        <f>SUMIFS('Level of Efficiency Assumptions'!J:J,'Level of Efficiency Assumptions'!D:D,E2366,'Level of Efficiency Assumptions'!F:F,F2366,'Level of Efficiency Assumptions'!I:I,I2366)</f>
        <v>4.5</v>
      </c>
      <c r="K2366" s="383" t="s">
        <v>203</v>
      </c>
      <c r="L2366" s="253" t="s">
        <v>64</v>
      </c>
      <c r="M2366" s="879">
        <f>SUM(Q2366:Q2368)</f>
        <v>0</v>
      </c>
      <c r="N2366" s="880">
        <f>IFERROR(M2366/M2369,"-")</f>
        <v>0</v>
      </c>
      <c r="O2366" s="881">
        <f>SUMIFS('Data Entry'!R:R,'Data Entry'!K:K,G2366)</f>
        <v>0</v>
      </c>
      <c r="P2366" s="266" t="s">
        <v>204</v>
      </c>
      <c r="Q2366" s="895">
        <v>0</v>
      </c>
      <c r="R2366" s="114"/>
      <c r="S2366" s="905" t="s">
        <v>200</v>
      </c>
      <c r="T2366" s="895">
        <v>1</v>
      </c>
      <c r="U2366" s="114"/>
      <c r="V2366" s="114" t="s">
        <v>218</v>
      </c>
      <c r="W2366" s="114"/>
      <c r="X2366" s="114"/>
      <c r="Y2366" s="114"/>
      <c r="Z2366" s="114"/>
      <c r="AA2366" s="884"/>
    </row>
    <row r="2367" spans="3:27" ht="15" thickBot="1" x14ac:dyDescent="0.35">
      <c r="C2367" s="494" t="s">
        <v>99</v>
      </c>
      <c r="D2367" s="577"/>
      <c r="E2367" s="577" t="s">
        <v>38</v>
      </c>
      <c r="F2367" s="577" t="s">
        <v>41</v>
      </c>
      <c r="G2367" s="450" t="str">
        <f t="shared" si="117"/>
        <v>Hotel D-Food Service-Dishwashers</v>
      </c>
      <c r="H2367" s="577"/>
      <c r="I2367" s="887" t="s">
        <v>65</v>
      </c>
      <c r="J2367" s="878">
        <f>SUMIFS('Level of Efficiency Assumptions'!J:J,'Level of Efficiency Assumptions'!D:D,E2367,'Level of Efficiency Assumptions'!F:F,F2367,'Level of Efficiency Assumptions'!I:I,I2367)</f>
        <v>2.5</v>
      </c>
      <c r="K2367" s="383" t="s">
        <v>203</v>
      </c>
      <c r="L2367" s="255" t="s">
        <v>65</v>
      </c>
      <c r="M2367" s="879">
        <f>Q2369+Q2370</f>
        <v>1</v>
      </c>
      <c r="N2367" s="880">
        <f>IFERROR(M2367/M2369,"-")</f>
        <v>1</v>
      </c>
      <c r="O2367" s="881">
        <f>SUMIFS('Data Entry'!S:S,'Data Entry'!K:K,G2367)</f>
        <v>0</v>
      </c>
      <c r="P2367" s="272" t="s">
        <v>205</v>
      </c>
      <c r="Q2367" s="895">
        <v>0</v>
      </c>
      <c r="R2367" s="114"/>
      <c r="S2367" s="908" t="s">
        <v>201</v>
      </c>
      <c r="T2367" s="895">
        <v>1</v>
      </c>
      <c r="U2367" s="114"/>
      <c r="V2367" s="114"/>
      <c r="W2367" s="114"/>
      <c r="X2367" s="114"/>
      <c r="Y2367" s="114"/>
      <c r="Z2367" s="114"/>
      <c r="AA2367" s="884"/>
    </row>
    <row r="2368" spans="3:27" ht="15" thickBot="1" x14ac:dyDescent="0.35">
      <c r="C2368" s="501" t="s">
        <v>99</v>
      </c>
      <c r="D2368" s="116"/>
      <c r="E2368" s="116" t="s">
        <v>38</v>
      </c>
      <c r="F2368" s="116" t="s">
        <v>41</v>
      </c>
      <c r="G2368" s="450" t="str">
        <f t="shared" si="117"/>
        <v>Hotel D-Food Service-Dishwashers</v>
      </c>
      <c r="H2368" s="116"/>
      <c r="I2368" s="889" t="s">
        <v>66</v>
      </c>
      <c r="J2368" s="890">
        <f>SUMIFS('Level of Efficiency Assumptions'!J:J,'Level of Efficiency Assumptions'!D:D,E2368,'Level of Efficiency Assumptions'!F:F,F2368,'Level of Efficiency Assumptions'!I:I,I2368)</f>
        <v>1</v>
      </c>
      <c r="K2368" s="383" t="s">
        <v>203</v>
      </c>
      <c r="L2368" s="257" t="s">
        <v>66</v>
      </c>
      <c r="M2368" s="879">
        <f>Q2371+Q2372</f>
        <v>0</v>
      </c>
      <c r="N2368" s="880">
        <f>IFERROR(M2368/M2369,"-")</f>
        <v>0</v>
      </c>
      <c r="O2368" s="881">
        <f>SUMIFS('Data Entry'!T:T,'Data Entry'!K:K,G2368)</f>
        <v>0</v>
      </c>
      <c r="P2368" s="272" t="s">
        <v>206</v>
      </c>
      <c r="Q2368" s="895">
        <v>0</v>
      </c>
      <c r="R2368" s="114"/>
      <c r="S2368" s="908" t="s">
        <v>202</v>
      </c>
      <c r="T2368" s="895">
        <v>1</v>
      </c>
      <c r="U2368" s="114"/>
      <c r="V2368" s="114"/>
      <c r="W2368" s="114"/>
      <c r="X2368" s="114"/>
      <c r="Y2368" s="114"/>
      <c r="Z2368" s="114"/>
      <c r="AA2368" s="884"/>
    </row>
    <row r="2369" spans="3:27" x14ac:dyDescent="0.3">
      <c r="C2369" s="450"/>
      <c r="D2369" s="182"/>
      <c r="E2369" s="182"/>
      <c r="F2369" s="182"/>
      <c r="G2369" s="450" t="str">
        <f t="shared" si="117"/>
        <v>--</v>
      </c>
      <c r="H2369" s="182"/>
      <c r="I2369" s="440"/>
      <c r="J2369" s="892"/>
      <c r="K2369" s="259"/>
      <c r="L2369" s="259" t="s">
        <v>46</v>
      </c>
      <c r="M2369" s="893">
        <f>SUM(M2366:M2368)</f>
        <v>1</v>
      </c>
      <c r="N2369" s="894"/>
      <c r="O2369" s="894">
        <f>SUM(O2366:O2368)</f>
        <v>0</v>
      </c>
      <c r="P2369" s="267" t="s">
        <v>207</v>
      </c>
      <c r="Q2369" s="895">
        <v>1</v>
      </c>
      <c r="R2369" s="114"/>
      <c r="S2369" s="908" t="s">
        <v>199</v>
      </c>
      <c r="T2369" s="895">
        <v>1</v>
      </c>
      <c r="U2369" s="114"/>
      <c r="V2369" s="114"/>
      <c r="W2369" s="114"/>
      <c r="X2369" s="114"/>
      <c r="Y2369" s="114"/>
      <c r="Z2369" s="114"/>
      <c r="AA2369" s="884"/>
    </row>
    <row r="2370" spans="3:27" x14ac:dyDescent="0.3">
      <c r="C2370" s="450"/>
      <c r="D2370" s="182"/>
      <c r="E2370" s="182"/>
      <c r="F2370" s="182"/>
      <c r="G2370" s="450" t="str">
        <f t="shared" si="117"/>
        <v>--</v>
      </c>
      <c r="H2370" s="182"/>
      <c r="I2370" s="892"/>
      <c r="J2370" s="288"/>
      <c r="K2370" s="182"/>
      <c r="L2370" s="182"/>
      <c r="M2370" s="270"/>
      <c r="N2370" s="892"/>
      <c r="O2370" s="892"/>
      <c r="P2370" s="267" t="s">
        <v>208</v>
      </c>
      <c r="Q2370" s="895">
        <v>0</v>
      </c>
      <c r="R2370" s="114"/>
      <c r="S2370" s="909" t="s">
        <v>198</v>
      </c>
      <c r="T2370" s="895">
        <v>1</v>
      </c>
      <c r="U2370" s="114"/>
      <c r="V2370" s="114"/>
      <c r="W2370" s="114"/>
      <c r="X2370" s="114"/>
      <c r="Y2370" s="114"/>
      <c r="Z2370" s="114"/>
      <c r="AA2370" s="884"/>
    </row>
    <row r="2371" spans="3:27" x14ac:dyDescent="0.3">
      <c r="C2371" s="450"/>
      <c r="D2371" s="182"/>
      <c r="E2371" s="182"/>
      <c r="F2371" s="182"/>
      <c r="G2371" s="450" t="str">
        <f t="shared" si="117"/>
        <v>--</v>
      </c>
      <c r="H2371" s="182"/>
      <c r="I2371" s="892"/>
      <c r="J2371" s="288"/>
      <c r="K2371" s="182"/>
      <c r="L2371" s="182"/>
      <c r="M2371" s="270"/>
      <c r="N2371" s="892"/>
      <c r="O2371" s="892"/>
      <c r="P2371" s="269" t="s">
        <v>209</v>
      </c>
      <c r="Q2371" s="895">
        <v>0</v>
      </c>
      <c r="R2371" s="114"/>
      <c r="S2371" s="905" t="s">
        <v>197</v>
      </c>
      <c r="T2371" s="895">
        <v>1</v>
      </c>
      <c r="U2371" s="114"/>
      <c r="V2371" s="114"/>
      <c r="W2371" s="114"/>
      <c r="X2371" s="114"/>
      <c r="Y2371" s="114"/>
      <c r="Z2371" s="114"/>
      <c r="AA2371" s="884"/>
    </row>
    <row r="2372" spans="3:27" x14ac:dyDescent="0.3">
      <c r="C2372" s="450"/>
      <c r="D2372" s="182"/>
      <c r="E2372" s="182"/>
      <c r="F2372" s="182"/>
      <c r="G2372" s="450" t="str">
        <f t="shared" si="117"/>
        <v>--</v>
      </c>
      <c r="H2372" s="182"/>
      <c r="I2372" s="892"/>
      <c r="J2372" s="288"/>
      <c r="K2372" s="182"/>
      <c r="L2372" s="182"/>
      <c r="M2372" s="270"/>
      <c r="N2372" s="892"/>
      <c r="O2372" s="892"/>
      <c r="P2372" s="269" t="s">
        <v>210</v>
      </c>
      <c r="Q2372" s="895">
        <v>0</v>
      </c>
      <c r="R2372" s="114"/>
      <c r="S2372" s="114" t="s">
        <v>216</v>
      </c>
      <c r="T2372" s="910">
        <f>(T2366*55)+(T2367*45)+(T2368*35)+(T2369*25)+(T2370*15)+(T2371*5)</f>
        <v>180</v>
      </c>
      <c r="U2372" s="1393" t="s">
        <v>217</v>
      </c>
      <c r="V2372" s="1393"/>
      <c r="W2372" s="1393"/>
      <c r="X2372" s="114"/>
      <c r="Y2372" s="114"/>
      <c r="Z2372" s="114"/>
      <c r="AA2372" s="884"/>
    </row>
    <row r="2373" spans="3:27" x14ac:dyDescent="0.3">
      <c r="C2373" s="450"/>
      <c r="D2373" s="182"/>
      <c r="E2373" s="182"/>
      <c r="F2373" s="182"/>
      <c r="G2373" s="450" t="str">
        <f t="shared" si="117"/>
        <v>--</v>
      </c>
      <c r="H2373" s="182"/>
      <c r="I2373" s="892"/>
      <c r="J2373" s="288"/>
      <c r="K2373" s="182"/>
      <c r="L2373" s="182"/>
      <c r="M2373" s="270"/>
      <c r="N2373" s="892"/>
      <c r="O2373" s="892"/>
      <c r="P2373" s="263" t="s">
        <v>46</v>
      </c>
      <c r="Q2373" s="897">
        <f>SUM(Q2366:Q2372)</f>
        <v>1</v>
      </c>
      <c r="R2373" s="899"/>
      <c r="S2373" s="899"/>
      <c r="T2373" s="899"/>
      <c r="U2373" s="1394"/>
      <c r="V2373" s="1394"/>
      <c r="W2373" s="1394"/>
      <c r="X2373" s="899"/>
      <c r="Y2373" s="899"/>
      <c r="Z2373" s="899"/>
      <c r="AA2373" s="900"/>
    </row>
    <row r="2374" spans="3:27" x14ac:dyDescent="0.3">
      <c r="C2374" s="450"/>
      <c r="D2374" s="182"/>
      <c r="E2374" s="182"/>
      <c r="F2374" s="182"/>
      <c r="G2374" s="450" t="str">
        <f t="shared" si="117"/>
        <v>--</v>
      </c>
      <c r="H2374" s="182"/>
      <c r="I2374" s="892"/>
      <c r="J2374" s="288"/>
      <c r="K2374" s="182"/>
      <c r="L2374" s="182"/>
      <c r="M2374" s="270"/>
      <c r="N2374" s="892"/>
      <c r="O2374" s="892"/>
      <c r="P2374" s="114"/>
      <c r="Q2374" s="114"/>
      <c r="R2374" s="114"/>
      <c r="S2374" s="114"/>
      <c r="T2374" s="114"/>
      <c r="U2374" s="114"/>
      <c r="V2374" s="114"/>
      <c r="W2374" s="114"/>
      <c r="X2374" s="270"/>
      <c r="Y2374" s="270"/>
      <c r="Z2374" s="270"/>
      <c r="AA2374" s="270"/>
    </row>
    <row r="2375" spans="3:27" x14ac:dyDescent="0.3">
      <c r="C2375" s="450"/>
      <c r="D2375" s="182"/>
      <c r="E2375" s="182"/>
      <c r="F2375" s="182"/>
      <c r="G2375" s="450" t="str">
        <f t="shared" si="117"/>
        <v>--</v>
      </c>
      <c r="H2375" s="182"/>
      <c r="I2375" s="892"/>
      <c r="J2375" s="288"/>
      <c r="K2375" s="182"/>
      <c r="L2375" s="182"/>
      <c r="M2375" s="270"/>
      <c r="N2375" s="892"/>
      <c r="O2375" s="892"/>
      <c r="P2375" s="268" t="s">
        <v>174</v>
      </c>
      <c r="Q2375" s="911"/>
      <c r="R2375" s="872"/>
      <c r="S2375" s="874"/>
      <c r="T2375" s="270"/>
      <c r="U2375" s="270"/>
      <c r="V2375" s="270"/>
      <c r="W2375" s="270"/>
      <c r="X2375" s="270"/>
      <c r="Y2375" s="270"/>
      <c r="Z2375" s="270"/>
      <c r="AA2375" s="270"/>
    </row>
    <row r="2376" spans="3:27" ht="15" thickBot="1" x14ac:dyDescent="0.35">
      <c r="C2376" s="450"/>
      <c r="D2376" s="182"/>
      <c r="E2376" s="182"/>
      <c r="F2376" s="182"/>
      <c r="G2376" s="450" t="str">
        <f t="shared" si="117"/>
        <v>--</v>
      </c>
      <c r="H2376" s="182"/>
      <c r="I2376" s="892"/>
      <c r="J2376" s="892"/>
      <c r="K2376" s="182"/>
      <c r="L2376" s="182"/>
      <c r="M2376" s="901" t="s">
        <v>155</v>
      </c>
      <c r="N2376" s="870" t="s">
        <v>188</v>
      </c>
      <c r="O2376" s="870"/>
      <c r="P2376" s="273" t="s">
        <v>220</v>
      </c>
      <c r="Q2376" s="871" t="s">
        <v>155</v>
      </c>
      <c r="R2376" s="114"/>
      <c r="S2376" s="884"/>
      <c r="T2376" s="270"/>
      <c r="U2376" s="270"/>
      <c r="V2376" s="270"/>
      <c r="W2376" s="270"/>
      <c r="X2376" s="270"/>
      <c r="Y2376" s="270"/>
      <c r="Z2376" s="270"/>
      <c r="AA2376" s="270"/>
    </row>
    <row r="2377" spans="3:27" ht="15" thickBot="1" x14ac:dyDescent="0.35">
      <c r="C2377" s="566" t="s">
        <v>99</v>
      </c>
      <c r="D2377" s="875" t="str">
        <f>VLOOKUP(C2377,'Airport Mapping'!$C$5:$D$39,2,FALSE)</f>
        <v xml:space="preserve"> </v>
      </c>
      <c r="E2377" s="567" t="s">
        <v>38</v>
      </c>
      <c r="F2377" s="567" t="s">
        <v>20</v>
      </c>
      <c r="G2377" s="450" t="str">
        <f t="shared" si="117"/>
        <v>Hotel D-Food Service-Ice machines</v>
      </c>
      <c r="H2377" s="567" t="s">
        <v>17</v>
      </c>
      <c r="I2377" s="877" t="s">
        <v>64</v>
      </c>
      <c r="J2377" s="878">
        <f>SUMIFS('Level of Efficiency Assumptions'!J:J,'Level of Efficiency Assumptions'!D:D,E2377,'Level of Efficiency Assumptions'!F:F,F2377,'Level of Efficiency Assumptions'!I:I,I2377)</f>
        <v>1.5</v>
      </c>
      <c r="K2377" s="383" t="s">
        <v>220</v>
      </c>
      <c r="L2377" s="253" t="s">
        <v>64</v>
      </c>
      <c r="M2377" s="879">
        <f>SUM(Q2377:Q2379)</f>
        <v>0</v>
      </c>
      <c r="N2377" s="880">
        <f>IFERROR(M2377/M2380,"-")</f>
        <v>0</v>
      </c>
      <c r="O2377" s="881">
        <f>SUMIFS('Data Entry'!R:R,'Data Entry'!K:K,G2377)</f>
        <v>0</v>
      </c>
      <c r="P2377" s="266" t="s">
        <v>204</v>
      </c>
      <c r="Q2377" s="895">
        <v>0</v>
      </c>
      <c r="R2377" s="114"/>
      <c r="S2377" s="884"/>
      <c r="T2377" s="270"/>
      <c r="U2377" s="270"/>
      <c r="V2377" s="270"/>
      <c r="W2377" s="912"/>
      <c r="X2377" s="270"/>
      <c r="Y2377" s="270"/>
      <c r="Z2377" s="270"/>
      <c r="AA2377" s="270"/>
    </row>
    <row r="2378" spans="3:27" ht="15" thickBot="1" x14ac:dyDescent="0.35">
      <c r="C2378" s="494" t="s">
        <v>99</v>
      </c>
      <c r="D2378" s="577"/>
      <c r="E2378" s="577" t="s">
        <v>38</v>
      </c>
      <c r="F2378" s="577" t="s">
        <v>20</v>
      </c>
      <c r="G2378" s="450" t="str">
        <f t="shared" si="117"/>
        <v>Hotel D-Food Service-Ice machines</v>
      </c>
      <c r="H2378" s="577"/>
      <c r="I2378" s="887" t="s">
        <v>65</v>
      </c>
      <c r="J2378" s="878">
        <f>SUMIFS('Level of Efficiency Assumptions'!J:J,'Level of Efficiency Assumptions'!D:D,E2378,'Level of Efficiency Assumptions'!F:F,F2378,'Level of Efficiency Assumptions'!I:I,I2378)</f>
        <v>0.25</v>
      </c>
      <c r="K2378" s="383" t="s">
        <v>220</v>
      </c>
      <c r="L2378" s="255" t="s">
        <v>65</v>
      </c>
      <c r="M2378" s="879">
        <f>Q2380+Q2381</f>
        <v>1</v>
      </c>
      <c r="N2378" s="880">
        <f>IFERROR(M2378/M2380,"-")</f>
        <v>1</v>
      </c>
      <c r="O2378" s="881">
        <f>SUMIFS('Data Entry'!S:S,'Data Entry'!K:K,G2378)</f>
        <v>0</v>
      </c>
      <c r="P2378" s="272" t="s">
        <v>205</v>
      </c>
      <c r="Q2378" s="895">
        <v>0</v>
      </c>
      <c r="R2378" s="114"/>
      <c r="S2378" s="884"/>
      <c r="T2378" s="270"/>
      <c r="U2378" s="270"/>
      <c r="V2378" s="270"/>
      <c r="W2378" s="912"/>
      <c r="X2378" s="270"/>
      <c r="Y2378" s="270"/>
      <c r="Z2378" s="270"/>
      <c r="AA2378" s="270"/>
    </row>
    <row r="2379" spans="3:27" ht="15" thickBot="1" x14ac:dyDescent="0.35">
      <c r="C2379" s="501" t="s">
        <v>99</v>
      </c>
      <c r="D2379" s="116"/>
      <c r="E2379" s="116" t="s">
        <v>38</v>
      </c>
      <c r="F2379" s="116" t="s">
        <v>20</v>
      </c>
      <c r="G2379" s="450" t="str">
        <f t="shared" si="117"/>
        <v>Hotel D-Food Service-Ice machines</v>
      </c>
      <c r="H2379" s="116"/>
      <c r="I2379" s="889" t="s">
        <v>66</v>
      </c>
      <c r="J2379" s="890">
        <f>SUMIFS('Level of Efficiency Assumptions'!J:J,'Level of Efficiency Assumptions'!D:D,E2379,'Level of Efficiency Assumptions'!F:F,F2379,'Level of Efficiency Assumptions'!I:I,I2379)</f>
        <v>0.12</v>
      </c>
      <c r="K2379" s="383" t="s">
        <v>220</v>
      </c>
      <c r="L2379" s="257" t="s">
        <v>66</v>
      </c>
      <c r="M2379" s="879">
        <f>Q2382+Q2383</f>
        <v>0</v>
      </c>
      <c r="N2379" s="880">
        <f>IFERROR(M2379/M2380,"-")</f>
        <v>0</v>
      </c>
      <c r="O2379" s="881">
        <f>SUMIFS('Data Entry'!T:T,'Data Entry'!K:K,G2379)</f>
        <v>0</v>
      </c>
      <c r="P2379" s="272" t="s">
        <v>206</v>
      </c>
      <c r="Q2379" s="895">
        <v>0</v>
      </c>
      <c r="R2379" s="114"/>
      <c r="S2379" s="884"/>
      <c r="T2379" s="270"/>
      <c r="U2379" s="270"/>
      <c r="V2379" s="270"/>
      <c r="W2379" s="280"/>
      <c r="X2379" s="270"/>
      <c r="Y2379" s="270"/>
      <c r="Z2379" s="270"/>
      <c r="AA2379" s="270"/>
    </row>
    <row r="2380" spans="3:27" x14ac:dyDescent="0.3">
      <c r="C2380" s="450"/>
      <c r="D2380" s="182"/>
      <c r="E2380" s="182"/>
      <c r="F2380" s="182"/>
      <c r="G2380" s="450" t="str">
        <f t="shared" si="117"/>
        <v>--</v>
      </c>
      <c r="H2380" s="182"/>
      <c r="I2380" s="440"/>
      <c r="J2380" s="892"/>
      <c r="K2380" s="259"/>
      <c r="L2380" s="259" t="s">
        <v>46</v>
      </c>
      <c r="M2380" s="893">
        <f>SUM(M2377:M2379)</f>
        <v>1</v>
      </c>
      <c r="N2380" s="894"/>
      <c r="O2380" s="894">
        <f>SUM(O2377:O2379)</f>
        <v>0</v>
      </c>
      <c r="P2380" s="274" t="s">
        <v>228</v>
      </c>
      <c r="Q2380" s="895">
        <v>1</v>
      </c>
      <c r="R2380" s="114"/>
      <c r="S2380" s="884"/>
      <c r="T2380" s="270"/>
      <c r="U2380" s="270"/>
      <c r="V2380" s="270"/>
      <c r="W2380" s="270"/>
      <c r="X2380" s="270"/>
      <c r="Y2380" s="270"/>
      <c r="Z2380" s="270"/>
      <c r="AA2380" s="270"/>
    </row>
    <row r="2381" spans="3:27" x14ac:dyDescent="0.3">
      <c r="C2381" s="450"/>
      <c r="D2381" s="182"/>
      <c r="E2381" s="182"/>
      <c r="F2381" s="182"/>
      <c r="G2381" s="450" t="str">
        <f t="shared" si="117"/>
        <v>--</v>
      </c>
      <c r="H2381" s="182"/>
      <c r="I2381" s="892"/>
      <c r="J2381" s="288"/>
      <c r="K2381" s="182"/>
      <c r="L2381" s="182"/>
      <c r="M2381" s="270"/>
      <c r="N2381" s="892"/>
      <c r="O2381" s="892"/>
      <c r="P2381" s="274" t="s">
        <v>227</v>
      </c>
      <c r="Q2381" s="895">
        <v>0</v>
      </c>
      <c r="R2381" s="114"/>
      <c r="S2381" s="884"/>
      <c r="T2381" s="270"/>
      <c r="U2381" s="270"/>
      <c r="V2381" s="270"/>
      <c r="W2381" s="270"/>
      <c r="X2381" s="270"/>
      <c r="Y2381" s="270"/>
      <c r="Z2381" s="270"/>
      <c r="AA2381" s="270"/>
    </row>
    <row r="2382" spans="3:27" x14ac:dyDescent="0.3">
      <c r="C2382" s="450"/>
      <c r="D2382" s="182"/>
      <c r="E2382" s="182"/>
      <c r="F2382" s="182"/>
      <c r="G2382" s="450" t="str">
        <f t="shared" si="117"/>
        <v>--</v>
      </c>
      <c r="H2382" s="182"/>
      <c r="I2382" s="892"/>
      <c r="J2382" s="288"/>
      <c r="K2382" s="182"/>
      <c r="L2382" s="182"/>
      <c r="M2382" s="270"/>
      <c r="N2382" s="892"/>
      <c r="O2382" s="892"/>
      <c r="P2382" s="275" t="s">
        <v>226</v>
      </c>
      <c r="Q2382" s="895">
        <v>0</v>
      </c>
      <c r="R2382" s="114"/>
      <c r="S2382" s="884"/>
      <c r="T2382" s="270"/>
      <c r="U2382" s="270"/>
      <c r="V2382" s="270"/>
      <c r="W2382" s="270"/>
      <c r="X2382" s="270"/>
      <c r="Y2382" s="270"/>
      <c r="Z2382" s="270"/>
      <c r="AA2382" s="270"/>
    </row>
    <row r="2383" spans="3:27" x14ac:dyDescent="0.3">
      <c r="C2383" s="450"/>
      <c r="D2383" s="182"/>
      <c r="E2383" s="182"/>
      <c r="F2383" s="182"/>
      <c r="G2383" s="450" t="str">
        <f t="shared" si="117"/>
        <v>--</v>
      </c>
      <c r="H2383" s="182"/>
      <c r="I2383" s="892"/>
      <c r="J2383" s="288"/>
      <c r="K2383" s="182"/>
      <c r="L2383" s="182"/>
      <c r="M2383" s="270"/>
      <c r="N2383" s="892"/>
      <c r="O2383" s="892"/>
      <c r="P2383" s="269" t="s">
        <v>225</v>
      </c>
      <c r="Q2383" s="895">
        <v>0</v>
      </c>
      <c r="R2383" s="114"/>
      <c r="S2383" s="884"/>
      <c r="T2383" s="270"/>
      <c r="U2383" s="270"/>
      <c r="V2383" s="270"/>
      <c r="W2383" s="270"/>
      <c r="X2383" s="270"/>
      <c r="Y2383" s="270"/>
      <c r="Z2383" s="270"/>
      <c r="AA2383" s="270"/>
    </row>
    <row r="2384" spans="3:27" x14ac:dyDescent="0.3">
      <c r="C2384" s="450"/>
      <c r="D2384" s="182"/>
      <c r="E2384" s="182"/>
      <c r="F2384" s="182"/>
      <c r="G2384" s="450" t="str">
        <f t="shared" si="117"/>
        <v>--</v>
      </c>
      <c r="H2384" s="182"/>
      <c r="I2384" s="892"/>
      <c r="J2384" s="288"/>
      <c r="K2384" s="182"/>
      <c r="L2384" s="182"/>
      <c r="M2384" s="270"/>
      <c r="N2384" s="892"/>
      <c r="O2384" s="892"/>
      <c r="P2384" s="263" t="s">
        <v>46</v>
      </c>
      <c r="Q2384" s="897">
        <f>SUM(Q2377:Q2383)</f>
        <v>1</v>
      </c>
      <c r="R2384" s="899"/>
      <c r="S2384" s="900"/>
      <c r="T2384" s="270"/>
      <c r="U2384" s="270"/>
      <c r="V2384" s="270"/>
      <c r="W2384" s="270"/>
      <c r="X2384" s="270"/>
      <c r="Y2384" s="270"/>
      <c r="Z2384" s="270"/>
      <c r="AA2384" s="270"/>
    </row>
    <row r="2385" spans="3:27" x14ac:dyDescent="0.3">
      <c r="C2385" s="450"/>
      <c r="D2385" s="182"/>
      <c r="E2385" s="182"/>
      <c r="F2385" s="182"/>
      <c r="G2385" s="450" t="str">
        <f t="shared" si="117"/>
        <v>--</v>
      </c>
      <c r="H2385" s="182"/>
      <c r="I2385" s="892"/>
      <c r="J2385" s="288"/>
      <c r="K2385" s="182"/>
      <c r="L2385" s="182"/>
      <c r="M2385" s="270"/>
      <c r="N2385" s="892"/>
      <c r="O2385" s="892"/>
      <c r="P2385" s="270"/>
      <c r="Q2385" s="270"/>
      <c r="R2385" s="270"/>
      <c r="S2385" s="270"/>
      <c r="T2385" s="270"/>
      <c r="U2385" s="270"/>
      <c r="V2385" s="270"/>
      <c r="W2385" s="270"/>
      <c r="X2385" s="270"/>
      <c r="Y2385" s="270"/>
      <c r="Z2385" s="270"/>
      <c r="AA2385" s="270"/>
    </row>
    <row r="2386" spans="3:27" ht="15" thickBot="1" x14ac:dyDescent="0.35">
      <c r="C2386" s="450"/>
      <c r="D2386" s="182"/>
      <c r="E2386" s="182"/>
      <c r="F2386" s="182"/>
      <c r="G2386" s="450" t="str">
        <f t="shared" si="117"/>
        <v>--</v>
      </c>
      <c r="H2386" s="182"/>
      <c r="I2386" s="892"/>
      <c r="J2386" s="892"/>
      <c r="K2386" s="182"/>
      <c r="L2386" s="182"/>
      <c r="M2386" s="901" t="s">
        <v>155</v>
      </c>
      <c r="N2386" s="870" t="s">
        <v>188</v>
      </c>
      <c r="O2386" s="870"/>
      <c r="P2386" s="276" t="s">
        <v>111</v>
      </c>
      <c r="Q2386" s="871" t="s">
        <v>155</v>
      </c>
      <c r="R2386" s="902"/>
      <c r="S2386" s="874"/>
      <c r="T2386" s="270"/>
      <c r="U2386" s="270"/>
      <c r="V2386" s="270"/>
      <c r="W2386" s="270"/>
      <c r="X2386" s="270"/>
      <c r="Y2386" s="270"/>
      <c r="Z2386" s="270"/>
      <c r="AA2386" s="270"/>
    </row>
    <row r="2387" spans="3:27" ht="15" thickBot="1" x14ac:dyDescent="0.35">
      <c r="C2387" s="566" t="s">
        <v>99</v>
      </c>
      <c r="D2387" s="875" t="str">
        <f>VLOOKUP(C2387,'Airport Mapping'!$C$5:$D$39,2,FALSE)</f>
        <v xml:space="preserve"> </v>
      </c>
      <c r="E2387" s="567" t="s">
        <v>43</v>
      </c>
      <c r="F2387" s="567" t="s">
        <v>111</v>
      </c>
      <c r="G2387" s="450" t="str">
        <f t="shared" si="117"/>
        <v>Hotel D-Maintenance-Boiler</v>
      </c>
      <c r="H2387" s="567" t="s">
        <v>424</v>
      </c>
      <c r="I2387" s="877" t="s">
        <v>64</v>
      </c>
      <c r="J2387" s="878">
        <f>SUMIFS('Level of Efficiency Assumptions'!J:J,'Level of Efficiency Assumptions'!D:D,E2387,'Level of Efficiency Assumptions'!F:F,F2387,'Level of Efficiency Assumptions'!I:I,I2387)</f>
        <v>100</v>
      </c>
      <c r="K2387" s="383" t="s">
        <v>585</v>
      </c>
      <c r="L2387" s="253" t="s">
        <v>64</v>
      </c>
      <c r="M2387" s="879">
        <f>SUM(Q2387:Q2388)</f>
        <v>0</v>
      </c>
      <c r="N2387" s="880">
        <f>IFERROR(M2387/M2390,"-")</f>
        <v>0</v>
      </c>
      <c r="O2387" s="881">
        <f>SUMIFS('Data Entry'!R:R,'Data Entry'!K:K,G2387)</f>
        <v>0</v>
      </c>
      <c r="P2387" s="272"/>
      <c r="Q2387" s="895">
        <v>0</v>
      </c>
      <c r="R2387" s="114"/>
      <c r="S2387" s="884"/>
      <c r="T2387" s="270"/>
      <c r="U2387" s="270"/>
      <c r="V2387" s="270"/>
      <c r="W2387" s="270"/>
      <c r="X2387" s="270"/>
      <c r="Y2387" s="270"/>
      <c r="Z2387" s="270"/>
      <c r="AA2387" s="270"/>
    </row>
    <row r="2388" spans="3:27" ht="15" thickBot="1" x14ac:dyDescent="0.35">
      <c r="C2388" s="494" t="s">
        <v>99</v>
      </c>
      <c r="D2388" s="577"/>
      <c r="E2388" s="577" t="s">
        <v>43</v>
      </c>
      <c r="F2388" s="577" t="s">
        <v>111</v>
      </c>
      <c r="G2388" s="450" t="str">
        <f t="shared" si="117"/>
        <v>Hotel D-Maintenance-Boiler</v>
      </c>
      <c r="H2388" s="577"/>
      <c r="I2388" s="887" t="s">
        <v>65</v>
      </c>
      <c r="J2388" s="878">
        <f>SUMIFS('Level of Efficiency Assumptions'!J:J,'Level of Efficiency Assumptions'!D:D,E2388,'Level of Efficiency Assumptions'!F:F,F2388,'Level of Efficiency Assumptions'!I:I,I2388)</f>
        <v>75</v>
      </c>
      <c r="K2388" s="383" t="s">
        <v>585</v>
      </c>
      <c r="L2388" s="255" t="s">
        <v>65</v>
      </c>
      <c r="M2388" s="879">
        <f>Q2389+Q2390</f>
        <v>1</v>
      </c>
      <c r="N2388" s="880">
        <f>IFERROR(M2388/M2390,"-")</f>
        <v>1</v>
      </c>
      <c r="O2388" s="881">
        <f>SUMIFS('Data Entry'!S:S,'Data Entry'!K:K,G2388)</f>
        <v>0</v>
      </c>
      <c r="P2388" s="272"/>
      <c r="Q2388" s="895">
        <v>0</v>
      </c>
      <c r="R2388" s="114"/>
      <c r="S2388" s="884"/>
      <c r="T2388" s="270"/>
      <c r="U2388" s="114"/>
      <c r="V2388" s="114"/>
      <c r="W2388" s="270"/>
      <c r="X2388" s="270"/>
      <c r="Y2388" s="270"/>
      <c r="Z2388" s="270"/>
      <c r="AA2388" s="270"/>
    </row>
    <row r="2389" spans="3:27" ht="15" thickBot="1" x14ac:dyDescent="0.35">
      <c r="C2389" s="501" t="s">
        <v>99</v>
      </c>
      <c r="D2389" s="116"/>
      <c r="E2389" s="116" t="s">
        <v>43</v>
      </c>
      <c r="F2389" s="116" t="s">
        <v>111</v>
      </c>
      <c r="G2389" s="450" t="str">
        <f t="shared" si="117"/>
        <v>Hotel D-Maintenance-Boiler</v>
      </c>
      <c r="H2389" s="116"/>
      <c r="I2389" s="889" t="s">
        <v>66</v>
      </c>
      <c r="J2389" s="890">
        <f>SUMIFS('Level of Efficiency Assumptions'!J:J,'Level of Efficiency Assumptions'!D:D,E2389,'Level of Efficiency Assumptions'!F:F,F2389,'Level of Efficiency Assumptions'!I:I,I2389)</f>
        <v>50</v>
      </c>
      <c r="K2389" s="383" t="s">
        <v>585</v>
      </c>
      <c r="L2389" s="257" t="s">
        <v>66</v>
      </c>
      <c r="M2389" s="879">
        <f>Q2391+Q2392</f>
        <v>0</v>
      </c>
      <c r="N2389" s="880">
        <f>IFERROR(M2389/M2390,"-")</f>
        <v>0</v>
      </c>
      <c r="O2389" s="881">
        <f>SUMIFS('Data Entry'!T:T,'Data Entry'!K:K,G2389)</f>
        <v>0</v>
      </c>
      <c r="P2389" s="274"/>
      <c r="Q2389" s="895">
        <v>1</v>
      </c>
      <c r="R2389" s="114"/>
      <c r="S2389" s="884"/>
      <c r="T2389" s="270"/>
      <c r="U2389" s="114"/>
      <c r="V2389" s="114"/>
      <c r="W2389" s="270"/>
      <c r="X2389" s="270"/>
      <c r="Y2389" s="270"/>
      <c r="Z2389" s="270"/>
      <c r="AA2389" s="270"/>
    </row>
    <row r="2390" spans="3:27" x14ac:dyDescent="0.3">
      <c r="C2390" s="450"/>
      <c r="D2390" s="182"/>
      <c r="E2390" s="182"/>
      <c r="F2390" s="182"/>
      <c r="G2390" s="450" t="str">
        <f t="shared" si="117"/>
        <v>--</v>
      </c>
      <c r="H2390" s="182"/>
      <c r="I2390" s="440"/>
      <c r="J2390" s="892"/>
      <c r="K2390" s="259"/>
      <c r="L2390" s="259" t="s">
        <v>46</v>
      </c>
      <c r="M2390" s="893">
        <f>SUM(M2387:M2389)</f>
        <v>1</v>
      </c>
      <c r="N2390" s="894"/>
      <c r="O2390" s="894">
        <f>SUM(O2387:O2389)</f>
        <v>0</v>
      </c>
      <c r="P2390" s="274"/>
      <c r="Q2390" s="895">
        <v>0</v>
      </c>
      <c r="R2390" s="114"/>
      <c r="S2390" s="884"/>
      <c r="T2390" s="270"/>
      <c r="U2390" s="114"/>
      <c r="V2390" s="114"/>
      <c r="W2390" s="114"/>
      <c r="X2390" s="114"/>
      <c r="Y2390" s="270"/>
      <c r="Z2390" s="270"/>
      <c r="AA2390" s="270"/>
    </row>
    <row r="2391" spans="3:27" x14ac:dyDescent="0.3">
      <c r="C2391" s="450"/>
      <c r="D2391" s="182"/>
      <c r="E2391" s="182"/>
      <c r="F2391" s="182"/>
      <c r="G2391" s="450" t="str">
        <f t="shared" si="117"/>
        <v>--</v>
      </c>
      <c r="H2391" s="182"/>
      <c r="I2391" s="892"/>
      <c r="J2391" s="288"/>
      <c r="K2391" s="182"/>
      <c r="L2391" s="182"/>
      <c r="M2391" s="270"/>
      <c r="N2391" s="892"/>
      <c r="O2391" s="892"/>
      <c r="P2391" s="275"/>
      <c r="Q2391" s="895">
        <v>0</v>
      </c>
      <c r="R2391" s="114"/>
      <c r="S2391" s="884"/>
      <c r="T2391" s="270"/>
      <c r="U2391" s="114"/>
      <c r="V2391" s="114"/>
      <c r="W2391" s="114"/>
      <c r="X2391" s="114"/>
      <c r="Y2391" s="270"/>
      <c r="Z2391" s="270"/>
      <c r="AA2391" s="270"/>
    </row>
    <row r="2392" spans="3:27" x14ac:dyDescent="0.3">
      <c r="C2392" s="450"/>
      <c r="D2392" s="182"/>
      <c r="E2392" s="182"/>
      <c r="F2392" s="182"/>
      <c r="G2392" s="450" t="str">
        <f t="shared" si="117"/>
        <v>--</v>
      </c>
      <c r="H2392" s="182"/>
      <c r="I2392" s="892"/>
      <c r="J2392" s="288"/>
      <c r="K2392" s="182"/>
      <c r="L2392" s="182"/>
      <c r="M2392" s="270"/>
      <c r="N2392" s="892"/>
      <c r="O2392" s="892"/>
      <c r="P2392" s="269"/>
      <c r="Q2392" s="895">
        <v>0</v>
      </c>
      <c r="R2392" s="114"/>
      <c r="S2392" s="884"/>
      <c r="T2392" s="270"/>
      <c r="U2392" s="270"/>
      <c r="V2392" s="270"/>
      <c r="W2392" s="114"/>
      <c r="X2392" s="114"/>
      <c r="Y2392" s="270"/>
      <c r="Z2392" s="270"/>
      <c r="AA2392" s="270"/>
    </row>
    <row r="2393" spans="3:27" x14ac:dyDescent="0.3">
      <c r="C2393" s="450"/>
      <c r="D2393" s="182"/>
      <c r="E2393" s="182"/>
      <c r="F2393" s="182"/>
      <c r="G2393" s="450" t="str">
        <f t="shared" si="117"/>
        <v>--</v>
      </c>
      <c r="H2393" s="182"/>
      <c r="I2393" s="892"/>
      <c r="J2393" s="288"/>
      <c r="K2393" s="182"/>
      <c r="L2393" s="182"/>
      <c r="M2393" s="270"/>
      <c r="N2393" s="892"/>
      <c r="O2393" s="892"/>
      <c r="P2393" s="263" t="s">
        <v>46</v>
      </c>
      <c r="Q2393" s="897">
        <f>SUM(Q2387:Q2392)</f>
        <v>1</v>
      </c>
      <c r="R2393" s="899"/>
      <c r="S2393" s="900"/>
      <c r="T2393" s="270"/>
      <c r="U2393" s="270"/>
      <c r="V2393" s="270"/>
      <c r="W2393" s="114"/>
      <c r="X2393" s="114"/>
      <c r="Y2393" s="270"/>
      <c r="Z2393" s="270"/>
      <c r="AA2393" s="270"/>
    </row>
    <row r="2394" spans="3:27" x14ac:dyDescent="0.3">
      <c r="C2394" s="225"/>
      <c r="D2394" s="288"/>
      <c r="E2394" s="288"/>
      <c r="F2394" s="288"/>
      <c r="G2394" s="450" t="str">
        <f t="shared" si="117"/>
        <v>--</v>
      </c>
      <c r="H2394" s="182"/>
      <c r="I2394" s="892"/>
      <c r="J2394" s="288"/>
      <c r="K2394" s="182"/>
      <c r="L2394" s="182"/>
      <c r="M2394" s="270"/>
      <c r="N2394" s="892"/>
      <c r="O2394" s="892"/>
      <c r="P2394" s="259"/>
      <c r="Q2394" s="114"/>
      <c r="R2394" s="270"/>
      <c r="S2394" s="270"/>
      <c r="T2394" s="270"/>
      <c r="U2394" s="270"/>
      <c r="V2394" s="270"/>
      <c r="W2394" s="270"/>
      <c r="X2394" s="270"/>
      <c r="Y2394" s="270"/>
      <c r="Z2394" s="270"/>
      <c r="AA2394" s="270"/>
    </row>
    <row r="2395" spans="3:27" ht="15" thickBot="1" x14ac:dyDescent="0.35">
      <c r="C2395" s="225"/>
      <c r="D2395" s="182"/>
      <c r="E2395" s="182"/>
      <c r="F2395" s="182"/>
      <c r="G2395" s="450" t="str">
        <f t="shared" si="117"/>
        <v>--</v>
      </c>
      <c r="H2395" s="182"/>
      <c r="I2395" s="892"/>
      <c r="J2395" s="892"/>
      <c r="K2395" s="182"/>
      <c r="L2395" s="182"/>
      <c r="M2395" s="901" t="s">
        <v>155</v>
      </c>
      <c r="N2395" s="870" t="s">
        <v>188</v>
      </c>
      <c r="O2395" s="870"/>
      <c r="P2395" s="276" t="s">
        <v>34</v>
      </c>
      <c r="Q2395" s="871" t="s">
        <v>155</v>
      </c>
      <c r="R2395" s="902"/>
      <c r="S2395" s="874"/>
      <c r="T2395" s="270"/>
      <c r="U2395" s="270"/>
      <c r="V2395" s="270"/>
      <c r="W2395" s="270"/>
      <c r="X2395" s="270"/>
      <c r="Y2395" s="270"/>
      <c r="Z2395" s="270"/>
      <c r="AA2395" s="270"/>
    </row>
    <row r="2396" spans="3:27" ht="15" thickBot="1" x14ac:dyDescent="0.35">
      <c r="C2396" s="566" t="s">
        <v>99</v>
      </c>
      <c r="D2396" s="875" t="str">
        <f>VLOOKUP(C2396,'Airport Mapping'!$C$5:$D$39,2,FALSE)</f>
        <v xml:space="preserve"> </v>
      </c>
      <c r="E2396" s="567" t="s">
        <v>43</v>
      </c>
      <c r="F2396" s="567" t="s">
        <v>34</v>
      </c>
      <c r="G2396" s="450" t="str">
        <f t="shared" si="117"/>
        <v>Hotel D-Maintenance-Swimming Pool</v>
      </c>
      <c r="H2396" s="567" t="s">
        <v>36</v>
      </c>
      <c r="I2396" s="877" t="s">
        <v>64</v>
      </c>
      <c r="J2396" s="878">
        <f>SUMIFS('Level of Efficiency Assumptions'!J:J,'Level of Efficiency Assumptions'!D:D,E2396,'Level of Efficiency Assumptions'!F:F,F2396,'Level of Efficiency Assumptions'!I:I,I2396)</f>
        <v>10</v>
      </c>
      <c r="K2396" s="383" t="s">
        <v>816</v>
      </c>
      <c r="L2396" s="253" t="s">
        <v>64</v>
      </c>
      <c r="M2396" s="879">
        <f>SUM(Q2396:Q2397)</f>
        <v>0</v>
      </c>
      <c r="N2396" s="880">
        <f>IFERROR(M2396/M2399,"-")</f>
        <v>0</v>
      </c>
      <c r="O2396" s="881">
        <f>SUMIFS('Data Entry'!R:R,'Data Entry'!K:K,G2396)</f>
        <v>0</v>
      </c>
      <c r="P2396" s="272"/>
      <c r="Q2396" s="895">
        <v>0</v>
      </c>
      <c r="R2396" s="114"/>
      <c r="S2396" s="884"/>
      <c r="T2396" s="270"/>
      <c r="U2396" s="270"/>
      <c r="V2396" s="270"/>
      <c r="W2396" s="270"/>
      <c r="X2396" s="270"/>
      <c r="Y2396" s="270"/>
      <c r="Z2396" s="270"/>
      <c r="AA2396" s="270"/>
    </row>
    <row r="2397" spans="3:27" ht="15" thickBot="1" x14ac:dyDescent="0.35">
      <c r="C2397" s="494" t="s">
        <v>99</v>
      </c>
      <c r="D2397" s="577"/>
      <c r="E2397" s="577" t="s">
        <v>43</v>
      </c>
      <c r="F2397" s="577" t="s">
        <v>34</v>
      </c>
      <c r="G2397" s="450" t="str">
        <f t="shared" si="117"/>
        <v>Hotel D-Maintenance-Swimming Pool</v>
      </c>
      <c r="H2397" s="577"/>
      <c r="I2397" s="887" t="s">
        <v>65</v>
      </c>
      <c r="J2397" s="878">
        <f>SUMIFS('Level of Efficiency Assumptions'!J:J,'Level of Efficiency Assumptions'!D:D,E2397,'Level of Efficiency Assumptions'!F:F,F2397,'Level of Efficiency Assumptions'!I:I,I2397)</f>
        <v>7.5</v>
      </c>
      <c r="K2397" s="383" t="s">
        <v>816</v>
      </c>
      <c r="L2397" s="255" t="s">
        <v>65</v>
      </c>
      <c r="M2397" s="879">
        <f>Q2398+Q2399</f>
        <v>1</v>
      </c>
      <c r="N2397" s="880">
        <f>IFERROR(M2397/M2399,"-")</f>
        <v>1</v>
      </c>
      <c r="O2397" s="881">
        <f>SUMIFS('Data Entry'!S:S,'Data Entry'!K:K,G2397)</f>
        <v>0</v>
      </c>
      <c r="P2397" s="272"/>
      <c r="Q2397" s="895">
        <v>0</v>
      </c>
      <c r="R2397" s="114"/>
      <c r="S2397" s="884"/>
      <c r="T2397" s="270"/>
      <c r="U2397" s="270"/>
      <c r="V2397" s="270"/>
      <c r="W2397" s="270"/>
      <c r="X2397" s="270"/>
      <c r="Y2397" s="270"/>
      <c r="Z2397" s="270"/>
      <c r="AA2397" s="270"/>
    </row>
    <row r="2398" spans="3:27" ht="15" thickBot="1" x14ac:dyDescent="0.35">
      <c r="C2398" s="501" t="s">
        <v>99</v>
      </c>
      <c r="D2398" s="116"/>
      <c r="E2398" s="116" t="s">
        <v>43</v>
      </c>
      <c r="F2398" s="116" t="s">
        <v>34</v>
      </c>
      <c r="G2398" s="450" t="str">
        <f t="shared" si="117"/>
        <v>Hotel D-Maintenance-Swimming Pool</v>
      </c>
      <c r="H2398" s="116"/>
      <c r="I2398" s="889" t="s">
        <v>66</v>
      </c>
      <c r="J2398" s="890">
        <f>SUMIFS('Level of Efficiency Assumptions'!J:J,'Level of Efficiency Assumptions'!D:D,E2398,'Level of Efficiency Assumptions'!F:F,F2398,'Level of Efficiency Assumptions'!I:I,I2398)</f>
        <v>5</v>
      </c>
      <c r="K2398" s="383" t="s">
        <v>816</v>
      </c>
      <c r="L2398" s="257" t="s">
        <v>66</v>
      </c>
      <c r="M2398" s="879">
        <f>Q2400+Q2401</f>
        <v>0</v>
      </c>
      <c r="N2398" s="880">
        <f>IFERROR(M2398/M2399,"-")</f>
        <v>0</v>
      </c>
      <c r="O2398" s="881">
        <f>SUMIFS('Data Entry'!T:T,'Data Entry'!K:K,G2398)</f>
        <v>0</v>
      </c>
      <c r="P2398" s="274"/>
      <c r="Q2398" s="895">
        <v>1</v>
      </c>
      <c r="R2398" s="114"/>
      <c r="S2398" s="884"/>
      <c r="T2398" s="270"/>
      <c r="U2398" s="270"/>
      <c r="V2398" s="270"/>
      <c r="W2398" s="270"/>
      <c r="X2398" s="270"/>
      <c r="Y2398" s="270"/>
      <c r="Z2398" s="270"/>
      <c r="AA2398" s="270"/>
    </row>
    <row r="2399" spans="3:27" x14ac:dyDescent="0.3">
      <c r="C2399" s="450"/>
      <c r="D2399" s="182"/>
      <c r="E2399" s="182"/>
      <c r="F2399" s="182"/>
      <c r="G2399" s="450" t="str">
        <f t="shared" si="117"/>
        <v>--</v>
      </c>
      <c r="H2399" s="182"/>
      <c r="I2399" s="440"/>
      <c r="J2399" s="892"/>
      <c r="K2399" s="259"/>
      <c r="L2399" s="259" t="s">
        <v>46</v>
      </c>
      <c r="M2399" s="893">
        <f>SUM(M2396:M2398)</f>
        <v>1</v>
      </c>
      <c r="N2399" s="894"/>
      <c r="O2399" s="894">
        <f>SUM(O2396:O2398)</f>
        <v>0</v>
      </c>
      <c r="P2399" s="274"/>
      <c r="Q2399" s="895">
        <v>0</v>
      </c>
      <c r="R2399" s="114"/>
      <c r="S2399" s="884"/>
      <c r="T2399" s="270"/>
      <c r="U2399" s="270"/>
      <c r="V2399" s="270"/>
      <c r="W2399" s="270"/>
      <c r="X2399" s="270"/>
      <c r="Y2399" s="270"/>
      <c r="Z2399" s="270"/>
      <c r="AA2399" s="270"/>
    </row>
    <row r="2400" spans="3:27" x14ac:dyDescent="0.3">
      <c r="C2400" s="450"/>
      <c r="D2400" s="182"/>
      <c r="E2400" s="182"/>
      <c r="F2400" s="182"/>
      <c r="G2400" s="450" t="str">
        <f t="shared" si="117"/>
        <v>--</v>
      </c>
      <c r="H2400" s="182"/>
      <c r="I2400" s="892"/>
      <c r="J2400" s="288"/>
      <c r="K2400" s="182"/>
      <c r="L2400" s="182"/>
      <c r="M2400" s="270"/>
      <c r="N2400" s="892"/>
      <c r="O2400" s="892"/>
      <c r="P2400" s="275"/>
      <c r="Q2400" s="895">
        <v>0</v>
      </c>
      <c r="R2400" s="114"/>
      <c r="S2400" s="884"/>
      <c r="T2400" s="270"/>
      <c r="U2400" s="270"/>
      <c r="V2400" s="270"/>
      <c r="W2400" s="270"/>
      <c r="X2400" s="270"/>
      <c r="Y2400" s="270"/>
      <c r="Z2400" s="270"/>
      <c r="AA2400" s="270"/>
    </row>
    <row r="2401" spans="3:31" x14ac:dyDescent="0.3">
      <c r="C2401" s="450"/>
      <c r="D2401" s="182"/>
      <c r="E2401" s="182"/>
      <c r="F2401" s="182"/>
      <c r="G2401" s="450" t="str">
        <f t="shared" si="117"/>
        <v>--</v>
      </c>
      <c r="H2401" s="182"/>
      <c r="I2401" s="892"/>
      <c r="J2401" s="288"/>
      <c r="K2401" s="182"/>
      <c r="L2401" s="182"/>
      <c r="M2401" s="270"/>
      <c r="N2401" s="892"/>
      <c r="O2401" s="892"/>
      <c r="P2401" s="269"/>
      <c r="Q2401" s="895">
        <v>0</v>
      </c>
      <c r="R2401" s="114"/>
      <c r="S2401" s="884"/>
      <c r="T2401" s="270"/>
      <c r="U2401" s="270"/>
      <c r="V2401" s="270"/>
      <c r="W2401" s="270"/>
      <c r="X2401" s="270"/>
      <c r="Y2401" s="270"/>
      <c r="Z2401" s="270"/>
      <c r="AA2401" s="270"/>
    </row>
    <row r="2402" spans="3:31" s="45" customFormat="1" x14ac:dyDescent="0.3">
      <c r="C2402" s="450"/>
      <c r="D2402" s="182"/>
      <c r="E2402" s="182"/>
      <c r="F2402" s="182"/>
      <c r="G2402" s="450" t="str">
        <f t="shared" si="117"/>
        <v>--</v>
      </c>
      <c r="H2402" s="182"/>
      <c r="I2402" s="892"/>
      <c r="J2402" s="288"/>
      <c r="K2402" s="182"/>
      <c r="L2402" s="182"/>
      <c r="M2402" s="270"/>
      <c r="N2402" s="892"/>
      <c r="O2402" s="892"/>
      <c r="P2402" s="263" t="s">
        <v>46</v>
      </c>
      <c r="Q2402" s="897">
        <f>SUM(Q2396:Q2401)</f>
        <v>1</v>
      </c>
      <c r="R2402" s="899"/>
      <c r="S2402" s="900"/>
      <c r="T2402" s="270"/>
      <c r="U2402" s="270"/>
      <c r="V2402" s="270"/>
      <c r="W2402" s="270"/>
      <c r="X2402" s="270"/>
      <c r="Y2402" s="270"/>
      <c r="Z2402" s="270"/>
      <c r="AA2402" s="270"/>
      <c r="AB2402" s="85"/>
      <c r="AC2402" s="85"/>
      <c r="AD2402" s="85"/>
      <c r="AE2402" s="85"/>
    </row>
    <row r="2403" spans="3:31" x14ac:dyDescent="0.3">
      <c r="C2403" s="450"/>
      <c r="D2403" s="182"/>
      <c r="E2403" s="182"/>
      <c r="F2403" s="182"/>
      <c r="G2403" s="450" t="str">
        <f t="shared" si="117"/>
        <v>--</v>
      </c>
      <c r="H2403" s="182"/>
      <c r="I2403" s="892"/>
      <c r="J2403" s="288"/>
      <c r="K2403" s="182"/>
      <c r="L2403" s="182"/>
      <c r="M2403" s="270"/>
      <c r="N2403" s="892"/>
      <c r="O2403" s="892"/>
      <c r="P2403" s="259"/>
      <c r="Q2403" s="114"/>
      <c r="R2403" s="114"/>
      <c r="S2403" s="114"/>
      <c r="T2403" s="270"/>
      <c r="U2403" s="270"/>
      <c r="V2403" s="270"/>
      <c r="W2403" s="270"/>
      <c r="X2403" s="270"/>
      <c r="Y2403" s="270"/>
      <c r="Z2403" s="270"/>
      <c r="AA2403" s="270"/>
    </row>
    <row r="2404" spans="3:31" ht="15" thickBot="1" x14ac:dyDescent="0.35">
      <c r="C2404" s="450"/>
      <c r="D2404" s="182"/>
      <c r="E2404" s="182"/>
      <c r="F2404" s="182"/>
      <c r="G2404" s="450" t="str">
        <f t="shared" si="117"/>
        <v>--</v>
      </c>
      <c r="H2404" s="182"/>
      <c r="I2404" s="892"/>
      <c r="J2404" s="892"/>
      <c r="K2404" s="182"/>
      <c r="L2404" s="182"/>
      <c r="M2404" s="901" t="s">
        <v>155</v>
      </c>
      <c r="N2404" s="870" t="s">
        <v>188</v>
      </c>
      <c r="O2404" s="870"/>
      <c r="P2404" s="276" t="s">
        <v>21</v>
      </c>
      <c r="Q2404" s="871" t="s">
        <v>155</v>
      </c>
      <c r="R2404" s="902"/>
      <c r="S2404" s="874"/>
      <c r="T2404" s="270"/>
      <c r="U2404" s="270"/>
      <c r="V2404" s="270"/>
      <c r="W2404" s="270"/>
      <c r="X2404" s="270"/>
      <c r="Y2404" s="270"/>
      <c r="Z2404" s="270"/>
      <c r="AA2404" s="270"/>
    </row>
    <row r="2405" spans="3:31" ht="15" thickBot="1" x14ac:dyDescent="0.35">
      <c r="C2405" s="566" t="s">
        <v>99</v>
      </c>
      <c r="D2405" s="875" t="str">
        <f>VLOOKUP(C2405,'Airport Mapping'!$C$5:$D$39,2,FALSE)</f>
        <v xml:space="preserve"> </v>
      </c>
      <c r="E2405" s="567" t="s">
        <v>43</v>
      </c>
      <c r="F2405" s="567" t="s">
        <v>21</v>
      </c>
      <c r="G2405" s="450" t="str">
        <f t="shared" si="117"/>
        <v>Hotel D-Maintenance-Laundry</v>
      </c>
      <c r="H2405" s="567" t="s">
        <v>17</v>
      </c>
      <c r="I2405" s="877" t="s">
        <v>64</v>
      </c>
      <c r="J2405" s="878">
        <f>SUMIFS('Level of Efficiency Assumptions'!J:J,'Level of Efficiency Assumptions'!D:D,E2405,'Level of Efficiency Assumptions'!F:F,F2405,'Level of Efficiency Assumptions'!I:I,I2405)</f>
        <v>3.5</v>
      </c>
      <c r="K2405" s="383" t="s">
        <v>235</v>
      </c>
      <c r="L2405" s="253" t="s">
        <v>64</v>
      </c>
      <c r="M2405" s="879">
        <f>SUM(Q2405:Q2406)</f>
        <v>0</v>
      </c>
      <c r="N2405" s="880">
        <f>IFERROR(M2405/M2408,"-")</f>
        <v>0</v>
      </c>
      <c r="O2405" s="881">
        <f>SUMIFS('Data Entry'!R:R,'Data Entry'!K:K,G2405)</f>
        <v>0</v>
      </c>
      <c r="P2405" s="272"/>
      <c r="Q2405" s="895">
        <v>0</v>
      </c>
      <c r="R2405" s="114"/>
      <c r="S2405" s="884"/>
      <c r="T2405" s="270"/>
      <c r="U2405" s="270"/>
      <c r="V2405" s="270"/>
      <c r="W2405" s="270"/>
      <c r="X2405" s="270"/>
      <c r="Y2405" s="270"/>
      <c r="Z2405" s="270"/>
      <c r="AA2405" s="270"/>
    </row>
    <row r="2406" spans="3:31" ht="15" thickBot="1" x14ac:dyDescent="0.35">
      <c r="C2406" s="494" t="s">
        <v>99</v>
      </c>
      <c r="D2406" s="577"/>
      <c r="E2406" s="577" t="s">
        <v>43</v>
      </c>
      <c r="F2406" s="577" t="s">
        <v>21</v>
      </c>
      <c r="G2406" s="450" t="str">
        <f t="shared" si="117"/>
        <v>Hotel D-Maintenance-Laundry</v>
      </c>
      <c r="H2406" s="577"/>
      <c r="I2406" s="887" t="s">
        <v>65</v>
      </c>
      <c r="J2406" s="878">
        <f>SUMIFS('Level of Efficiency Assumptions'!J:J,'Level of Efficiency Assumptions'!D:D,E2406,'Level of Efficiency Assumptions'!F:F,F2406,'Level of Efficiency Assumptions'!I:I,I2406)</f>
        <v>2.5</v>
      </c>
      <c r="K2406" s="383" t="s">
        <v>235</v>
      </c>
      <c r="L2406" s="255" t="s">
        <v>65</v>
      </c>
      <c r="M2406" s="879">
        <f>Q2407+Q2408</f>
        <v>1</v>
      </c>
      <c r="N2406" s="880">
        <f>IFERROR(M2406/M2408,"-")</f>
        <v>1</v>
      </c>
      <c r="O2406" s="881">
        <f>SUMIFS('Data Entry'!S:S,'Data Entry'!K:K,G2406)</f>
        <v>0</v>
      </c>
      <c r="P2406" s="272"/>
      <c r="Q2406" s="895">
        <v>0</v>
      </c>
      <c r="R2406" s="114"/>
      <c r="S2406" s="884"/>
      <c r="T2406" s="270"/>
      <c r="U2406" s="270"/>
      <c r="V2406" s="270"/>
      <c r="W2406" s="270"/>
      <c r="X2406" s="270"/>
      <c r="Y2406" s="270"/>
      <c r="Z2406" s="270"/>
      <c r="AA2406" s="270"/>
    </row>
    <row r="2407" spans="3:31" ht="15" thickBot="1" x14ac:dyDescent="0.35">
      <c r="C2407" s="501" t="s">
        <v>99</v>
      </c>
      <c r="D2407" s="116"/>
      <c r="E2407" s="116" t="s">
        <v>43</v>
      </c>
      <c r="F2407" s="116" t="s">
        <v>21</v>
      </c>
      <c r="G2407" s="450" t="str">
        <f t="shared" si="117"/>
        <v>Hotel D-Maintenance-Laundry</v>
      </c>
      <c r="H2407" s="116"/>
      <c r="I2407" s="889" t="s">
        <v>66</v>
      </c>
      <c r="J2407" s="890">
        <f>SUMIFS('Level of Efficiency Assumptions'!J:J,'Level of Efficiency Assumptions'!D:D,E2407,'Level of Efficiency Assumptions'!F:F,F2407,'Level of Efficiency Assumptions'!I:I,I2407)</f>
        <v>1.5</v>
      </c>
      <c r="K2407" s="383" t="s">
        <v>235</v>
      </c>
      <c r="L2407" s="257" t="s">
        <v>66</v>
      </c>
      <c r="M2407" s="879">
        <f>Q2409+Q2410</f>
        <v>0</v>
      </c>
      <c r="N2407" s="880">
        <f>IFERROR(M2407/M2408,"-")</f>
        <v>0</v>
      </c>
      <c r="O2407" s="881">
        <f>SUMIFS('Data Entry'!T:T,'Data Entry'!K:K,G2407)</f>
        <v>0</v>
      </c>
      <c r="P2407" s="274"/>
      <c r="Q2407" s="895">
        <v>1</v>
      </c>
      <c r="R2407" s="114"/>
      <c r="S2407" s="884"/>
      <c r="T2407" s="270"/>
      <c r="U2407" s="270"/>
      <c r="V2407" s="270"/>
      <c r="W2407" s="270"/>
      <c r="X2407" s="270"/>
      <c r="Y2407" s="270"/>
      <c r="Z2407" s="270"/>
      <c r="AA2407" s="270"/>
    </row>
    <row r="2408" spans="3:31" x14ac:dyDescent="0.3">
      <c r="C2408" s="450"/>
      <c r="D2408" s="182"/>
      <c r="E2408" s="182"/>
      <c r="F2408" s="182"/>
      <c r="G2408" s="450" t="str">
        <f t="shared" si="117"/>
        <v>--</v>
      </c>
      <c r="H2408" s="182"/>
      <c r="I2408" s="440"/>
      <c r="J2408" s="892"/>
      <c r="K2408" s="259"/>
      <c r="L2408" s="259" t="s">
        <v>46</v>
      </c>
      <c r="M2408" s="893">
        <f>SUM(M2405:M2407)</f>
        <v>1</v>
      </c>
      <c r="N2408" s="894"/>
      <c r="O2408" s="894">
        <f>SUM(O2405:O2407)</f>
        <v>0</v>
      </c>
      <c r="P2408" s="274"/>
      <c r="Q2408" s="895">
        <v>0</v>
      </c>
      <c r="R2408" s="114"/>
      <c r="S2408" s="884"/>
      <c r="T2408" s="270"/>
      <c r="U2408" s="270"/>
      <c r="V2408" s="270"/>
      <c r="W2408" s="270"/>
      <c r="X2408" s="270"/>
      <c r="Y2408" s="270"/>
      <c r="Z2408" s="270"/>
      <c r="AA2408" s="270"/>
    </row>
    <row r="2409" spans="3:31" x14ac:dyDescent="0.3">
      <c r="C2409" s="450"/>
      <c r="D2409" s="182"/>
      <c r="E2409" s="182"/>
      <c r="F2409" s="182"/>
      <c r="G2409" s="450" t="str">
        <f t="shared" si="117"/>
        <v>--</v>
      </c>
      <c r="H2409" s="182"/>
      <c r="I2409" s="892"/>
      <c r="J2409" s="288"/>
      <c r="K2409" s="182"/>
      <c r="L2409" s="182"/>
      <c r="M2409" s="270"/>
      <c r="N2409" s="892"/>
      <c r="O2409" s="892"/>
      <c r="P2409" s="275"/>
      <c r="Q2409" s="895">
        <v>0</v>
      </c>
      <c r="R2409" s="114"/>
      <c r="S2409" s="884"/>
      <c r="T2409" s="270"/>
      <c r="U2409" s="270"/>
      <c r="V2409" s="270"/>
      <c r="W2409" s="270"/>
      <c r="X2409" s="270"/>
      <c r="Y2409" s="270"/>
      <c r="Z2409" s="270"/>
      <c r="AA2409" s="270"/>
    </row>
    <row r="2410" spans="3:31" x14ac:dyDescent="0.3">
      <c r="C2410" s="450"/>
      <c r="D2410" s="182"/>
      <c r="E2410" s="182"/>
      <c r="F2410" s="182"/>
      <c r="G2410" s="450" t="str">
        <f t="shared" si="117"/>
        <v>--</v>
      </c>
      <c r="H2410" s="182"/>
      <c r="I2410" s="892"/>
      <c r="J2410" s="288"/>
      <c r="K2410" s="182"/>
      <c r="L2410" s="182"/>
      <c r="M2410" s="270"/>
      <c r="N2410" s="892"/>
      <c r="O2410" s="892"/>
      <c r="P2410" s="269"/>
      <c r="Q2410" s="895">
        <v>0</v>
      </c>
      <c r="R2410" s="114"/>
      <c r="S2410" s="884"/>
      <c r="T2410" s="270"/>
      <c r="U2410" s="270"/>
      <c r="V2410" s="270"/>
      <c r="W2410" s="270"/>
      <c r="X2410" s="270"/>
      <c r="Y2410" s="270"/>
      <c r="Z2410" s="270"/>
      <c r="AA2410" s="270"/>
    </row>
    <row r="2411" spans="3:31" x14ac:dyDescent="0.3">
      <c r="C2411" s="450"/>
      <c r="D2411" s="182"/>
      <c r="E2411" s="182"/>
      <c r="F2411" s="182"/>
      <c r="G2411" s="450" t="str">
        <f t="shared" si="117"/>
        <v>--</v>
      </c>
      <c r="H2411" s="182"/>
      <c r="I2411" s="892"/>
      <c r="J2411" s="288"/>
      <c r="K2411" s="182"/>
      <c r="L2411" s="182"/>
      <c r="M2411" s="270"/>
      <c r="N2411" s="892"/>
      <c r="O2411" s="892"/>
      <c r="P2411" s="263" t="s">
        <v>46</v>
      </c>
      <c r="Q2411" s="897">
        <f>SUM(Q2405:Q2410)</f>
        <v>1</v>
      </c>
      <c r="R2411" s="899"/>
      <c r="S2411" s="900"/>
      <c r="T2411" s="270"/>
      <c r="U2411" s="270"/>
      <c r="V2411" s="270"/>
      <c r="W2411" s="270"/>
      <c r="X2411" s="270"/>
      <c r="Y2411" s="270"/>
      <c r="Z2411" s="270"/>
      <c r="AA2411" s="270"/>
    </row>
    <row r="2412" spans="3:31" x14ac:dyDescent="0.3">
      <c r="C2412" s="450"/>
      <c r="D2412" s="182"/>
      <c r="E2412" s="182"/>
      <c r="F2412" s="182"/>
      <c r="G2412" s="450" t="str">
        <f t="shared" si="117"/>
        <v>--</v>
      </c>
      <c r="H2412" s="182"/>
      <c r="I2412" s="892"/>
      <c r="J2412" s="288"/>
      <c r="K2412" s="182"/>
      <c r="L2412" s="270"/>
      <c r="M2412" s="270"/>
      <c r="N2412" s="923"/>
      <c r="O2412" s="923"/>
      <c r="P2412" s="270"/>
      <c r="Q2412" s="270"/>
      <c r="R2412" s="270"/>
      <c r="S2412" s="270"/>
      <c r="T2412" s="270"/>
      <c r="U2412" s="270"/>
      <c r="V2412" s="270"/>
      <c r="W2412" s="270"/>
      <c r="X2412" s="270"/>
      <c r="Y2412" s="270"/>
      <c r="Z2412" s="270"/>
      <c r="AA2412" s="270"/>
    </row>
    <row r="2413" spans="3:31" x14ac:dyDescent="0.3">
      <c r="C2413" s="450"/>
      <c r="D2413" s="182"/>
      <c r="E2413" s="182"/>
      <c r="F2413" s="182"/>
      <c r="G2413" s="450" t="str">
        <f t="shared" si="117"/>
        <v>--</v>
      </c>
      <c r="H2413" s="182"/>
      <c r="I2413" s="892"/>
      <c r="J2413" s="288"/>
      <c r="K2413" s="182"/>
      <c r="L2413" s="182"/>
      <c r="M2413" s="270"/>
      <c r="N2413" s="892"/>
      <c r="O2413" s="892"/>
      <c r="P2413" s="276" t="s">
        <v>42</v>
      </c>
      <c r="Q2413" s="902"/>
      <c r="R2413" s="902"/>
      <c r="S2413" s="902"/>
      <c r="T2413" s="271"/>
      <c r="U2413" s="114"/>
      <c r="V2413" s="114"/>
      <c r="W2413" s="270"/>
      <c r="X2413" s="270"/>
      <c r="Y2413" s="270"/>
      <c r="Z2413" s="270"/>
      <c r="AA2413" s="270"/>
    </row>
    <row r="2414" spans="3:31" ht="15" thickBot="1" x14ac:dyDescent="0.35">
      <c r="C2414" s="450"/>
      <c r="D2414" s="182"/>
      <c r="E2414" s="182"/>
      <c r="F2414" s="182"/>
      <c r="G2414" s="450" t="str">
        <f t="shared" si="117"/>
        <v>--</v>
      </c>
      <c r="H2414" s="182"/>
      <c r="I2414" s="892"/>
      <c r="J2414" s="892"/>
      <c r="K2414" s="182"/>
      <c r="L2414" s="182"/>
      <c r="M2414" s="901" t="s">
        <v>155</v>
      </c>
      <c r="N2414" s="870" t="s">
        <v>188</v>
      </c>
      <c r="O2414" s="870"/>
      <c r="P2414" s="277" t="s">
        <v>818</v>
      </c>
      <c r="Q2414" s="871" t="s">
        <v>155</v>
      </c>
      <c r="R2414" s="114"/>
      <c r="S2414" s="114"/>
      <c r="T2414" s="271"/>
      <c r="U2414" s="114"/>
      <c r="V2414" s="114"/>
      <c r="W2414" s="270"/>
      <c r="X2414" s="270"/>
      <c r="Y2414" s="270"/>
      <c r="Z2414" s="270"/>
      <c r="AA2414" s="270"/>
    </row>
    <row r="2415" spans="3:31" ht="15" thickBot="1" x14ac:dyDescent="0.35">
      <c r="C2415" s="566" t="s">
        <v>99</v>
      </c>
      <c r="D2415" s="875" t="str">
        <f>VLOOKUP(C2415,'Airport Mapping'!$C$5:$D$39,2,FALSE)</f>
        <v xml:space="preserve"> </v>
      </c>
      <c r="E2415" s="567" t="s">
        <v>39</v>
      </c>
      <c r="F2415" s="567" t="s">
        <v>42</v>
      </c>
      <c r="G2415" s="450" t="str">
        <f t="shared" si="117"/>
        <v>Hotel D-Landscaping-Outdoor irrigation</v>
      </c>
      <c r="H2415" s="567" t="s">
        <v>32</v>
      </c>
      <c r="I2415" s="877" t="s">
        <v>64</v>
      </c>
      <c r="J2415" s="878">
        <f>SUMIFS('Level of Efficiency Assumptions'!J:J,'Level of Efficiency Assumptions'!D:D,E2415,'Level of Efficiency Assumptions'!F:F,F2415,'Level of Efficiency Assumptions'!I:I,I2415)</f>
        <v>28.6</v>
      </c>
      <c r="K2415" s="383" t="s">
        <v>816</v>
      </c>
      <c r="L2415" s="253" t="s">
        <v>64</v>
      </c>
      <c r="M2415" s="879">
        <f>SUM(Q2415:Q2416)</f>
        <v>0</v>
      </c>
      <c r="N2415" s="880">
        <f>IFERROR(M2415/M2418,"-")</f>
        <v>0</v>
      </c>
      <c r="O2415" s="881">
        <f>SUMIFS('Data Entry'!R:R,'Data Entry'!K:K,G2415)</f>
        <v>0</v>
      </c>
      <c r="P2415" s="272" t="s">
        <v>237</v>
      </c>
      <c r="Q2415" s="895">
        <v>0</v>
      </c>
      <c r="R2415" s="114"/>
      <c r="S2415" s="114"/>
      <c r="T2415" s="271"/>
      <c r="U2415" s="114"/>
      <c r="V2415" s="114"/>
      <c r="W2415" s="270"/>
      <c r="X2415" s="270"/>
      <c r="Y2415" s="270"/>
      <c r="Z2415" s="270"/>
      <c r="AA2415" s="270"/>
    </row>
    <row r="2416" spans="3:31" ht="15" thickBot="1" x14ac:dyDescent="0.35">
      <c r="C2416" s="494" t="s">
        <v>99</v>
      </c>
      <c r="D2416" s="577"/>
      <c r="E2416" s="577" t="s">
        <v>39</v>
      </c>
      <c r="F2416" s="577" t="s">
        <v>42</v>
      </c>
      <c r="G2416" s="450" t="str">
        <f t="shared" si="117"/>
        <v>Hotel D-Landscaping-Outdoor irrigation</v>
      </c>
      <c r="H2416" s="577"/>
      <c r="I2416" s="887" t="s">
        <v>65</v>
      </c>
      <c r="J2416" s="878">
        <f>SUMIFS('Level of Efficiency Assumptions'!J:J,'Level of Efficiency Assumptions'!D:D,E2416,'Level of Efficiency Assumptions'!F:F,F2416,'Level of Efficiency Assumptions'!I:I,I2416)</f>
        <v>13.980821518350929</v>
      </c>
      <c r="K2416" s="383" t="s">
        <v>816</v>
      </c>
      <c r="L2416" s="255" t="s">
        <v>65</v>
      </c>
      <c r="M2416" s="879">
        <f>Q2417+Q2418</f>
        <v>1</v>
      </c>
      <c r="N2416" s="880">
        <f>IFERROR(M2416/M2418,"-")</f>
        <v>1</v>
      </c>
      <c r="O2416" s="881">
        <f>SUMIFS('Data Entry'!S:S,'Data Entry'!K:K,G2416)</f>
        <v>0</v>
      </c>
      <c r="P2416" s="272" t="s">
        <v>232</v>
      </c>
      <c r="Q2416" s="895">
        <v>0</v>
      </c>
      <c r="R2416" s="114"/>
      <c r="S2416" s="114"/>
      <c r="T2416" s="271"/>
      <c r="U2416" s="114"/>
      <c r="V2416" s="114"/>
      <c r="W2416" s="270"/>
      <c r="X2416" s="270"/>
      <c r="Y2416" s="270"/>
      <c r="Z2416" s="270"/>
      <c r="AA2416" s="270"/>
    </row>
    <row r="2417" spans="3:27" ht="15" thickBot="1" x14ac:dyDescent="0.35">
      <c r="C2417" s="501" t="s">
        <v>99</v>
      </c>
      <c r="D2417" s="116"/>
      <c r="E2417" s="116" t="s">
        <v>39</v>
      </c>
      <c r="F2417" s="116" t="s">
        <v>42</v>
      </c>
      <c r="G2417" s="450" t="str">
        <f t="shared" si="117"/>
        <v>Hotel D-Landscaping-Outdoor irrigation</v>
      </c>
      <c r="H2417" s="116"/>
      <c r="I2417" s="889" t="s">
        <v>66</v>
      </c>
      <c r="J2417" s="890">
        <f>SUMIFS('Level of Efficiency Assumptions'!J:J,'Level of Efficiency Assumptions'!D:D,E2417,'Level of Efficiency Assumptions'!F:F,F2417,'Level of Efficiency Assumptions'!I:I,I2417)</f>
        <v>0.59137254901960778</v>
      </c>
      <c r="K2417" s="383" t="s">
        <v>816</v>
      </c>
      <c r="L2417" s="257" t="s">
        <v>66</v>
      </c>
      <c r="M2417" s="879">
        <f>Q2419+Q2420</f>
        <v>0</v>
      </c>
      <c r="N2417" s="880">
        <f>IFERROR(M2417/M2418,"-")</f>
        <v>0</v>
      </c>
      <c r="O2417" s="881">
        <f>SUMIFS('Data Entry'!T:T,'Data Entry'!K:K,G2417)</f>
        <v>0</v>
      </c>
      <c r="P2417" s="274" t="s">
        <v>231</v>
      </c>
      <c r="Q2417" s="895">
        <v>1</v>
      </c>
      <c r="R2417" s="114"/>
      <c r="S2417" s="114"/>
      <c r="T2417" s="271"/>
      <c r="U2417" s="114"/>
      <c r="V2417" s="114"/>
      <c r="W2417" s="270"/>
      <c r="X2417" s="270"/>
      <c r="Y2417" s="270"/>
      <c r="Z2417" s="270"/>
      <c r="AA2417" s="114"/>
    </row>
    <row r="2418" spans="3:27" x14ac:dyDescent="0.3">
      <c r="C2418" s="450"/>
      <c r="D2418" s="182"/>
      <c r="E2418" s="182"/>
      <c r="F2418" s="182"/>
      <c r="G2418" s="450" t="str">
        <f t="shared" si="117"/>
        <v>--</v>
      </c>
      <c r="H2418" s="182"/>
      <c r="I2418" s="440"/>
      <c r="J2418" s="892"/>
      <c r="K2418" s="259"/>
      <c r="L2418" s="259" t="s">
        <v>46</v>
      </c>
      <c r="M2418" s="893">
        <f>SUM(M2415:M2417)</f>
        <v>1</v>
      </c>
      <c r="N2418" s="894"/>
      <c r="O2418" s="894">
        <f>SUM(O2415:O2417)</f>
        <v>0</v>
      </c>
      <c r="P2418" s="274" t="s">
        <v>230</v>
      </c>
      <c r="Q2418" s="895">
        <v>0</v>
      </c>
      <c r="R2418" s="114"/>
      <c r="S2418" s="114"/>
      <c r="T2418" s="271"/>
      <c r="U2418" s="114"/>
      <c r="V2418" s="114"/>
      <c r="W2418" s="270"/>
      <c r="X2418" s="270"/>
      <c r="Y2418" s="270"/>
      <c r="Z2418" s="270"/>
      <c r="AA2418" s="114"/>
    </row>
    <row r="2419" spans="3:27" x14ac:dyDescent="0.3">
      <c r="C2419" s="450"/>
      <c r="D2419" s="182"/>
      <c r="E2419" s="182"/>
      <c r="F2419" s="182"/>
      <c r="G2419" s="450" t="str">
        <f t="shared" si="117"/>
        <v>--</v>
      </c>
      <c r="H2419" s="182"/>
      <c r="I2419" s="892"/>
      <c r="J2419" s="288"/>
      <c r="K2419" s="182"/>
      <c r="L2419" s="182"/>
      <c r="M2419" s="270"/>
      <c r="N2419" s="892"/>
      <c r="O2419" s="892"/>
      <c r="P2419" s="275" t="s">
        <v>229</v>
      </c>
      <c r="Q2419" s="895">
        <v>0</v>
      </c>
      <c r="R2419" s="114"/>
      <c r="S2419" s="114"/>
      <c r="T2419" s="271"/>
      <c r="U2419" s="114"/>
      <c r="V2419" s="114"/>
      <c r="W2419" s="270"/>
      <c r="X2419" s="270"/>
      <c r="Y2419" s="270"/>
      <c r="Z2419" s="270"/>
      <c r="AA2419" s="114"/>
    </row>
    <row r="2420" spans="3:27" x14ac:dyDescent="0.3">
      <c r="C2420" s="450"/>
      <c r="D2420" s="182"/>
      <c r="E2420" s="182"/>
      <c r="F2420" s="182"/>
      <c r="G2420" s="450" t="str">
        <f t="shared" si="117"/>
        <v>--</v>
      </c>
      <c r="H2420" s="182"/>
      <c r="I2420" s="892"/>
      <c r="J2420" s="288"/>
      <c r="K2420" s="182"/>
      <c r="L2420" s="182"/>
      <c r="M2420" s="270"/>
      <c r="N2420" s="892"/>
      <c r="O2420" s="892"/>
      <c r="P2420" s="269" t="s">
        <v>225</v>
      </c>
      <c r="Q2420" s="895">
        <v>0</v>
      </c>
      <c r="R2420" s="114"/>
      <c r="S2420" s="114"/>
      <c r="T2420" s="271"/>
      <c r="U2420" s="114"/>
      <c r="V2420" s="114"/>
      <c r="W2420" s="270"/>
      <c r="X2420" s="270"/>
      <c r="Y2420" s="270"/>
      <c r="Z2420" s="270"/>
      <c r="AA2420" s="114"/>
    </row>
    <row r="2421" spans="3:27" x14ac:dyDescent="0.3">
      <c r="C2421" s="450"/>
      <c r="D2421" s="182"/>
      <c r="E2421" s="182"/>
      <c r="F2421" s="182"/>
      <c r="G2421" s="450" t="str">
        <f t="shared" ref="G2421:G2481" si="118">C2421&amp;"-"&amp;E2421&amp;"-"&amp;F2421</f>
        <v>--</v>
      </c>
      <c r="H2421" s="182"/>
      <c r="I2421" s="892"/>
      <c r="J2421" s="288"/>
      <c r="K2421" s="182"/>
      <c r="L2421" s="182"/>
      <c r="M2421" s="270"/>
      <c r="N2421" s="892"/>
      <c r="O2421" s="892"/>
      <c r="P2421" s="263" t="s">
        <v>46</v>
      </c>
      <c r="Q2421" s="897">
        <f>SUM(Q2415:Q2420)</f>
        <v>1</v>
      </c>
      <c r="R2421" s="899"/>
      <c r="S2421" s="899"/>
      <c r="T2421" s="271"/>
      <c r="U2421" s="114"/>
      <c r="V2421" s="114"/>
      <c r="W2421" s="270"/>
      <c r="X2421" s="270"/>
      <c r="Y2421" s="270"/>
      <c r="Z2421" s="270"/>
      <c r="AA2421" s="114"/>
    </row>
    <row r="2422" spans="3:27" x14ac:dyDescent="0.3">
      <c r="C2422" s="450"/>
      <c r="D2422" s="182"/>
      <c r="E2422" s="182"/>
      <c r="F2422" s="182"/>
      <c r="G2422" s="450" t="str">
        <f t="shared" si="118"/>
        <v>--</v>
      </c>
      <c r="H2422" s="182"/>
      <c r="I2422" s="892"/>
      <c r="J2422" s="288"/>
      <c r="K2422" s="182"/>
      <c r="L2422" s="211"/>
      <c r="M2422" s="114"/>
      <c r="N2422" s="905"/>
      <c r="O2422" s="926"/>
      <c r="P2422" s="211"/>
      <c r="Q2422" s="114"/>
      <c r="R2422" s="211"/>
      <c r="S2422" s="211"/>
      <c r="T2422" s="270"/>
      <c r="U2422" s="270"/>
      <c r="V2422" s="270"/>
      <c r="W2422" s="270"/>
      <c r="X2422" s="270"/>
      <c r="Y2422" s="270"/>
      <c r="Z2422" s="270"/>
      <c r="AA2422" s="114"/>
    </row>
    <row r="2423" spans="3:27" ht="15" thickBot="1" x14ac:dyDescent="0.35">
      <c r="C2423" s="450"/>
      <c r="D2423" s="182"/>
      <c r="E2423" s="182"/>
      <c r="F2423" s="182"/>
      <c r="G2423" s="450" t="str">
        <f t="shared" si="118"/>
        <v>--</v>
      </c>
      <c r="H2423" s="182"/>
      <c r="I2423" s="892"/>
      <c r="J2423" s="892"/>
      <c r="K2423" s="182"/>
      <c r="L2423" s="182"/>
      <c r="M2423" s="901" t="s">
        <v>155</v>
      </c>
      <c r="N2423" s="870" t="s">
        <v>188</v>
      </c>
      <c r="O2423" s="870"/>
      <c r="P2423" s="276" t="s">
        <v>52</v>
      </c>
      <c r="Q2423" s="871" t="s">
        <v>155</v>
      </c>
      <c r="R2423" s="902"/>
      <c r="S2423" s="874"/>
      <c r="T2423" s="270"/>
      <c r="U2423" s="270"/>
      <c r="V2423" s="270"/>
      <c r="W2423" s="270"/>
      <c r="X2423" s="270"/>
      <c r="Y2423" s="114"/>
      <c r="Z2423" s="114"/>
      <c r="AA2423" s="114"/>
    </row>
    <row r="2424" spans="3:27" ht="15" thickBot="1" x14ac:dyDescent="0.35">
      <c r="C2424" s="566" t="s">
        <v>99</v>
      </c>
      <c r="D2424" s="875" t="str">
        <f>VLOOKUP(C2424,'Airport Mapping'!$C$5:$D$39,2,FALSE)</f>
        <v xml:space="preserve"> </v>
      </c>
      <c r="E2424" s="567" t="s">
        <v>8</v>
      </c>
      <c r="F2424" s="567" t="s">
        <v>52</v>
      </c>
      <c r="G2424" s="450" t="str">
        <f t="shared" si="118"/>
        <v>Hotel D-Other-Other 1</v>
      </c>
      <c r="H2424" s="567" t="s">
        <v>362</v>
      </c>
      <c r="I2424" s="877" t="s">
        <v>64</v>
      </c>
      <c r="J2424" s="878">
        <f>SUMIFS('Level of Efficiency Assumptions'!J:J,'Level of Efficiency Assumptions'!D:D,E2424,'Level of Efficiency Assumptions'!F:F,F2424,'Level of Efficiency Assumptions'!I:I,I2424)</f>
        <v>10</v>
      </c>
      <c r="K2424" s="383" t="s">
        <v>588</v>
      </c>
      <c r="L2424" s="253" t="s">
        <v>64</v>
      </c>
      <c r="M2424" s="879">
        <f>SUM(Q2424:Q2424)</f>
        <v>0</v>
      </c>
      <c r="N2424" s="880">
        <f>IFERROR(M2424/M2427,"-")</f>
        <v>0</v>
      </c>
      <c r="O2424" s="881">
        <f>SUMIFS('Data Entry'!R:R,'Data Entry'!K:K,G2424)</f>
        <v>0</v>
      </c>
      <c r="P2424" s="272" t="s">
        <v>129</v>
      </c>
      <c r="Q2424" s="895">
        <v>0</v>
      </c>
      <c r="R2424" s="114"/>
      <c r="S2424" s="884"/>
      <c r="T2424" s="270"/>
      <c r="U2424" s="270"/>
      <c r="V2424" s="270"/>
      <c r="W2424" s="270"/>
      <c r="X2424" s="270"/>
      <c r="Y2424" s="114"/>
      <c r="Z2424" s="114"/>
      <c r="AA2424" s="270"/>
    </row>
    <row r="2425" spans="3:27" ht="15" thickBot="1" x14ac:dyDescent="0.35">
      <c r="C2425" s="494" t="s">
        <v>99</v>
      </c>
      <c r="D2425" s="577"/>
      <c r="E2425" s="577" t="s">
        <v>8</v>
      </c>
      <c r="F2425" s="577" t="s">
        <v>52</v>
      </c>
      <c r="G2425" s="450" t="str">
        <f t="shared" si="118"/>
        <v>Hotel D-Other-Other 1</v>
      </c>
      <c r="H2425" s="577"/>
      <c r="I2425" s="887" t="s">
        <v>65</v>
      </c>
      <c r="J2425" s="878">
        <f>SUMIFS('Level of Efficiency Assumptions'!J:J,'Level of Efficiency Assumptions'!D:D,E2425,'Level of Efficiency Assumptions'!F:F,F2425,'Level of Efficiency Assumptions'!I:I,I2425)</f>
        <v>7.5</v>
      </c>
      <c r="K2425" s="383" t="s">
        <v>588</v>
      </c>
      <c r="L2425" s="255" t="s">
        <v>65</v>
      </c>
      <c r="M2425" s="879">
        <f t="shared" ref="M2425:M2426" si="119">SUM(Q2425:Q2425)</f>
        <v>1</v>
      </c>
      <c r="N2425" s="880">
        <f>IFERROR(M2425/M2427,"-")</f>
        <v>1</v>
      </c>
      <c r="O2425" s="881">
        <f>SUMIFS('Data Entry'!S:S,'Data Entry'!K:K,G2425)</f>
        <v>0</v>
      </c>
      <c r="P2425" s="274" t="s">
        <v>233</v>
      </c>
      <c r="Q2425" s="895">
        <v>1</v>
      </c>
      <c r="R2425" s="114"/>
      <c r="S2425" s="884"/>
      <c r="T2425" s="114"/>
      <c r="U2425" s="270"/>
      <c r="V2425" s="270"/>
      <c r="W2425" s="270"/>
      <c r="X2425" s="270"/>
      <c r="Y2425" s="114"/>
      <c r="Z2425" s="114"/>
      <c r="AA2425" s="270"/>
    </row>
    <row r="2426" spans="3:27" ht="15" thickBot="1" x14ac:dyDescent="0.35">
      <c r="C2426" s="501" t="s">
        <v>99</v>
      </c>
      <c r="D2426" s="116"/>
      <c r="E2426" s="116" t="s">
        <v>8</v>
      </c>
      <c r="F2426" s="116" t="s">
        <v>52</v>
      </c>
      <c r="G2426" s="450" t="str">
        <f t="shared" si="118"/>
        <v>Hotel D-Other-Other 1</v>
      </c>
      <c r="H2426" s="116"/>
      <c r="I2426" s="889" t="s">
        <v>66</v>
      </c>
      <c r="J2426" s="890">
        <f>SUMIFS('Level of Efficiency Assumptions'!J:J,'Level of Efficiency Assumptions'!D:D,E2426,'Level of Efficiency Assumptions'!F:F,F2426,'Level of Efficiency Assumptions'!I:I,I2426)</f>
        <v>5</v>
      </c>
      <c r="K2426" s="383" t="s">
        <v>588</v>
      </c>
      <c r="L2426" s="257" t="s">
        <v>66</v>
      </c>
      <c r="M2426" s="879">
        <f t="shared" si="119"/>
        <v>0</v>
      </c>
      <c r="N2426" s="880">
        <f>IFERROR(M2426/M2427,"-")</f>
        <v>0</v>
      </c>
      <c r="O2426" s="881">
        <f>SUMIFS('Data Entry'!T:T,'Data Entry'!K:K,G2426)</f>
        <v>0</v>
      </c>
      <c r="P2426" s="269" t="s">
        <v>234</v>
      </c>
      <c r="Q2426" s="895">
        <v>0</v>
      </c>
      <c r="R2426" s="114"/>
      <c r="S2426" s="884"/>
      <c r="T2426" s="270"/>
      <c r="U2426" s="270"/>
      <c r="V2426" s="270"/>
      <c r="W2426" s="270"/>
      <c r="X2426" s="270"/>
      <c r="Y2426" s="270"/>
      <c r="Z2426" s="270"/>
      <c r="AA2426" s="270"/>
    </row>
    <row r="2427" spans="3:27" x14ac:dyDescent="0.3">
      <c r="C2427" s="450"/>
      <c r="D2427" s="182"/>
      <c r="E2427" s="182"/>
      <c r="F2427" s="182"/>
      <c r="G2427" s="450" t="str">
        <f t="shared" si="118"/>
        <v>--</v>
      </c>
      <c r="H2427" s="182"/>
      <c r="I2427" s="440"/>
      <c r="J2427" s="892"/>
      <c r="K2427" s="259"/>
      <c r="L2427" s="259" t="s">
        <v>46</v>
      </c>
      <c r="M2427" s="893">
        <f>SUM(M2424:M2426)</f>
        <v>1</v>
      </c>
      <c r="N2427" s="894"/>
      <c r="O2427" s="894">
        <f>SUM(O2424:O2426)</f>
        <v>0</v>
      </c>
      <c r="P2427" s="263" t="s">
        <v>46</v>
      </c>
      <c r="Q2427" s="897">
        <f>SUM(Q2424:Q2426)</f>
        <v>1</v>
      </c>
      <c r="R2427" s="899"/>
      <c r="S2427" s="900"/>
      <c r="T2427" s="270"/>
      <c r="U2427" s="270"/>
      <c r="V2427" s="270"/>
      <c r="W2427" s="270"/>
      <c r="X2427" s="270"/>
      <c r="Y2427" s="270"/>
      <c r="Z2427" s="270"/>
      <c r="AA2427" s="270"/>
    </row>
    <row r="2428" spans="3:27" x14ac:dyDescent="0.3">
      <c r="C2428" s="450"/>
      <c r="D2428" s="182"/>
      <c r="E2428" s="182"/>
      <c r="F2428" s="182"/>
      <c r="G2428" s="450" t="str">
        <f t="shared" si="118"/>
        <v>--</v>
      </c>
      <c r="H2428" s="182"/>
      <c r="I2428" s="892"/>
      <c r="J2428" s="288"/>
      <c r="K2428" s="182"/>
      <c r="L2428" s="182"/>
      <c r="M2428" s="270"/>
      <c r="N2428" s="892"/>
      <c r="O2428" s="892"/>
      <c r="P2428" s="270"/>
      <c r="Q2428" s="270"/>
      <c r="R2428" s="270"/>
      <c r="S2428" s="270"/>
      <c r="T2428" s="270"/>
      <c r="U2428" s="270"/>
      <c r="V2428" s="270"/>
      <c r="W2428" s="270"/>
      <c r="X2428" s="270"/>
      <c r="Y2428" s="270"/>
      <c r="Z2428" s="270"/>
      <c r="AA2428" s="270"/>
    </row>
    <row r="2429" spans="3:27" ht="15" thickBot="1" x14ac:dyDescent="0.35">
      <c r="C2429" s="450"/>
      <c r="D2429" s="182"/>
      <c r="E2429" s="182"/>
      <c r="F2429" s="182"/>
      <c r="G2429" s="450" t="str">
        <f t="shared" si="118"/>
        <v>--</v>
      </c>
      <c r="H2429" s="182"/>
      <c r="I2429" s="892"/>
      <c r="J2429" s="892"/>
      <c r="K2429" s="182"/>
      <c r="L2429" s="182"/>
      <c r="M2429" s="901" t="s">
        <v>155</v>
      </c>
      <c r="N2429" s="870" t="s">
        <v>188</v>
      </c>
      <c r="O2429" s="870"/>
      <c r="P2429" s="276" t="s">
        <v>53</v>
      </c>
      <c r="Q2429" s="871" t="s">
        <v>155</v>
      </c>
      <c r="R2429" s="902"/>
      <c r="S2429" s="874"/>
      <c r="T2429" s="270"/>
      <c r="U2429" s="270"/>
      <c r="V2429" s="270"/>
      <c r="W2429" s="270"/>
      <c r="X2429" s="270"/>
      <c r="Y2429" s="270"/>
      <c r="Z2429" s="270"/>
      <c r="AA2429" s="270"/>
    </row>
    <row r="2430" spans="3:27" ht="15" thickBot="1" x14ac:dyDescent="0.35">
      <c r="C2430" s="566" t="s">
        <v>99</v>
      </c>
      <c r="D2430" s="875" t="str">
        <f>VLOOKUP(C2430,'Airport Mapping'!$C$5:$D$39,2,FALSE)</f>
        <v xml:space="preserve"> </v>
      </c>
      <c r="E2430" s="567" t="s">
        <v>8</v>
      </c>
      <c r="F2430" s="567" t="s">
        <v>53</v>
      </c>
      <c r="G2430" s="450" t="str">
        <f t="shared" si="118"/>
        <v>Hotel D-Other-Other 2</v>
      </c>
      <c r="H2430" s="567" t="s">
        <v>363</v>
      </c>
      <c r="I2430" s="877" t="s">
        <v>64</v>
      </c>
      <c r="J2430" s="878">
        <f>SUMIFS('Level of Efficiency Assumptions'!J:J,'Level of Efficiency Assumptions'!D:D,E2430,'Level of Efficiency Assumptions'!F:F,F2430,'Level of Efficiency Assumptions'!I:I,I2430)</f>
        <v>10</v>
      </c>
      <c r="K2430" s="383" t="s">
        <v>588</v>
      </c>
      <c r="L2430" s="253" t="s">
        <v>64</v>
      </c>
      <c r="M2430" s="879">
        <f>SUM(Q2430:Q2430)</f>
        <v>0</v>
      </c>
      <c r="N2430" s="880">
        <f>IFERROR(M2430/M2433,"-")</f>
        <v>0</v>
      </c>
      <c r="O2430" s="881">
        <f>SUMIFS('Data Entry'!R:R,'Data Entry'!K:K,G2430)</f>
        <v>0</v>
      </c>
      <c r="P2430" s="272" t="s">
        <v>129</v>
      </c>
      <c r="Q2430" s="895">
        <v>0</v>
      </c>
      <c r="R2430" s="114"/>
      <c r="S2430" s="884"/>
      <c r="T2430" s="270"/>
      <c r="U2430" s="270"/>
      <c r="V2430" s="270"/>
      <c r="W2430" s="270"/>
      <c r="X2430" s="270"/>
      <c r="Y2430" s="270"/>
      <c r="Z2430" s="270"/>
      <c r="AA2430" s="270"/>
    </row>
    <row r="2431" spans="3:27" ht="15" thickBot="1" x14ac:dyDescent="0.35">
      <c r="C2431" s="494" t="s">
        <v>99</v>
      </c>
      <c r="D2431" s="577"/>
      <c r="E2431" s="577" t="s">
        <v>8</v>
      </c>
      <c r="F2431" s="577" t="s">
        <v>53</v>
      </c>
      <c r="G2431" s="450" t="str">
        <f t="shared" si="118"/>
        <v>Hotel D-Other-Other 2</v>
      </c>
      <c r="H2431" s="577"/>
      <c r="I2431" s="887" t="s">
        <v>65</v>
      </c>
      <c r="J2431" s="878">
        <f>SUMIFS('Level of Efficiency Assumptions'!J:J,'Level of Efficiency Assumptions'!D:D,E2431,'Level of Efficiency Assumptions'!F:F,F2431,'Level of Efficiency Assumptions'!I:I,I2431)</f>
        <v>7.5</v>
      </c>
      <c r="K2431" s="383" t="s">
        <v>588</v>
      </c>
      <c r="L2431" s="255" t="s">
        <v>65</v>
      </c>
      <c r="M2431" s="879">
        <f t="shared" ref="M2431:M2432" si="120">SUM(Q2431:Q2431)</f>
        <v>1</v>
      </c>
      <c r="N2431" s="880">
        <f>IFERROR(M2431/M2433,"-")</f>
        <v>1</v>
      </c>
      <c r="O2431" s="881">
        <f>SUMIFS('Data Entry'!S:S,'Data Entry'!K:K,G2431)</f>
        <v>0</v>
      </c>
      <c r="P2431" s="274" t="s">
        <v>233</v>
      </c>
      <c r="Q2431" s="895">
        <v>1</v>
      </c>
      <c r="R2431" s="114"/>
      <c r="S2431" s="884"/>
      <c r="T2431" s="270"/>
      <c r="U2431" s="270"/>
      <c r="V2431" s="270"/>
      <c r="W2431" s="270"/>
      <c r="X2431" s="270"/>
      <c r="Y2431" s="270"/>
      <c r="Z2431" s="270"/>
      <c r="AA2431" s="270"/>
    </row>
    <row r="2432" spans="3:27" ht="15" thickBot="1" x14ac:dyDescent="0.35">
      <c r="C2432" s="501" t="s">
        <v>99</v>
      </c>
      <c r="D2432" s="116"/>
      <c r="E2432" s="116" t="s">
        <v>8</v>
      </c>
      <c r="F2432" s="116" t="s">
        <v>53</v>
      </c>
      <c r="G2432" s="450" t="str">
        <f t="shared" si="118"/>
        <v>Hotel D-Other-Other 2</v>
      </c>
      <c r="H2432" s="116"/>
      <c r="I2432" s="889" t="s">
        <v>66</v>
      </c>
      <c r="J2432" s="890">
        <f>SUMIFS('Level of Efficiency Assumptions'!J:J,'Level of Efficiency Assumptions'!D:D,E2432,'Level of Efficiency Assumptions'!F:F,F2432,'Level of Efficiency Assumptions'!I:I,I2432)</f>
        <v>5</v>
      </c>
      <c r="K2432" s="383" t="s">
        <v>588</v>
      </c>
      <c r="L2432" s="257" t="s">
        <v>66</v>
      </c>
      <c r="M2432" s="879">
        <f t="shared" si="120"/>
        <v>0</v>
      </c>
      <c r="N2432" s="880">
        <f>IFERROR(M2432/M2433,"-")</f>
        <v>0</v>
      </c>
      <c r="O2432" s="881">
        <f>SUMIFS('Data Entry'!T:T,'Data Entry'!K:K,G2432)</f>
        <v>0</v>
      </c>
      <c r="P2432" s="269" t="s">
        <v>234</v>
      </c>
      <c r="Q2432" s="895">
        <v>0</v>
      </c>
      <c r="R2432" s="114"/>
      <c r="S2432" s="884"/>
      <c r="T2432" s="270"/>
      <c r="U2432" s="270"/>
      <c r="V2432" s="270"/>
      <c r="W2432" s="270"/>
      <c r="X2432" s="270"/>
      <c r="Y2432" s="270"/>
      <c r="Z2432" s="270"/>
      <c r="AA2432" s="270"/>
    </row>
    <row r="2433" spans="3:27" x14ac:dyDescent="0.3">
      <c r="C2433" s="450"/>
      <c r="D2433" s="182"/>
      <c r="E2433" s="182"/>
      <c r="F2433" s="182"/>
      <c r="G2433" s="450" t="str">
        <f t="shared" si="118"/>
        <v>--</v>
      </c>
      <c r="H2433" s="182"/>
      <c r="I2433" s="440"/>
      <c r="J2433" s="892"/>
      <c r="K2433" s="259"/>
      <c r="L2433" s="259" t="s">
        <v>46</v>
      </c>
      <c r="M2433" s="893">
        <f>SUM(M2430:M2432)</f>
        <v>1</v>
      </c>
      <c r="N2433" s="894"/>
      <c r="O2433" s="894">
        <f>SUM(O2430:O2432)</f>
        <v>0</v>
      </c>
      <c r="P2433" s="263" t="s">
        <v>46</v>
      </c>
      <c r="Q2433" s="897">
        <f>SUM(Q2430:Q2432)</f>
        <v>1</v>
      </c>
      <c r="R2433" s="899"/>
      <c r="S2433" s="900"/>
      <c r="T2433" s="270"/>
      <c r="U2433" s="270"/>
      <c r="V2433" s="270"/>
      <c r="W2433" s="270"/>
      <c r="X2433" s="270"/>
      <c r="Y2433" s="270"/>
      <c r="Z2433" s="270"/>
      <c r="AA2433" s="270"/>
    </row>
    <row r="2434" spans="3:27" x14ac:dyDescent="0.3">
      <c r="C2434" s="450"/>
      <c r="D2434" s="182"/>
      <c r="E2434" s="182"/>
      <c r="F2434" s="182"/>
      <c r="G2434" s="450" t="str">
        <f t="shared" si="118"/>
        <v>--</v>
      </c>
      <c r="H2434" s="182"/>
      <c r="I2434" s="892"/>
      <c r="J2434" s="288"/>
      <c r="K2434" s="182"/>
      <c r="L2434" s="182"/>
      <c r="M2434" s="270"/>
      <c r="N2434" s="892"/>
      <c r="O2434" s="892"/>
      <c r="P2434" s="270"/>
      <c r="Q2434" s="270"/>
      <c r="R2434" s="270"/>
      <c r="S2434" s="270"/>
      <c r="T2434" s="270"/>
      <c r="U2434" s="270"/>
      <c r="V2434" s="270"/>
      <c r="W2434" s="270"/>
      <c r="X2434" s="270"/>
      <c r="Y2434" s="270"/>
      <c r="Z2434" s="270"/>
      <c r="AA2434" s="270"/>
    </row>
    <row r="2435" spans="3:27" ht="15" thickBot="1" x14ac:dyDescent="0.35">
      <c r="C2435" s="450"/>
      <c r="D2435" s="182"/>
      <c r="E2435" s="182"/>
      <c r="F2435" s="182"/>
      <c r="G2435" s="450" t="str">
        <f t="shared" si="118"/>
        <v>--</v>
      </c>
      <c r="H2435" s="182"/>
      <c r="I2435" s="892"/>
      <c r="J2435" s="892"/>
      <c r="K2435" s="182"/>
      <c r="L2435" s="182"/>
      <c r="M2435" s="901" t="s">
        <v>155</v>
      </c>
      <c r="N2435" s="870" t="s">
        <v>188</v>
      </c>
      <c r="O2435" s="870"/>
      <c r="P2435" s="276" t="s">
        <v>54</v>
      </c>
      <c r="Q2435" s="871" t="s">
        <v>155</v>
      </c>
      <c r="R2435" s="902"/>
      <c r="S2435" s="874"/>
      <c r="T2435" s="270"/>
      <c r="U2435" s="270"/>
      <c r="V2435" s="270"/>
      <c r="W2435" s="270"/>
      <c r="X2435" s="270"/>
      <c r="Y2435" s="270"/>
      <c r="Z2435" s="270"/>
      <c r="AA2435" s="270"/>
    </row>
    <row r="2436" spans="3:27" ht="15" thickBot="1" x14ac:dyDescent="0.35">
      <c r="C2436" s="566" t="s">
        <v>99</v>
      </c>
      <c r="D2436" s="875" t="str">
        <f>VLOOKUP(C2436,'Airport Mapping'!$C$5:$D$39,2,FALSE)</f>
        <v xml:space="preserve"> </v>
      </c>
      <c r="E2436" s="567" t="s">
        <v>8</v>
      </c>
      <c r="F2436" s="567" t="s">
        <v>54</v>
      </c>
      <c r="G2436" s="450" t="str">
        <f t="shared" si="118"/>
        <v>Hotel D-Other-Other 3</v>
      </c>
      <c r="H2436" s="567" t="s">
        <v>364</v>
      </c>
      <c r="I2436" s="877" t="s">
        <v>64</v>
      </c>
      <c r="J2436" s="878">
        <f>SUMIFS('Level of Efficiency Assumptions'!J:J,'Level of Efficiency Assumptions'!D:D,E2436,'Level of Efficiency Assumptions'!F:F,F2436,'Level of Efficiency Assumptions'!I:I,I2436)</f>
        <v>10</v>
      </c>
      <c r="K2436" s="383" t="s">
        <v>588</v>
      </c>
      <c r="L2436" s="253" t="s">
        <v>64</v>
      </c>
      <c r="M2436" s="879">
        <f>SUM(Q2436:Q2436)</f>
        <v>0</v>
      </c>
      <c r="N2436" s="880">
        <f>IFERROR(M2436/M2439,"-")</f>
        <v>0</v>
      </c>
      <c r="O2436" s="881">
        <f>SUMIFS('Data Entry'!R:R,'Data Entry'!K:K,G2436)</f>
        <v>0</v>
      </c>
      <c r="P2436" s="272" t="s">
        <v>129</v>
      </c>
      <c r="Q2436" s="895">
        <v>0</v>
      </c>
      <c r="R2436" s="114"/>
      <c r="S2436" s="884"/>
      <c r="T2436" s="270"/>
      <c r="U2436" s="270"/>
      <c r="V2436" s="270"/>
      <c r="W2436" s="270"/>
      <c r="X2436" s="270"/>
      <c r="Y2436" s="270"/>
      <c r="Z2436" s="270"/>
      <c r="AA2436" s="270"/>
    </row>
    <row r="2437" spans="3:27" ht="15" thickBot="1" x14ac:dyDescent="0.35">
      <c r="C2437" s="494" t="s">
        <v>99</v>
      </c>
      <c r="D2437" s="577"/>
      <c r="E2437" s="577" t="s">
        <v>8</v>
      </c>
      <c r="F2437" s="577" t="s">
        <v>54</v>
      </c>
      <c r="G2437" s="450" t="str">
        <f t="shared" si="118"/>
        <v>Hotel D-Other-Other 3</v>
      </c>
      <c r="H2437" s="577"/>
      <c r="I2437" s="887" t="s">
        <v>65</v>
      </c>
      <c r="J2437" s="878">
        <f>SUMIFS('Level of Efficiency Assumptions'!J:J,'Level of Efficiency Assumptions'!D:D,E2437,'Level of Efficiency Assumptions'!F:F,F2437,'Level of Efficiency Assumptions'!I:I,I2437)</f>
        <v>7.5</v>
      </c>
      <c r="K2437" s="383" t="s">
        <v>588</v>
      </c>
      <c r="L2437" s="255" t="s">
        <v>65</v>
      </c>
      <c r="M2437" s="879">
        <f t="shared" ref="M2437:M2438" si="121">SUM(Q2437:Q2437)</f>
        <v>1</v>
      </c>
      <c r="N2437" s="880">
        <f>IFERROR(M2437/M2439,"-")</f>
        <v>1</v>
      </c>
      <c r="O2437" s="881">
        <f>SUMIFS('Data Entry'!S:S,'Data Entry'!K:K,G2437)</f>
        <v>0</v>
      </c>
      <c r="P2437" s="274" t="s">
        <v>233</v>
      </c>
      <c r="Q2437" s="895">
        <v>1</v>
      </c>
      <c r="R2437" s="114"/>
      <c r="S2437" s="884"/>
      <c r="T2437" s="270"/>
      <c r="U2437" s="270"/>
      <c r="V2437" s="270"/>
      <c r="W2437" s="270"/>
      <c r="X2437" s="270"/>
      <c r="Y2437" s="270"/>
      <c r="Z2437" s="270"/>
      <c r="AA2437" s="270"/>
    </row>
    <row r="2438" spans="3:27" ht="15" thickBot="1" x14ac:dyDescent="0.35">
      <c r="C2438" s="501" t="s">
        <v>99</v>
      </c>
      <c r="D2438" s="116"/>
      <c r="E2438" s="116" t="s">
        <v>8</v>
      </c>
      <c r="F2438" s="116" t="s">
        <v>54</v>
      </c>
      <c r="G2438" s="450" t="str">
        <f t="shared" si="118"/>
        <v>Hotel D-Other-Other 3</v>
      </c>
      <c r="H2438" s="116"/>
      <c r="I2438" s="889" t="s">
        <v>66</v>
      </c>
      <c r="J2438" s="890">
        <f>SUMIFS('Level of Efficiency Assumptions'!J:J,'Level of Efficiency Assumptions'!D:D,E2438,'Level of Efficiency Assumptions'!F:F,F2438,'Level of Efficiency Assumptions'!I:I,I2438)</f>
        <v>5</v>
      </c>
      <c r="K2438" s="383" t="s">
        <v>588</v>
      </c>
      <c r="L2438" s="257" t="s">
        <v>66</v>
      </c>
      <c r="M2438" s="879">
        <f t="shared" si="121"/>
        <v>0</v>
      </c>
      <c r="N2438" s="880">
        <f>IFERROR(M2438/M2439,"-")</f>
        <v>0</v>
      </c>
      <c r="O2438" s="881">
        <f>SUMIFS('Data Entry'!T:T,'Data Entry'!K:K,G2438)</f>
        <v>0</v>
      </c>
      <c r="P2438" s="269" t="s">
        <v>234</v>
      </c>
      <c r="Q2438" s="895">
        <v>0</v>
      </c>
      <c r="R2438" s="114"/>
      <c r="S2438" s="884"/>
      <c r="T2438" s="270"/>
      <c r="U2438" s="270"/>
      <c r="V2438" s="270"/>
      <c r="W2438" s="270"/>
      <c r="X2438" s="270"/>
      <c r="Y2438" s="270"/>
      <c r="Z2438" s="270"/>
      <c r="AA2438" s="270"/>
    </row>
    <row r="2439" spans="3:27" x14ac:dyDescent="0.3">
      <c r="C2439" s="450"/>
      <c r="D2439" s="182"/>
      <c r="E2439" s="182"/>
      <c r="F2439" s="182"/>
      <c r="G2439" s="450" t="str">
        <f t="shared" si="118"/>
        <v>--</v>
      </c>
      <c r="H2439" s="182"/>
      <c r="I2439" s="440"/>
      <c r="J2439" s="892"/>
      <c r="K2439" s="259"/>
      <c r="L2439" s="259" t="s">
        <v>46</v>
      </c>
      <c r="M2439" s="893">
        <f>SUM(M2436:M2438)</f>
        <v>1</v>
      </c>
      <c r="N2439" s="894"/>
      <c r="O2439" s="894">
        <f>SUM(O2436:O2438)</f>
        <v>0</v>
      </c>
      <c r="P2439" s="263" t="s">
        <v>46</v>
      </c>
      <c r="Q2439" s="897">
        <f>SUM(Q2436:Q2438)</f>
        <v>1</v>
      </c>
      <c r="R2439" s="899"/>
      <c r="S2439" s="900"/>
      <c r="T2439" s="270"/>
      <c r="U2439" s="270"/>
      <c r="V2439" s="270"/>
      <c r="W2439" s="270"/>
      <c r="X2439" s="270"/>
      <c r="Y2439" s="270"/>
      <c r="Z2439" s="270"/>
      <c r="AA2439" s="270"/>
    </row>
    <row r="2440" spans="3:27" ht="15" thickBot="1" x14ac:dyDescent="0.35">
      <c r="C2440" s="451"/>
      <c r="D2440" s="184"/>
      <c r="E2440" s="184"/>
      <c r="F2440" s="184"/>
      <c r="G2440" s="450" t="str">
        <f t="shared" si="118"/>
        <v>--</v>
      </c>
      <c r="H2440" s="184"/>
      <c r="I2440" s="281"/>
      <c r="J2440" s="281"/>
      <c r="K2440" s="184"/>
      <c r="L2440" s="184"/>
      <c r="M2440" s="278"/>
      <c r="N2440" s="281"/>
      <c r="O2440" s="281"/>
      <c r="P2440" s="278"/>
      <c r="Q2440" s="278"/>
      <c r="R2440" s="278"/>
      <c r="S2440" s="278"/>
      <c r="T2440" s="278"/>
      <c r="U2440" s="278"/>
      <c r="V2440" s="278"/>
      <c r="W2440" s="278"/>
      <c r="X2440" s="270"/>
      <c r="Y2440" s="270"/>
      <c r="Z2440" s="270"/>
      <c r="AA2440" s="270"/>
    </row>
    <row r="2441" spans="3:27" x14ac:dyDescent="0.3">
      <c r="C2441" s="450"/>
      <c r="D2441" s="182"/>
      <c r="E2441" s="182"/>
      <c r="F2441" s="182"/>
      <c r="G2441" s="450" t="str">
        <f t="shared" si="118"/>
        <v>--</v>
      </c>
      <c r="H2441" s="182"/>
      <c r="I2441" s="892"/>
      <c r="J2441" s="892"/>
      <c r="K2441" s="182"/>
      <c r="L2441" s="182"/>
      <c r="M2441" s="270"/>
      <c r="N2441" s="892"/>
      <c r="O2441" s="892"/>
      <c r="P2441" s="270"/>
      <c r="Q2441" s="270"/>
      <c r="R2441" s="270"/>
      <c r="S2441" s="270"/>
      <c r="T2441" s="270"/>
      <c r="U2441" s="270"/>
      <c r="V2441" s="270"/>
      <c r="W2441" s="270"/>
      <c r="X2441" s="270"/>
      <c r="Y2441" s="270"/>
      <c r="Z2441" s="270"/>
      <c r="AA2441" s="270"/>
    </row>
    <row r="2442" spans="3:27" ht="15" thickBot="1" x14ac:dyDescent="0.35">
      <c r="C2442" s="450"/>
      <c r="D2442" s="182"/>
      <c r="E2442" s="182"/>
      <c r="F2442" s="182"/>
      <c r="G2442" s="450" t="str">
        <f t="shared" si="118"/>
        <v>--</v>
      </c>
      <c r="H2442" s="182"/>
      <c r="I2442" s="892"/>
      <c r="J2442" s="892"/>
      <c r="K2442" s="182"/>
      <c r="L2442" s="182"/>
      <c r="M2442" s="901" t="s">
        <v>155</v>
      </c>
      <c r="N2442" s="870" t="s">
        <v>188</v>
      </c>
      <c r="O2442" s="870"/>
      <c r="P2442" s="252" t="s">
        <v>158</v>
      </c>
      <c r="Q2442" s="871" t="s">
        <v>155</v>
      </c>
      <c r="R2442" s="872" t="s">
        <v>168</v>
      </c>
      <c r="S2442" s="872" t="s">
        <v>169</v>
      </c>
      <c r="T2442" s="873"/>
      <c r="U2442" s="874"/>
      <c r="V2442" s="270"/>
      <c r="W2442" s="270"/>
      <c r="X2442" s="270"/>
      <c r="Y2442" s="114"/>
      <c r="Z2442" s="270"/>
      <c r="AA2442" s="270"/>
    </row>
    <row r="2443" spans="3:27" ht="15" thickBot="1" x14ac:dyDescent="0.35">
      <c r="C2443" s="566" t="s">
        <v>100</v>
      </c>
      <c r="D2443" s="875" t="str">
        <f>VLOOKUP(C2443,'Airport Mapping'!$C$5:$D$39,2,FALSE)</f>
        <v xml:space="preserve"> </v>
      </c>
      <c r="E2443" s="567" t="s">
        <v>45</v>
      </c>
      <c r="F2443" s="567" t="s">
        <v>2</v>
      </c>
      <c r="G2443" s="450" t="str">
        <f t="shared" si="118"/>
        <v>Hotel E-Guestrooms-Toilets</v>
      </c>
      <c r="H2443" s="567" t="s">
        <v>17</v>
      </c>
      <c r="I2443" s="877" t="s">
        <v>64</v>
      </c>
      <c r="J2443" s="878">
        <f>SUMIFS('Level of Efficiency Assumptions'!J:J,'Level of Efficiency Assumptions'!D:D,E2443,'Level of Efficiency Assumptions'!F:F,F2443,'Level of Efficiency Assumptions'!I:I,I2443)</f>
        <v>3.5</v>
      </c>
      <c r="K2443" s="383" t="s">
        <v>68</v>
      </c>
      <c r="L2443" s="253" t="s">
        <v>64</v>
      </c>
      <c r="M2443" s="879">
        <f>Q2443+Q2449</f>
        <v>0</v>
      </c>
      <c r="N2443" s="880">
        <f>IFERROR(M2443/M2446,"-")</f>
        <v>0</v>
      </c>
      <c r="O2443" s="881">
        <f>SUMIFS('Data Entry'!R:R,'Data Entry'!K:K,G2443)</f>
        <v>0</v>
      </c>
      <c r="P2443" s="254" t="s">
        <v>159</v>
      </c>
      <c r="Q2443" s="882">
        <v>0</v>
      </c>
      <c r="R2443" s="883"/>
      <c r="S2443" s="883"/>
      <c r="T2443" s="114" t="s">
        <v>182</v>
      </c>
      <c r="U2443" s="884"/>
      <c r="V2443" s="270"/>
      <c r="W2443" s="270"/>
      <c r="X2443" s="270"/>
      <c r="Y2443" s="114"/>
      <c r="Z2443" s="270"/>
      <c r="AA2443" s="270"/>
    </row>
    <row r="2444" spans="3:27" ht="15" thickBot="1" x14ac:dyDescent="0.35">
      <c r="C2444" s="494" t="s">
        <v>100</v>
      </c>
      <c r="D2444" s="577"/>
      <c r="E2444" s="577" t="s">
        <v>45</v>
      </c>
      <c r="F2444" s="577" t="s">
        <v>2</v>
      </c>
      <c r="G2444" s="450" t="str">
        <f t="shared" si="118"/>
        <v>Hotel E-Guestrooms-Toilets</v>
      </c>
      <c r="H2444" s="577"/>
      <c r="I2444" s="887" t="s">
        <v>65</v>
      </c>
      <c r="J2444" s="878">
        <f>SUMIFS('Level of Efficiency Assumptions'!J:J,'Level of Efficiency Assumptions'!D:D,E2444,'Level of Efficiency Assumptions'!F:F,F2444,'Level of Efficiency Assumptions'!I:I,I2444)</f>
        <v>1.6</v>
      </c>
      <c r="K2444" s="383" t="s">
        <v>68</v>
      </c>
      <c r="L2444" s="255" t="s">
        <v>65</v>
      </c>
      <c r="M2444" s="879">
        <f>Q2444+Q2447+Q2450</f>
        <v>1</v>
      </c>
      <c r="N2444" s="880">
        <f>IFERROR(M2444/M2446,"-")</f>
        <v>1</v>
      </c>
      <c r="O2444" s="881">
        <f>SUMIFS('Data Entry'!S:S,'Data Entry'!K:K,G2444)</f>
        <v>0</v>
      </c>
      <c r="P2444" s="256" t="s">
        <v>161</v>
      </c>
      <c r="Q2444" s="882">
        <v>1</v>
      </c>
      <c r="R2444" s="883"/>
      <c r="S2444" s="883"/>
      <c r="T2444" s="114" t="s">
        <v>184</v>
      </c>
      <c r="U2444" s="884"/>
      <c r="V2444" s="270"/>
      <c r="W2444" s="270"/>
      <c r="X2444" s="270"/>
      <c r="Y2444" s="114"/>
      <c r="Z2444" s="270"/>
      <c r="AA2444" s="270"/>
    </row>
    <row r="2445" spans="3:27" ht="15" thickBot="1" x14ac:dyDescent="0.35">
      <c r="C2445" s="501" t="s">
        <v>100</v>
      </c>
      <c r="D2445" s="116"/>
      <c r="E2445" s="116" t="s">
        <v>45</v>
      </c>
      <c r="F2445" s="116" t="s">
        <v>2</v>
      </c>
      <c r="G2445" s="450" t="str">
        <f t="shared" si="118"/>
        <v>Hotel E-Guestrooms-Toilets</v>
      </c>
      <c r="H2445" s="116"/>
      <c r="I2445" s="889" t="s">
        <v>66</v>
      </c>
      <c r="J2445" s="890">
        <f>SUMIFS('Level of Efficiency Assumptions'!J:J,'Level of Efficiency Assumptions'!D:D,E2445,'Level of Efficiency Assumptions'!F:F,F2445,'Level of Efficiency Assumptions'!I:I,I2445)</f>
        <v>1.28</v>
      </c>
      <c r="K2445" s="383" t="s">
        <v>68</v>
      </c>
      <c r="L2445" s="257" t="s">
        <v>66</v>
      </c>
      <c r="M2445" s="879">
        <f>Q2445+Q2446+Q2448+Q2451+Q2452</f>
        <v>0</v>
      </c>
      <c r="N2445" s="880">
        <f>IFERROR(M2445/M2446,"-")</f>
        <v>0</v>
      </c>
      <c r="O2445" s="881">
        <f>SUMIFS('Data Entry'!T:T,'Data Entry'!K:K,G2445)</f>
        <v>0</v>
      </c>
      <c r="P2445" s="258" t="s">
        <v>163</v>
      </c>
      <c r="Q2445" s="882">
        <v>0</v>
      </c>
      <c r="R2445" s="883"/>
      <c r="S2445" s="883"/>
      <c r="T2445" s="891"/>
      <c r="U2445" s="884"/>
      <c r="V2445" s="270"/>
      <c r="W2445" s="270"/>
      <c r="X2445" s="270"/>
      <c r="Y2445" s="114"/>
      <c r="Z2445" s="270"/>
      <c r="AA2445" s="270"/>
    </row>
    <row r="2446" spans="3:27" x14ac:dyDescent="0.3">
      <c r="C2446" s="450"/>
      <c r="D2446" s="182"/>
      <c r="E2446" s="182"/>
      <c r="F2446" s="182"/>
      <c r="G2446" s="450" t="str">
        <f t="shared" si="118"/>
        <v>--</v>
      </c>
      <c r="H2446" s="182"/>
      <c r="I2446" s="440"/>
      <c r="J2446" s="892"/>
      <c r="K2446" s="259"/>
      <c r="L2446" s="259" t="s">
        <v>46</v>
      </c>
      <c r="M2446" s="893">
        <f>SUM(M2443:M2445)</f>
        <v>1</v>
      </c>
      <c r="N2446" s="894"/>
      <c r="O2446" s="894">
        <f>SUM(O2443:O2445)</f>
        <v>0</v>
      </c>
      <c r="P2446" s="258" t="s">
        <v>165</v>
      </c>
      <c r="Q2446" s="882">
        <v>0</v>
      </c>
      <c r="R2446" s="883"/>
      <c r="S2446" s="883"/>
      <c r="T2446" s="891"/>
      <c r="U2446" s="884"/>
      <c r="V2446" s="270"/>
      <c r="W2446" s="270"/>
      <c r="X2446" s="270"/>
      <c r="Y2446" s="114"/>
      <c r="Z2446" s="270"/>
      <c r="AA2446" s="270"/>
    </row>
    <row r="2447" spans="3:27" ht="15" thickBot="1" x14ac:dyDescent="0.35">
      <c r="C2447" s="450"/>
      <c r="D2447" s="182"/>
      <c r="E2447" s="182"/>
      <c r="F2447" s="182"/>
      <c r="G2447" s="450" t="str">
        <f t="shared" si="118"/>
        <v>--</v>
      </c>
      <c r="H2447" s="182"/>
      <c r="I2447" s="892"/>
      <c r="J2447" s="288"/>
      <c r="K2447" s="182"/>
      <c r="L2447" s="181"/>
      <c r="M2447" s="181"/>
      <c r="N2447" s="892"/>
      <c r="O2447" s="892"/>
      <c r="P2447" s="256" t="s">
        <v>166</v>
      </c>
      <c r="Q2447" s="895">
        <v>0</v>
      </c>
      <c r="R2447" s="883"/>
      <c r="S2447" s="883"/>
      <c r="T2447" s="891"/>
      <c r="U2447" s="896"/>
      <c r="V2447" s="891"/>
      <c r="W2447" s="270"/>
      <c r="X2447" s="270"/>
      <c r="Y2447" s="114"/>
      <c r="Z2447" s="270"/>
      <c r="AA2447" s="270"/>
    </row>
    <row r="2448" spans="3:27" x14ac:dyDescent="0.3">
      <c r="C2448" s="450"/>
      <c r="D2448" s="182"/>
      <c r="E2448" s="182"/>
      <c r="F2448" s="182"/>
      <c r="G2448" s="450" t="str">
        <f t="shared" si="118"/>
        <v>--</v>
      </c>
      <c r="H2448" s="182"/>
      <c r="I2448" s="892"/>
      <c r="J2448" s="288"/>
      <c r="K2448" s="182"/>
      <c r="L2448" s="1384" t="s">
        <v>377</v>
      </c>
      <c r="M2448" s="1385"/>
      <c r="N2448" s="1385"/>
      <c r="O2448" s="1386"/>
      <c r="P2448" s="258" t="s">
        <v>167</v>
      </c>
      <c r="Q2448" s="895">
        <v>0</v>
      </c>
      <c r="R2448" s="883"/>
      <c r="S2448" s="883"/>
      <c r="T2448" s="891"/>
      <c r="U2448" s="896"/>
      <c r="V2448" s="891"/>
      <c r="W2448" s="270"/>
      <c r="X2448" s="270"/>
      <c r="Y2448" s="270"/>
      <c r="Z2448" s="270"/>
      <c r="AA2448" s="270"/>
    </row>
    <row r="2449" spans="3:27" x14ac:dyDescent="0.3">
      <c r="C2449" s="450"/>
      <c r="D2449" s="182"/>
      <c r="E2449" s="182"/>
      <c r="F2449" s="182"/>
      <c r="G2449" s="450" t="str">
        <f t="shared" si="118"/>
        <v>--</v>
      </c>
      <c r="H2449" s="182"/>
      <c r="I2449" s="892"/>
      <c r="J2449" s="288"/>
      <c r="K2449" s="182"/>
      <c r="L2449" s="1387"/>
      <c r="M2449" s="1388"/>
      <c r="N2449" s="1388"/>
      <c r="O2449" s="1389"/>
      <c r="P2449" s="254" t="s">
        <v>160</v>
      </c>
      <c r="Q2449" s="895">
        <v>0</v>
      </c>
      <c r="R2449" s="891"/>
      <c r="S2449" s="891"/>
      <c r="T2449" s="891"/>
      <c r="U2449" s="896"/>
      <c r="V2449" s="891"/>
      <c r="W2449" s="270"/>
      <c r="X2449" s="270"/>
      <c r="Y2449" s="270"/>
      <c r="Z2449" s="270"/>
      <c r="AA2449" s="270"/>
    </row>
    <row r="2450" spans="3:27" x14ac:dyDescent="0.3">
      <c r="C2450" s="450"/>
      <c r="D2450" s="182"/>
      <c r="E2450" s="182"/>
      <c r="F2450" s="182"/>
      <c r="G2450" s="450" t="str">
        <f t="shared" si="118"/>
        <v>--</v>
      </c>
      <c r="H2450" s="182"/>
      <c r="I2450" s="892"/>
      <c r="J2450" s="288"/>
      <c r="K2450" s="182"/>
      <c r="L2450" s="1387"/>
      <c r="M2450" s="1388"/>
      <c r="N2450" s="1388"/>
      <c r="O2450" s="1389"/>
      <c r="P2450" s="256" t="s">
        <v>162</v>
      </c>
      <c r="Q2450" s="895">
        <v>0</v>
      </c>
      <c r="R2450" s="891"/>
      <c r="S2450" s="891"/>
      <c r="T2450" s="891"/>
      <c r="U2450" s="896"/>
      <c r="V2450" s="891"/>
      <c r="W2450" s="270"/>
      <c r="X2450" s="270"/>
      <c r="Y2450" s="270"/>
      <c r="Z2450" s="270"/>
      <c r="AA2450" s="270"/>
    </row>
    <row r="2451" spans="3:27" ht="15" thickBot="1" x14ac:dyDescent="0.35">
      <c r="C2451" s="450"/>
      <c r="D2451" s="182"/>
      <c r="E2451" s="182"/>
      <c r="F2451" s="182"/>
      <c r="G2451" s="450" t="str">
        <f t="shared" si="118"/>
        <v>--</v>
      </c>
      <c r="H2451" s="182"/>
      <c r="I2451" s="892"/>
      <c r="J2451" s="288"/>
      <c r="K2451" s="182"/>
      <c r="L2451" s="1390"/>
      <c r="M2451" s="1391"/>
      <c r="N2451" s="1391"/>
      <c r="O2451" s="1392"/>
      <c r="P2451" s="258" t="s">
        <v>164</v>
      </c>
      <c r="Q2451" s="895">
        <v>0</v>
      </c>
      <c r="R2451" s="114"/>
      <c r="S2451" s="891"/>
      <c r="T2451" s="114"/>
      <c r="U2451" s="884"/>
      <c r="V2451" s="114"/>
      <c r="W2451" s="270"/>
      <c r="X2451" s="270"/>
      <c r="Y2451" s="270"/>
      <c r="Z2451" s="270"/>
      <c r="AA2451" s="270"/>
    </row>
    <row r="2452" spans="3:27" x14ac:dyDescent="0.3">
      <c r="C2452" s="450"/>
      <c r="D2452" s="182"/>
      <c r="E2452" s="182"/>
      <c r="F2452" s="182"/>
      <c r="G2452" s="450" t="str">
        <f t="shared" si="118"/>
        <v>--</v>
      </c>
      <c r="H2452" s="182"/>
      <c r="I2452" s="892"/>
      <c r="J2452" s="288"/>
      <c r="K2452" s="182"/>
      <c r="L2452" s="181"/>
      <c r="M2452" s="181"/>
      <c r="N2452" s="892"/>
      <c r="O2452" s="892"/>
      <c r="P2452" s="258" t="s">
        <v>187</v>
      </c>
      <c r="Q2452" s="895">
        <v>0</v>
      </c>
      <c r="R2452" s="114"/>
      <c r="S2452" s="891"/>
      <c r="T2452" s="114"/>
      <c r="U2452" s="884"/>
      <c r="V2452" s="114"/>
      <c r="W2452" s="270"/>
      <c r="X2452" s="270"/>
      <c r="Y2452" s="270"/>
      <c r="Z2452" s="270"/>
      <c r="AA2452" s="270"/>
    </row>
    <row r="2453" spans="3:27" x14ac:dyDescent="0.3">
      <c r="C2453" s="450"/>
      <c r="D2453" s="182"/>
      <c r="E2453" s="182"/>
      <c r="F2453" s="182"/>
      <c r="G2453" s="450" t="str">
        <f t="shared" si="118"/>
        <v>--</v>
      </c>
      <c r="H2453" s="182"/>
      <c r="I2453" s="892"/>
      <c r="J2453" s="288"/>
      <c r="K2453" s="182"/>
      <c r="L2453" s="181"/>
      <c r="M2453" s="181"/>
      <c r="N2453" s="892"/>
      <c r="O2453" s="892"/>
      <c r="P2453" s="263" t="s">
        <v>46</v>
      </c>
      <c r="Q2453" s="897">
        <f>SUM(Q2443:Q2452)</f>
        <v>1</v>
      </c>
      <c r="R2453" s="898"/>
      <c r="S2453" s="898"/>
      <c r="T2453" s="899"/>
      <c r="U2453" s="900"/>
      <c r="V2453" s="114"/>
      <c r="W2453" s="270"/>
      <c r="X2453" s="270"/>
      <c r="Y2453" s="270"/>
      <c r="Z2453" s="270"/>
      <c r="AA2453" s="270"/>
    </row>
    <row r="2454" spans="3:27" x14ac:dyDescent="0.3">
      <c r="C2454" s="450"/>
      <c r="D2454" s="182"/>
      <c r="E2454" s="182"/>
      <c r="F2454" s="182"/>
      <c r="G2454" s="450" t="str">
        <f t="shared" si="118"/>
        <v>--</v>
      </c>
      <c r="H2454" s="182"/>
      <c r="I2454" s="892"/>
      <c r="J2454" s="288"/>
      <c r="K2454" s="182"/>
      <c r="L2454" s="181"/>
      <c r="M2454" s="181"/>
      <c r="N2454" s="892"/>
      <c r="O2454" s="892"/>
      <c r="P2454" s="114"/>
      <c r="Q2454" s="114"/>
      <c r="R2454" s="891"/>
      <c r="S2454" s="891"/>
      <c r="T2454" s="114"/>
      <c r="U2454" s="114"/>
      <c r="V2454" s="114"/>
      <c r="W2454" s="270"/>
      <c r="X2454" s="270"/>
      <c r="Y2454" s="270"/>
      <c r="Z2454" s="270"/>
      <c r="AA2454" s="270"/>
    </row>
    <row r="2455" spans="3:27" ht="15" thickBot="1" x14ac:dyDescent="0.35">
      <c r="C2455" s="450"/>
      <c r="D2455" s="182"/>
      <c r="E2455" s="182"/>
      <c r="F2455" s="182"/>
      <c r="G2455" s="450" t="str">
        <f t="shared" si="118"/>
        <v>--</v>
      </c>
      <c r="H2455" s="182"/>
      <c r="I2455" s="892"/>
      <c r="J2455" s="892"/>
      <c r="K2455" s="182"/>
      <c r="L2455" s="182"/>
      <c r="M2455" s="901" t="s">
        <v>155</v>
      </c>
      <c r="N2455" s="870" t="s">
        <v>188</v>
      </c>
      <c r="O2455" s="870"/>
      <c r="P2455" s="283" t="s">
        <v>18</v>
      </c>
      <c r="Q2455" s="871" t="s">
        <v>155</v>
      </c>
      <c r="R2455" s="872"/>
      <c r="S2455" s="872"/>
      <c r="T2455" s="902"/>
      <c r="U2455" s="903"/>
      <c r="V2455" s="270"/>
      <c r="W2455" s="270"/>
      <c r="X2455" s="270"/>
      <c r="Y2455" s="270"/>
      <c r="Z2455" s="270"/>
      <c r="AA2455" s="270"/>
    </row>
    <row r="2456" spans="3:27" ht="15" thickBot="1" x14ac:dyDescent="0.35">
      <c r="C2456" s="566" t="s">
        <v>100</v>
      </c>
      <c r="D2456" s="875" t="str">
        <f>VLOOKUP(C2456,'Airport Mapping'!$C$5:$D$39,2,FALSE)</f>
        <v xml:space="preserve"> </v>
      </c>
      <c r="E2456" s="567" t="s">
        <v>45</v>
      </c>
      <c r="F2456" s="567" t="s">
        <v>18</v>
      </c>
      <c r="G2456" s="450" t="str">
        <f t="shared" si="118"/>
        <v>Hotel E-Guestrooms-Showers</v>
      </c>
      <c r="H2456" s="567" t="s">
        <v>17</v>
      </c>
      <c r="I2456" s="877" t="s">
        <v>64</v>
      </c>
      <c r="J2456" s="878">
        <f>SUMIFS('Level of Efficiency Assumptions'!J:J,'Level of Efficiency Assumptions'!D:D,E2456,'Level of Efficiency Assumptions'!F:F,F2456,'Level of Efficiency Assumptions'!I:I,I2456)</f>
        <v>3</v>
      </c>
      <c r="K2456" s="383" t="s">
        <v>78</v>
      </c>
      <c r="L2456" s="253" t="s">
        <v>64</v>
      </c>
      <c r="M2456" s="879">
        <f>Q2456+Q2457</f>
        <v>0</v>
      </c>
      <c r="N2456" s="880">
        <f>IFERROR(M2456/M2459,"-")</f>
        <v>0</v>
      </c>
      <c r="O2456" s="881">
        <f>SUMIFS('Data Entry'!R:R,'Data Entry'!K:K,G2456)</f>
        <v>0</v>
      </c>
      <c r="P2456" s="254" t="s">
        <v>258</v>
      </c>
      <c r="Q2456" s="882">
        <v>0</v>
      </c>
      <c r="R2456" s="114"/>
      <c r="S2456" s="114"/>
      <c r="T2456" s="114"/>
      <c r="U2456" s="904"/>
      <c r="V2456" s="270"/>
      <c r="W2456" s="270"/>
      <c r="X2456" s="270"/>
      <c r="Y2456" s="270"/>
      <c r="Z2456" s="270"/>
      <c r="AA2456" s="270"/>
    </row>
    <row r="2457" spans="3:27" ht="15" thickBot="1" x14ac:dyDescent="0.35">
      <c r="C2457" s="494" t="s">
        <v>100</v>
      </c>
      <c r="D2457" s="577"/>
      <c r="E2457" s="577" t="s">
        <v>45</v>
      </c>
      <c r="F2457" s="577" t="s">
        <v>18</v>
      </c>
      <c r="G2457" s="450" t="str">
        <f t="shared" si="118"/>
        <v>Hotel E-Guestrooms-Showers</v>
      </c>
      <c r="H2457" s="577"/>
      <c r="I2457" s="887" t="s">
        <v>65</v>
      </c>
      <c r="J2457" s="878">
        <f>SUMIFS('Level of Efficiency Assumptions'!J:J,'Level of Efficiency Assumptions'!D:D,E2457,'Level of Efficiency Assumptions'!F:F,F2457,'Level of Efficiency Assumptions'!I:I,I2457)</f>
        <v>2</v>
      </c>
      <c r="K2457" s="383" t="s">
        <v>78</v>
      </c>
      <c r="L2457" s="255" t="s">
        <v>65</v>
      </c>
      <c r="M2457" s="879">
        <f>Q2458+Q2459</f>
        <v>1</v>
      </c>
      <c r="N2457" s="880">
        <f>IFERROR(M2457/M2459,"-")</f>
        <v>1</v>
      </c>
      <c r="O2457" s="881">
        <f>SUMIFS('Data Entry'!S:S,'Data Entry'!K:K,G2457)</f>
        <v>0</v>
      </c>
      <c r="P2457" s="272" t="s">
        <v>262</v>
      </c>
      <c r="Q2457" s="882">
        <v>0</v>
      </c>
      <c r="R2457" s="114"/>
      <c r="S2457" s="114"/>
      <c r="T2457" s="114"/>
      <c r="U2457" s="904"/>
      <c r="V2457" s="270"/>
      <c r="W2457" s="270"/>
      <c r="X2457" s="270"/>
      <c r="Y2457" s="270"/>
      <c r="Z2457" s="270"/>
      <c r="AA2457" s="270"/>
    </row>
    <row r="2458" spans="3:27" ht="15" thickBot="1" x14ac:dyDescent="0.35">
      <c r="C2458" s="501" t="s">
        <v>100</v>
      </c>
      <c r="D2458" s="116"/>
      <c r="E2458" s="116" t="s">
        <v>45</v>
      </c>
      <c r="F2458" s="116" t="s">
        <v>18</v>
      </c>
      <c r="G2458" s="450" t="str">
        <f t="shared" si="118"/>
        <v>Hotel E-Guestrooms-Showers</v>
      </c>
      <c r="H2458" s="116"/>
      <c r="I2458" s="889" t="s">
        <v>66</v>
      </c>
      <c r="J2458" s="890">
        <f>SUMIFS('Level of Efficiency Assumptions'!J:J,'Level of Efficiency Assumptions'!D:D,E2458,'Level of Efficiency Assumptions'!F:F,F2458,'Level of Efficiency Assumptions'!I:I,I2458)</f>
        <v>1</v>
      </c>
      <c r="K2458" s="383" t="s">
        <v>78</v>
      </c>
      <c r="L2458" s="257" t="s">
        <v>66</v>
      </c>
      <c r="M2458" s="879">
        <f>Q2460+Q2461</f>
        <v>0</v>
      </c>
      <c r="N2458" s="880">
        <f>IFERROR(M2458/M2459,"-")</f>
        <v>0</v>
      </c>
      <c r="O2458" s="881">
        <f>SUMIFS('Data Entry'!T:T,'Data Entry'!K:K,G2458)</f>
        <v>0</v>
      </c>
      <c r="P2458" s="267" t="s">
        <v>263</v>
      </c>
      <c r="Q2458" s="882">
        <v>0</v>
      </c>
      <c r="R2458" s="114"/>
      <c r="S2458" s="114"/>
      <c r="T2458" s="114"/>
      <c r="U2458" s="904"/>
      <c r="V2458" s="270"/>
      <c r="W2458" s="270"/>
      <c r="X2458" s="270"/>
      <c r="Y2458" s="270"/>
      <c r="Z2458" s="270"/>
      <c r="AA2458" s="270"/>
    </row>
    <row r="2459" spans="3:27" x14ac:dyDescent="0.3">
      <c r="C2459" s="450"/>
      <c r="D2459" s="182"/>
      <c r="E2459" s="182"/>
      <c r="F2459" s="182"/>
      <c r="G2459" s="450" t="str">
        <f t="shared" si="118"/>
        <v>--</v>
      </c>
      <c r="H2459" s="182"/>
      <c r="I2459" s="440"/>
      <c r="J2459" s="892"/>
      <c r="K2459" s="259"/>
      <c r="L2459" s="259" t="s">
        <v>46</v>
      </c>
      <c r="M2459" s="893">
        <f>SUM(M2456:M2458)</f>
        <v>1</v>
      </c>
      <c r="N2459" s="894"/>
      <c r="O2459" s="894">
        <f>SUM(O2456:O2458)</f>
        <v>0</v>
      </c>
      <c r="P2459" s="274" t="s">
        <v>261</v>
      </c>
      <c r="Q2459" s="882">
        <v>1</v>
      </c>
      <c r="R2459" s="114"/>
      <c r="S2459" s="114"/>
      <c r="T2459" s="114"/>
      <c r="U2459" s="264"/>
      <c r="V2459" s="270"/>
      <c r="W2459" s="270"/>
      <c r="X2459" s="270"/>
      <c r="Y2459" s="270"/>
      <c r="Z2459" s="270"/>
      <c r="AA2459" s="270"/>
    </row>
    <row r="2460" spans="3:27" x14ac:dyDescent="0.3">
      <c r="C2460" s="450"/>
      <c r="D2460" s="182"/>
      <c r="E2460" s="182"/>
      <c r="F2460" s="182"/>
      <c r="G2460" s="450" t="str">
        <f t="shared" si="118"/>
        <v>--</v>
      </c>
      <c r="H2460" s="182"/>
      <c r="I2460" s="892"/>
      <c r="J2460" s="288"/>
      <c r="K2460" s="182"/>
      <c r="L2460" s="181"/>
      <c r="M2460" s="181"/>
      <c r="N2460" s="892"/>
      <c r="O2460" s="892"/>
      <c r="P2460" s="284" t="s">
        <v>260</v>
      </c>
      <c r="Q2460" s="882">
        <v>0</v>
      </c>
      <c r="R2460" s="114"/>
      <c r="S2460" s="114"/>
      <c r="T2460" s="114"/>
      <c r="U2460" s="884"/>
      <c r="V2460" s="114"/>
      <c r="W2460" s="270"/>
      <c r="X2460" s="270"/>
      <c r="Y2460" s="270"/>
      <c r="Z2460" s="270"/>
      <c r="AA2460" s="270"/>
    </row>
    <row r="2461" spans="3:27" x14ac:dyDescent="0.3">
      <c r="C2461" s="450"/>
      <c r="D2461" s="182"/>
      <c r="E2461" s="182"/>
      <c r="F2461" s="182"/>
      <c r="G2461" s="450" t="str">
        <f t="shared" si="118"/>
        <v>--</v>
      </c>
      <c r="H2461" s="182"/>
      <c r="I2461" s="892"/>
      <c r="J2461" s="288"/>
      <c r="K2461" s="182"/>
      <c r="L2461" s="181"/>
      <c r="M2461" s="181"/>
      <c r="N2461" s="892"/>
      <c r="O2461" s="892"/>
      <c r="P2461" s="258" t="s">
        <v>259</v>
      </c>
      <c r="Q2461" s="882">
        <v>0</v>
      </c>
      <c r="R2461" s="114"/>
      <c r="S2461" s="114"/>
      <c r="T2461" s="114"/>
      <c r="U2461" s="884"/>
      <c r="V2461" s="114"/>
      <c r="W2461" s="270"/>
      <c r="X2461" s="270"/>
      <c r="Y2461" s="270"/>
      <c r="Z2461" s="270"/>
      <c r="AA2461" s="270"/>
    </row>
    <row r="2462" spans="3:27" x14ac:dyDescent="0.3">
      <c r="C2462" s="450"/>
      <c r="D2462" s="182"/>
      <c r="E2462" s="182"/>
      <c r="F2462" s="182"/>
      <c r="G2462" s="450" t="str">
        <f t="shared" si="118"/>
        <v>--</v>
      </c>
      <c r="H2462" s="182"/>
      <c r="I2462" s="892"/>
      <c r="J2462" s="288"/>
      <c r="K2462" s="182"/>
      <c r="L2462" s="181"/>
      <c r="M2462" s="181"/>
      <c r="N2462" s="892"/>
      <c r="O2462" s="892"/>
      <c r="P2462" s="263" t="s">
        <v>46</v>
      </c>
      <c r="Q2462" s="897">
        <f>SUM(Q2456:Q2461)</f>
        <v>1</v>
      </c>
      <c r="R2462" s="899"/>
      <c r="S2462" s="899"/>
      <c r="T2462" s="899"/>
      <c r="U2462" s="900"/>
      <c r="V2462" s="114"/>
      <c r="W2462" s="270"/>
      <c r="X2462" s="270"/>
      <c r="Y2462" s="270"/>
      <c r="Z2462" s="270"/>
      <c r="AA2462" s="270"/>
    </row>
    <row r="2463" spans="3:27" x14ac:dyDescent="0.3">
      <c r="C2463" s="450"/>
      <c r="D2463" s="182"/>
      <c r="E2463" s="182"/>
      <c r="F2463" s="182"/>
      <c r="G2463" s="450" t="str">
        <f t="shared" si="118"/>
        <v>--</v>
      </c>
      <c r="H2463" s="182"/>
      <c r="I2463" s="892"/>
      <c r="J2463" s="288"/>
      <c r="K2463" s="182"/>
      <c r="L2463" s="181"/>
      <c r="M2463" s="181"/>
      <c r="N2463" s="892"/>
      <c r="O2463" s="892"/>
      <c r="P2463" s="262"/>
      <c r="Q2463" s="114"/>
      <c r="R2463" s="114"/>
      <c r="S2463" s="114"/>
      <c r="T2463" s="114"/>
      <c r="U2463" s="114"/>
      <c r="V2463" s="114"/>
      <c r="W2463" s="270"/>
      <c r="X2463" s="270"/>
      <c r="Y2463" s="270"/>
      <c r="Z2463" s="270"/>
      <c r="AA2463" s="270"/>
    </row>
    <row r="2464" spans="3:27" ht="15" thickBot="1" x14ac:dyDescent="0.35">
      <c r="C2464" s="450"/>
      <c r="D2464" s="182"/>
      <c r="E2464" s="182"/>
      <c r="F2464" s="182"/>
      <c r="G2464" s="450" t="str">
        <f t="shared" si="118"/>
        <v>--</v>
      </c>
      <c r="H2464" s="182"/>
      <c r="I2464" s="892"/>
      <c r="J2464" s="892"/>
      <c r="K2464" s="182"/>
      <c r="L2464" s="182"/>
      <c r="M2464" s="901" t="s">
        <v>155</v>
      </c>
      <c r="N2464" s="870" t="s">
        <v>188</v>
      </c>
      <c r="O2464" s="870"/>
      <c r="P2464" s="265" t="s">
        <v>33</v>
      </c>
      <c r="Q2464" s="871" t="s">
        <v>155</v>
      </c>
      <c r="R2464" s="872" t="s">
        <v>168</v>
      </c>
      <c r="S2464" s="872" t="s">
        <v>169</v>
      </c>
      <c r="T2464" s="872" t="s">
        <v>170</v>
      </c>
      <c r="U2464" s="872" t="s">
        <v>171</v>
      </c>
      <c r="V2464" s="902"/>
      <c r="W2464" s="902"/>
      <c r="X2464" s="874"/>
      <c r="Y2464" s="270"/>
      <c r="Z2464" s="270"/>
      <c r="AA2464" s="270"/>
    </row>
    <row r="2465" spans="3:27" ht="15" thickBot="1" x14ac:dyDescent="0.35">
      <c r="C2465" s="566" t="s">
        <v>100</v>
      </c>
      <c r="D2465" s="875" t="str">
        <f>VLOOKUP(C2465,'Airport Mapping'!$C$5:$D$39,2,FALSE)</f>
        <v xml:space="preserve"> </v>
      </c>
      <c r="E2465" s="567" t="s">
        <v>45</v>
      </c>
      <c r="F2465" s="567" t="s">
        <v>33</v>
      </c>
      <c r="G2465" s="450" t="str">
        <f t="shared" si="118"/>
        <v>Hotel E-Guestrooms-Faucets</v>
      </c>
      <c r="H2465" s="567" t="s">
        <v>17</v>
      </c>
      <c r="I2465" s="877" t="s">
        <v>64</v>
      </c>
      <c r="J2465" s="878">
        <f>SUMIFS('Level of Efficiency Assumptions'!J:J,'Level of Efficiency Assumptions'!D:D,E2465,'Level of Efficiency Assumptions'!F:F,F2465,'Level of Efficiency Assumptions'!I:I,I2465)</f>
        <v>2</v>
      </c>
      <c r="K2465" s="383" t="s">
        <v>78</v>
      </c>
      <c r="L2465" s="253" t="s">
        <v>64</v>
      </c>
      <c r="M2465" s="879">
        <f>Q2465+Q2466</f>
        <v>0</v>
      </c>
      <c r="N2465" s="880">
        <f>IFERROR(M2465/M2468,"-")</f>
        <v>0</v>
      </c>
      <c r="O2465" s="881">
        <f>SUMIFS('Data Entry'!R:R,'Data Entry'!K:K,G2465)</f>
        <v>0</v>
      </c>
      <c r="P2465" s="266" t="s">
        <v>180</v>
      </c>
      <c r="Q2465" s="895">
        <v>0</v>
      </c>
      <c r="R2465" s="883"/>
      <c r="S2465" s="883"/>
      <c r="T2465" s="883"/>
      <c r="U2465" s="883"/>
      <c r="V2465" s="114" t="s">
        <v>182</v>
      </c>
      <c r="W2465" s="114"/>
      <c r="X2465" s="884"/>
      <c r="Y2465" s="270"/>
      <c r="Z2465" s="270"/>
      <c r="AA2465" s="270"/>
    </row>
    <row r="2466" spans="3:27" ht="15" thickBot="1" x14ac:dyDescent="0.35">
      <c r="C2466" s="494" t="s">
        <v>100</v>
      </c>
      <c r="D2466" s="577"/>
      <c r="E2466" s="577" t="s">
        <v>45</v>
      </c>
      <c r="F2466" s="577" t="s">
        <v>33</v>
      </c>
      <c r="G2466" s="450" t="str">
        <f t="shared" si="118"/>
        <v>Hotel E-Guestrooms-Faucets</v>
      </c>
      <c r="H2466" s="577"/>
      <c r="I2466" s="887" t="s">
        <v>65</v>
      </c>
      <c r="J2466" s="878">
        <f>SUMIFS('Level of Efficiency Assumptions'!J:J,'Level of Efficiency Assumptions'!D:D,E2466,'Level of Efficiency Assumptions'!F:F,F2466,'Level of Efficiency Assumptions'!I:I,I2466)</f>
        <v>1</v>
      </c>
      <c r="K2466" s="383" t="s">
        <v>78</v>
      </c>
      <c r="L2466" s="255" t="s">
        <v>65</v>
      </c>
      <c r="M2466" s="879">
        <f>Q2467+Q2468</f>
        <v>1</v>
      </c>
      <c r="N2466" s="880">
        <f>IFERROR(M2466/M2468,"-")</f>
        <v>1</v>
      </c>
      <c r="O2466" s="881">
        <f>SUMIFS('Data Entry'!S:S,'Data Entry'!K:K,G2466)</f>
        <v>0</v>
      </c>
      <c r="P2466" s="266" t="s">
        <v>178</v>
      </c>
      <c r="Q2466" s="895">
        <v>0</v>
      </c>
      <c r="R2466" s="883"/>
      <c r="S2466" s="883"/>
      <c r="T2466" s="883"/>
      <c r="U2466" s="883"/>
      <c r="V2466" s="114" t="s">
        <v>184</v>
      </c>
      <c r="W2466" s="114"/>
      <c r="X2466" s="884"/>
      <c r="Y2466" s="270"/>
      <c r="Z2466" s="270"/>
      <c r="AA2466" s="270"/>
    </row>
    <row r="2467" spans="3:27" ht="15" thickBot="1" x14ac:dyDescent="0.35">
      <c r="C2467" s="501" t="s">
        <v>100</v>
      </c>
      <c r="D2467" s="116"/>
      <c r="E2467" s="116" t="s">
        <v>45</v>
      </c>
      <c r="F2467" s="116" t="s">
        <v>33</v>
      </c>
      <c r="G2467" s="450" t="str">
        <f t="shared" si="118"/>
        <v>Hotel E-Guestrooms-Faucets</v>
      </c>
      <c r="H2467" s="116"/>
      <c r="I2467" s="889" t="s">
        <v>66</v>
      </c>
      <c r="J2467" s="890">
        <f>SUMIFS('Level of Efficiency Assumptions'!J:J,'Level of Efficiency Assumptions'!D:D,E2467,'Level of Efficiency Assumptions'!F:F,F2467,'Level of Efficiency Assumptions'!I:I,I2467)</f>
        <v>0.5</v>
      </c>
      <c r="K2467" s="383" t="s">
        <v>78</v>
      </c>
      <c r="L2467" s="257" t="s">
        <v>66</v>
      </c>
      <c r="M2467" s="879">
        <f>Q2469</f>
        <v>0</v>
      </c>
      <c r="N2467" s="880">
        <f>IFERROR(M2467/M2468,"-")</f>
        <v>0</v>
      </c>
      <c r="O2467" s="881">
        <f>SUMIFS('Data Entry'!T:T,'Data Entry'!K:K,G2467)</f>
        <v>0</v>
      </c>
      <c r="P2467" s="267" t="s">
        <v>176</v>
      </c>
      <c r="Q2467" s="895">
        <v>1</v>
      </c>
      <c r="R2467" s="883"/>
      <c r="S2467" s="883"/>
      <c r="T2467" s="883"/>
      <c r="U2467" s="883"/>
      <c r="V2467" s="114" t="s">
        <v>185</v>
      </c>
      <c r="W2467" s="114"/>
      <c r="X2467" s="884"/>
      <c r="Y2467" s="270"/>
      <c r="Z2467" s="270"/>
      <c r="AA2467" s="270"/>
    </row>
    <row r="2468" spans="3:27" x14ac:dyDescent="0.3">
      <c r="C2468" s="450"/>
      <c r="D2468" s="182"/>
      <c r="E2468" s="182"/>
      <c r="F2468" s="182"/>
      <c r="G2468" s="450" t="str">
        <f t="shared" si="118"/>
        <v>--</v>
      </c>
      <c r="H2468" s="182"/>
      <c r="I2468" s="440"/>
      <c r="J2468" s="892"/>
      <c r="K2468" s="259"/>
      <c r="L2468" s="259" t="s">
        <v>46</v>
      </c>
      <c r="M2468" s="893">
        <f>SUM(M2465:M2467)</f>
        <v>1</v>
      </c>
      <c r="N2468" s="894"/>
      <c r="O2468" s="894">
        <f>SUM(O2465:O2467)</f>
        <v>0</v>
      </c>
      <c r="P2468" s="256" t="s">
        <v>173</v>
      </c>
      <c r="Q2468" s="895">
        <v>0</v>
      </c>
      <c r="R2468" s="883"/>
      <c r="S2468" s="883"/>
      <c r="T2468" s="883"/>
      <c r="U2468" s="883"/>
      <c r="V2468" s="114" t="s">
        <v>186</v>
      </c>
      <c r="W2468" s="114"/>
      <c r="X2468" s="884"/>
      <c r="Y2468" s="270"/>
      <c r="Z2468" s="270"/>
      <c r="AA2468" s="270"/>
    </row>
    <row r="2469" spans="3:27" x14ac:dyDescent="0.3">
      <c r="C2469" s="450"/>
      <c r="D2469" s="182"/>
      <c r="E2469" s="182"/>
      <c r="F2469" s="182"/>
      <c r="G2469" s="450" t="str">
        <f t="shared" si="118"/>
        <v>--</v>
      </c>
      <c r="H2469" s="182"/>
      <c r="I2469" s="892"/>
      <c r="J2469" s="288"/>
      <c r="K2469" s="182"/>
      <c r="L2469" s="114"/>
      <c r="M2469" s="114"/>
      <c r="N2469" s="905"/>
      <c r="O2469" s="905"/>
      <c r="P2469" s="258" t="s">
        <v>172</v>
      </c>
      <c r="Q2469" s="895">
        <v>0</v>
      </c>
      <c r="R2469" s="883"/>
      <c r="S2469" s="883"/>
      <c r="T2469" s="883"/>
      <c r="U2469" s="883"/>
      <c r="V2469" s="114"/>
      <c r="W2469" s="114"/>
      <c r="X2469" s="884"/>
      <c r="Y2469" s="270"/>
      <c r="Z2469" s="270"/>
      <c r="AA2469" s="270"/>
    </row>
    <row r="2470" spans="3:27" x14ac:dyDescent="0.3">
      <c r="C2470" s="450"/>
      <c r="D2470" s="182"/>
      <c r="E2470" s="182"/>
      <c r="F2470" s="182"/>
      <c r="G2470" s="450" t="str">
        <f t="shared" si="118"/>
        <v>--</v>
      </c>
      <c r="H2470" s="182"/>
      <c r="I2470" s="892"/>
      <c r="J2470" s="288"/>
      <c r="K2470" s="182"/>
      <c r="L2470" s="181"/>
      <c r="M2470" s="181"/>
      <c r="N2470" s="892"/>
      <c r="O2470" s="892"/>
      <c r="P2470" s="263" t="s">
        <v>46</v>
      </c>
      <c r="Q2470" s="897">
        <f>SUM(Q2464:Q2469)</f>
        <v>1</v>
      </c>
      <c r="R2470" s="899"/>
      <c r="S2470" s="899"/>
      <c r="T2470" s="899"/>
      <c r="U2470" s="899"/>
      <c r="V2470" s="899"/>
      <c r="W2470" s="899"/>
      <c r="X2470" s="900"/>
      <c r="Y2470" s="270"/>
      <c r="Z2470" s="270"/>
      <c r="AA2470" s="270"/>
    </row>
    <row r="2471" spans="3:27" x14ac:dyDescent="0.3">
      <c r="C2471" s="450"/>
      <c r="D2471" s="182"/>
      <c r="E2471" s="182"/>
      <c r="F2471" s="182"/>
      <c r="G2471" s="450" t="str">
        <f t="shared" si="118"/>
        <v>--</v>
      </c>
      <c r="H2471" s="182"/>
      <c r="I2471" s="892"/>
      <c r="J2471" s="288"/>
      <c r="K2471" s="182"/>
      <c r="L2471" s="181"/>
      <c r="M2471" s="181"/>
      <c r="N2471" s="892"/>
      <c r="O2471" s="892"/>
      <c r="P2471" s="262"/>
      <c r="Q2471" s="114"/>
      <c r="R2471" s="114"/>
      <c r="S2471" s="114"/>
      <c r="T2471" s="114"/>
      <c r="U2471" s="114"/>
      <c r="V2471" s="114"/>
      <c r="W2471" s="270"/>
      <c r="X2471" s="270"/>
      <c r="Y2471" s="270"/>
      <c r="Z2471" s="270"/>
      <c r="AA2471" s="270"/>
    </row>
    <row r="2472" spans="3:27" ht="15" thickBot="1" x14ac:dyDescent="0.35">
      <c r="C2472" s="450"/>
      <c r="D2472" s="182"/>
      <c r="E2472" s="182"/>
      <c r="F2472" s="182"/>
      <c r="G2472" s="450" t="str">
        <f t="shared" si="118"/>
        <v>--</v>
      </c>
      <c r="H2472" s="182"/>
      <c r="I2472" s="892"/>
      <c r="J2472" s="892"/>
      <c r="K2472" s="182"/>
      <c r="L2472" s="182"/>
      <c r="M2472" s="901" t="s">
        <v>155</v>
      </c>
      <c r="N2472" s="870" t="s">
        <v>188</v>
      </c>
      <c r="O2472" s="870"/>
      <c r="P2472" s="265" t="s">
        <v>33</v>
      </c>
      <c r="Q2472" s="871" t="s">
        <v>155</v>
      </c>
      <c r="R2472" s="872" t="s">
        <v>168</v>
      </c>
      <c r="S2472" s="872" t="s">
        <v>169</v>
      </c>
      <c r="T2472" s="872" t="s">
        <v>170</v>
      </c>
      <c r="U2472" s="872" t="s">
        <v>171</v>
      </c>
      <c r="V2472" s="902"/>
      <c r="W2472" s="902"/>
      <c r="X2472" s="874"/>
      <c r="Y2472" s="270"/>
      <c r="Z2472" s="270"/>
      <c r="AA2472" s="270"/>
    </row>
    <row r="2473" spans="3:27" ht="15" thickBot="1" x14ac:dyDescent="0.35">
      <c r="C2473" s="566" t="s">
        <v>100</v>
      </c>
      <c r="D2473" s="875" t="str">
        <f>VLOOKUP(C2473,'Airport Mapping'!$C$5:$D$39,2,FALSE)</f>
        <v xml:space="preserve"> </v>
      </c>
      <c r="E2473" s="567" t="s">
        <v>38</v>
      </c>
      <c r="F2473" s="567" t="s">
        <v>114</v>
      </c>
      <c r="G2473" s="450" t="str">
        <f t="shared" si="118"/>
        <v>Hotel E-Food Service-Kitchen faucets</v>
      </c>
      <c r="H2473" s="567" t="s">
        <v>118</v>
      </c>
      <c r="I2473" s="877" t="s">
        <v>64</v>
      </c>
      <c r="J2473" s="878">
        <f>SUMIFS('Level of Efficiency Assumptions'!J:J,'Level of Efficiency Assumptions'!D:D,E2473,'Level of Efficiency Assumptions'!F:F,F2473,'Level of Efficiency Assumptions'!I:I,I2473)</f>
        <v>2</v>
      </c>
      <c r="K2473" s="383" t="s">
        <v>78</v>
      </c>
      <c r="L2473" s="253" t="s">
        <v>64</v>
      </c>
      <c r="M2473" s="879">
        <f>Q2473+Q2474</f>
        <v>0</v>
      </c>
      <c r="N2473" s="880">
        <f>IFERROR(M2473/M2476,"-")</f>
        <v>0</v>
      </c>
      <c r="O2473" s="881">
        <f>SUMIFS('Data Entry'!R:R,'Data Entry'!K:K,G2473)</f>
        <v>0</v>
      </c>
      <c r="P2473" s="266" t="s">
        <v>180</v>
      </c>
      <c r="Q2473" s="895">
        <v>0</v>
      </c>
      <c r="R2473" s="883"/>
      <c r="S2473" s="883"/>
      <c r="T2473" s="883"/>
      <c r="U2473" s="883"/>
      <c r="V2473" s="114" t="s">
        <v>182</v>
      </c>
      <c r="W2473" s="114"/>
      <c r="X2473" s="884"/>
      <c r="Y2473" s="270"/>
      <c r="Z2473" s="270"/>
      <c r="AA2473" s="270"/>
    </row>
    <row r="2474" spans="3:27" ht="15" thickBot="1" x14ac:dyDescent="0.35">
      <c r="C2474" s="494" t="s">
        <v>100</v>
      </c>
      <c r="D2474" s="577"/>
      <c r="E2474" s="577" t="s">
        <v>38</v>
      </c>
      <c r="F2474" s="577" t="s">
        <v>114</v>
      </c>
      <c r="G2474" s="450" t="str">
        <f t="shared" si="118"/>
        <v>Hotel E-Food Service-Kitchen faucets</v>
      </c>
      <c r="H2474" s="577"/>
      <c r="I2474" s="887" t="s">
        <v>65</v>
      </c>
      <c r="J2474" s="878">
        <f>SUMIFS('Level of Efficiency Assumptions'!J:J,'Level of Efficiency Assumptions'!D:D,E2474,'Level of Efficiency Assumptions'!F:F,F2474,'Level of Efficiency Assumptions'!I:I,I2474)</f>
        <v>1</v>
      </c>
      <c r="K2474" s="383" t="s">
        <v>78</v>
      </c>
      <c r="L2474" s="255" t="s">
        <v>65</v>
      </c>
      <c r="M2474" s="879">
        <f>Q2475+Q2476</f>
        <v>1</v>
      </c>
      <c r="N2474" s="880">
        <f>IFERROR(M2474/M2476,"-")</f>
        <v>1</v>
      </c>
      <c r="O2474" s="881">
        <f>SUMIFS('Data Entry'!S:S,'Data Entry'!K:K,G2474)</f>
        <v>0</v>
      </c>
      <c r="P2474" s="266" t="s">
        <v>178</v>
      </c>
      <c r="Q2474" s="895">
        <v>0</v>
      </c>
      <c r="R2474" s="883"/>
      <c r="S2474" s="883"/>
      <c r="T2474" s="883"/>
      <c r="U2474" s="883"/>
      <c r="V2474" s="114" t="s">
        <v>184</v>
      </c>
      <c r="W2474" s="114"/>
      <c r="X2474" s="884"/>
      <c r="Y2474" s="270"/>
      <c r="Z2474" s="270"/>
      <c r="AA2474" s="270"/>
    </row>
    <row r="2475" spans="3:27" ht="15" thickBot="1" x14ac:dyDescent="0.35">
      <c r="C2475" s="501" t="s">
        <v>100</v>
      </c>
      <c r="D2475" s="116"/>
      <c r="E2475" s="116" t="s">
        <v>38</v>
      </c>
      <c r="F2475" s="116" t="s">
        <v>114</v>
      </c>
      <c r="G2475" s="450" t="str">
        <f t="shared" si="118"/>
        <v>Hotel E-Food Service-Kitchen faucets</v>
      </c>
      <c r="H2475" s="116"/>
      <c r="I2475" s="889" t="s">
        <v>66</v>
      </c>
      <c r="J2475" s="890">
        <f>SUMIFS('Level of Efficiency Assumptions'!J:J,'Level of Efficiency Assumptions'!D:D,E2475,'Level of Efficiency Assumptions'!F:F,F2475,'Level of Efficiency Assumptions'!I:I,I2475)</f>
        <v>0.5</v>
      </c>
      <c r="K2475" s="383" t="s">
        <v>78</v>
      </c>
      <c r="L2475" s="257" t="s">
        <v>66</v>
      </c>
      <c r="M2475" s="879">
        <f>Q2477</f>
        <v>0</v>
      </c>
      <c r="N2475" s="880">
        <f>IFERROR(M2475/M2476,"-")</f>
        <v>0</v>
      </c>
      <c r="O2475" s="881">
        <f>SUMIFS('Data Entry'!T:T,'Data Entry'!K:K,G2475)</f>
        <v>0</v>
      </c>
      <c r="P2475" s="267" t="s">
        <v>176</v>
      </c>
      <c r="Q2475" s="895">
        <v>1</v>
      </c>
      <c r="R2475" s="883"/>
      <c r="S2475" s="883"/>
      <c r="T2475" s="883"/>
      <c r="U2475" s="883"/>
      <c r="V2475" s="114" t="s">
        <v>185</v>
      </c>
      <c r="W2475" s="114"/>
      <c r="X2475" s="884"/>
      <c r="Y2475" s="270"/>
      <c r="Z2475" s="270"/>
      <c r="AA2475" s="270"/>
    </row>
    <row r="2476" spans="3:27" x14ac:dyDescent="0.3">
      <c r="C2476" s="450"/>
      <c r="D2476" s="182"/>
      <c r="E2476" s="182"/>
      <c r="F2476" s="182"/>
      <c r="G2476" s="450" t="str">
        <f t="shared" si="118"/>
        <v>--</v>
      </c>
      <c r="H2476" s="182"/>
      <c r="I2476" s="440"/>
      <c r="J2476" s="892"/>
      <c r="K2476" s="259"/>
      <c r="L2476" s="259" t="s">
        <v>46</v>
      </c>
      <c r="M2476" s="893">
        <f>SUM(M2473:M2475)</f>
        <v>1</v>
      </c>
      <c r="N2476" s="894"/>
      <c r="O2476" s="894">
        <f>SUM(O2473:O2475)</f>
        <v>0</v>
      </c>
      <c r="P2476" s="256" t="s">
        <v>173</v>
      </c>
      <c r="Q2476" s="895">
        <v>0</v>
      </c>
      <c r="R2476" s="883"/>
      <c r="S2476" s="883"/>
      <c r="T2476" s="883"/>
      <c r="U2476" s="883"/>
      <c r="V2476" s="114" t="s">
        <v>186</v>
      </c>
      <c r="W2476" s="114"/>
      <c r="X2476" s="884"/>
      <c r="Y2476" s="270"/>
      <c r="Z2476" s="270"/>
      <c r="AA2476" s="270"/>
    </row>
    <row r="2477" spans="3:27" x14ac:dyDescent="0.3">
      <c r="C2477" s="450"/>
      <c r="D2477" s="182"/>
      <c r="E2477" s="182"/>
      <c r="F2477" s="182"/>
      <c r="G2477" s="450" t="str">
        <f t="shared" si="118"/>
        <v>--</v>
      </c>
      <c r="H2477" s="182"/>
      <c r="I2477" s="892"/>
      <c r="J2477" s="288"/>
      <c r="K2477" s="182"/>
      <c r="L2477" s="182"/>
      <c r="M2477" s="270"/>
      <c r="N2477" s="892"/>
      <c r="O2477" s="892"/>
      <c r="P2477" s="258" t="s">
        <v>172</v>
      </c>
      <c r="Q2477" s="895">
        <v>0</v>
      </c>
      <c r="R2477" s="883"/>
      <c r="S2477" s="883"/>
      <c r="T2477" s="883"/>
      <c r="U2477" s="883"/>
      <c r="V2477" s="114"/>
      <c r="W2477" s="114"/>
      <c r="X2477" s="884"/>
      <c r="Y2477" s="270"/>
      <c r="Z2477" s="270"/>
      <c r="AA2477" s="270"/>
    </row>
    <row r="2478" spans="3:27" x14ac:dyDescent="0.3">
      <c r="C2478" s="450"/>
      <c r="D2478" s="182"/>
      <c r="E2478" s="182"/>
      <c r="F2478" s="182"/>
      <c r="G2478" s="450" t="str">
        <f t="shared" si="118"/>
        <v>--</v>
      </c>
      <c r="H2478" s="182"/>
      <c r="I2478" s="892"/>
      <c r="J2478" s="288"/>
      <c r="K2478" s="182"/>
      <c r="L2478" s="182"/>
      <c r="M2478" s="270"/>
      <c r="N2478" s="892"/>
      <c r="O2478" s="892"/>
      <c r="P2478" s="263" t="s">
        <v>46</v>
      </c>
      <c r="Q2478" s="897">
        <f>SUM(Q2472:Q2477)</f>
        <v>1</v>
      </c>
      <c r="R2478" s="899"/>
      <c r="S2478" s="899"/>
      <c r="T2478" s="899"/>
      <c r="U2478" s="899"/>
      <c r="V2478" s="899"/>
      <c r="W2478" s="899"/>
      <c r="X2478" s="900"/>
      <c r="Y2478" s="270"/>
      <c r="Z2478" s="270"/>
      <c r="AA2478" s="270"/>
    </row>
    <row r="2479" spans="3:27" x14ac:dyDescent="0.3">
      <c r="C2479" s="450"/>
      <c r="D2479" s="182"/>
      <c r="E2479" s="182"/>
      <c r="F2479" s="182"/>
      <c r="G2479" s="450" t="str">
        <f t="shared" si="118"/>
        <v>--</v>
      </c>
      <c r="H2479" s="182"/>
      <c r="I2479" s="892"/>
      <c r="J2479" s="288"/>
      <c r="K2479" s="182"/>
      <c r="L2479" s="182"/>
      <c r="M2479" s="270"/>
      <c r="N2479" s="892"/>
      <c r="O2479" s="892"/>
      <c r="P2479" s="259"/>
      <c r="Q2479" s="114"/>
      <c r="R2479" s="114"/>
      <c r="S2479" s="114"/>
      <c r="T2479" s="114"/>
      <c r="U2479" s="114"/>
      <c r="V2479" s="114"/>
      <c r="W2479" s="270"/>
      <c r="X2479" s="270"/>
      <c r="Y2479" s="270"/>
      <c r="Z2479" s="270"/>
      <c r="AA2479" s="270"/>
    </row>
    <row r="2480" spans="3:27" ht="15" thickBot="1" x14ac:dyDescent="0.35">
      <c r="C2480" s="450"/>
      <c r="D2480" s="182"/>
      <c r="E2480" s="182"/>
      <c r="F2480" s="182"/>
      <c r="G2480" s="450" t="str">
        <f t="shared" si="118"/>
        <v>--</v>
      </c>
      <c r="H2480" s="182"/>
      <c r="I2480" s="892"/>
      <c r="J2480" s="892"/>
      <c r="K2480" s="182"/>
      <c r="L2480" s="182"/>
      <c r="M2480" s="901" t="s">
        <v>155</v>
      </c>
      <c r="N2480" s="870" t="s">
        <v>188</v>
      </c>
      <c r="O2480" s="870"/>
      <c r="P2480" s="268" t="s">
        <v>157</v>
      </c>
      <c r="Q2480" s="871" t="s">
        <v>155</v>
      </c>
      <c r="R2480" s="874"/>
      <c r="S2480" s="114"/>
      <c r="T2480" s="270"/>
      <c r="U2480" s="270"/>
      <c r="V2480" s="270"/>
      <c r="W2480" s="114"/>
      <c r="X2480" s="270"/>
      <c r="Y2480" s="270"/>
      <c r="Z2480" s="270"/>
      <c r="AA2480" s="270"/>
    </row>
    <row r="2481" spans="3:27" ht="15" thickBot="1" x14ac:dyDescent="0.35">
      <c r="C2481" s="566" t="s">
        <v>100</v>
      </c>
      <c r="D2481" s="875" t="str">
        <f>VLOOKUP(C2481,'Airport Mapping'!$C$5:$D$39,2,FALSE)</f>
        <v xml:space="preserve"> </v>
      </c>
      <c r="E2481" s="567" t="s">
        <v>38</v>
      </c>
      <c r="F2481" s="567" t="s">
        <v>127</v>
      </c>
      <c r="G2481" s="450" t="str">
        <f t="shared" si="118"/>
        <v>Hotel E-Food Service-Pre-rinse spray valves</v>
      </c>
      <c r="H2481" s="567" t="s">
        <v>118</v>
      </c>
      <c r="I2481" s="877" t="s">
        <v>64</v>
      </c>
      <c r="J2481" s="878">
        <f>SUMIFS('Level of Efficiency Assumptions'!J:J,'Level of Efficiency Assumptions'!D:D,E2481,'Level of Efficiency Assumptions'!F:F,F2481,'Level of Efficiency Assumptions'!I:I,I2481)</f>
        <v>3</v>
      </c>
      <c r="K2481" s="383" t="s">
        <v>78</v>
      </c>
      <c r="L2481" s="253" t="s">
        <v>64</v>
      </c>
      <c r="M2481" s="879">
        <f>Q2481+Q2482</f>
        <v>0</v>
      </c>
      <c r="N2481" s="880">
        <f>IFERROR(M2481/M2484,"-")</f>
        <v>0</v>
      </c>
      <c r="O2481" s="881">
        <f>SUMIFS('Data Entry'!R:R,'Data Entry'!K:K,G2481)</f>
        <v>0</v>
      </c>
      <c r="P2481" s="266" t="s">
        <v>191</v>
      </c>
      <c r="Q2481" s="895">
        <v>0</v>
      </c>
      <c r="R2481" s="884"/>
      <c r="S2481" s="114"/>
      <c r="T2481" s="270"/>
      <c r="U2481" s="270"/>
      <c r="V2481" s="270"/>
      <c r="W2481" s="114"/>
      <c r="X2481" s="270"/>
      <c r="Y2481" s="270"/>
      <c r="Z2481" s="270"/>
      <c r="AA2481" s="270"/>
    </row>
    <row r="2482" spans="3:27" ht="15" thickBot="1" x14ac:dyDescent="0.35">
      <c r="C2482" s="494" t="s">
        <v>100</v>
      </c>
      <c r="D2482" s="577"/>
      <c r="E2482" s="577" t="s">
        <v>38</v>
      </c>
      <c r="F2482" s="577" t="s">
        <v>127</v>
      </c>
      <c r="G2482" s="450" t="str">
        <f t="shared" ref="G2482:G2536" si="122">C2482&amp;"-"&amp;E2482&amp;"-"&amp;F2482</f>
        <v>Hotel E-Food Service-Pre-rinse spray valves</v>
      </c>
      <c r="H2482" s="577"/>
      <c r="I2482" s="887" t="s">
        <v>65</v>
      </c>
      <c r="J2482" s="878">
        <f>SUMIFS('Level of Efficiency Assumptions'!J:J,'Level of Efficiency Assumptions'!D:D,E2482,'Level of Efficiency Assumptions'!F:F,F2482,'Level of Efficiency Assumptions'!I:I,I2482)</f>
        <v>2</v>
      </c>
      <c r="K2482" s="383" t="s">
        <v>78</v>
      </c>
      <c r="L2482" s="255" t="s">
        <v>65</v>
      </c>
      <c r="M2482" s="879">
        <f>Q2483+Q2484</f>
        <v>1</v>
      </c>
      <c r="N2482" s="880">
        <f>IFERROR(M2482/M2484,"-")</f>
        <v>1</v>
      </c>
      <c r="O2482" s="881">
        <f>SUMIFS('Data Entry'!S:S,'Data Entry'!K:K,G2482)</f>
        <v>0</v>
      </c>
      <c r="P2482" s="266" t="s">
        <v>192</v>
      </c>
      <c r="Q2482" s="895">
        <v>0</v>
      </c>
      <c r="R2482" s="884"/>
      <c r="S2482" s="114"/>
      <c r="T2482" s="270"/>
      <c r="U2482" s="270"/>
      <c r="V2482" s="270"/>
      <c r="W2482" s="114"/>
      <c r="X2482" s="270"/>
      <c r="Y2482" s="270"/>
      <c r="Z2482" s="270"/>
      <c r="AA2482" s="270"/>
    </row>
    <row r="2483" spans="3:27" ht="15" thickBot="1" x14ac:dyDescent="0.35">
      <c r="C2483" s="501" t="s">
        <v>100</v>
      </c>
      <c r="D2483" s="116"/>
      <c r="E2483" s="116" t="s">
        <v>38</v>
      </c>
      <c r="F2483" s="116" t="s">
        <v>127</v>
      </c>
      <c r="G2483" s="450" t="str">
        <f t="shared" si="122"/>
        <v>Hotel E-Food Service-Pre-rinse spray valves</v>
      </c>
      <c r="H2483" s="116"/>
      <c r="I2483" s="889" t="s">
        <v>66</v>
      </c>
      <c r="J2483" s="890">
        <f>SUMIFS('Level of Efficiency Assumptions'!J:J,'Level of Efficiency Assumptions'!D:D,E2483,'Level of Efficiency Assumptions'!F:F,F2483,'Level of Efficiency Assumptions'!I:I,I2483)</f>
        <v>1.28</v>
      </c>
      <c r="K2483" s="383" t="s">
        <v>78</v>
      </c>
      <c r="L2483" s="257" t="s">
        <v>66</v>
      </c>
      <c r="M2483" s="879">
        <f>Q2485</f>
        <v>0</v>
      </c>
      <c r="N2483" s="880">
        <f>IFERROR(M2483/M2484,"-")</f>
        <v>0</v>
      </c>
      <c r="O2483" s="881">
        <f>SUMIFS('Data Entry'!T:T,'Data Entry'!K:K,G2483)</f>
        <v>0</v>
      </c>
      <c r="P2483" s="267" t="s">
        <v>193</v>
      </c>
      <c r="Q2483" s="895">
        <v>0</v>
      </c>
      <c r="R2483" s="884"/>
      <c r="S2483" s="114"/>
      <c r="T2483" s="270"/>
      <c r="U2483" s="270"/>
      <c r="V2483" s="270"/>
      <c r="W2483" s="114"/>
      <c r="X2483" s="270"/>
      <c r="Y2483" s="270"/>
      <c r="Z2483" s="270"/>
      <c r="AA2483" s="270"/>
    </row>
    <row r="2484" spans="3:27" x14ac:dyDescent="0.3">
      <c r="C2484" s="450"/>
      <c r="D2484" s="182"/>
      <c r="E2484" s="182"/>
      <c r="F2484" s="182"/>
      <c r="G2484" s="450" t="str">
        <f t="shared" si="122"/>
        <v>--</v>
      </c>
      <c r="H2484" s="182"/>
      <c r="I2484" s="440"/>
      <c r="J2484" s="892"/>
      <c r="K2484" s="259"/>
      <c r="L2484" s="259" t="s">
        <v>46</v>
      </c>
      <c r="M2484" s="893">
        <f>SUM(M2481:M2483)</f>
        <v>1</v>
      </c>
      <c r="N2484" s="894"/>
      <c r="O2484" s="894">
        <f>SUM(O2481:O2483)</f>
        <v>0</v>
      </c>
      <c r="P2484" s="267" t="s">
        <v>194</v>
      </c>
      <c r="Q2484" s="895">
        <v>1</v>
      </c>
      <c r="R2484" s="884"/>
      <c r="S2484" s="114"/>
      <c r="T2484" s="270"/>
      <c r="U2484" s="270"/>
      <c r="V2484" s="270"/>
      <c r="W2484" s="114"/>
      <c r="X2484" s="270"/>
      <c r="Y2484" s="270"/>
      <c r="Z2484" s="270"/>
      <c r="AA2484" s="270"/>
    </row>
    <row r="2485" spans="3:27" x14ac:dyDescent="0.3">
      <c r="C2485" s="224"/>
      <c r="D2485" s="211"/>
      <c r="E2485" s="182"/>
      <c r="F2485" s="182"/>
      <c r="G2485" s="450" t="str">
        <f t="shared" si="122"/>
        <v>--</v>
      </c>
      <c r="H2485" s="182"/>
      <c r="I2485" s="892"/>
      <c r="J2485" s="288"/>
      <c r="K2485" s="182"/>
      <c r="L2485" s="182"/>
      <c r="M2485" s="270"/>
      <c r="N2485" s="892"/>
      <c r="O2485" s="892"/>
      <c r="P2485" s="269" t="s">
        <v>195</v>
      </c>
      <c r="Q2485" s="895">
        <v>0</v>
      </c>
      <c r="R2485" s="884"/>
      <c r="S2485" s="114"/>
      <c r="T2485" s="114"/>
      <c r="U2485" s="114"/>
      <c r="V2485" s="114"/>
      <c r="W2485" s="114"/>
      <c r="X2485" s="270"/>
      <c r="Y2485" s="270"/>
      <c r="Z2485" s="270"/>
      <c r="AA2485" s="270"/>
    </row>
    <row r="2486" spans="3:27" x14ac:dyDescent="0.3">
      <c r="C2486" s="224"/>
      <c r="D2486" s="211"/>
      <c r="E2486" s="182"/>
      <c r="F2486" s="182"/>
      <c r="G2486" s="450" t="str">
        <f t="shared" si="122"/>
        <v>--</v>
      </c>
      <c r="H2486" s="182"/>
      <c r="I2486" s="892"/>
      <c r="J2486" s="288"/>
      <c r="K2486" s="182"/>
      <c r="L2486" s="182"/>
      <c r="M2486" s="270"/>
      <c r="N2486" s="892"/>
      <c r="O2486" s="892"/>
      <c r="P2486" s="263" t="s">
        <v>46</v>
      </c>
      <c r="Q2486" s="897">
        <f>SUM(Q2481:Q2485)</f>
        <v>1</v>
      </c>
      <c r="R2486" s="900"/>
      <c r="S2486" s="114"/>
      <c r="T2486" s="114"/>
      <c r="U2486" s="114"/>
      <c r="V2486" s="114"/>
      <c r="W2486" s="114"/>
      <c r="X2486" s="270"/>
      <c r="Y2486" s="270"/>
      <c r="Z2486" s="270"/>
      <c r="AA2486" s="270"/>
    </row>
    <row r="2487" spans="3:27" x14ac:dyDescent="0.3">
      <c r="C2487" s="224"/>
      <c r="D2487" s="211"/>
      <c r="E2487" s="182"/>
      <c r="F2487" s="182"/>
      <c r="G2487" s="450" t="str">
        <f t="shared" si="122"/>
        <v>--</v>
      </c>
      <c r="H2487" s="182"/>
      <c r="I2487" s="892"/>
      <c r="J2487" s="288"/>
      <c r="K2487" s="182"/>
      <c r="L2487" s="182"/>
      <c r="M2487" s="270"/>
      <c r="N2487" s="892"/>
      <c r="O2487" s="892"/>
      <c r="P2487" s="270"/>
      <c r="Q2487" s="270"/>
      <c r="R2487" s="270"/>
      <c r="S2487" s="270"/>
      <c r="T2487" s="270"/>
      <c r="U2487" s="270"/>
      <c r="V2487" s="270"/>
      <c r="W2487" s="270"/>
      <c r="X2487" s="270"/>
      <c r="Y2487" s="270"/>
      <c r="Z2487" s="270"/>
      <c r="AA2487" s="270"/>
    </row>
    <row r="2488" spans="3:27" x14ac:dyDescent="0.3">
      <c r="C2488" s="224"/>
      <c r="D2488" s="211"/>
      <c r="E2488" s="182"/>
      <c r="F2488" s="182"/>
      <c r="G2488" s="450" t="str">
        <f t="shared" si="122"/>
        <v>--</v>
      </c>
      <c r="H2488" s="182"/>
      <c r="I2488" s="892"/>
      <c r="J2488" s="288"/>
      <c r="K2488" s="182"/>
      <c r="L2488" s="182"/>
      <c r="M2488" s="270"/>
      <c r="N2488" s="892"/>
      <c r="O2488" s="892"/>
      <c r="P2488" s="268" t="s">
        <v>196</v>
      </c>
      <c r="Q2488" s="906"/>
      <c r="R2488" s="902"/>
      <c r="S2488" s="902"/>
      <c r="T2488" s="902"/>
      <c r="U2488" s="902"/>
      <c r="V2488" s="902"/>
      <c r="W2488" s="902"/>
      <c r="X2488" s="902"/>
      <c r="Y2488" s="902"/>
      <c r="Z2488" s="902"/>
      <c r="AA2488" s="874"/>
    </row>
    <row r="2489" spans="3:27" ht="15" thickBot="1" x14ac:dyDescent="0.35">
      <c r="C2489" s="224"/>
      <c r="D2489" s="182"/>
      <c r="E2489" s="182"/>
      <c r="F2489" s="182"/>
      <c r="G2489" s="450" t="str">
        <f t="shared" si="122"/>
        <v>--</v>
      </c>
      <c r="H2489" s="182"/>
      <c r="I2489" s="892"/>
      <c r="J2489" s="892"/>
      <c r="K2489" s="182"/>
      <c r="L2489" s="182"/>
      <c r="M2489" s="901" t="s">
        <v>155</v>
      </c>
      <c r="N2489" s="870" t="s">
        <v>188</v>
      </c>
      <c r="O2489" s="870"/>
      <c r="P2489" s="271" t="s">
        <v>203</v>
      </c>
      <c r="Q2489" s="871" t="s">
        <v>155</v>
      </c>
      <c r="R2489" s="114"/>
      <c r="S2489" s="114"/>
      <c r="T2489" s="907" t="s">
        <v>156</v>
      </c>
      <c r="U2489" s="114"/>
      <c r="V2489" s="114"/>
      <c r="W2489" s="114"/>
      <c r="X2489" s="114"/>
      <c r="Y2489" s="114"/>
      <c r="Z2489" s="114"/>
      <c r="AA2489" s="884"/>
    </row>
    <row r="2490" spans="3:27" ht="15" thickBot="1" x14ac:dyDescent="0.35">
      <c r="C2490" s="566" t="s">
        <v>100</v>
      </c>
      <c r="D2490" s="875" t="str">
        <f>VLOOKUP(C2490,'Airport Mapping'!$C$5:$D$39,2,FALSE)</f>
        <v xml:space="preserve"> </v>
      </c>
      <c r="E2490" s="567" t="s">
        <v>38</v>
      </c>
      <c r="F2490" s="567" t="s">
        <v>41</v>
      </c>
      <c r="G2490" s="450" t="str">
        <f t="shared" si="122"/>
        <v>Hotel E-Food Service-Dishwashers</v>
      </c>
      <c r="H2490" s="567" t="s">
        <v>118</v>
      </c>
      <c r="I2490" s="877" t="s">
        <v>64</v>
      </c>
      <c r="J2490" s="878">
        <f>SUMIFS('Level of Efficiency Assumptions'!J:J,'Level of Efficiency Assumptions'!D:D,E2490,'Level of Efficiency Assumptions'!F:F,F2490,'Level of Efficiency Assumptions'!I:I,I2490)</f>
        <v>4.5</v>
      </c>
      <c r="K2490" s="383" t="s">
        <v>203</v>
      </c>
      <c r="L2490" s="253" t="s">
        <v>64</v>
      </c>
      <c r="M2490" s="879">
        <f>SUM(Q2490:Q2492)</f>
        <v>0</v>
      </c>
      <c r="N2490" s="880">
        <f>IFERROR(M2490/M2493,"-")</f>
        <v>0</v>
      </c>
      <c r="O2490" s="881">
        <f>SUMIFS('Data Entry'!R:R,'Data Entry'!K:K,G2490)</f>
        <v>0</v>
      </c>
      <c r="P2490" s="266" t="s">
        <v>204</v>
      </c>
      <c r="Q2490" s="895">
        <v>0</v>
      </c>
      <c r="R2490" s="114"/>
      <c r="S2490" s="905" t="s">
        <v>200</v>
      </c>
      <c r="T2490" s="895">
        <v>1</v>
      </c>
      <c r="U2490" s="114"/>
      <c r="V2490" s="114" t="s">
        <v>218</v>
      </c>
      <c r="W2490" s="114"/>
      <c r="X2490" s="114"/>
      <c r="Y2490" s="114"/>
      <c r="Z2490" s="114"/>
      <c r="AA2490" s="884"/>
    </row>
    <row r="2491" spans="3:27" ht="15" thickBot="1" x14ac:dyDescent="0.35">
      <c r="C2491" s="494" t="s">
        <v>100</v>
      </c>
      <c r="D2491" s="577"/>
      <c r="E2491" s="577" t="s">
        <v>38</v>
      </c>
      <c r="F2491" s="577" t="s">
        <v>41</v>
      </c>
      <c r="G2491" s="450" t="str">
        <f t="shared" si="122"/>
        <v>Hotel E-Food Service-Dishwashers</v>
      </c>
      <c r="H2491" s="577"/>
      <c r="I2491" s="887" t="s">
        <v>65</v>
      </c>
      <c r="J2491" s="878">
        <f>SUMIFS('Level of Efficiency Assumptions'!J:J,'Level of Efficiency Assumptions'!D:D,E2491,'Level of Efficiency Assumptions'!F:F,F2491,'Level of Efficiency Assumptions'!I:I,I2491)</f>
        <v>2.5</v>
      </c>
      <c r="K2491" s="383" t="s">
        <v>203</v>
      </c>
      <c r="L2491" s="255" t="s">
        <v>65</v>
      </c>
      <c r="M2491" s="879">
        <f>Q2493+Q2494</f>
        <v>1</v>
      </c>
      <c r="N2491" s="880">
        <f>IFERROR(M2491/M2493,"-")</f>
        <v>1</v>
      </c>
      <c r="O2491" s="881">
        <f>SUMIFS('Data Entry'!S:S,'Data Entry'!K:K,G2491)</f>
        <v>0</v>
      </c>
      <c r="P2491" s="272" t="s">
        <v>205</v>
      </c>
      <c r="Q2491" s="895">
        <v>0</v>
      </c>
      <c r="R2491" s="114"/>
      <c r="S2491" s="908" t="s">
        <v>201</v>
      </c>
      <c r="T2491" s="895">
        <v>1</v>
      </c>
      <c r="U2491" s="114"/>
      <c r="V2491" s="114"/>
      <c r="W2491" s="114"/>
      <c r="X2491" s="114"/>
      <c r="Y2491" s="114"/>
      <c r="Z2491" s="114"/>
      <c r="AA2491" s="884"/>
    </row>
    <row r="2492" spans="3:27" ht="15" thickBot="1" x14ac:dyDescent="0.35">
      <c r="C2492" s="501" t="s">
        <v>100</v>
      </c>
      <c r="D2492" s="116"/>
      <c r="E2492" s="116" t="s">
        <v>38</v>
      </c>
      <c r="F2492" s="116" t="s">
        <v>41</v>
      </c>
      <c r="G2492" s="450" t="str">
        <f t="shared" si="122"/>
        <v>Hotel E-Food Service-Dishwashers</v>
      </c>
      <c r="H2492" s="116"/>
      <c r="I2492" s="889" t="s">
        <v>66</v>
      </c>
      <c r="J2492" s="890">
        <f>SUMIFS('Level of Efficiency Assumptions'!J:J,'Level of Efficiency Assumptions'!D:D,E2492,'Level of Efficiency Assumptions'!F:F,F2492,'Level of Efficiency Assumptions'!I:I,I2492)</f>
        <v>1</v>
      </c>
      <c r="K2492" s="383" t="s">
        <v>203</v>
      </c>
      <c r="L2492" s="257" t="s">
        <v>66</v>
      </c>
      <c r="M2492" s="879">
        <f>Q2495+Q2496</f>
        <v>0</v>
      </c>
      <c r="N2492" s="880">
        <f>IFERROR(M2492/M2493,"-")</f>
        <v>0</v>
      </c>
      <c r="O2492" s="881">
        <f>SUMIFS('Data Entry'!T:T,'Data Entry'!K:K,G2492)</f>
        <v>0</v>
      </c>
      <c r="P2492" s="272" t="s">
        <v>206</v>
      </c>
      <c r="Q2492" s="895">
        <v>0</v>
      </c>
      <c r="R2492" s="114"/>
      <c r="S2492" s="908" t="s">
        <v>202</v>
      </c>
      <c r="T2492" s="895">
        <v>1</v>
      </c>
      <c r="U2492" s="114"/>
      <c r="V2492" s="114"/>
      <c r="W2492" s="114"/>
      <c r="X2492" s="114"/>
      <c r="Y2492" s="114"/>
      <c r="Z2492" s="114"/>
      <c r="AA2492" s="884"/>
    </row>
    <row r="2493" spans="3:27" x14ac:dyDescent="0.3">
      <c r="C2493" s="450"/>
      <c r="D2493" s="182"/>
      <c r="E2493" s="182"/>
      <c r="F2493" s="182"/>
      <c r="G2493" s="450" t="str">
        <f t="shared" si="122"/>
        <v>--</v>
      </c>
      <c r="H2493" s="182"/>
      <c r="I2493" s="440"/>
      <c r="J2493" s="892"/>
      <c r="K2493" s="259"/>
      <c r="L2493" s="259" t="s">
        <v>46</v>
      </c>
      <c r="M2493" s="893">
        <f>SUM(M2490:M2492)</f>
        <v>1</v>
      </c>
      <c r="N2493" s="894"/>
      <c r="O2493" s="894">
        <f>SUM(O2490:O2492)</f>
        <v>0</v>
      </c>
      <c r="P2493" s="267" t="s">
        <v>207</v>
      </c>
      <c r="Q2493" s="895">
        <v>1</v>
      </c>
      <c r="R2493" s="114"/>
      <c r="S2493" s="908" t="s">
        <v>199</v>
      </c>
      <c r="T2493" s="895">
        <v>1</v>
      </c>
      <c r="U2493" s="114"/>
      <c r="V2493" s="114"/>
      <c r="W2493" s="114"/>
      <c r="X2493" s="114"/>
      <c r="Y2493" s="114"/>
      <c r="Z2493" s="114"/>
      <c r="AA2493" s="884"/>
    </row>
    <row r="2494" spans="3:27" x14ac:dyDescent="0.3">
      <c r="C2494" s="450"/>
      <c r="D2494" s="182"/>
      <c r="E2494" s="182"/>
      <c r="F2494" s="182"/>
      <c r="G2494" s="450" t="str">
        <f t="shared" si="122"/>
        <v>--</v>
      </c>
      <c r="H2494" s="182"/>
      <c r="I2494" s="892"/>
      <c r="J2494" s="288"/>
      <c r="K2494" s="182"/>
      <c r="L2494" s="182"/>
      <c r="M2494" s="270"/>
      <c r="N2494" s="892"/>
      <c r="O2494" s="892"/>
      <c r="P2494" s="267" t="s">
        <v>208</v>
      </c>
      <c r="Q2494" s="895">
        <v>0</v>
      </c>
      <c r="R2494" s="114"/>
      <c r="S2494" s="909" t="s">
        <v>198</v>
      </c>
      <c r="T2494" s="895">
        <v>1</v>
      </c>
      <c r="U2494" s="114"/>
      <c r="V2494" s="114"/>
      <c r="W2494" s="114"/>
      <c r="X2494" s="114"/>
      <c r="Y2494" s="114"/>
      <c r="Z2494" s="114"/>
      <c r="AA2494" s="884"/>
    </row>
    <row r="2495" spans="3:27" x14ac:dyDescent="0.3">
      <c r="C2495" s="450"/>
      <c r="D2495" s="182"/>
      <c r="E2495" s="182"/>
      <c r="F2495" s="182"/>
      <c r="G2495" s="450" t="str">
        <f t="shared" si="122"/>
        <v>--</v>
      </c>
      <c r="H2495" s="182"/>
      <c r="I2495" s="892"/>
      <c r="J2495" s="288"/>
      <c r="K2495" s="182"/>
      <c r="L2495" s="182"/>
      <c r="M2495" s="270"/>
      <c r="N2495" s="892"/>
      <c r="O2495" s="892"/>
      <c r="P2495" s="269" t="s">
        <v>209</v>
      </c>
      <c r="Q2495" s="895">
        <v>0</v>
      </c>
      <c r="R2495" s="114"/>
      <c r="S2495" s="905" t="s">
        <v>197</v>
      </c>
      <c r="T2495" s="895">
        <v>1</v>
      </c>
      <c r="U2495" s="114"/>
      <c r="V2495" s="114"/>
      <c r="W2495" s="114"/>
      <c r="X2495" s="114"/>
      <c r="Y2495" s="114"/>
      <c r="Z2495" s="114"/>
      <c r="AA2495" s="884"/>
    </row>
    <row r="2496" spans="3:27" x14ac:dyDescent="0.3">
      <c r="C2496" s="450"/>
      <c r="D2496" s="182"/>
      <c r="E2496" s="182"/>
      <c r="F2496" s="182"/>
      <c r="G2496" s="450" t="str">
        <f t="shared" si="122"/>
        <v>--</v>
      </c>
      <c r="H2496" s="182"/>
      <c r="I2496" s="892"/>
      <c r="J2496" s="288"/>
      <c r="K2496" s="182"/>
      <c r="L2496" s="182"/>
      <c r="M2496" s="270"/>
      <c r="N2496" s="892"/>
      <c r="O2496" s="892"/>
      <c r="P2496" s="269" t="s">
        <v>210</v>
      </c>
      <c r="Q2496" s="895">
        <v>0</v>
      </c>
      <c r="R2496" s="114"/>
      <c r="S2496" s="114" t="s">
        <v>216</v>
      </c>
      <c r="T2496" s="910">
        <f>(T2490*55)+(T2491*45)+(T2492*35)+(T2493*25)+(T2494*15)+(T2495*5)</f>
        <v>180</v>
      </c>
      <c r="U2496" s="1393" t="s">
        <v>217</v>
      </c>
      <c r="V2496" s="1393"/>
      <c r="W2496" s="1393"/>
      <c r="X2496" s="114"/>
      <c r="Y2496" s="114"/>
      <c r="Z2496" s="114"/>
      <c r="AA2496" s="884"/>
    </row>
    <row r="2497" spans="3:27" x14ac:dyDescent="0.3">
      <c r="C2497" s="450"/>
      <c r="D2497" s="182"/>
      <c r="E2497" s="182"/>
      <c r="F2497" s="182"/>
      <c r="G2497" s="450" t="str">
        <f t="shared" si="122"/>
        <v>--</v>
      </c>
      <c r="H2497" s="182"/>
      <c r="I2497" s="892"/>
      <c r="J2497" s="288"/>
      <c r="K2497" s="182"/>
      <c r="L2497" s="182"/>
      <c r="M2497" s="270"/>
      <c r="N2497" s="892"/>
      <c r="O2497" s="892"/>
      <c r="P2497" s="263" t="s">
        <v>46</v>
      </c>
      <c r="Q2497" s="897">
        <f>SUM(Q2490:Q2496)</f>
        <v>1</v>
      </c>
      <c r="R2497" s="899"/>
      <c r="S2497" s="899"/>
      <c r="T2497" s="899"/>
      <c r="U2497" s="1394"/>
      <c r="V2497" s="1394"/>
      <c r="W2497" s="1394"/>
      <c r="X2497" s="899"/>
      <c r="Y2497" s="899"/>
      <c r="Z2497" s="899"/>
      <c r="AA2497" s="900"/>
    </row>
    <row r="2498" spans="3:27" x14ac:dyDescent="0.3">
      <c r="C2498" s="450"/>
      <c r="D2498" s="182"/>
      <c r="E2498" s="182"/>
      <c r="F2498" s="182"/>
      <c r="G2498" s="450" t="str">
        <f t="shared" si="122"/>
        <v>--</v>
      </c>
      <c r="H2498" s="182"/>
      <c r="I2498" s="892"/>
      <c r="J2498" s="288"/>
      <c r="K2498" s="182"/>
      <c r="L2498" s="182"/>
      <c r="M2498" s="270"/>
      <c r="N2498" s="892"/>
      <c r="O2498" s="892"/>
      <c r="P2498" s="114"/>
      <c r="Q2498" s="114"/>
      <c r="R2498" s="114"/>
      <c r="S2498" s="114"/>
      <c r="T2498" s="114"/>
      <c r="U2498" s="114"/>
      <c r="V2498" s="114"/>
      <c r="W2498" s="114"/>
      <c r="X2498" s="270"/>
      <c r="Y2498" s="270"/>
      <c r="Z2498" s="270"/>
      <c r="AA2498" s="270"/>
    </row>
    <row r="2499" spans="3:27" x14ac:dyDescent="0.3">
      <c r="C2499" s="450"/>
      <c r="D2499" s="182"/>
      <c r="E2499" s="182"/>
      <c r="F2499" s="182"/>
      <c r="G2499" s="450" t="str">
        <f t="shared" si="122"/>
        <v>--</v>
      </c>
      <c r="H2499" s="182"/>
      <c r="I2499" s="892"/>
      <c r="J2499" s="288"/>
      <c r="K2499" s="182"/>
      <c r="L2499" s="182"/>
      <c r="M2499" s="270"/>
      <c r="N2499" s="892"/>
      <c r="O2499" s="892"/>
      <c r="P2499" s="268" t="s">
        <v>174</v>
      </c>
      <c r="Q2499" s="911"/>
      <c r="R2499" s="872"/>
      <c r="S2499" s="874"/>
      <c r="T2499" s="270"/>
      <c r="U2499" s="270"/>
      <c r="V2499" s="270"/>
      <c r="W2499" s="270"/>
      <c r="X2499" s="270"/>
      <c r="Y2499" s="270"/>
      <c r="Z2499" s="270"/>
      <c r="AA2499" s="270"/>
    </row>
    <row r="2500" spans="3:27" ht="15" thickBot="1" x14ac:dyDescent="0.35">
      <c r="C2500" s="450"/>
      <c r="D2500" s="182"/>
      <c r="E2500" s="182"/>
      <c r="F2500" s="182"/>
      <c r="G2500" s="450" t="str">
        <f t="shared" si="122"/>
        <v>--</v>
      </c>
      <c r="H2500" s="182"/>
      <c r="I2500" s="892"/>
      <c r="J2500" s="892"/>
      <c r="K2500" s="182"/>
      <c r="L2500" s="182"/>
      <c r="M2500" s="901" t="s">
        <v>155</v>
      </c>
      <c r="N2500" s="870" t="s">
        <v>188</v>
      </c>
      <c r="O2500" s="870"/>
      <c r="P2500" s="273" t="s">
        <v>220</v>
      </c>
      <c r="Q2500" s="871" t="s">
        <v>155</v>
      </c>
      <c r="R2500" s="114"/>
      <c r="S2500" s="884"/>
      <c r="T2500" s="270"/>
      <c r="U2500" s="270"/>
      <c r="V2500" s="270"/>
      <c r="W2500" s="270"/>
      <c r="X2500" s="270"/>
      <c r="Y2500" s="270"/>
      <c r="Z2500" s="270"/>
      <c r="AA2500" s="270"/>
    </row>
    <row r="2501" spans="3:27" ht="15" thickBot="1" x14ac:dyDescent="0.35">
      <c r="C2501" s="566" t="s">
        <v>100</v>
      </c>
      <c r="D2501" s="875" t="str">
        <f>VLOOKUP(C2501,'Airport Mapping'!$C$5:$D$39,2,FALSE)</f>
        <v xml:space="preserve"> </v>
      </c>
      <c r="E2501" s="567" t="s">
        <v>38</v>
      </c>
      <c r="F2501" s="567" t="s">
        <v>20</v>
      </c>
      <c r="G2501" s="450" t="str">
        <f t="shared" si="122"/>
        <v>Hotel E-Food Service-Ice machines</v>
      </c>
      <c r="H2501" s="567" t="s">
        <v>17</v>
      </c>
      <c r="I2501" s="877" t="s">
        <v>64</v>
      </c>
      <c r="J2501" s="878">
        <f>SUMIFS('Level of Efficiency Assumptions'!J:J,'Level of Efficiency Assumptions'!D:D,E2501,'Level of Efficiency Assumptions'!F:F,F2501,'Level of Efficiency Assumptions'!I:I,I2501)</f>
        <v>1.5</v>
      </c>
      <c r="K2501" s="383" t="s">
        <v>220</v>
      </c>
      <c r="L2501" s="253" t="s">
        <v>64</v>
      </c>
      <c r="M2501" s="879">
        <f>SUM(Q2501:Q2503)</f>
        <v>0</v>
      </c>
      <c r="N2501" s="880">
        <f>IFERROR(M2501/M2504,"-")</f>
        <v>0</v>
      </c>
      <c r="O2501" s="881">
        <f>SUMIFS('Data Entry'!R:R,'Data Entry'!K:K,G2501)</f>
        <v>0</v>
      </c>
      <c r="P2501" s="266" t="s">
        <v>204</v>
      </c>
      <c r="Q2501" s="895">
        <v>0</v>
      </c>
      <c r="R2501" s="114"/>
      <c r="S2501" s="884"/>
      <c r="T2501" s="270"/>
      <c r="U2501" s="270"/>
      <c r="V2501" s="270"/>
      <c r="W2501" s="912"/>
      <c r="X2501" s="270"/>
      <c r="Y2501" s="270"/>
      <c r="Z2501" s="270"/>
      <c r="AA2501" s="270"/>
    </row>
    <row r="2502" spans="3:27" ht="15" thickBot="1" x14ac:dyDescent="0.35">
      <c r="C2502" s="494" t="s">
        <v>100</v>
      </c>
      <c r="D2502" s="577"/>
      <c r="E2502" s="577" t="s">
        <v>38</v>
      </c>
      <c r="F2502" s="577" t="s">
        <v>20</v>
      </c>
      <c r="G2502" s="450" t="str">
        <f t="shared" si="122"/>
        <v>Hotel E-Food Service-Ice machines</v>
      </c>
      <c r="H2502" s="577"/>
      <c r="I2502" s="887" t="s">
        <v>65</v>
      </c>
      <c r="J2502" s="878">
        <f>SUMIFS('Level of Efficiency Assumptions'!J:J,'Level of Efficiency Assumptions'!D:D,E2502,'Level of Efficiency Assumptions'!F:F,F2502,'Level of Efficiency Assumptions'!I:I,I2502)</f>
        <v>0.25</v>
      </c>
      <c r="K2502" s="383" t="s">
        <v>220</v>
      </c>
      <c r="L2502" s="255" t="s">
        <v>65</v>
      </c>
      <c r="M2502" s="879">
        <f>Q2504+Q2505</f>
        <v>1</v>
      </c>
      <c r="N2502" s="880">
        <f>IFERROR(M2502/M2504,"-")</f>
        <v>1</v>
      </c>
      <c r="O2502" s="881">
        <f>SUMIFS('Data Entry'!S:S,'Data Entry'!K:K,G2502)</f>
        <v>0</v>
      </c>
      <c r="P2502" s="272" t="s">
        <v>205</v>
      </c>
      <c r="Q2502" s="895">
        <v>0</v>
      </c>
      <c r="R2502" s="114"/>
      <c r="S2502" s="884"/>
      <c r="T2502" s="270"/>
      <c r="U2502" s="270"/>
      <c r="V2502" s="270"/>
      <c r="W2502" s="912"/>
      <c r="X2502" s="270"/>
      <c r="Y2502" s="270"/>
      <c r="Z2502" s="270"/>
      <c r="AA2502" s="270"/>
    </row>
    <row r="2503" spans="3:27" ht="15" thickBot="1" x14ac:dyDescent="0.35">
      <c r="C2503" s="501" t="s">
        <v>100</v>
      </c>
      <c r="D2503" s="116"/>
      <c r="E2503" s="116" t="s">
        <v>38</v>
      </c>
      <c r="F2503" s="116" t="s">
        <v>20</v>
      </c>
      <c r="G2503" s="450" t="str">
        <f t="shared" si="122"/>
        <v>Hotel E-Food Service-Ice machines</v>
      </c>
      <c r="H2503" s="116"/>
      <c r="I2503" s="889" t="s">
        <v>66</v>
      </c>
      <c r="J2503" s="890">
        <f>SUMIFS('Level of Efficiency Assumptions'!J:J,'Level of Efficiency Assumptions'!D:D,E2503,'Level of Efficiency Assumptions'!F:F,F2503,'Level of Efficiency Assumptions'!I:I,I2503)</f>
        <v>0.12</v>
      </c>
      <c r="K2503" s="383" t="s">
        <v>220</v>
      </c>
      <c r="L2503" s="257" t="s">
        <v>66</v>
      </c>
      <c r="M2503" s="879">
        <f>Q2506+Q2507</f>
        <v>0</v>
      </c>
      <c r="N2503" s="880">
        <f>IFERROR(M2503/M2504,"-")</f>
        <v>0</v>
      </c>
      <c r="O2503" s="881">
        <f>SUMIFS('Data Entry'!T:T,'Data Entry'!K:K,G2503)</f>
        <v>0</v>
      </c>
      <c r="P2503" s="272" t="s">
        <v>206</v>
      </c>
      <c r="Q2503" s="895">
        <v>0</v>
      </c>
      <c r="R2503" s="114"/>
      <c r="S2503" s="884"/>
      <c r="T2503" s="270"/>
      <c r="U2503" s="270"/>
      <c r="V2503" s="270"/>
      <c r="W2503" s="280"/>
      <c r="X2503" s="270"/>
      <c r="Y2503" s="270"/>
      <c r="Z2503" s="270"/>
      <c r="AA2503" s="270"/>
    </row>
    <row r="2504" spans="3:27" x14ac:dyDescent="0.3">
      <c r="C2504" s="450"/>
      <c r="D2504" s="182"/>
      <c r="E2504" s="182"/>
      <c r="F2504" s="182"/>
      <c r="G2504" s="450" t="str">
        <f t="shared" si="122"/>
        <v>--</v>
      </c>
      <c r="H2504" s="182"/>
      <c r="I2504" s="440"/>
      <c r="J2504" s="892"/>
      <c r="K2504" s="259"/>
      <c r="L2504" s="259" t="s">
        <v>46</v>
      </c>
      <c r="M2504" s="893">
        <f>SUM(M2501:M2503)</f>
        <v>1</v>
      </c>
      <c r="N2504" s="894"/>
      <c r="O2504" s="894">
        <f>SUM(O2501:O2503)</f>
        <v>0</v>
      </c>
      <c r="P2504" s="274" t="s">
        <v>228</v>
      </c>
      <c r="Q2504" s="895">
        <v>1</v>
      </c>
      <c r="R2504" s="114"/>
      <c r="S2504" s="884"/>
      <c r="T2504" s="270"/>
      <c r="U2504" s="270"/>
      <c r="V2504" s="270"/>
      <c r="W2504" s="270"/>
      <c r="X2504" s="270"/>
      <c r="Y2504" s="270"/>
      <c r="Z2504" s="270"/>
      <c r="AA2504" s="270"/>
    </row>
    <row r="2505" spans="3:27" x14ac:dyDescent="0.3">
      <c r="C2505" s="450"/>
      <c r="D2505" s="182"/>
      <c r="E2505" s="182"/>
      <c r="F2505" s="182"/>
      <c r="G2505" s="450" t="str">
        <f t="shared" si="122"/>
        <v>--</v>
      </c>
      <c r="H2505" s="182"/>
      <c r="I2505" s="892"/>
      <c r="J2505" s="288"/>
      <c r="K2505" s="182"/>
      <c r="L2505" s="182"/>
      <c r="M2505" s="270"/>
      <c r="N2505" s="892"/>
      <c r="O2505" s="892"/>
      <c r="P2505" s="274" t="s">
        <v>227</v>
      </c>
      <c r="Q2505" s="895">
        <v>0</v>
      </c>
      <c r="R2505" s="114"/>
      <c r="S2505" s="884"/>
      <c r="T2505" s="270"/>
      <c r="U2505" s="270"/>
      <c r="V2505" s="270"/>
      <c r="W2505" s="270"/>
      <c r="X2505" s="270"/>
      <c r="Y2505" s="270"/>
      <c r="Z2505" s="270"/>
      <c r="AA2505" s="270"/>
    </row>
    <row r="2506" spans="3:27" x14ac:dyDescent="0.3">
      <c r="C2506" s="450"/>
      <c r="D2506" s="182"/>
      <c r="E2506" s="182"/>
      <c r="F2506" s="182"/>
      <c r="G2506" s="450" t="str">
        <f t="shared" si="122"/>
        <v>--</v>
      </c>
      <c r="H2506" s="182"/>
      <c r="I2506" s="892"/>
      <c r="J2506" s="288"/>
      <c r="K2506" s="182"/>
      <c r="L2506" s="182"/>
      <c r="M2506" s="270"/>
      <c r="N2506" s="892"/>
      <c r="O2506" s="892"/>
      <c r="P2506" s="275" t="s">
        <v>226</v>
      </c>
      <c r="Q2506" s="895">
        <v>0</v>
      </c>
      <c r="R2506" s="114"/>
      <c r="S2506" s="884"/>
      <c r="T2506" s="270"/>
      <c r="U2506" s="270"/>
      <c r="V2506" s="270"/>
      <c r="W2506" s="270"/>
      <c r="X2506" s="270"/>
      <c r="Y2506" s="270"/>
      <c r="Z2506" s="270"/>
      <c r="AA2506" s="270"/>
    </row>
    <row r="2507" spans="3:27" x14ac:dyDescent="0.3">
      <c r="C2507" s="450"/>
      <c r="D2507" s="182"/>
      <c r="E2507" s="182"/>
      <c r="F2507" s="182"/>
      <c r="G2507" s="450" t="str">
        <f t="shared" si="122"/>
        <v>--</v>
      </c>
      <c r="H2507" s="182"/>
      <c r="I2507" s="892"/>
      <c r="J2507" s="288"/>
      <c r="K2507" s="182"/>
      <c r="L2507" s="182"/>
      <c r="M2507" s="270"/>
      <c r="N2507" s="892"/>
      <c r="O2507" s="892"/>
      <c r="P2507" s="269" t="s">
        <v>225</v>
      </c>
      <c r="Q2507" s="895">
        <v>0</v>
      </c>
      <c r="R2507" s="114"/>
      <c r="S2507" s="884"/>
      <c r="T2507" s="270"/>
      <c r="U2507" s="270"/>
      <c r="V2507" s="270"/>
      <c r="W2507" s="270"/>
      <c r="X2507" s="270"/>
      <c r="Y2507" s="270"/>
      <c r="Z2507" s="270"/>
      <c r="AA2507" s="270"/>
    </row>
    <row r="2508" spans="3:27" x14ac:dyDescent="0.3">
      <c r="C2508" s="450"/>
      <c r="D2508" s="182"/>
      <c r="E2508" s="182"/>
      <c r="F2508" s="182"/>
      <c r="G2508" s="450" t="str">
        <f t="shared" si="122"/>
        <v>--</v>
      </c>
      <c r="H2508" s="182"/>
      <c r="I2508" s="892"/>
      <c r="J2508" s="288"/>
      <c r="K2508" s="182"/>
      <c r="L2508" s="182"/>
      <c r="M2508" s="270"/>
      <c r="N2508" s="892"/>
      <c r="O2508" s="892"/>
      <c r="P2508" s="263" t="s">
        <v>46</v>
      </c>
      <c r="Q2508" s="897">
        <f>SUM(Q2501:Q2507)</f>
        <v>1</v>
      </c>
      <c r="R2508" s="899"/>
      <c r="S2508" s="900"/>
      <c r="T2508" s="270"/>
      <c r="U2508" s="270"/>
      <c r="V2508" s="270"/>
      <c r="W2508" s="270"/>
      <c r="X2508" s="270"/>
      <c r="Y2508" s="270"/>
      <c r="Z2508" s="270"/>
      <c r="AA2508" s="270"/>
    </row>
    <row r="2509" spans="3:27" x14ac:dyDescent="0.3">
      <c r="C2509" s="450"/>
      <c r="D2509" s="182"/>
      <c r="E2509" s="182"/>
      <c r="F2509" s="182"/>
      <c r="G2509" s="450" t="str">
        <f t="shared" si="122"/>
        <v>--</v>
      </c>
      <c r="H2509" s="182"/>
      <c r="I2509" s="892"/>
      <c r="J2509" s="288"/>
      <c r="K2509" s="182"/>
      <c r="L2509" s="182"/>
      <c r="M2509" s="270"/>
      <c r="N2509" s="892"/>
      <c r="O2509" s="892"/>
      <c r="P2509" s="270"/>
      <c r="Q2509" s="270"/>
      <c r="R2509" s="270"/>
      <c r="S2509" s="270"/>
      <c r="T2509" s="270"/>
      <c r="U2509" s="270"/>
      <c r="V2509" s="270"/>
      <c r="W2509" s="270"/>
      <c r="X2509" s="270"/>
      <c r="Y2509" s="270"/>
      <c r="Z2509" s="270"/>
      <c r="AA2509" s="270"/>
    </row>
    <row r="2510" spans="3:27" ht="15" thickBot="1" x14ac:dyDescent="0.35">
      <c r="C2510" s="450"/>
      <c r="D2510" s="182"/>
      <c r="E2510" s="182"/>
      <c r="F2510" s="182"/>
      <c r="G2510" s="450" t="str">
        <f t="shared" si="122"/>
        <v>--</v>
      </c>
      <c r="H2510" s="182"/>
      <c r="I2510" s="892"/>
      <c r="J2510" s="892"/>
      <c r="K2510" s="182"/>
      <c r="L2510" s="182"/>
      <c r="M2510" s="901" t="s">
        <v>155</v>
      </c>
      <c r="N2510" s="870" t="s">
        <v>188</v>
      </c>
      <c r="O2510" s="870"/>
      <c r="P2510" s="276" t="s">
        <v>111</v>
      </c>
      <c r="Q2510" s="871" t="s">
        <v>155</v>
      </c>
      <c r="R2510" s="902"/>
      <c r="S2510" s="874"/>
      <c r="T2510" s="270"/>
      <c r="U2510" s="270"/>
      <c r="V2510" s="270"/>
      <c r="W2510" s="270"/>
      <c r="X2510" s="270"/>
      <c r="Y2510" s="270"/>
      <c r="Z2510" s="270"/>
      <c r="AA2510" s="270"/>
    </row>
    <row r="2511" spans="3:27" ht="15" thickBot="1" x14ac:dyDescent="0.35">
      <c r="C2511" s="566" t="s">
        <v>100</v>
      </c>
      <c r="D2511" s="875" t="str">
        <f>VLOOKUP(C2511,'Airport Mapping'!$C$5:$D$39,2,FALSE)</f>
        <v xml:space="preserve"> </v>
      </c>
      <c r="E2511" s="567" t="s">
        <v>43</v>
      </c>
      <c r="F2511" s="567" t="s">
        <v>111</v>
      </c>
      <c r="G2511" s="450" t="str">
        <f t="shared" si="122"/>
        <v>Hotel E-Maintenance-Boiler</v>
      </c>
      <c r="H2511" s="567" t="s">
        <v>424</v>
      </c>
      <c r="I2511" s="877" t="s">
        <v>64</v>
      </c>
      <c r="J2511" s="878">
        <f>SUMIFS('Level of Efficiency Assumptions'!J:J,'Level of Efficiency Assumptions'!D:D,E2511,'Level of Efficiency Assumptions'!F:F,F2511,'Level of Efficiency Assumptions'!I:I,I2511)</f>
        <v>100</v>
      </c>
      <c r="K2511" s="383" t="s">
        <v>585</v>
      </c>
      <c r="L2511" s="253" t="s">
        <v>64</v>
      </c>
      <c r="M2511" s="879">
        <f>SUM(Q2511:Q2512)</f>
        <v>0</v>
      </c>
      <c r="N2511" s="880">
        <f>IFERROR(M2511/M2514,"-")</f>
        <v>0</v>
      </c>
      <c r="O2511" s="881">
        <f>SUMIFS('Data Entry'!R:R,'Data Entry'!K:K,G2511)</f>
        <v>0</v>
      </c>
      <c r="P2511" s="272"/>
      <c r="Q2511" s="895">
        <v>0</v>
      </c>
      <c r="R2511" s="114"/>
      <c r="S2511" s="884"/>
      <c r="T2511" s="270"/>
      <c r="U2511" s="270"/>
      <c r="V2511" s="270"/>
      <c r="W2511" s="270"/>
      <c r="X2511" s="270"/>
      <c r="Y2511" s="270"/>
      <c r="Z2511" s="270"/>
      <c r="AA2511" s="270"/>
    </row>
    <row r="2512" spans="3:27" ht="15" thickBot="1" x14ac:dyDescent="0.35">
      <c r="C2512" s="494" t="s">
        <v>100</v>
      </c>
      <c r="D2512" s="577"/>
      <c r="E2512" s="577" t="s">
        <v>43</v>
      </c>
      <c r="F2512" s="577" t="s">
        <v>111</v>
      </c>
      <c r="G2512" s="450" t="str">
        <f t="shared" si="122"/>
        <v>Hotel E-Maintenance-Boiler</v>
      </c>
      <c r="H2512" s="577"/>
      <c r="I2512" s="887" t="s">
        <v>65</v>
      </c>
      <c r="J2512" s="878">
        <f>SUMIFS('Level of Efficiency Assumptions'!J:J,'Level of Efficiency Assumptions'!D:D,E2512,'Level of Efficiency Assumptions'!F:F,F2512,'Level of Efficiency Assumptions'!I:I,I2512)</f>
        <v>75</v>
      </c>
      <c r="K2512" s="383" t="s">
        <v>585</v>
      </c>
      <c r="L2512" s="255" t="s">
        <v>65</v>
      </c>
      <c r="M2512" s="879">
        <f>Q2513+Q2514</f>
        <v>1</v>
      </c>
      <c r="N2512" s="880">
        <f>IFERROR(M2512/M2514,"-")</f>
        <v>1</v>
      </c>
      <c r="O2512" s="881">
        <f>SUMIFS('Data Entry'!S:S,'Data Entry'!K:K,G2512)</f>
        <v>0</v>
      </c>
      <c r="P2512" s="272"/>
      <c r="Q2512" s="895">
        <v>0</v>
      </c>
      <c r="R2512" s="114"/>
      <c r="S2512" s="884"/>
      <c r="T2512" s="270"/>
      <c r="U2512" s="114"/>
      <c r="V2512" s="114"/>
      <c r="W2512" s="270"/>
      <c r="X2512" s="270"/>
      <c r="Y2512" s="270"/>
      <c r="Z2512" s="270"/>
      <c r="AA2512" s="270"/>
    </row>
    <row r="2513" spans="3:31" ht="15" thickBot="1" x14ac:dyDescent="0.35">
      <c r="C2513" s="501" t="s">
        <v>100</v>
      </c>
      <c r="D2513" s="116"/>
      <c r="E2513" s="116" t="s">
        <v>43</v>
      </c>
      <c r="F2513" s="116" t="s">
        <v>111</v>
      </c>
      <c r="G2513" s="450" t="str">
        <f t="shared" si="122"/>
        <v>Hotel E-Maintenance-Boiler</v>
      </c>
      <c r="H2513" s="116"/>
      <c r="I2513" s="889" t="s">
        <v>66</v>
      </c>
      <c r="J2513" s="890">
        <f>SUMIFS('Level of Efficiency Assumptions'!J:J,'Level of Efficiency Assumptions'!D:D,E2513,'Level of Efficiency Assumptions'!F:F,F2513,'Level of Efficiency Assumptions'!I:I,I2513)</f>
        <v>50</v>
      </c>
      <c r="K2513" s="383" t="s">
        <v>585</v>
      </c>
      <c r="L2513" s="257" t="s">
        <v>66</v>
      </c>
      <c r="M2513" s="879">
        <f>Q2515+Q2516</f>
        <v>0</v>
      </c>
      <c r="N2513" s="880">
        <f>IFERROR(M2513/M2514,"-")</f>
        <v>0</v>
      </c>
      <c r="O2513" s="881">
        <f>SUMIFS('Data Entry'!T:T,'Data Entry'!K:K,G2513)</f>
        <v>0</v>
      </c>
      <c r="P2513" s="274"/>
      <c r="Q2513" s="895">
        <v>1</v>
      </c>
      <c r="R2513" s="114"/>
      <c r="S2513" s="884"/>
      <c r="T2513" s="270"/>
      <c r="U2513" s="114"/>
      <c r="V2513" s="114"/>
      <c r="W2513" s="270"/>
      <c r="X2513" s="270"/>
      <c r="Y2513" s="270"/>
      <c r="Z2513" s="270"/>
      <c r="AA2513" s="270"/>
    </row>
    <row r="2514" spans="3:31" s="45" customFormat="1" x14ac:dyDescent="0.3">
      <c r="C2514" s="450"/>
      <c r="D2514" s="182"/>
      <c r="E2514" s="182"/>
      <c r="F2514" s="182"/>
      <c r="G2514" s="450" t="str">
        <f t="shared" si="122"/>
        <v>--</v>
      </c>
      <c r="H2514" s="182"/>
      <c r="I2514" s="440"/>
      <c r="J2514" s="892"/>
      <c r="K2514" s="259"/>
      <c r="L2514" s="259" t="s">
        <v>46</v>
      </c>
      <c r="M2514" s="893">
        <f>SUM(M2511:M2513)</f>
        <v>1</v>
      </c>
      <c r="N2514" s="894"/>
      <c r="O2514" s="894">
        <f>SUM(O2511:O2513)</f>
        <v>0</v>
      </c>
      <c r="P2514" s="274"/>
      <c r="Q2514" s="895">
        <v>0</v>
      </c>
      <c r="R2514" s="114"/>
      <c r="S2514" s="884"/>
      <c r="T2514" s="270"/>
      <c r="U2514" s="114"/>
      <c r="V2514" s="114"/>
      <c r="W2514" s="114"/>
      <c r="X2514" s="114"/>
      <c r="Y2514" s="270"/>
      <c r="Z2514" s="270"/>
      <c r="AA2514" s="270"/>
      <c r="AB2514" s="85"/>
      <c r="AC2514" s="85"/>
      <c r="AD2514" s="85"/>
      <c r="AE2514" s="85"/>
    </row>
    <row r="2515" spans="3:31" s="45" customFormat="1" x14ac:dyDescent="0.3">
      <c r="C2515" s="450"/>
      <c r="D2515" s="182"/>
      <c r="E2515" s="182"/>
      <c r="F2515" s="182"/>
      <c r="G2515" s="450" t="str">
        <f t="shared" si="122"/>
        <v>--</v>
      </c>
      <c r="H2515" s="182"/>
      <c r="I2515" s="892"/>
      <c r="J2515" s="288"/>
      <c r="K2515" s="182"/>
      <c r="L2515" s="182"/>
      <c r="M2515" s="270"/>
      <c r="N2515" s="892"/>
      <c r="O2515" s="892"/>
      <c r="P2515" s="275"/>
      <c r="Q2515" s="895">
        <v>0</v>
      </c>
      <c r="R2515" s="114"/>
      <c r="S2515" s="884"/>
      <c r="T2515" s="270"/>
      <c r="U2515" s="114"/>
      <c r="V2515" s="114"/>
      <c r="W2515" s="114"/>
      <c r="X2515" s="114"/>
      <c r="Y2515" s="270"/>
      <c r="Z2515" s="270"/>
      <c r="AA2515" s="270"/>
      <c r="AB2515" s="85"/>
      <c r="AC2515" s="85"/>
      <c r="AD2515" s="85"/>
      <c r="AE2515" s="85"/>
    </row>
    <row r="2516" spans="3:31" s="45" customFormat="1" x14ac:dyDescent="0.3">
      <c r="C2516" s="450"/>
      <c r="D2516" s="182"/>
      <c r="E2516" s="182"/>
      <c r="F2516" s="182"/>
      <c r="G2516" s="450" t="str">
        <f t="shared" si="122"/>
        <v>--</v>
      </c>
      <c r="H2516" s="182"/>
      <c r="I2516" s="892"/>
      <c r="J2516" s="288"/>
      <c r="K2516" s="182"/>
      <c r="L2516" s="182"/>
      <c r="M2516" s="270"/>
      <c r="N2516" s="892"/>
      <c r="O2516" s="892"/>
      <c r="P2516" s="269"/>
      <c r="Q2516" s="895">
        <v>0</v>
      </c>
      <c r="R2516" s="114"/>
      <c r="S2516" s="884"/>
      <c r="T2516" s="270"/>
      <c r="U2516" s="270"/>
      <c r="V2516" s="270"/>
      <c r="W2516" s="114"/>
      <c r="X2516" s="114"/>
      <c r="Y2516" s="270"/>
      <c r="Z2516" s="270"/>
      <c r="AA2516" s="270"/>
      <c r="AB2516" s="85"/>
      <c r="AC2516" s="85"/>
      <c r="AD2516" s="85"/>
      <c r="AE2516" s="85"/>
    </row>
    <row r="2517" spans="3:31" s="45" customFormat="1" x14ac:dyDescent="0.3">
      <c r="C2517" s="450"/>
      <c r="D2517" s="182"/>
      <c r="E2517" s="182"/>
      <c r="F2517" s="182"/>
      <c r="G2517" s="450" t="str">
        <f t="shared" si="122"/>
        <v>--</v>
      </c>
      <c r="H2517" s="182"/>
      <c r="I2517" s="892"/>
      <c r="J2517" s="288"/>
      <c r="K2517" s="182"/>
      <c r="L2517" s="182"/>
      <c r="M2517" s="270"/>
      <c r="N2517" s="892"/>
      <c r="O2517" s="892"/>
      <c r="P2517" s="263" t="s">
        <v>46</v>
      </c>
      <c r="Q2517" s="897">
        <f>SUM(Q2511:Q2516)</f>
        <v>1</v>
      </c>
      <c r="R2517" s="899"/>
      <c r="S2517" s="900"/>
      <c r="T2517" s="270"/>
      <c r="U2517" s="270"/>
      <c r="V2517" s="270"/>
      <c r="W2517" s="114"/>
      <c r="X2517" s="114"/>
      <c r="Y2517" s="270"/>
      <c r="Z2517" s="270"/>
      <c r="AA2517" s="270"/>
      <c r="AB2517" s="85"/>
      <c r="AC2517" s="85"/>
      <c r="AD2517" s="85"/>
      <c r="AE2517" s="85"/>
    </row>
    <row r="2518" spans="3:31" s="45" customFormat="1" x14ac:dyDescent="0.3">
      <c r="C2518" s="225"/>
      <c r="D2518" s="288"/>
      <c r="E2518" s="288"/>
      <c r="F2518" s="288"/>
      <c r="G2518" s="450" t="str">
        <f t="shared" si="122"/>
        <v>--</v>
      </c>
      <c r="H2518" s="182"/>
      <c r="I2518" s="892"/>
      <c r="J2518" s="288"/>
      <c r="K2518" s="182"/>
      <c r="L2518" s="182"/>
      <c r="M2518" s="270"/>
      <c r="N2518" s="892"/>
      <c r="O2518" s="892"/>
      <c r="P2518" s="259"/>
      <c r="Q2518" s="114"/>
      <c r="R2518" s="270"/>
      <c r="S2518" s="270"/>
      <c r="T2518" s="270"/>
      <c r="U2518" s="270"/>
      <c r="V2518" s="270"/>
      <c r="W2518" s="270"/>
      <c r="X2518" s="270"/>
      <c r="Y2518" s="270"/>
      <c r="Z2518" s="270"/>
      <c r="AA2518" s="270"/>
      <c r="AB2518" s="85"/>
      <c r="AC2518" s="85"/>
      <c r="AD2518" s="85"/>
      <c r="AE2518" s="85"/>
    </row>
    <row r="2519" spans="3:31" s="45" customFormat="1" ht="15" thickBot="1" x14ac:dyDescent="0.35">
      <c r="C2519" s="225"/>
      <c r="D2519" s="182"/>
      <c r="E2519" s="182"/>
      <c r="F2519" s="182"/>
      <c r="G2519" s="450" t="str">
        <f t="shared" si="122"/>
        <v>--</v>
      </c>
      <c r="H2519" s="182"/>
      <c r="I2519" s="892"/>
      <c r="J2519" s="892"/>
      <c r="K2519" s="182"/>
      <c r="L2519" s="182"/>
      <c r="M2519" s="901" t="s">
        <v>155</v>
      </c>
      <c r="N2519" s="870" t="s">
        <v>188</v>
      </c>
      <c r="O2519" s="870"/>
      <c r="P2519" s="276" t="s">
        <v>34</v>
      </c>
      <c r="Q2519" s="871" t="s">
        <v>155</v>
      </c>
      <c r="R2519" s="902"/>
      <c r="S2519" s="874"/>
      <c r="T2519" s="270"/>
      <c r="U2519" s="270"/>
      <c r="V2519" s="270"/>
      <c r="W2519" s="270"/>
      <c r="X2519" s="270"/>
      <c r="Y2519" s="270"/>
      <c r="Z2519" s="270"/>
      <c r="AA2519" s="270"/>
      <c r="AB2519" s="85"/>
      <c r="AC2519" s="85"/>
      <c r="AD2519" s="85"/>
      <c r="AE2519" s="85"/>
    </row>
    <row r="2520" spans="3:31" s="45" customFormat="1" ht="15" thickBot="1" x14ac:dyDescent="0.35">
      <c r="C2520" s="566" t="s">
        <v>100</v>
      </c>
      <c r="D2520" s="875" t="str">
        <f>VLOOKUP(C2520,'Airport Mapping'!$C$5:$D$39,2,FALSE)</f>
        <v xml:space="preserve"> </v>
      </c>
      <c r="E2520" s="567" t="s">
        <v>43</v>
      </c>
      <c r="F2520" s="567" t="s">
        <v>34</v>
      </c>
      <c r="G2520" s="450" t="str">
        <f t="shared" si="122"/>
        <v>Hotel E-Maintenance-Swimming Pool</v>
      </c>
      <c r="H2520" s="567" t="s">
        <v>36</v>
      </c>
      <c r="I2520" s="877" t="s">
        <v>64</v>
      </c>
      <c r="J2520" s="878">
        <f>SUMIFS('Level of Efficiency Assumptions'!J:J,'Level of Efficiency Assumptions'!D:D,E2520,'Level of Efficiency Assumptions'!F:F,F2520,'Level of Efficiency Assumptions'!I:I,I2520)</f>
        <v>10</v>
      </c>
      <c r="K2520" s="383" t="s">
        <v>816</v>
      </c>
      <c r="L2520" s="253" t="s">
        <v>64</v>
      </c>
      <c r="M2520" s="879">
        <f>SUM(Q2520:Q2521)</f>
        <v>0</v>
      </c>
      <c r="N2520" s="880">
        <f>IFERROR(M2520/M2523,"-")</f>
        <v>0</v>
      </c>
      <c r="O2520" s="881">
        <f>SUMIFS('Data Entry'!R:R,'Data Entry'!K:K,G2520)</f>
        <v>0</v>
      </c>
      <c r="P2520" s="272"/>
      <c r="Q2520" s="895">
        <v>0</v>
      </c>
      <c r="R2520" s="114"/>
      <c r="S2520" s="884"/>
      <c r="T2520" s="270"/>
      <c r="U2520" s="270"/>
      <c r="V2520" s="270"/>
      <c r="W2520" s="270"/>
      <c r="X2520" s="270"/>
      <c r="Y2520" s="270"/>
      <c r="Z2520" s="270"/>
      <c r="AA2520" s="270"/>
      <c r="AB2520" s="85"/>
      <c r="AC2520" s="85"/>
      <c r="AD2520" s="85"/>
      <c r="AE2520" s="85"/>
    </row>
    <row r="2521" spans="3:31" s="45" customFormat="1" ht="15" thickBot="1" x14ac:dyDescent="0.35">
      <c r="C2521" s="494" t="s">
        <v>100</v>
      </c>
      <c r="D2521" s="577"/>
      <c r="E2521" s="577" t="s">
        <v>43</v>
      </c>
      <c r="F2521" s="577" t="s">
        <v>34</v>
      </c>
      <c r="G2521" s="450" t="str">
        <f t="shared" si="122"/>
        <v>Hotel E-Maintenance-Swimming Pool</v>
      </c>
      <c r="H2521" s="577"/>
      <c r="I2521" s="887" t="s">
        <v>65</v>
      </c>
      <c r="J2521" s="878">
        <f>SUMIFS('Level of Efficiency Assumptions'!J:J,'Level of Efficiency Assumptions'!D:D,E2521,'Level of Efficiency Assumptions'!F:F,F2521,'Level of Efficiency Assumptions'!I:I,I2521)</f>
        <v>7.5</v>
      </c>
      <c r="K2521" s="383" t="s">
        <v>816</v>
      </c>
      <c r="L2521" s="255" t="s">
        <v>65</v>
      </c>
      <c r="M2521" s="879">
        <f>Q2522+Q2523</f>
        <v>1</v>
      </c>
      <c r="N2521" s="880">
        <f>IFERROR(M2521/M2523,"-")</f>
        <v>1</v>
      </c>
      <c r="O2521" s="881">
        <f>SUMIFS('Data Entry'!S:S,'Data Entry'!K:K,G2521)</f>
        <v>0</v>
      </c>
      <c r="P2521" s="272"/>
      <c r="Q2521" s="895">
        <v>0</v>
      </c>
      <c r="R2521" s="114"/>
      <c r="S2521" s="884"/>
      <c r="T2521" s="270"/>
      <c r="U2521" s="270"/>
      <c r="V2521" s="270"/>
      <c r="W2521" s="270"/>
      <c r="X2521" s="270"/>
      <c r="Y2521" s="270"/>
      <c r="Z2521" s="270"/>
      <c r="AA2521" s="270"/>
      <c r="AB2521" s="85"/>
      <c r="AC2521" s="85"/>
      <c r="AD2521" s="85"/>
      <c r="AE2521" s="85"/>
    </row>
    <row r="2522" spans="3:31" s="45" customFormat="1" ht="15" thickBot="1" x14ac:dyDescent="0.35">
      <c r="C2522" s="501" t="s">
        <v>100</v>
      </c>
      <c r="D2522" s="116"/>
      <c r="E2522" s="116" t="s">
        <v>43</v>
      </c>
      <c r="F2522" s="116" t="s">
        <v>34</v>
      </c>
      <c r="G2522" s="450" t="str">
        <f t="shared" si="122"/>
        <v>Hotel E-Maintenance-Swimming Pool</v>
      </c>
      <c r="H2522" s="116"/>
      <c r="I2522" s="889" t="s">
        <v>66</v>
      </c>
      <c r="J2522" s="890">
        <f>SUMIFS('Level of Efficiency Assumptions'!J:J,'Level of Efficiency Assumptions'!D:D,E2522,'Level of Efficiency Assumptions'!F:F,F2522,'Level of Efficiency Assumptions'!I:I,I2522)</f>
        <v>5</v>
      </c>
      <c r="K2522" s="383" t="s">
        <v>816</v>
      </c>
      <c r="L2522" s="257" t="s">
        <v>66</v>
      </c>
      <c r="M2522" s="879">
        <f>Q2524+Q2525</f>
        <v>0</v>
      </c>
      <c r="N2522" s="880">
        <f>IFERROR(M2522/M2523,"-")</f>
        <v>0</v>
      </c>
      <c r="O2522" s="881">
        <f>SUMIFS('Data Entry'!T:T,'Data Entry'!K:K,G2522)</f>
        <v>0</v>
      </c>
      <c r="P2522" s="274"/>
      <c r="Q2522" s="895">
        <v>1</v>
      </c>
      <c r="R2522" s="114"/>
      <c r="S2522" s="884"/>
      <c r="T2522" s="270"/>
      <c r="U2522" s="270"/>
      <c r="V2522" s="270"/>
      <c r="W2522" s="270"/>
      <c r="X2522" s="270"/>
      <c r="Y2522" s="270"/>
      <c r="Z2522" s="270"/>
      <c r="AA2522" s="270"/>
      <c r="AB2522" s="85"/>
      <c r="AC2522" s="85"/>
      <c r="AD2522" s="85"/>
      <c r="AE2522" s="85"/>
    </row>
    <row r="2523" spans="3:31" s="45" customFormat="1" x14ac:dyDescent="0.3">
      <c r="C2523" s="450"/>
      <c r="D2523" s="182"/>
      <c r="E2523" s="182"/>
      <c r="F2523" s="182"/>
      <c r="G2523" s="450" t="str">
        <f t="shared" si="122"/>
        <v>--</v>
      </c>
      <c r="H2523" s="182"/>
      <c r="I2523" s="440"/>
      <c r="J2523" s="892"/>
      <c r="K2523" s="259"/>
      <c r="L2523" s="259" t="s">
        <v>46</v>
      </c>
      <c r="M2523" s="893">
        <f>SUM(M2520:M2522)</f>
        <v>1</v>
      </c>
      <c r="N2523" s="894"/>
      <c r="O2523" s="894">
        <f>SUM(O2520:O2522)</f>
        <v>0</v>
      </c>
      <c r="P2523" s="274"/>
      <c r="Q2523" s="895">
        <v>0</v>
      </c>
      <c r="R2523" s="114"/>
      <c r="S2523" s="884"/>
      <c r="T2523" s="270"/>
      <c r="U2523" s="270"/>
      <c r="V2523" s="270"/>
      <c r="W2523" s="270"/>
      <c r="X2523" s="270"/>
      <c r="Y2523" s="270"/>
      <c r="Z2523" s="270"/>
      <c r="AA2523" s="270"/>
      <c r="AB2523" s="85"/>
      <c r="AC2523" s="85"/>
      <c r="AD2523" s="85"/>
      <c r="AE2523" s="85"/>
    </row>
    <row r="2524" spans="3:31" x14ac:dyDescent="0.3">
      <c r="C2524" s="450"/>
      <c r="D2524" s="182"/>
      <c r="E2524" s="182"/>
      <c r="F2524" s="182"/>
      <c r="G2524" s="450" t="str">
        <f t="shared" si="122"/>
        <v>--</v>
      </c>
      <c r="H2524" s="182"/>
      <c r="I2524" s="892"/>
      <c r="J2524" s="288"/>
      <c r="K2524" s="182"/>
      <c r="L2524" s="182"/>
      <c r="M2524" s="270"/>
      <c r="N2524" s="892"/>
      <c r="O2524" s="892"/>
      <c r="P2524" s="275"/>
      <c r="Q2524" s="895">
        <v>0</v>
      </c>
      <c r="R2524" s="114"/>
      <c r="S2524" s="884"/>
      <c r="T2524" s="270"/>
      <c r="U2524" s="270"/>
      <c r="V2524" s="270"/>
      <c r="W2524" s="270"/>
      <c r="X2524" s="270"/>
      <c r="Y2524" s="270"/>
      <c r="Z2524" s="270"/>
      <c r="AA2524" s="270"/>
    </row>
    <row r="2525" spans="3:31" x14ac:dyDescent="0.3">
      <c r="C2525" s="450"/>
      <c r="D2525" s="182"/>
      <c r="E2525" s="182"/>
      <c r="F2525" s="182"/>
      <c r="G2525" s="450" t="str">
        <f t="shared" si="122"/>
        <v>--</v>
      </c>
      <c r="H2525" s="182"/>
      <c r="I2525" s="892"/>
      <c r="J2525" s="288"/>
      <c r="K2525" s="182"/>
      <c r="L2525" s="182"/>
      <c r="M2525" s="270"/>
      <c r="N2525" s="892"/>
      <c r="O2525" s="892"/>
      <c r="P2525" s="269"/>
      <c r="Q2525" s="895">
        <v>0</v>
      </c>
      <c r="R2525" s="114"/>
      <c r="S2525" s="884"/>
      <c r="T2525" s="270"/>
      <c r="U2525" s="270"/>
      <c r="V2525" s="270"/>
      <c r="W2525" s="270"/>
      <c r="X2525" s="270"/>
      <c r="Y2525" s="270"/>
      <c r="Z2525" s="270"/>
      <c r="AA2525" s="270"/>
    </row>
    <row r="2526" spans="3:31" x14ac:dyDescent="0.3">
      <c r="C2526" s="450"/>
      <c r="D2526" s="182"/>
      <c r="E2526" s="182"/>
      <c r="F2526" s="182"/>
      <c r="G2526" s="450" t="str">
        <f t="shared" si="122"/>
        <v>--</v>
      </c>
      <c r="H2526" s="182"/>
      <c r="I2526" s="892"/>
      <c r="J2526" s="288"/>
      <c r="K2526" s="182"/>
      <c r="L2526" s="182"/>
      <c r="M2526" s="270"/>
      <c r="N2526" s="892"/>
      <c r="O2526" s="892"/>
      <c r="P2526" s="263" t="s">
        <v>46</v>
      </c>
      <c r="Q2526" s="897">
        <f>SUM(Q2520:Q2525)</f>
        <v>1</v>
      </c>
      <c r="R2526" s="899"/>
      <c r="S2526" s="900"/>
      <c r="T2526" s="270"/>
      <c r="U2526" s="270"/>
      <c r="V2526" s="270"/>
      <c r="W2526" s="270"/>
      <c r="X2526" s="270"/>
      <c r="Y2526" s="270"/>
      <c r="Z2526" s="270"/>
      <c r="AA2526" s="270"/>
    </row>
    <row r="2527" spans="3:31" x14ac:dyDescent="0.3">
      <c r="C2527" s="450"/>
      <c r="D2527" s="182"/>
      <c r="E2527" s="182"/>
      <c r="F2527" s="182"/>
      <c r="G2527" s="450" t="str">
        <f t="shared" si="122"/>
        <v>--</v>
      </c>
      <c r="H2527" s="182"/>
      <c r="I2527" s="892"/>
      <c r="J2527" s="288"/>
      <c r="K2527" s="182"/>
      <c r="L2527" s="182"/>
      <c r="M2527" s="270"/>
      <c r="N2527" s="892"/>
      <c r="O2527" s="892"/>
      <c r="P2527" s="259"/>
      <c r="Q2527" s="114"/>
      <c r="R2527" s="114"/>
      <c r="S2527" s="114"/>
      <c r="T2527" s="270"/>
      <c r="U2527" s="270"/>
      <c r="V2527" s="270"/>
      <c r="W2527" s="270"/>
      <c r="X2527" s="270"/>
      <c r="Y2527" s="270"/>
      <c r="Z2527" s="270"/>
      <c r="AA2527" s="270"/>
    </row>
    <row r="2528" spans="3:31" ht="15" thickBot="1" x14ac:dyDescent="0.35">
      <c r="C2528" s="450"/>
      <c r="D2528" s="182"/>
      <c r="E2528" s="182"/>
      <c r="F2528" s="182"/>
      <c r="G2528" s="450" t="str">
        <f t="shared" si="122"/>
        <v>--</v>
      </c>
      <c r="H2528" s="182"/>
      <c r="I2528" s="892"/>
      <c r="J2528" s="892"/>
      <c r="K2528" s="182"/>
      <c r="L2528" s="182"/>
      <c r="M2528" s="901" t="s">
        <v>155</v>
      </c>
      <c r="N2528" s="870" t="s">
        <v>188</v>
      </c>
      <c r="O2528" s="870"/>
      <c r="P2528" s="276" t="s">
        <v>21</v>
      </c>
      <c r="Q2528" s="871" t="s">
        <v>155</v>
      </c>
      <c r="R2528" s="902"/>
      <c r="S2528" s="874"/>
      <c r="T2528" s="270"/>
      <c r="U2528" s="270"/>
      <c r="V2528" s="270"/>
      <c r="W2528" s="270"/>
      <c r="X2528" s="270"/>
      <c r="Y2528" s="270"/>
      <c r="Z2528" s="270"/>
      <c r="AA2528" s="270"/>
    </row>
    <row r="2529" spans="3:27" ht="15" thickBot="1" x14ac:dyDescent="0.35">
      <c r="C2529" s="566" t="s">
        <v>100</v>
      </c>
      <c r="D2529" s="875" t="str">
        <f>VLOOKUP(C2529,'Airport Mapping'!$C$5:$D$39,2,FALSE)</f>
        <v xml:space="preserve"> </v>
      </c>
      <c r="E2529" s="567" t="s">
        <v>43</v>
      </c>
      <c r="F2529" s="567" t="s">
        <v>21</v>
      </c>
      <c r="G2529" s="450" t="str">
        <f t="shared" si="122"/>
        <v>Hotel E-Maintenance-Laundry</v>
      </c>
      <c r="H2529" s="567" t="s">
        <v>17</v>
      </c>
      <c r="I2529" s="877" t="s">
        <v>64</v>
      </c>
      <c r="J2529" s="878">
        <f>SUMIFS('Level of Efficiency Assumptions'!J:J,'Level of Efficiency Assumptions'!D:D,E2529,'Level of Efficiency Assumptions'!F:F,F2529,'Level of Efficiency Assumptions'!I:I,I2529)</f>
        <v>3.5</v>
      </c>
      <c r="K2529" s="383" t="s">
        <v>235</v>
      </c>
      <c r="L2529" s="253" t="s">
        <v>64</v>
      </c>
      <c r="M2529" s="879">
        <f>SUM(Q2529:Q2530)</f>
        <v>0</v>
      </c>
      <c r="N2529" s="880">
        <f>IFERROR(M2529/M2532,"-")</f>
        <v>0</v>
      </c>
      <c r="O2529" s="881">
        <f>SUMIFS('Data Entry'!R:R,'Data Entry'!K:K,G2529)</f>
        <v>0</v>
      </c>
      <c r="P2529" s="272"/>
      <c r="Q2529" s="895">
        <v>0</v>
      </c>
      <c r="R2529" s="114"/>
      <c r="S2529" s="884"/>
      <c r="T2529" s="270"/>
      <c r="U2529" s="270"/>
      <c r="V2529" s="270"/>
      <c r="W2529" s="270"/>
      <c r="X2529" s="270"/>
      <c r="Y2529" s="270"/>
      <c r="Z2529" s="270"/>
      <c r="AA2529" s="270"/>
    </row>
    <row r="2530" spans="3:27" ht="15" thickBot="1" x14ac:dyDescent="0.35">
      <c r="C2530" s="494" t="s">
        <v>100</v>
      </c>
      <c r="D2530" s="577"/>
      <c r="E2530" s="577" t="s">
        <v>43</v>
      </c>
      <c r="F2530" s="577" t="s">
        <v>21</v>
      </c>
      <c r="G2530" s="450" t="str">
        <f t="shared" si="122"/>
        <v>Hotel E-Maintenance-Laundry</v>
      </c>
      <c r="H2530" s="577"/>
      <c r="I2530" s="887" t="s">
        <v>65</v>
      </c>
      <c r="J2530" s="878">
        <f>SUMIFS('Level of Efficiency Assumptions'!J:J,'Level of Efficiency Assumptions'!D:D,E2530,'Level of Efficiency Assumptions'!F:F,F2530,'Level of Efficiency Assumptions'!I:I,I2530)</f>
        <v>2.5</v>
      </c>
      <c r="K2530" s="383" t="s">
        <v>235</v>
      </c>
      <c r="L2530" s="255" t="s">
        <v>65</v>
      </c>
      <c r="M2530" s="879">
        <f>Q2531+Q2532</f>
        <v>1</v>
      </c>
      <c r="N2530" s="880">
        <f>IFERROR(M2530/M2532,"-")</f>
        <v>1</v>
      </c>
      <c r="O2530" s="881">
        <f>SUMIFS('Data Entry'!S:S,'Data Entry'!K:K,G2530)</f>
        <v>0</v>
      </c>
      <c r="P2530" s="272"/>
      <c r="Q2530" s="895">
        <v>0</v>
      </c>
      <c r="R2530" s="114"/>
      <c r="S2530" s="884"/>
      <c r="T2530" s="270"/>
      <c r="U2530" s="270"/>
      <c r="V2530" s="270"/>
      <c r="W2530" s="270"/>
      <c r="X2530" s="270"/>
      <c r="Y2530" s="270"/>
      <c r="Z2530" s="270"/>
      <c r="AA2530" s="270"/>
    </row>
    <row r="2531" spans="3:27" ht="15" thickBot="1" x14ac:dyDescent="0.35">
      <c r="C2531" s="501" t="s">
        <v>100</v>
      </c>
      <c r="D2531" s="116"/>
      <c r="E2531" s="116" t="s">
        <v>43</v>
      </c>
      <c r="F2531" s="116" t="s">
        <v>21</v>
      </c>
      <c r="G2531" s="450" t="str">
        <f t="shared" si="122"/>
        <v>Hotel E-Maintenance-Laundry</v>
      </c>
      <c r="H2531" s="116"/>
      <c r="I2531" s="889" t="s">
        <v>66</v>
      </c>
      <c r="J2531" s="890">
        <f>SUMIFS('Level of Efficiency Assumptions'!J:J,'Level of Efficiency Assumptions'!D:D,E2531,'Level of Efficiency Assumptions'!F:F,F2531,'Level of Efficiency Assumptions'!I:I,I2531)</f>
        <v>1.5</v>
      </c>
      <c r="K2531" s="383" t="s">
        <v>235</v>
      </c>
      <c r="L2531" s="257" t="s">
        <v>66</v>
      </c>
      <c r="M2531" s="879">
        <f>Q2533+Q2534</f>
        <v>0</v>
      </c>
      <c r="N2531" s="880">
        <f>IFERROR(M2531/M2532,"-")</f>
        <v>0</v>
      </c>
      <c r="O2531" s="881">
        <f>SUMIFS('Data Entry'!T:T,'Data Entry'!K:K,G2531)</f>
        <v>0</v>
      </c>
      <c r="P2531" s="274"/>
      <c r="Q2531" s="895">
        <v>1</v>
      </c>
      <c r="R2531" s="114"/>
      <c r="S2531" s="884"/>
      <c r="T2531" s="270"/>
      <c r="U2531" s="270"/>
      <c r="V2531" s="270"/>
      <c r="W2531" s="270"/>
      <c r="X2531" s="270"/>
      <c r="Y2531" s="270"/>
      <c r="Z2531" s="270"/>
      <c r="AA2531" s="270"/>
    </row>
    <row r="2532" spans="3:27" x14ac:dyDescent="0.3">
      <c r="C2532" s="450"/>
      <c r="D2532" s="182"/>
      <c r="E2532" s="182"/>
      <c r="F2532" s="182"/>
      <c r="G2532" s="450" t="str">
        <f t="shared" si="122"/>
        <v>--</v>
      </c>
      <c r="H2532" s="182"/>
      <c r="I2532" s="440"/>
      <c r="J2532" s="892"/>
      <c r="K2532" s="259"/>
      <c r="L2532" s="259" t="s">
        <v>46</v>
      </c>
      <c r="M2532" s="893">
        <f>SUM(M2529:M2531)</f>
        <v>1</v>
      </c>
      <c r="N2532" s="894"/>
      <c r="O2532" s="894">
        <f>SUM(O2529:O2531)</f>
        <v>0</v>
      </c>
      <c r="P2532" s="274"/>
      <c r="Q2532" s="895">
        <v>0</v>
      </c>
      <c r="R2532" s="114"/>
      <c r="S2532" s="884"/>
      <c r="T2532" s="270"/>
      <c r="U2532" s="270"/>
      <c r="V2532" s="270"/>
      <c r="W2532" s="270"/>
      <c r="X2532" s="270"/>
      <c r="Y2532" s="270"/>
      <c r="Z2532" s="270"/>
      <c r="AA2532" s="270"/>
    </row>
    <row r="2533" spans="3:27" x14ac:dyDescent="0.3">
      <c r="C2533" s="450"/>
      <c r="D2533" s="182"/>
      <c r="E2533" s="182"/>
      <c r="F2533" s="182"/>
      <c r="G2533" s="450" t="str">
        <f t="shared" si="122"/>
        <v>--</v>
      </c>
      <c r="H2533" s="182"/>
      <c r="I2533" s="892"/>
      <c r="J2533" s="288"/>
      <c r="K2533" s="182"/>
      <c r="L2533" s="182"/>
      <c r="M2533" s="270"/>
      <c r="N2533" s="892"/>
      <c r="O2533" s="892"/>
      <c r="P2533" s="275"/>
      <c r="Q2533" s="895">
        <v>0</v>
      </c>
      <c r="R2533" s="114"/>
      <c r="S2533" s="884"/>
      <c r="T2533" s="270"/>
      <c r="U2533" s="270"/>
      <c r="V2533" s="270"/>
      <c r="W2533" s="270"/>
      <c r="X2533" s="270"/>
      <c r="Y2533" s="270"/>
      <c r="Z2533" s="270"/>
      <c r="AA2533" s="270"/>
    </row>
    <row r="2534" spans="3:27" x14ac:dyDescent="0.3">
      <c r="C2534" s="450"/>
      <c r="D2534" s="182"/>
      <c r="E2534" s="182"/>
      <c r="F2534" s="182"/>
      <c r="G2534" s="450" t="str">
        <f t="shared" si="122"/>
        <v>--</v>
      </c>
      <c r="H2534" s="182"/>
      <c r="I2534" s="892"/>
      <c r="J2534" s="288"/>
      <c r="K2534" s="182"/>
      <c r="L2534" s="182"/>
      <c r="M2534" s="270"/>
      <c r="N2534" s="892"/>
      <c r="O2534" s="892"/>
      <c r="P2534" s="269"/>
      <c r="Q2534" s="895">
        <v>0</v>
      </c>
      <c r="R2534" s="114"/>
      <c r="S2534" s="884"/>
      <c r="T2534" s="270"/>
      <c r="U2534" s="270"/>
      <c r="V2534" s="270"/>
      <c r="W2534" s="270"/>
      <c r="X2534" s="270"/>
      <c r="Y2534" s="270"/>
      <c r="Z2534" s="270"/>
      <c r="AA2534" s="270"/>
    </row>
    <row r="2535" spans="3:27" x14ac:dyDescent="0.3">
      <c r="C2535" s="450"/>
      <c r="D2535" s="182"/>
      <c r="E2535" s="182"/>
      <c r="F2535" s="182"/>
      <c r="G2535" s="450" t="str">
        <f t="shared" si="122"/>
        <v>--</v>
      </c>
      <c r="H2535" s="182"/>
      <c r="I2535" s="892"/>
      <c r="J2535" s="288"/>
      <c r="K2535" s="182"/>
      <c r="L2535" s="182"/>
      <c r="M2535" s="270"/>
      <c r="N2535" s="892"/>
      <c r="O2535" s="892"/>
      <c r="P2535" s="263" t="s">
        <v>46</v>
      </c>
      <c r="Q2535" s="897">
        <f>SUM(Q2529:Q2534)</f>
        <v>1</v>
      </c>
      <c r="R2535" s="899"/>
      <c r="S2535" s="900"/>
      <c r="T2535" s="270"/>
      <c r="U2535" s="270"/>
      <c r="V2535" s="270"/>
      <c r="W2535" s="270"/>
      <c r="X2535" s="270"/>
      <c r="Y2535" s="270"/>
      <c r="Z2535" s="270"/>
      <c r="AA2535" s="270"/>
    </row>
    <row r="2536" spans="3:27" x14ac:dyDescent="0.3">
      <c r="C2536" s="450"/>
      <c r="D2536" s="182"/>
      <c r="E2536" s="182"/>
      <c r="F2536" s="182"/>
      <c r="G2536" s="450" t="str">
        <f t="shared" si="122"/>
        <v>--</v>
      </c>
      <c r="H2536" s="182"/>
      <c r="I2536" s="892"/>
      <c r="J2536" s="288"/>
      <c r="K2536" s="182"/>
      <c r="L2536" s="270"/>
      <c r="M2536" s="270"/>
      <c r="N2536" s="923"/>
      <c r="O2536" s="923"/>
      <c r="P2536" s="270"/>
      <c r="Q2536" s="270"/>
      <c r="R2536" s="270"/>
      <c r="S2536" s="270"/>
      <c r="T2536" s="270"/>
      <c r="U2536" s="270"/>
      <c r="V2536" s="270"/>
      <c r="W2536" s="270"/>
      <c r="X2536" s="270"/>
      <c r="Y2536" s="270"/>
      <c r="Z2536" s="270"/>
      <c r="AA2536" s="270"/>
    </row>
    <row r="2537" spans="3:27" x14ac:dyDescent="0.3">
      <c r="C2537" s="450"/>
      <c r="D2537" s="182"/>
      <c r="E2537" s="182"/>
      <c r="F2537" s="182"/>
      <c r="G2537" s="450" t="str">
        <f t="shared" ref="G2537:G2592" si="123">C2537&amp;"-"&amp;E2537&amp;"-"&amp;F2537</f>
        <v>--</v>
      </c>
      <c r="H2537" s="182"/>
      <c r="I2537" s="892"/>
      <c r="J2537" s="288"/>
      <c r="K2537" s="182"/>
      <c r="L2537" s="182"/>
      <c r="M2537" s="270"/>
      <c r="N2537" s="892"/>
      <c r="O2537" s="892"/>
      <c r="P2537" s="276" t="s">
        <v>42</v>
      </c>
      <c r="Q2537" s="902"/>
      <c r="R2537" s="902"/>
      <c r="S2537" s="902"/>
      <c r="T2537" s="271"/>
      <c r="U2537" s="114"/>
      <c r="V2537" s="114"/>
      <c r="W2537" s="270"/>
      <c r="X2537" s="270"/>
      <c r="Y2537" s="270"/>
      <c r="Z2537" s="270"/>
      <c r="AA2537" s="270"/>
    </row>
    <row r="2538" spans="3:27" ht="15" thickBot="1" x14ac:dyDescent="0.35">
      <c r="C2538" s="450"/>
      <c r="D2538" s="182"/>
      <c r="E2538" s="182"/>
      <c r="F2538" s="182"/>
      <c r="G2538" s="450" t="str">
        <f t="shared" si="123"/>
        <v>--</v>
      </c>
      <c r="H2538" s="182"/>
      <c r="I2538" s="892"/>
      <c r="J2538" s="892"/>
      <c r="K2538" s="182"/>
      <c r="L2538" s="182"/>
      <c r="M2538" s="901" t="s">
        <v>155</v>
      </c>
      <c r="N2538" s="870" t="s">
        <v>188</v>
      </c>
      <c r="O2538" s="870"/>
      <c r="P2538" s="277" t="s">
        <v>818</v>
      </c>
      <c r="Q2538" s="871" t="s">
        <v>155</v>
      </c>
      <c r="R2538" s="114"/>
      <c r="S2538" s="114"/>
      <c r="T2538" s="271"/>
      <c r="U2538" s="114"/>
      <c r="V2538" s="114"/>
      <c r="W2538" s="270"/>
      <c r="X2538" s="270"/>
      <c r="Y2538" s="270"/>
      <c r="Z2538" s="270"/>
      <c r="AA2538" s="270"/>
    </row>
    <row r="2539" spans="3:27" ht="15" thickBot="1" x14ac:dyDescent="0.35">
      <c r="C2539" s="566" t="s">
        <v>100</v>
      </c>
      <c r="D2539" s="875" t="str">
        <f>VLOOKUP(C2539,'Airport Mapping'!$C$5:$D$39,2,FALSE)</f>
        <v xml:space="preserve"> </v>
      </c>
      <c r="E2539" s="567" t="s">
        <v>39</v>
      </c>
      <c r="F2539" s="567" t="s">
        <v>42</v>
      </c>
      <c r="G2539" s="450" t="str">
        <f t="shared" si="123"/>
        <v>Hotel E-Landscaping-Outdoor irrigation</v>
      </c>
      <c r="H2539" s="567" t="s">
        <v>32</v>
      </c>
      <c r="I2539" s="877" t="s">
        <v>64</v>
      </c>
      <c r="J2539" s="878">
        <f>SUMIFS('Level of Efficiency Assumptions'!J:J,'Level of Efficiency Assumptions'!D:D,E2539,'Level of Efficiency Assumptions'!F:F,F2539,'Level of Efficiency Assumptions'!I:I,I2539)</f>
        <v>28.6</v>
      </c>
      <c r="K2539" s="383" t="s">
        <v>816</v>
      </c>
      <c r="L2539" s="253" t="s">
        <v>64</v>
      </c>
      <c r="M2539" s="879">
        <f>SUM(Q2539:Q2540)</f>
        <v>0</v>
      </c>
      <c r="N2539" s="880">
        <f>IFERROR(M2539/M2542,"-")</f>
        <v>0</v>
      </c>
      <c r="O2539" s="881">
        <f>SUMIFS('Data Entry'!R:R,'Data Entry'!K:K,G2539)</f>
        <v>0</v>
      </c>
      <c r="P2539" s="272" t="s">
        <v>237</v>
      </c>
      <c r="Q2539" s="895">
        <v>0</v>
      </c>
      <c r="R2539" s="114"/>
      <c r="S2539" s="114"/>
      <c r="T2539" s="271"/>
      <c r="U2539" s="114"/>
      <c r="V2539" s="114"/>
      <c r="W2539" s="270"/>
      <c r="X2539" s="270"/>
      <c r="Y2539" s="270"/>
      <c r="Z2539" s="270"/>
      <c r="AA2539" s="270"/>
    </row>
    <row r="2540" spans="3:27" ht="15" thickBot="1" x14ac:dyDescent="0.35">
      <c r="C2540" s="494" t="s">
        <v>100</v>
      </c>
      <c r="D2540" s="577"/>
      <c r="E2540" s="577" t="s">
        <v>39</v>
      </c>
      <c r="F2540" s="577" t="s">
        <v>42</v>
      </c>
      <c r="G2540" s="450" t="str">
        <f t="shared" si="123"/>
        <v>Hotel E-Landscaping-Outdoor irrigation</v>
      </c>
      <c r="H2540" s="577"/>
      <c r="I2540" s="887" t="s">
        <v>65</v>
      </c>
      <c r="J2540" s="878">
        <f>SUMIFS('Level of Efficiency Assumptions'!J:J,'Level of Efficiency Assumptions'!D:D,E2540,'Level of Efficiency Assumptions'!F:F,F2540,'Level of Efficiency Assumptions'!I:I,I2540)</f>
        <v>13.980821518350929</v>
      </c>
      <c r="K2540" s="383" t="s">
        <v>816</v>
      </c>
      <c r="L2540" s="255" t="s">
        <v>65</v>
      </c>
      <c r="M2540" s="879">
        <f>Q2541+Q2542</f>
        <v>1</v>
      </c>
      <c r="N2540" s="880">
        <f>IFERROR(M2540/M2542,"-")</f>
        <v>1</v>
      </c>
      <c r="O2540" s="881">
        <f>SUMIFS('Data Entry'!S:S,'Data Entry'!K:K,G2540)</f>
        <v>0</v>
      </c>
      <c r="P2540" s="272" t="s">
        <v>232</v>
      </c>
      <c r="Q2540" s="895">
        <v>0</v>
      </c>
      <c r="R2540" s="114"/>
      <c r="S2540" s="114"/>
      <c r="T2540" s="271"/>
      <c r="U2540" s="114"/>
      <c r="V2540" s="114"/>
      <c r="W2540" s="270"/>
      <c r="X2540" s="270"/>
      <c r="Y2540" s="270"/>
      <c r="Z2540" s="270"/>
      <c r="AA2540" s="270"/>
    </row>
    <row r="2541" spans="3:27" ht="15" thickBot="1" x14ac:dyDescent="0.35">
      <c r="C2541" s="501" t="s">
        <v>100</v>
      </c>
      <c r="D2541" s="116"/>
      <c r="E2541" s="116" t="s">
        <v>39</v>
      </c>
      <c r="F2541" s="116" t="s">
        <v>42</v>
      </c>
      <c r="G2541" s="450" t="str">
        <f t="shared" si="123"/>
        <v>Hotel E-Landscaping-Outdoor irrigation</v>
      </c>
      <c r="H2541" s="116"/>
      <c r="I2541" s="889" t="s">
        <v>66</v>
      </c>
      <c r="J2541" s="890">
        <f>SUMIFS('Level of Efficiency Assumptions'!J:J,'Level of Efficiency Assumptions'!D:D,E2541,'Level of Efficiency Assumptions'!F:F,F2541,'Level of Efficiency Assumptions'!I:I,I2541)</f>
        <v>0.59137254901960778</v>
      </c>
      <c r="K2541" s="383" t="s">
        <v>816</v>
      </c>
      <c r="L2541" s="257" t="s">
        <v>66</v>
      </c>
      <c r="M2541" s="879">
        <f>Q2543+Q2544</f>
        <v>0</v>
      </c>
      <c r="N2541" s="880">
        <f>IFERROR(M2541/M2542,"-")</f>
        <v>0</v>
      </c>
      <c r="O2541" s="881">
        <f>SUMIFS('Data Entry'!T:T,'Data Entry'!K:K,G2541)</f>
        <v>0</v>
      </c>
      <c r="P2541" s="274" t="s">
        <v>231</v>
      </c>
      <c r="Q2541" s="895">
        <v>1</v>
      </c>
      <c r="R2541" s="114"/>
      <c r="S2541" s="114"/>
      <c r="T2541" s="271"/>
      <c r="U2541" s="114"/>
      <c r="V2541" s="114"/>
      <c r="W2541" s="270"/>
      <c r="X2541" s="270"/>
      <c r="Y2541" s="270"/>
      <c r="Z2541" s="270"/>
      <c r="AA2541" s="114"/>
    </row>
    <row r="2542" spans="3:27" x14ac:dyDescent="0.3">
      <c r="C2542" s="450"/>
      <c r="D2542" s="182"/>
      <c r="E2542" s="182"/>
      <c r="F2542" s="182"/>
      <c r="G2542" s="450" t="str">
        <f t="shared" si="123"/>
        <v>--</v>
      </c>
      <c r="H2542" s="182"/>
      <c r="I2542" s="440"/>
      <c r="J2542" s="892"/>
      <c r="K2542" s="259"/>
      <c r="L2542" s="259" t="s">
        <v>46</v>
      </c>
      <c r="M2542" s="893">
        <f>SUM(M2539:M2541)</f>
        <v>1</v>
      </c>
      <c r="N2542" s="894"/>
      <c r="O2542" s="894">
        <f>SUM(O2539:O2541)</f>
        <v>0</v>
      </c>
      <c r="P2542" s="274" t="s">
        <v>230</v>
      </c>
      <c r="Q2542" s="895">
        <v>0</v>
      </c>
      <c r="R2542" s="114"/>
      <c r="S2542" s="114"/>
      <c r="T2542" s="271"/>
      <c r="U2542" s="114"/>
      <c r="V2542" s="114"/>
      <c r="W2542" s="270"/>
      <c r="X2542" s="270"/>
      <c r="Y2542" s="270"/>
      <c r="Z2542" s="270"/>
      <c r="AA2542" s="114"/>
    </row>
    <row r="2543" spans="3:27" x14ac:dyDescent="0.3">
      <c r="C2543" s="450"/>
      <c r="D2543" s="182"/>
      <c r="E2543" s="182"/>
      <c r="F2543" s="182"/>
      <c r="G2543" s="450" t="str">
        <f t="shared" si="123"/>
        <v>--</v>
      </c>
      <c r="H2543" s="182"/>
      <c r="I2543" s="892"/>
      <c r="J2543" s="288"/>
      <c r="K2543" s="182"/>
      <c r="L2543" s="182"/>
      <c r="M2543" s="270"/>
      <c r="N2543" s="892"/>
      <c r="O2543" s="892"/>
      <c r="P2543" s="275" t="s">
        <v>229</v>
      </c>
      <c r="Q2543" s="895">
        <v>0</v>
      </c>
      <c r="R2543" s="114"/>
      <c r="S2543" s="114"/>
      <c r="T2543" s="271"/>
      <c r="U2543" s="114"/>
      <c r="V2543" s="114"/>
      <c r="W2543" s="270"/>
      <c r="X2543" s="270"/>
      <c r="Y2543" s="270"/>
      <c r="Z2543" s="270"/>
      <c r="AA2543" s="114"/>
    </row>
    <row r="2544" spans="3:27" x14ac:dyDescent="0.3">
      <c r="C2544" s="450"/>
      <c r="D2544" s="182"/>
      <c r="E2544" s="182"/>
      <c r="F2544" s="182"/>
      <c r="G2544" s="450" t="str">
        <f t="shared" si="123"/>
        <v>--</v>
      </c>
      <c r="H2544" s="182"/>
      <c r="I2544" s="892"/>
      <c r="J2544" s="288"/>
      <c r="K2544" s="182"/>
      <c r="L2544" s="182"/>
      <c r="M2544" s="270"/>
      <c r="N2544" s="892"/>
      <c r="O2544" s="892"/>
      <c r="P2544" s="269" t="s">
        <v>225</v>
      </c>
      <c r="Q2544" s="895">
        <v>0</v>
      </c>
      <c r="R2544" s="114"/>
      <c r="S2544" s="114"/>
      <c r="T2544" s="271"/>
      <c r="U2544" s="114"/>
      <c r="V2544" s="114"/>
      <c r="W2544" s="270"/>
      <c r="X2544" s="270"/>
      <c r="Y2544" s="270"/>
      <c r="Z2544" s="270"/>
      <c r="AA2544" s="114"/>
    </row>
    <row r="2545" spans="3:31" x14ac:dyDescent="0.3">
      <c r="C2545" s="450"/>
      <c r="D2545" s="182"/>
      <c r="E2545" s="182"/>
      <c r="F2545" s="182"/>
      <c r="G2545" s="450" t="str">
        <f t="shared" si="123"/>
        <v>--</v>
      </c>
      <c r="H2545" s="182"/>
      <c r="I2545" s="892"/>
      <c r="J2545" s="288"/>
      <c r="K2545" s="182"/>
      <c r="L2545" s="182"/>
      <c r="M2545" s="270"/>
      <c r="N2545" s="892"/>
      <c r="O2545" s="892"/>
      <c r="P2545" s="263" t="s">
        <v>46</v>
      </c>
      <c r="Q2545" s="897">
        <f>SUM(Q2539:Q2544)</f>
        <v>1</v>
      </c>
      <c r="R2545" s="899"/>
      <c r="S2545" s="899"/>
      <c r="T2545" s="271"/>
      <c r="U2545" s="114"/>
      <c r="V2545" s="114"/>
      <c r="W2545" s="270"/>
      <c r="X2545" s="270"/>
      <c r="Y2545" s="270"/>
      <c r="Z2545" s="270"/>
      <c r="AA2545" s="114"/>
    </row>
    <row r="2546" spans="3:31" s="45" customFormat="1" x14ac:dyDescent="0.3">
      <c r="C2546" s="450"/>
      <c r="D2546" s="182"/>
      <c r="E2546" s="182"/>
      <c r="F2546" s="182"/>
      <c r="G2546" s="450" t="str">
        <f t="shared" si="123"/>
        <v>--</v>
      </c>
      <c r="H2546" s="182"/>
      <c r="I2546" s="892"/>
      <c r="J2546" s="288"/>
      <c r="K2546" s="182"/>
      <c r="L2546" s="211"/>
      <c r="M2546" s="114"/>
      <c r="N2546" s="905"/>
      <c r="O2546" s="926"/>
      <c r="P2546" s="211"/>
      <c r="Q2546" s="114"/>
      <c r="R2546" s="211"/>
      <c r="S2546" s="211"/>
      <c r="T2546" s="270"/>
      <c r="U2546" s="270"/>
      <c r="V2546" s="270"/>
      <c r="W2546" s="270"/>
      <c r="X2546" s="270"/>
      <c r="Y2546" s="270"/>
      <c r="Z2546" s="270"/>
      <c r="AA2546" s="114"/>
      <c r="AB2546" s="85"/>
      <c r="AC2546" s="85"/>
      <c r="AD2546" s="85"/>
      <c r="AE2546" s="85"/>
    </row>
    <row r="2547" spans="3:31" s="45" customFormat="1" ht="15" thickBot="1" x14ac:dyDescent="0.35">
      <c r="C2547" s="450"/>
      <c r="D2547" s="182"/>
      <c r="E2547" s="182"/>
      <c r="F2547" s="182"/>
      <c r="G2547" s="450" t="str">
        <f t="shared" si="123"/>
        <v>--</v>
      </c>
      <c r="H2547" s="182"/>
      <c r="I2547" s="892"/>
      <c r="J2547" s="892"/>
      <c r="K2547" s="182"/>
      <c r="L2547" s="182"/>
      <c r="M2547" s="901" t="s">
        <v>155</v>
      </c>
      <c r="N2547" s="870" t="s">
        <v>188</v>
      </c>
      <c r="O2547" s="870"/>
      <c r="P2547" s="276" t="s">
        <v>52</v>
      </c>
      <c r="Q2547" s="871" t="s">
        <v>155</v>
      </c>
      <c r="R2547" s="902"/>
      <c r="S2547" s="874"/>
      <c r="T2547" s="270"/>
      <c r="U2547" s="270"/>
      <c r="V2547" s="270"/>
      <c r="W2547" s="270"/>
      <c r="X2547" s="270"/>
      <c r="Y2547" s="114"/>
      <c r="Z2547" s="114"/>
      <c r="AA2547" s="114"/>
      <c r="AB2547" s="85"/>
      <c r="AC2547" s="85"/>
      <c r="AD2547" s="85"/>
      <c r="AE2547" s="85"/>
    </row>
    <row r="2548" spans="3:31" s="45" customFormat="1" ht="15" thickBot="1" x14ac:dyDescent="0.35">
      <c r="C2548" s="566" t="s">
        <v>100</v>
      </c>
      <c r="D2548" s="875" t="str">
        <f>VLOOKUP(C2548,'Airport Mapping'!$C$5:$D$39,2,FALSE)</f>
        <v xml:space="preserve"> </v>
      </c>
      <c r="E2548" s="567" t="s">
        <v>8</v>
      </c>
      <c r="F2548" s="567" t="s">
        <v>52</v>
      </c>
      <c r="G2548" s="450" t="str">
        <f t="shared" si="123"/>
        <v>Hotel E-Other-Other 1</v>
      </c>
      <c r="H2548" s="567" t="s">
        <v>362</v>
      </c>
      <c r="I2548" s="877" t="s">
        <v>64</v>
      </c>
      <c r="J2548" s="878">
        <f>SUMIFS('Level of Efficiency Assumptions'!J:J,'Level of Efficiency Assumptions'!D:D,E2548,'Level of Efficiency Assumptions'!F:F,F2548,'Level of Efficiency Assumptions'!I:I,I2548)</f>
        <v>10</v>
      </c>
      <c r="K2548" s="383" t="s">
        <v>588</v>
      </c>
      <c r="L2548" s="253" t="s">
        <v>64</v>
      </c>
      <c r="M2548" s="879">
        <f>SUM(Q2548:Q2548)</f>
        <v>0</v>
      </c>
      <c r="N2548" s="880">
        <f>IFERROR(M2548/M2551,"-")</f>
        <v>0</v>
      </c>
      <c r="O2548" s="881">
        <f>SUMIFS('Data Entry'!R:R,'Data Entry'!K:K,G2548)</f>
        <v>0</v>
      </c>
      <c r="P2548" s="272" t="s">
        <v>129</v>
      </c>
      <c r="Q2548" s="895">
        <v>0</v>
      </c>
      <c r="R2548" s="114"/>
      <c r="S2548" s="884"/>
      <c r="T2548" s="270"/>
      <c r="U2548" s="270"/>
      <c r="V2548" s="270"/>
      <c r="W2548" s="270"/>
      <c r="X2548" s="270"/>
      <c r="Y2548" s="114"/>
      <c r="Z2548" s="114"/>
      <c r="AA2548" s="270"/>
      <c r="AB2548" s="85"/>
      <c r="AC2548" s="85"/>
      <c r="AD2548" s="85"/>
      <c r="AE2548" s="85"/>
    </row>
    <row r="2549" spans="3:31" s="45" customFormat="1" ht="15" thickBot="1" x14ac:dyDescent="0.35">
      <c r="C2549" s="494" t="s">
        <v>100</v>
      </c>
      <c r="D2549" s="577"/>
      <c r="E2549" s="577" t="s">
        <v>8</v>
      </c>
      <c r="F2549" s="577" t="s">
        <v>52</v>
      </c>
      <c r="G2549" s="450" t="str">
        <f t="shared" si="123"/>
        <v>Hotel E-Other-Other 1</v>
      </c>
      <c r="H2549" s="577"/>
      <c r="I2549" s="887" t="s">
        <v>65</v>
      </c>
      <c r="J2549" s="878">
        <f>SUMIFS('Level of Efficiency Assumptions'!J:J,'Level of Efficiency Assumptions'!D:D,E2549,'Level of Efficiency Assumptions'!F:F,F2549,'Level of Efficiency Assumptions'!I:I,I2549)</f>
        <v>7.5</v>
      </c>
      <c r="K2549" s="383" t="s">
        <v>588</v>
      </c>
      <c r="L2549" s="255" t="s">
        <v>65</v>
      </c>
      <c r="M2549" s="879">
        <f t="shared" ref="M2549:M2550" si="124">SUM(Q2549:Q2549)</f>
        <v>1</v>
      </c>
      <c r="N2549" s="880">
        <f>IFERROR(M2549/M2551,"-")</f>
        <v>1</v>
      </c>
      <c r="O2549" s="881">
        <f>SUMIFS('Data Entry'!S:S,'Data Entry'!K:K,G2549)</f>
        <v>0</v>
      </c>
      <c r="P2549" s="274" t="s">
        <v>233</v>
      </c>
      <c r="Q2549" s="895">
        <v>1</v>
      </c>
      <c r="R2549" s="114"/>
      <c r="S2549" s="884"/>
      <c r="T2549" s="114"/>
      <c r="U2549" s="270"/>
      <c r="V2549" s="270"/>
      <c r="W2549" s="270"/>
      <c r="X2549" s="270"/>
      <c r="Y2549" s="114"/>
      <c r="Z2549" s="114"/>
      <c r="AA2549" s="270"/>
      <c r="AB2549" s="85"/>
      <c r="AC2549" s="85"/>
      <c r="AD2549" s="85"/>
      <c r="AE2549" s="85"/>
    </row>
    <row r="2550" spans="3:31" s="45" customFormat="1" ht="15" thickBot="1" x14ac:dyDescent="0.35">
      <c r="C2550" s="501" t="s">
        <v>100</v>
      </c>
      <c r="D2550" s="116"/>
      <c r="E2550" s="116" t="s">
        <v>8</v>
      </c>
      <c r="F2550" s="116" t="s">
        <v>52</v>
      </c>
      <c r="G2550" s="450" t="str">
        <f t="shared" si="123"/>
        <v>Hotel E-Other-Other 1</v>
      </c>
      <c r="H2550" s="116"/>
      <c r="I2550" s="889" t="s">
        <v>66</v>
      </c>
      <c r="J2550" s="890">
        <f>SUMIFS('Level of Efficiency Assumptions'!J:J,'Level of Efficiency Assumptions'!D:D,E2550,'Level of Efficiency Assumptions'!F:F,F2550,'Level of Efficiency Assumptions'!I:I,I2550)</f>
        <v>5</v>
      </c>
      <c r="K2550" s="383" t="s">
        <v>588</v>
      </c>
      <c r="L2550" s="257" t="s">
        <v>66</v>
      </c>
      <c r="M2550" s="879">
        <f t="shared" si="124"/>
        <v>0</v>
      </c>
      <c r="N2550" s="880">
        <f>IFERROR(M2550/M2551,"-")</f>
        <v>0</v>
      </c>
      <c r="O2550" s="881">
        <f>SUMIFS('Data Entry'!T:T,'Data Entry'!K:K,G2550)</f>
        <v>0</v>
      </c>
      <c r="P2550" s="269" t="s">
        <v>234</v>
      </c>
      <c r="Q2550" s="895">
        <v>0</v>
      </c>
      <c r="R2550" s="114"/>
      <c r="S2550" s="884"/>
      <c r="T2550" s="270"/>
      <c r="U2550" s="270"/>
      <c r="V2550" s="270"/>
      <c r="W2550" s="270"/>
      <c r="X2550" s="270"/>
      <c r="Y2550" s="270"/>
      <c r="Z2550" s="270"/>
      <c r="AA2550" s="270"/>
      <c r="AB2550" s="85"/>
      <c r="AC2550" s="85"/>
      <c r="AD2550" s="85"/>
      <c r="AE2550" s="85"/>
    </row>
    <row r="2551" spans="3:31" s="45" customFormat="1" x14ac:dyDescent="0.3">
      <c r="C2551" s="450"/>
      <c r="D2551" s="182"/>
      <c r="E2551" s="182"/>
      <c r="F2551" s="182"/>
      <c r="G2551" s="450" t="str">
        <f t="shared" si="123"/>
        <v>--</v>
      </c>
      <c r="H2551" s="182"/>
      <c r="I2551" s="440"/>
      <c r="J2551" s="892"/>
      <c r="K2551" s="259"/>
      <c r="L2551" s="259" t="s">
        <v>46</v>
      </c>
      <c r="M2551" s="893">
        <f>SUM(M2548:M2550)</f>
        <v>1</v>
      </c>
      <c r="N2551" s="894"/>
      <c r="O2551" s="894">
        <f>SUM(O2548:O2550)</f>
        <v>0</v>
      </c>
      <c r="P2551" s="263" t="s">
        <v>46</v>
      </c>
      <c r="Q2551" s="897">
        <f>SUM(Q2548:Q2550)</f>
        <v>1</v>
      </c>
      <c r="R2551" s="899"/>
      <c r="S2551" s="900"/>
      <c r="T2551" s="270"/>
      <c r="U2551" s="270"/>
      <c r="V2551" s="270"/>
      <c r="W2551" s="270"/>
      <c r="X2551" s="270"/>
      <c r="Y2551" s="270"/>
      <c r="Z2551" s="270"/>
      <c r="AA2551" s="270"/>
      <c r="AB2551" s="85"/>
      <c r="AC2551" s="85"/>
      <c r="AD2551" s="85"/>
      <c r="AE2551" s="85"/>
    </row>
    <row r="2552" spans="3:31" s="45" customFormat="1" x14ac:dyDescent="0.3">
      <c r="C2552" s="450"/>
      <c r="D2552" s="182"/>
      <c r="E2552" s="182"/>
      <c r="F2552" s="182"/>
      <c r="G2552" s="450" t="str">
        <f t="shared" si="123"/>
        <v>--</v>
      </c>
      <c r="H2552" s="182"/>
      <c r="I2552" s="892"/>
      <c r="J2552" s="288"/>
      <c r="K2552" s="182"/>
      <c r="L2552" s="182"/>
      <c r="M2552" s="270"/>
      <c r="N2552" s="892"/>
      <c r="O2552" s="892"/>
      <c r="P2552" s="270"/>
      <c r="Q2552" s="270"/>
      <c r="R2552" s="270"/>
      <c r="S2552" s="270"/>
      <c r="T2552" s="270"/>
      <c r="U2552" s="270"/>
      <c r="V2552" s="270"/>
      <c r="W2552" s="270"/>
      <c r="X2552" s="270"/>
      <c r="Y2552" s="270"/>
      <c r="Z2552" s="270"/>
      <c r="AA2552" s="270"/>
      <c r="AB2552" s="85"/>
      <c r="AC2552" s="85"/>
      <c r="AD2552" s="85"/>
      <c r="AE2552" s="85"/>
    </row>
    <row r="2553" spans="3:31" s="45" customFormat="1" ht="15" thickBot="1" x14ac:dyDescent="0.35">
      <c r="C2553" s="450"/>
      <c r="D2553" s="182"/>
      <c r="E2553" s="182"/>
      <c r="F2553" s="182"/>
      <c r="G2553" s="450" t="str">
        <f t="shared" si="123"/>
        <v>--</v>
      </c>
      <c r="H2553" s="182"/>
      <c r="I2553" s="892"/>
      <c r="J2553" s="892"/>
      <c r="K2553" s="182"/>
      <c r="L2553" s="182"/>
      <c r="M2553" s="901" t="s">
        <v>155</v>
      </c>
      <c r="N2553" s="870" t="s">
        <v>188</v>
      </c>
      <c r="O2553" s="870"/>
      <c r="P2553" s="276" t="s">
        <v>53</v>
      </c>
      <c r="Q2553" s="871" t="s">
        <v>155</v>
      </c>
      <c r="R2553" s="902"/>
      <c r="S2553" s="874"/>
      <c r="T2553" s="270"/>
      <c r="U2553" s="270"/>
      <c r="V2553" s="270"/>
      <c r="W2553" s="270"/>
      <c r="X2553" s="270"/>
      <c r="Y2553" s="270"/>
      <c r="Z2553" s="270"/>
      <c r="AA2553" s="270"/>
      <c r="AB2553" s="85"/>
      <c r="AC2553" s="85"/>
      <c r="AD2553" s="85"/>
      <c r="AE2553" s="85"/>
    </row>
    <row r="2554" spans="3:31" ht="15" thickBot="1" x14ac:dyDescent="0.35">
      <c r="C2554" s="566" t="s">
        <v>100</v>
      </c>
      <c r="D2554" s="875" t="str">
        <f>VLOOKUP(C2554,'Airport Mapping'!$C$5:$D$39,2,FALSE)</f>
        <v xml:space="preserve"> </v>
      </c>
      <c r="E2554" s="567" t="s">
        <v>8</v>
      </c>
      <c r="F2554" s="567" t="s">
        <v>53</v>
      </c>
      <c r="G2554" s="450" t="str">
        <f t="shared" si="123"/>
        <v>Hotel E-Other-Other 2</v>
      </c>
      <c r="H2554" s="567" t="s">
        <v>363</v>
      </c>
      <c r="I2554" s="877" t="s">
        <v>64</v>
      </c>
      <c r="J2554" s="878">
        <f>SUMIFS('Level of Efficiency Assumptions'!J:J,'Level of Efficiency Assumptions'!D:D,E2554,'Level of Efficiency Assumptions'!F:F,F2554,'Level of Efficiency Assumptions'!I:I,I2554)</f>
        <v>10</v>
      </c>
      <c r="K2554" s="383" t="s">
        <v>588</v>
      </c>
      <c r="L2554" s="253" t="s">
        <v>64</v>
      </c>
      <c r="M2554" s="879">
        <f>SUM(Q2554:Q2554)</f>
        <v>0</v>
      </c>
      <c r="N2554" s="880">
        <f>IFERROR(M2554/M2557,"-")</f>
        <v>0</v>
      </c>
      <c r="O2554" s="881">
        <f>SUMIFS('Data Entry'!R:R,'Data Entry'!K:K,G2554)</f>
        <v>0</v>
      </c>
      <c r="P2554" s="272" t="s">
        <v>129</v>
      </c>
      <c r="Q2554" s="895">
        <v>0</v>
      </c>
      <c r="R2554" s="114"/>
      <c r="S2554" s="884"/>
      <c r="T2554" s="270"/>
      <c r="U2554" s="270"/>
      <c r="V2554" s="270"/>
      <c r="W2554" s="270"/>
      <c r="X2554" s="270"/>
      <c r="Y2554" s="270"/>
      <c r="Z2554" s="270"/>
      <c r="AA2554" s="270"/>
    </row>
    <row r="2555" spans="3:31" ht="15" thickBot="1" x14ac:dyDescent="0.35">
      <c r="C2555" s="494" t="s">
        <v>100</v>
      </c>
      <c r="D2555" s="577"/>
      <c r="E2555" s="577" t="s">
        <v>8</v>
      </c>
      <c r="F2555" s="577" t="s">
        <v>53</v>
      </c>
      <c r="G2555" s="450" t="str">
        <f t="shared" si="123"/>
        <v>Hotel E-Other-Other 2</v>
      </c>
      <c r="H2555" s="577"/>
      <c r="I2555" s="887" t="s">
        <v>65</v>
      </c>
      <c r="J2555" s="878">
        <f>SUMIFS('Level of Efficiency Assumptions'!J:J,'Level of Efficiency Assumptions'!D:D,E2555,'Level of Efficiency Assumptions'!F:F,F2555,'Level of Efficiency Assumptions'!I:I,I2555)</f>
        <v>7.5</v>
      </c>
      <c r="K2555" s="383" t="s">
        <v>588</v>
      </c>
      <c r="L2555" s="255" t="s">
        <v>65</v>
      </c>
      <c r="M2555" s="879">
        <f t="shared" ref="M2555:M2556" si="125">SUM(Q2555:Q2555)</f>
        <v>1</v>
      </c>
      <c r="N2555" s="880">
        <f>IFERROR(M2555/M2557,"-")</f>
        <v>1</v>
      </c>
      <c r="O2555" s="881">
        <f>SUMIFS('Data Entry'!S:S,'Data Entry'!K:K,G2555)</f>
        <v>0</v>
      </c>
      <c r="P2555" s="274" t="s">
        <v>233</v>
      </c>
      <c r="Q2555" s="895">
        <v>1</v>
      </c>
      <c r="R2555" s="114"/>
      <c r="S2555" s="884"/>
      <c r="T2555" s="270"/>
      <c r="U2555" s="270"/>
      <c r="V2555" s="270"/>
      <c r="W2555" s="270"/>
      <c r="X2555" s="270"/>
      <c r="Y2555" s="270"/>
      <c r="Z2555" s="270"/>
      <c r="AA2555" s="270"/>
    </row>
    <row r="2556" spans="3:31" ht="15" thickBot="1" x14ac:dyDescent="0.35">
      <c r="C2556" s="501" t="s">
        <v>100</v>
      </c>
      <c r="D2556" s="116"/>
      <c r="E2556" s="116" t="s">
        <v>8</v>
      </c>
      <c r="F2556" s="116" t="s">
        <v>53</v>
      </c>
      <c r="G2556" s="450" t="str">
        <f t="shared" si="123"/>
        <v>Hotel E-Other-Other 2</v>
      </c>
      <c r="H2556" s="116"/>
      <c r="I2556" s="889" t="s">
        <v>66</v>
      </c>
      <c r="J2556" s="890">
        <f>SUMIFS('Level of Efficiency Assumptions'!J:J,'Level of Efficiency Assumptions'!D:D,E2556,'Level of Efficiency Assumptions'!F:F,F2556,'Level of Efficiency Assumptions'!I:I,I2556)</f>
        <v>5</v>
      </c>
      <c r="K2556" s="383" t="s">
        <v>588</v>
      </c>
      <c r="L2556" s="257" t="s">
        <v>66</v>
      </c>
      <c r="M2556" s="879">
        <f t="shared" si="125"/>
        <v>0</v>
      </c>
      <c r="N2556" s="880">
        <f>IFERROR(M2556/M2557,"-")</f>
        <v>0</v>
      </c>
      <c r="O2556" s="881">
        <f>SUMIFS('Data Entry'!T:T,'Data Entry'!K:K,G2556)</f>
        <v>0</v>
      </c>
      <c r="P2556" s="269" t="s">
        <v>234</v>
      </c>
      <c r="Q2556" s="895">
        <v>0</v>
      </c>
      <c r="R2556" s="114"/>
      <c r="S2556" s="884"/>
      <c r="T2556" s="270"/>
      <c r="U2556" s="270"/>
      <c r="V2556" s="270"/>
      <c r="W2556" s="270"/>
      <c r="X2556" s="270"/>
      <c r="Y2556" s="270"/>
      <c r="Z2556" s="270"/>
      <c r="AA2556" s="270"/>
    </row>
    <row r="2557" spans="3:31" x14ac:dyDescent="0.3">
      <c r="C2557" s="450"/>
      <c r="D2557" s="182"/>
      <c r="E2557" s="182"/>
      <c r="F2557" s="182"/>
      <c r="G2557" s="450" t="str">
        <f t="shared" si="123"/>
        <v>--</v>
      </c>
      <c r="H2557" s="182"/>
      <c r="I2557" s="440"/>
      <c r="J2557" s="892"/>
      <c r="K2557" s="259"/>
      <c r="L2557" s="259" t="s">
        <v>46</v>
      </c>
      <c r="M2557" s="893">
        <f>SUM(M2554:M2556)</f>
        <v>1</v>
      </c>
      <c r="N2557" s="894"/>
      <c r="O2557" s="894">
        <f>SUM(O2554:O2556)</f>
        <v>0</v>
      </c>
      <c r="P2557" s="263" t="s">
        <v>46</v>
      </c>
      <c r="Q2557" s="897">
        <f>SUM(Q2554:Q2556)</f>
        <v>1</v>
      </c>
      <c r="R2557" s="899"/>
      <c r="S2557" s="900"/>
      <c r="T2557" s="270"/>
      <c r="U2557" s="270"/>
      <c r="V2557" s="270"/>
      <c r="W2557" s="270"/>
      <c r="X2557" s="270"/>
      <c r="Y2557" s="270"/>
      <c r="Z2557" s="270"/>
      <c r="AA2557" s="270"/>
    </row>
    <row r="2558" spans="3:31" x14ac:dyDescent="0.3">
      <c r="C2558" s="450"/>
      <c r="D2558" s="182"/>
      <c r="E2558" s="182"/>
      <c r="F2558" s="182"/>
      <c r="G2558" s="450" t="str">
        <f t="shared" si="123"/>
        <v>--</v>
      </c>
      <c r="H2558" s="182"/>
      <c r="I2558" s="892"/>
      <c r="J2558" s="288"/>
      <c r="K2558" s="182"/>
      <c r="L2558" s="182"/>
      <c r="M2558" s="270"/>
      <c r="N2558" s="892"/>
      <c r="O2558" s="892"/>
      <c r="P2558" s="270"/>
      <c r="Q2558" s="270"/>
      <c r="R2558" s="270"/>
      <c r="S2558" s="270"/>
      <c r="T2558" s="270"/>
      <c r="U2558" s="270"/>
      <c r="V2558" s="270"/>
      <c r="W2558" s="270"/>
      <c r="X2558" s="270"/>
      <c r="Y2558" s="270"/>
      <c r="Z2558" s="270"/>
      <c r="AA2558" s="270"/>
    </row>
    <row r="2559" spans="3:31" ht="15" thickBot="1" x14ac:dyDescent="0.35">
      <c r="C2559" s="450"/>
      <c r="D2559" s="182"/>
      <c r="E2559" s="182"/>
      <c r="F2559" s="182"/>
      <c r="G2559" s="450" t="str">
        <f t="shared" si="123"/>
        <v>--</v>
      </c>
      <c r="H2559" s="182"/>
      <c r="I2559" s="892"/>
      <c r="J2559" s="892"/>
      <c r="K2559" s="182"/>
      <c r="L2559" s="182"/>
      <c r="M2559" s="901" t="s">
        <v>155</v>
      </c>
      <c r="N2559" s="870" t="s">
        <v>188</v>
      </c>
      <c r="O2559" s="870"/>
      <c r="P2559" s="276" t="s">
        <v>54</v>
      </c>
      <c r="Q2559" s="871" t="s">
        <v>155</v>
      </c>
      <c r="R2559" s="902"/>
      <c r="S2559" s="874"/>
      <c r="T2559" s="270"/>
      <c r="U2559" s="270"/>
      <c r="V2559" s="270"/>
      <c r="W2559" s="270"/>
      <c r="X2559" s="270"/>
      <c r="Y2559" s="270"/>
      <c r="Z2559" s="270"/>
      <c r="AA2559" s="270"/>
    </row>
    <row r="2560" spans="3:31" ht="15" thickBot="1" x14ac:dyDescent="0.35">
      <c r="C2560" s="566" t="s">
        <v>100</v>
      </c>
      <c r="D2560" s="875" t="str">
        <f>VLOOKUP(C2560,'Airport Mapping'!$C$5:$D$39,2,FALSE)</f>
        <v xml:space="preserve"> </v>
      </c>
      <c r="E2560" s="567" t="s">
        <v>8</v>
      </c>
      <c r="F2560" s="567" t="s">
        <v>54</v>
      </c>
      <c r="G2560" s="450" t="str">
        <f t="shared" si="123"/>
        <v>Hotel E-Other-Other 3</v>
      </c>
      <c r="H2560" s="567" t="s">
        <v>364</v>
      </c>
      <c r="I2560" s="877" t="s">
        <v>64</v>
      </c>
      <c r="J2560" s="878">
        <f>SUMIFS('Level of Efficiency Assumptions'!J:J,'Level of Efficiency Assumptions'!D:D,E2560,'Level of Efficiency Assumptions'!F:F,F2560,'Level of Efficiency Assumptions'!I:I,I2560)</f>
        <v>10</v>
      </c>
      <c r="K2560" s="383" t="s">
        <v>588</v>
      </c>
      <c r="L2560" s="253" t="s">
        <v>64</v>
      </c>
      <c r="M2560" s="879">
        <f>SUM(Q2560:Q2560)</f>
        <v>0</v>
      </c>
      <c r="N2560" s="880">
        <f>IFERROR(M2560/M2563,"-")</f>
        <v>0</v>
      </c>
      <c r="O2560" s="881">
        <f>SUMIFS('Data Entry'!R:R,'Data Entry'!K:K,G2560)</f>
        <v>0</v>
      </c>
      <c r="P2560" s="272" t="s">
        <v>129</v>
      </c>
      <c r="Q2560" s="895">
        <v>0</v>
      </c>
      <c r="R2560" s="114"/>
      <c r="S2560" s="884"/>
      <c r="T2560" s="270"/>
      <c r="U2560" s="270"/>
      <c r="V2560" s="270"/>
      <c r="W2560" s="270"/>
      <c r="X2560" s="270"/>
      <c r="Y2560" s="270"/>
      <c r="Z2560" s="270"/>
      <c r="AA2560" s="270"/>
    </row>
    <row r="2561" spans="3:27" ht="15" thickBot="1" x14ac:dyDescent="0.35">
      <c r="C2561" s="494" t="s">
        <v>100</v>
      </c>
      <c r="D2561" s="577"/>
      <c r="E2561" s="577" t="s">
        <v>8</v>
      </c>
      <c r="F2561" s="577" t="s">
        <v>54</v>
      </c>
      <c r="G2561" s="450" t="str">
        <f t="shared" si="123"/>
        <v>Hotel E-Other-Other 3</v>
      </c>
      <c r="H2561" s="577"/>
      <c r="I2561" s="887" t="s">
        <v>65</v>
      </c>
      <c r="J2561" s="878">
        <f>SUMIFS('Level of Efficiency Assumptions'!J:J,'Level of Efficiency Assumptions'!D:D,E2561,'Level of Efficiency Assumptions'!F:F,F2561,'Level of Efficiency Assumptions'!I:I,I2561)</f>
        <v>7.5</v>
      </c>
      <c r="K2561" s="383" t="s">
        <v>588</v>
      </c>
      <c r="L2561" s="255" t="s">
        <v>65</v>
      </c>
      <c r="M2561" s="879">
        <f t="shared" ref="M2561:M2562" si="126">SUM(Q2561:Q2561)</f>
        <v>1</v>
      </c>
      <c r="N2561" s="880">
        <f>IFERROR(M2561/M2563,"-")</f>
        <v>1</v>
      </c>
      <c r="O2561" s="881">
        <f>SUMIFS('Data Entry'!S:S,'Data Entry'!K:K,G2561)</f>
        <v>0</v>
      </c>
      <c r="P2561" s="274" t="s">
        <v>233</v>
      </c>
      <c r="Q2561" s="895">
        <v>1</v>
      </c>
      <c r="R2561" s="114"/>
      <c r="S2561" s="884"/>
      <c r="T2561" s="270"/>
      <c r="U2561" s="270"/>
      <c r="V2561" s="270"/>
      <c r="W2561" s="270"/>
      <c r="X2561" s="270"/>
      <c r="Y2561" s="270"/>
      <c r="Z2561" s="270"/>
      <c r="AA2561" s="270"/>
    </row>
    <row r="2562" spans="3:27" ht="15" thickBot="1" x14ac:dyDescent="0.35">
      <c r="C2562" s="501" t="s">
        <v>100</v>
      </c>
      <c r="D2562" s="116"/>
      <c r="E2562" s="116" t="s">
        <v>8</v>
      </c>
      <c r="F2562" s="116" t="s">
        <v>54</v>
      </c>
      <c r="G2562" s="450" t="str">
        <f t="shared" si="123"/>
        <v>Hotel E-Other-Other 3</v>
      </c>
      <c r="H2562" s="116"/>
      <c r="I2562" s="889" t="s">
        <v>66</v>
      </c>
      <c r="J2562" s="890">
        <f>SUMIFS('Level of Efficiency Assumptions'!J:J,'Level of Efficiency Assumptions'!D:D,E2562,'Level of Efficiency Assumptions'!F:F,F2562,'Level of Efficiency Assumptions'!I:I,I2562)</f>
        <v>5</v>
      </c>
      <c r="K2562" s="383" t="s">
        <v>588</v>
      </c>
      <c r="L2562" s="257" t="s">
        <v>66</v>
      </c>
      <c r="M2562" s="879">
        <f t="shared" si="126"/>
        <v>0</v>
      </c>
      <c r="N2562" s="880">
        <f>IFERROR(M2562/M2563,"-")</f>
        <v>0</v>
      </c>
      <c r="O2562" s="881">
        <f>SUMIFS('Data Entry'!T:T,'Data Entry'!K:K,G2562)</f>
        <v>0</v>
      </c>
      <c r="P2562" s="269" t="s">
        <v>234</v>
      </c>
      <c r="Q2562" s="895">
        <v>0</v>
      </c>
      <c r="R2562" s="114"/>
      <c r="S2562" s="884"/>
      <c r="T2562" s="270"/>
      <c r="U2562" s="270"/>
      <c r="V2562" s="270"/>
      <c r="W2562" s="270"/>
      <c r="X2562" s="270"/>
      <c r="Y2562" s="270"/>
      <c r="Z2562" s="270"/>
      <c r="AA2562" s="270"/>
    </row>
    <row r="2563" spans="3:27" x14ac:dyDescent="0.3">
      <c r="C2563" s="450"/>
      <c r="D2563" s="182"/>
      <c r="E2563" s="182"/>
      <c r="F2563" s="182"/>
      <c r="G2563" s="450" t="str">
        <f t="shared" si="123"/>
        <v>--</v>
      </c>
      <c r="H2563" s="182"/>
      <c r="I2563" s="440"/>
      <c r="J2563" s="892"/>
      <c r="K2563" s="259"/>
      <c r="L2563" s="259" t="s">
        <v>46</v>
      </c>
      <c r="M2563" s="893">
        <f>SUM(M2560:M2562)</f>
        <v>1</v>
      </c>
      <c r="N2563" s="894"/>
      <c r="O2563" s="894">
        <f>SUM(O2560:O2562)</f>
        <v>0</v>
      </c>
      <c r="P2563" s="263" t="s">
        <v>46</v>
      </c>
      <c r="Q2563" s="897">
        <f>SUM(Q2560:Q2562)</f>
        <v>1</v>
      </c>
      <c r="R2563" s="899"/>
      <c r="S2563" s="900"/>
      <c r="T2563" s="270"/>
      <c r="U2563" s="270"/>
      <c r="V2563" s="270"/>
      <c r="W2563" s="270"/>
      <c r="X2563" s="270"/>
      <c r="Y2563" s="270"/>
      <c r="Z2563" s="270"/>
      <c r="AA2563" s="270"/>
    </row>
    <row r="2564" spans="3:27" ht="15" thickBot="1" x14ac:dyDescent="0.35">
      <c r="C2564" s="451"/>
      <c r="D2564" s="184"/>
      <c r="E2564" s="184"/>
      <c r="F2564" s="184"/>
      <c r="G2564" s="450" t="str">
        <f t="shared" si="123"/>
        <v>--</v>
      </c>
      <c r="H2564" s="184"/>
      <c r="I2564" s="281"/>
      <c r="J2564" s="281"/>
      <c r="K2564" s="184"/>
      <c r="L2564" s="184"/>
      <c r="M2564" s="278"/>
      <c r="N2564" s="281"/>
      <c r="O2564" s="281"/>
      <c r="P2564" s="278"/>
      <c r="Q2564" s="278"/>
      <c r="R2564" s="278"/>
      <c r="S2564" s="278"/>
      <c r="T2564" s="270"/>
      <c r="U2564" s="270"/>
      <c r="V2564" s="270"/>
      <c r="W2564" s="270"/>
      <c r="X2564" s="270"/>
      <c r="Y2564" s="270"/>
      <c r="Z2564" s="270"/>
      <c r="AA2564" s="270"/>
    </row>
    <row r="2565" spans="3:27" x14ac:dyDescent="0.3">
      <c r="C2565" s="450"/>
      <c r="D2565" s="182"/>
      <c r="E2565" s="182"/>
      <c r="F2565" s="182"/>
      <c r="G2565" s="450" t="str">
        <f t="shared" si="123"/>
        <v>--</v>
      </c>
      <c r="H2565" s="182"/>
      <c r="I2565" s="892"/>
      <c r="J2565" s="892"/>
      <c r="K2565" s="182"/>
      <c r="L2565" s="182"/>
      <c r="M2565" s="270"/>
      <c r="N2565" s="892"/>
      <c r="O2565" s="892"/>
      <c r="P2565" s="270"/>
      <c r="Q2565" s="270"/>
      <c r="R2565" s="270"/>
      <c r="S2565" s="270"/>
      <c r="T2565" s="270"/>
      <c r="U2565" s="270"/>
      <c r="V2565" s="270"/>
      <c r="W2565" s="270"/>
      <c r="X2565" s="270"/>
      <c r="Y2565" s="270"/>
      <c r="Z2565" s="270"/>
      <c r="AA2565" s="270"/>
    </row>
    <row r="2566" spans="3:27" ht="15" thickBot="1" x14ac:dyDescent="0.35">
      <c r="C2566" s="450"/>
      <c r="D2566" s="182"/>
      <c r="E2566" s="182"/>
      <c r="F2566" s="182"/>
      <c r="G2566" s="450" t="str">
        <f t="shared" si="123"/>
        <v>--</v>
      </c>
      <c r="H2566" s="182"/>
      <c r="I2566" s="892"/>
      <c r="J2566" s="892"/>
      <c r="K2566" s="182"/>
      <c r="L2566" s="182"/>
      <c r="M2566" s="901" t="s">
        <v>155</v>
      </c>
      <c r="N2566" s="870" t="s">
        <v>188</v>
      </c>
      <c r="O2566" s="870"/>
      <c r="P2566" s="276" t="s">
        <v>111</v>
      </c>
      <c r="Q2566" s="871" t="s">
        <v>155</v>
      </c>
      <c r="R2566" s="902"/>
      <c r="S2566" s="874"/>
      <c r="T2566" s="270"/>
      <c r="U2566" s="270"/>
      <c r="V2566" s="270"/>
      <c r="W2566" s="270"/>
      <c r="X2566" s="270"/>
      <c r="Y2566" s="270"/>
      <c r="Z2566" s="270"/>
      <c r="AA2566" s="270"/>
    </row>
    <row r="2567" spans="3:27" ht="15" thickBot="1" x14ac:dyDescent="0.35">
      <c r="C2567" s="566" t="s">
        <v>417</v>
      </c>
      <c r="D2567" s="875" t="str">
        <f>VLOOKUP(C2567,'Airport Mapping'!$C$5:$D$39,2,FALSE)</f>
        <v xml:space="preserve"> </v>
      </c>
      <c r="E2567" s="567" t="s">
        <v>43</v>
      </c>
      <c r="F2567" s="567" t="s">
        <v>111</v>
      </c>
      <c r="G2567" s="450" t="str">
        <f t="shared" si="123"/>
        <v>Central Heating/Cooling Plant-Maintenance-Boiler</v>
      </c>
      <c r="H2567" s="567" t="s">
        <v>424</v>
      </c>
      <c r="I2567" s="877" t="s">
        <v>64</v>
      </c>
      <c r="J2567" s="878">
        <f>SUMIFS('Level of Efficiency Assumptions'!J:J,'Level of Efficiency Assumptions'!D:D,E2567,'Level of Efficiency Assumptions'!F:F,F2567,'Level of Efficiency Assumptions'!I:I,I2567)</f>
        <v>100</v>
      </c>
      <c r="K2567" s="383" t="s">
        <v>585</v>
      </c>
      <c r="L2567" s="253" t="s">
        <v>64</v>
      </c>
      <c r="M2567" s="879">
        <f>SUM(Q2567:Q2568)</f>
        <v>0</v>
      </c>
      <c r="N2567" s="880">
        <f>IFERROR(M2567/M2570,"-")</f>
        <v>0</v>
      </c>
      <c r="O2567" s="881">
        <f>SUMIFS('Data Entry'!R:R,'Data Entry'!K:K,G2567)</f>
        <v>0</v>
      </c>
      <c r="P2567" s="272"/>
      <c r="Q2567" s="895">
        <v>0</v>
      </c>
      <c r="R2567" s="114"/>
      <c r="S2567" s="884"/>
      <c r="T2567" s="270"/>
      <c r="U2567" s="270"/>
      <c r="V2567" s="270"/>
      <c r="W2567" s="270"/>
      <c r="X2567" s="270"/>
      <c r="Y2567" s="270"/>
      <c r="Z2567" s="270"/>
      <c r="AA2567" s="270"/>
    </row>
    <row r="2568" spans="3:27" ht="15" thickBot="1" x14ac:dyDescent="0.35">
      <c r="C2568" s="494" t="s">
        <v>417</v>
      </c>
      <c r="D2568" s="577"/>
      <c r="E2568" s="577" t="s">
        <v>43</v>
      </c>
      <c r="F2568" s="577" t="s">
        <v>111</v>
      </c>
      <c r="G2568" s="450" t="str">
        <f t="shared" si="123"/>
        <v>Central Heating/Cooling Plant-Maintenance-Boiler</v>
      </c>
      <c r="H2568" s="577"/>
      <c r="I2568" s="887" t="s">
        <v>65</v>
      </c>
      <c r="J2568" s="878">
        <f>SUMIFS('Level of Efficiency Assumptions'!J:J,'Level of Efficiency Assumptions'!D:D,E2568,'Level of Efficiency Assumptions'!F:F,F2568,'Level of Efficiency Assumptions'!I:I,I2568)</f>
        <v>75</v>
      </c>
      <c r="K2568" s="383" t="s">
        <v>585</v>
      </c>
      <c r="L2568" s="255" t="s">
        <v>65</v>
      </c>
      <c r="M2568" s="879">
        <f>Q2569+Q2570</f>
        <v>1</v>
      </c>
      <c r="N2568" s="880">
        <f>IFERROR(M2568/M2570,"-")</f>
        <v>1</v>
      </c>
      <c r="O2568" s="881">
        <f>SUMIFS('Data Entry'!S:S,'Data Entry'!K:K,G2568)</f>
        <v>0</v>
      </c>
      <c r="P2568" s="272"/>
      <c r="Q2568" s="895">
        <v>0</v>
      </c>
      <c r="R2568" s="114"/>
      <c r="S2568" s="884"/>
      <c r="T2568" s="270"/>
      <c r="U2568" s="270"/>
      <c r="V2568" s="270"/>
      <c r="W2568" s="270"/>
      <c r="X2568" s="270"/>
      <c r="Y2568" s="270"/>
      <c r="Z2568" s="270"/>
      <c r="AA2568" s="270"/>
    </row>
    <row r="2569" spans="3:27" ht="15" thickBot="1" x14ac:dyDescent="0.35">
      <c r="C2569" s="501" t="s">
        <v>417</v>
      </c>
      <c r="D2569" s="116"/>
      <c r="E2569" s="116" t="s">
        <v>43</v>
      </c>
      <c r="F2569" s="116" t="s">
        <v>111</v>
      </c>
      <c r="G2569" s="450" t="str">
        <f t="shared" si="123"/>
        <v>Central Heating/Cooling Plant-Maintenance-Boiler</v>
      </c>
      <c r="H2569" s="116"/>
      <c r="I2569" s="889" t="s">
        <v>66</v>
      </c>
      <c r="J2569" s="890">
        <f>SUMIFS('Level of Efficiency Assumptions'!J:J,'Level of Efficiency Assumptions'!D:D,E2569,'Level of Efficiency Assumptions'!F:F,F2569,'Level of Efficiency Assumptions'!I:I,I2569)</f>
        <v>50</v>
      </c>
      <c r="K2569" s="383" t="s">
        <v>585</v>
      </c>
      <c r="L2569" s="257" t="s">
        <v>66</v>
      </c>
      <c r="M2569" s="879">
        <f>Q2571+Q2572</f>
        <v>0</v>
      </c>
      <c r="N2569" s="880">
        <f>IFERROR(M2569/M2570,"-")</f>
        <v>0</v>
      </c>
      <c r="O2569" s="881">
        <f>SUMIFS('Data Entry'!T:T,'Data Entry'!K:K,G2569)</f>
        <v>0</v>
      </c>
      <c r="P2569" s="274"/>
      <c r="Q2569" s="895">
        <v>1</v>
      </c>
      <c r="R2569" s="114"/>
      <c r="S2569" s="884"/>
      <c r="T2569" s="270"/>
      <c r="U2569" s="270"/>
      <c r="V2569" s="270"/>
      <c r="W2569" s="270"/>
      <c r="X2569" s="270"/>
      <c r="Y2569" s="270"/>
      <c r="Z2569" s="270"/>
      <c r="AA2569" s="270"/>
    </row>
    <row r="2570" spans="3:27" x14ac:dyDescent="0.3">
      <c r="C2570" s="450"/>
      <c r="D2570" s="182"/>
      <c r="E2570" s="182"/>
      <c r="F2570" s="182"/>
      <c r="G2570" s="450" t="str">
        <f t="shared" si="123"/>
        <v>--</v>
      </c>
      <c r="H2570" s="182"/>
      <c r="I2570" s="440"/>
      <c r="J2570" s="892"/>
      <c r="K2570" s="259"/>
      <c r="L2570" s="259" t="s">
        <v>46</v>
      </c>
      <c r="M2570" s="893">
        <f>SUM(M2567:M2569)</f>
        <v>1</v>
      </c>
      <c r="N2570" s="894"/>
      <c r="O2570" s="894">
        <f>SUM(O2567:O2569)</f>
        <v>0</v>
      </c>
      <c r="P2570" s="274"/>
      <c r="Q2570" s="895">
        <v>0</v>
      </c>
      <c r="R2570" s="114"/>
      <c r="S2570" s="884"/>
      <c r="T2570" s="270"/>
      <c r="U2570" s="270"/>
      <c r="V2570" s="270"/>
      <c r="W2570" s="270"/>
      <c r="X2570" s="270"/>
      <c r="Y2570" s="270"/>
      <c r="Z2570" s="270"/>
      <c r="AA2570" s="270"/>
    </row>
    <row r="2571" spans="3:27" ht="15" thickBot="1" x14ac:dyDescent="0.35">
      <c r="C2571" s="450"/>
      <c r="D2571" s="182"/>
      <c r="E2571" s="182"/>
      <c r="F2571" s="182"/>
      <c r="G2571" s="450" t="str">
        <f t="shared" si="123"/>
        <v>--</v>
      </c>
      <c r="H2571" s="182"/>
      <c r="I2571" s="892"/>
      <c r="J2571" s="288"/>
      <c r="K2571" s="182"/>
      <c r="L2571" s="182"/>
      <c r="M2571" s="270"/>
      <c r="N2571" s="892"/>
      <c r="O2571" s="892"/>
      <c r="P2571" s="275"/>
      <c r="Q2571" s="895">
        <v>0</v>
      </c>
      <c r="R2571" s="114"/>
      <c r="S2571" s="884"/>
      <c r="T2571" s="270"/>
      <c r="U2571" s="270"/>
      <c r="V2571" s="270"/>
      <c r="W2571" s="270"/>
      <c r="X2571" s="270"/>
      <c r="Y2571" s="270"/>
      <c r="Z2571" s="270"/>
      <c r="AA2571" s="270"/>
    </row>
    <row r="2572" spans="3:27" x14ac:dyDescent="0.3">
      <c r="C2572" s="450"/>
      <c r="D2572" s="182"/>
      <c r="E2572" s="182"/>
      <c r="F2572" s="182"/>
      <c r="G2572" s="450" t="str">
        <f t="shared" si="123"/>
        <v>--</v>
      </c>
      <c r="H2572" s="182"/>
      <c r="I2572" s="892"/>
      <c r="J2572" s="288"/>
      <c r="K2572" s="182"/>
      <c r="L2572" s="1384" t="s">
        <v>377</v>
      </c>
      <c r="M2572" s="1385"/>
      <c r="N2572" s="1385"/>
      <c r="O2572" s="1386"/>
      <c r="P2572" s="269"/>
      <c r="Q2572" s="895">
        <v>0</v>
      </c>
      <c r="R2572" s="114"/>
      <c r="S2572" s="884"/>
      <c r="T2572" s="270"/>
      <c r="U2572" s="270"/>
      <c r="V2572" s="270"/>
      <c r="W2572" s="270"/>
      <c r="X2572" s="270"/>
      <c r="Y2572" s="270"/>
      <c r="Z2572" s="270"/>
      <c r="AA2572" s="270"/>
    </row>
    <row r="2573" spans="3:27" x14ac:dyDescent="0.3">
      <c r="C2573" s="450"/>
      <c r="D2573" s="182"/>
      <c r="E2573" s="182"/>
      <c r="F2573" s="182"/>
      <c r="G2573" s="450" t="str">
        <f t="shared" si="123"/>
        <v>--</v>
      </c>
      <c r="H2573" s="182"/>
      <c r="I2573" s="892"/>
      <c r="J2573" s="288"/>
      <c r="K2573" s="182"/>
      <c r="L2573" s="1387"/>
      <c r="M2573" s="1388"/>
      <c r="N2573" s="1388"/>
      <c r="O2573" s="1389"/>
      <c r="P2573" s="263" t="s">
        <v>46</v>
      </c>
      <c r="Q2573" s="897">
        <f>SUM(Q2567:Q2572)</f>
        <v>1</v>
      </c>
      <c r="R2573" s="899"/>
      <c r="S2573" s="900"/>
      <c r="T2573" s="270"/>
      <c r="U2573" s="270"/>
      <c r="V2573" s="270"/>
      <c r="W2573" s="270"/>
      <c r="X2573" s="270"/>
      <c r="Y2573" s="270"/>
      <c r="Z2573" s="270"/>
      <c r="AA2573" s="270"/>
    </row>
    <row r="2574" spans="3:27" x14ac:dyDescent="0.3">
      <c r="C2574" s="225"/>
      <c r="D2574" s="181"/>
      <c r="E2574" s="181"/>
      <c r="F2574" s="181"/>
      <c r="G2574" s="450" t="str">
        <f t="shared" si="123"/>
        <v>--</v>
      </c>
      <c r="H2574" s="181"/>
      <c r="I2574" s="892"/>
      <c r="J2574" s="270"/>
      <c r="K2574" s="181"/>
      <c r="L2574" s="1387"/>
      <c r="M2574" s="1388"/>
      <c r="N2574" s="1388"/>
      <c r="O2574" s="1389"/>
      <c r="P2574" s="259"/>
      <c r="Q2574" s="114"/>
      <c r="R2574" s="114"/>
      <c r="S2574" s="114"/>
      <c r="T2574" s="270"/>
      <c r="U2574" s="270"/>
      <c r="V2574" s="270"/>
      <c r="W2574" s="270"/>
      <c r="X2574" s="270"/>
      <c r="Y2574" s="270"/>
      <c r="Z2574" s="270"/>
      <c r="AA2574" s="270"/>
    </row>
    <row r="2575" spans="3:27" ht="15" thickBot="1" x14ac:dyDescent="0.35">
      <c r="C2575" s="225"/>
      <c r="D2575" s="288"/>
      <c r="E2575" s="288"/>
      <c r="F2575" s="288"/>
      <c r="G2575" s="450" t="str">
        <f t="shared" si="123"/>
        <v>--</v>
      </c>
      <c r="H2575" s="182"/>
      <c r="I2575" s="892"/>
      <c r="J2575" s="288"/>
      <c r="K2575" s="182"/>
      <c r="L2575" s="1390"/>
      <c r="M2575" s="1391"/>
      <c r="N2575" s="1391"/>
      <c r="O2575" s="1392"/>
      <c r="P2575" s="270"/>
      <c r="Q2575" s="270"/>
      <c r="R2575" s="270"/>
      <c r="S2575" s="270"/>
      <c r="T2575" s="270"/>
      <c r="U2575" s="270"/>
      <c r="V2575" s="270"/>
      <c r="W2575" s="270"/>
      <c r="X2575" s="270"/>
      <c r="Y2575" s="270"/>
      <c r="Z2575" s="270"/>
      <c r="AA2575" s="270"/>
    </row>
    <row r="2576" spans="3:27" ht="15" thickBot="1" x14ac:dyDescent="0.35">
      <c r="C2576" s="225"/>
      <c r="D2576" s="182"/>
      <c r="E2576" s="182"/>
      <c r="F2576" s="182"/>
      <c r="G2576" s="450" t="str">
        <f t="shared" si="123"/>
        <v>--</v>
      </c>
      <c r="H2576" s="182"/>
      <c r="I2576" s="892"/>
      <c r="J2576" s="892"/>
      <c r="K2576" s="182"/>
      <c r="L2576" s="182"/>
      <c r="M2576" s="901" t="s">
        <v>155</v>
      </c>
      <c r="N2576" s="870" t="s">
        <v>188</v>
      </c>
      <c r="O2576" s="870"/>
      <c r="P2576" s="276" t="s">
        <v>52</v>
      </c>
      <c r="Q2576" s="871" t="s">
        <v>155</v>
      </c>
      <c r="R2576" s="902"/>
      <c r="S2576" s="874"/>
      <c r="T2576" s="270"/>
      <c r="U2576" s="270"/>
      <c r="V2576" s="270"/>
      <c r="W2576" s="270"/>
      <c r="X2576" s="270"/>
      <c r="Y2576" s="270"/>
      <c r="Z2576" s="270"/>
      <c r="AA2576" s="270"/>
    </row>
    <row r="2577" spans="3:27" ht="15" thickBot="1" x14ac:dyDescent="0.35">
      <c r="C2577" s="566" t="s">
        <v>417</v>
      </c>
      <c r="D2577" s="875" t="str">
        <f>VLOOKUP(C2577,'Airport Mapping'!$C$5:$D$39,2,FALSE)</f>
        <v xml:space="preserve"> </v>
      </c>
      <c r="E2577" s="567" t="s">
        <v>8</v>
      </c>
      <c r="F2577" s="567" t="s">
        <v>52</v>
      </c>
      <c r="G2577" s="450" t="str">
        <f t="shared" si="123"/>
        <v>Central Heating/Cooling Plant-Other-Other 1</v>
      </c>
      <c r="H2577" s="567" t="s">
        <v>362</v>
      </c>
      <c r="I2577" s="877" t="s">
        <v>64</v>
      </c>
      <c r="J2577" s="878">
        <f>SUMIFS('Level of Efficiency Assumptions'!J:J,'Level of Efficiency Assumptions'!D:D,E2577,'Level of Efficiency Assumptions'!F:F,F2577,'Level of Efficiency Assumptions'!I:I,I2577)</f>
        <v>10</v>
      </c>
      <c r="K2577" s="383" t="s">
        <v>588</v>
      </c>
      <c r="L2577" s="253" t="s">
        <v>64</v>
      </c>
      <c r="M2577" s="879">
        <f>SUM(Q2577:Q2577)</f>
        <v>0</v>
      </c>
      <c r="N2577" s="880">
        <f>IFERROR(M2577/M2580,"-")</f>
        <v>0</v>
      </c>
      <c r="O2577" s="881">
        <f>SUMIFS('Data Entry'!R:R,'Data Entry'!K:K,G2577)</f>
        <v>0</v>
      </c>
      <c r="P2577" s="272" t="s">
        <v>129</v>
      </c>
      <c r="Q2577" s="895">
        <v>0</v>
      </c>
      <c r="R2577" s="114"/>
      <c r="S2577" s="884"/>
      <c r="T2577" s="270"/>
      <c r="U2577" s="270"/>
      <c r="V2577" s="270"/>
      <c r="W2577" s="270"/>
      <c r="X2577" s="270"/>
      <c r="Y2577" s="270"/>
      <c r="Z2577" s="270"/>
      <c r="AA2577" s="270"/>
    </row>
    <row r="2578" spans="3:27" ht="15" thickBot="1" x14ac:dyDescent="0.35">
      <c r="C2578" s="494" t="s">
        <v>417</v>
      </c>
      <c r="D2578" s="577"/>
      <c r="E2578" s="577" t="s">
        <v>8</v>
      </c>
      <c r="F2578" s="577" t="s">
        <v>52</v>
      </c>
      <c r="G2578" s="450" t="str">
        <f t="shared" si="123"/>
        <v>Central Heating/Cooling Plant-Other-Other 1</v>
      </c>
      <c r="H2578" s="577"/>
      <c r="I2578" s="887" t="s">
        <v>65</v>
      </c>
      <c r="J2578" s="878">
        <f>SUMIFS('Level of Efficiency Assumptions'!J:J,'Level of Efficiency Assumptions'!D:D,E2578,'Level of Efficiency Assumptions'!F:F,F2578,'Level of Efficiency Assumptions'!I:I,I2578)</f>
        <v>7.5</v>
      </c>
      <c r="K2578" s="383" t="s">
        <v>588</v>
      </c>
      <c r="L2578" s="255" t="s">
        <v>65</v>
      </c>
      <c r="M2578" s="879">
        <f t="shared" ref="M2578:M2579" si="127">SUM(Q2578:Q2578)</f>
        <v>1</v>
      </c>
      <c r="N2578" s="880">
        <f>IFERROR(M2578/M2580,"-")</f>
        <v>1</v>
      </c>
      <c r="O2578" s="881">
        <f>SUMIFS('Data Entry'!S:S,'Data Entry'!K:K,G2578)</f>
        <v>0</v>
      </c>
      <c r="P2578" s="274" t="s">
        <v>233</v>
      </c>
      <c r="Q2578" s="895">
        <v>1</v>
      </c>
      <c r="R2578" s="114"/>
      <c r="S2578" s="884"/>
      <c r="T2578" s="270"/>
      <c r="U2578" s="270"/>
      <c r="V2578" s="270"/>
      <c r="W2578" s="270"/>
      <c r="X2578" s="270"/>
      <c r="Y2578" s="270"/>
      <c r="Z2578" s="270"/>
      <c r="AA2578" s="270"/>
    </row>
    <row r="2579" spans="3:27" ht="15" thickBot="1" x14ac:dyDescent="0.35">
      <c r="C2579" s="501" t="s">
        <v>417</v>
      </c>
      <c r="D2579" s="116"/>
      <c r="E2579" s="116" t="s">
        <v>8</v>
      </c>
      <c r="F2579" s="116" t="s">
        <v>52</v>
      </c>
      <c r="G2579" s="450" t="str">
        <f t="shared" si="123"/>
        <v>Central Heating/Cooling Plant-Other-Other 1</v>
      </c>
      <c r="H2579" s="116"/>
      <c r="I2579" s="889" t="s">
        <v>66</v>
      </c>
      <c r="J2579" s="890">
        <f>SUMIFS('Level of Efficiency Assumptions'!J:J,'Level of Efficiency Assumptions'!D:D,E2579,'Level of Efficiency Assumptions'!F:F,F2579,'Level of Efficiency Assumptions'!I:I,I2579)</f>
        <v>5</v>
      </c>
      <c r="K2579" s="383" t="s">
        <v>588</v>
      </c>
      <c r="L2579" s="257" t="s">
        <v>66</v>
      </c>
      <c r="M2579" s="879">
        <f t="shared" si="127"/>
        <v>0</v>
      </c>
      <c r="N2579" s="880">
        <f>IFERROR(M2579/M2580,"-")</f>
        <v>0</v>
      </c>
      <c r="O2579" s="881">
        <f>SUMIFS('Data Entry'!T:T,'Data Entry'!K:K,G2579)</f>
        <v>0</v>
      </c>
      <c r="P2579" s="269" t="s">
        <v>234</v>
      </c>
      <c r="Q2579" s="895">
        <v>0</v>
      </c>
      <c r="R2579" s="114"/>
      <c r="S2579" s="884"/>
      <c r="T2579" s="270"/>
      <c r="U2579" s="270"/>
      <c r="V2579" s="270"/>
      <c r="W2579" s="270"/>
      <c r="X2579" s="270"/>
      <c r="Y2579" s="270"/>
      <c r="Z2579" s="270"/>
      <c r="AA2579" s="270"/>
    </row>
    <row r="2580" spans="3:27" x14ac:dyDescent="0.3">
      <c r="C2580" s="450"/>
      <c r="D2580" s="182"/>
      <c r="E2580" s="182"/>
      <c r="F2580" s="182"/>
      <c r="G2580" s="450" t="str">
        <f t="shared" si="123"/>
        <v>--</v>
      </c>
      <c r="H2580" s="182"/>
      <c r="I2580" s="440"/>
      <c r="J2580" s="892"/>
      <c r="K2580" s="259"/>
      <c r="L2580" s="259" t="s">
        <v>46</v>
      </c>
      <c r="M2580" s="893">
        <f>SUM(M2577:M2579)</f>
        <v>1</v>
      </c>
      <c r="N2580" s="894"/>
      <c r="O2580" s="894">
        <f>SUM(O2577:O2579)</f>
        <v>0</v>
      </c>
      <c r="P2580" s="263" t="s">
        <v>46</v>
      </c>
      <c r="Q2580" s="897">
        <f>SUM(Q2577:Q2579)</f>
        <v>1</v>
      </c>
      <c r="R2580" s="899"/>
      <c r="S2580" s="900"/>
      <c r="T2580" s="270"/>
      <c r="U2580" s="270"/>
      <c r="V2580" s="270"/>
      <c r="W2580" s="270"/>
      <c r="X2580" s="270"/>
      <c r="Y2580" s="270"/>
      <c r="Z2580" s="270"/>
      <c r="AA2580" s="270"/>
    </row>
    <row r="2581" spans="3:27" x14ac:dyDescent="0.3">
      <c r="C2581" s="450"/>
      <c r="D2581" s="182"/>
      <c r="E2581" s="182"/>
      <c r="F2581" s="182"/>
      <c r="G2581" s="450" t="str">
        <f t="shared" si="123"/>
        <v>--</v>
      </c>
      <c r="H2581" s="182"/>
      <c r="I2581" s="892"/>
      <c r="J2581" s="288"/>
      <c r="K2581" s="182"/>
      <c r="L2581" s="182"/>
      <c r="M2581" s="270"/>
      <c r="N2581" s="892"/>
      <c r="O2581" s="892"/>
      <c r="P2581" s="270"/>
      <c r="Q2581" s="270"/>
      <c r="R2581" s="270"/>
      <c r="S2581" s="270"/>
      <c r="T2581" s="270"/>
      <c r="U2581" s="270"/>
      <c r="V2581" s="270"/>
      <c r="W2581" s="270"/>
      <c r="X2581" s="270"/>
      <c r="Y2581" s="270"/>
      <c r="Z2581" s="270"/>
      <c r="AA2581" s="270"/>
    </row>
    <row r="2582" spans="3:27" ht="15" thickBot="1" x14ac:dyDescent="0.35">
      <c r="C2582" s="450"/>
      <c r="D2582" s="182"/>
      <c r="E2582" s="182"/>
      <c r="F2582" s="182"/>
      <c r="G2582" s="450" t="str">
        <f t="shared" si="123"/>
        <v>--</v>
      </c>
      <c r="H2582" s="182"/>
      <c r="I2582" s="892"/>
      <c r="J2582" s="892"/>
      <c r="K2582" s="182"/>
      <c r="L2582" s="182"/>
      <c r="M2582" s="901" t="s">
        <v>155</v>
      </c>
      <c r="N2582" s="870" t="s">
        <v>188</v>
      </c>
      <c r="O2582" s="870"/>
      <c r="P2582" s="276" t="s">
        <v>53</v>
      </c>
      <c r="Q2582" s="871" t="s">
        <v>155</v>
      </c>
      <c r="R2582" s="902"/>
      <c r="S2582" s="874"/>
      <c r="T2582" s="270"/>
      <c r="U2582" s="270"/>
      <c r="V2582" s="270"/>
      <c r="W2582" s="270"/>
      <c r="X2582" s="270"/>
      <c r="Y2582" s="270"/>
      <c r="Z2582" s="270"/>
      <c r="AA2582" s="270"/>
    </row>
    <row r="2583" spans="3:27" ht="15" thickBot="1" x14ac:dyDescent="0.35">
      <c r="C2583" s="566" t="s">
        <v>417</v>
      </c>
      <c r="D2583" s="875" t="str">
        <f>VLOOKUP(C2583,'Airport Mapping'!$C$5:$D$39,2,FALSE)</f>
        <v xml:space="preserve"> </v>
      </c>
      <c r="E2583" s="567" t="s">
        <v>8</v>
      </c>
      <c r="F2583" s="567" t="s">
        <v>53</v>
      </c>
      <c r="G2583" s="450" t="str">
        <f t="shared" si="123"/>
        <v>Central Heating/Cooling Plant-Other-Other 2</v>
      </c>
      <c r="H2583" s="567" t="s">
        <v>363</v>
      </c>
      <c r="I2583" s="877" t="s">
        <v>64</v>
      </c>
      <c r="J2583" s="878">
        <f>SUMIFS('Level of Efficiency Assumptions'!J:J,'Level of Efficiency Assumptions'!D:D,E2583,'Level of Efficiency Assumptions'!F:F,F2583,'Level of Efficiency Assumptions'!I:I,I2583)</f>
        <v>10</v>
      </c>
      <c r="K2583" s="383" t="s">
        <v>588</v>
      </c>
      <c r="L2583" s="253" t="s">
        <v>64</v>
      </c>
      <c r="M2583" s="879">
        <f>SUM(Q2583:Q2583)</f>
        <v>0</v>
      </c>
      <c r="N2583" s="880">
        <f>IFERROR(M2583/M2586,"-")</f>
        <v>0</v>
      </c>
      <c r="O2583" s="881">
        <f>SUMIFS('Data Entry'!R:R,'Data Entry'!K:K,G2583)</f>
        <v>0</v>
      </c>
      <c r="P2583" s="272" t="s">
        <v>129</v>
      </c>
      <c r="Q2583" s="895">
        <v>0</v>
      </c>
      <c r="R2583" s="114"/>
      <c r="S2583" s="884"/>
      <c r="T2583" s="270"/>
      <c r="U2583" s="270"/>
      <c r="V2583" s="270"/>
      <c r="W2583" s="270"/>
      <c r="X2583" s="270"/>
      <c r="Y2583" s="270"/>
      <c r="Z2583" s="270"/>
      <c r="AA2583" s="270"/>
    </row>
    <row r="2584" spans="3:27" ht="15" thickBot="1" x14ac:dyDescent="0.35">
      <c r="C2584" s="494" t="s">
        <v>417</v>
      </c>
      <c r="D2584" s="577"/>
      <c r="E2584" s="577" t="s">
        <v>8</v>
      </c>
      <c r="F2584" s="577" t="s">
        <v>53</v>
      </c>
      <c r="G2584" s="450" t="str">
        <f t="shared" si="123"/>
        <v>Central Heating/Cooling Plant-Other-Other 2</v>
      </c>
      <c r="H2584" s="577"/>
      <c r="I2584" s="887" t="s">
        <v>65</v>
      </c>
      <c r="J2584" s="878">
        <f>SUMIFS('Level of Efficiency Assumptions'!J:J,'Level of Efficiency Assumptions'!D:D,E2584,'Level of Efficiency Assumptions'!F:F,F2584,'Level of Efficiency Assumptions'!I:I,I2584)</f>
        <v>7.5</v>
      </c>
      <c r="K2584" s="383" t="s">
        <v>588</v>
      </c>
      <c r="L2584" s="255" t="s">
        <v>65</v>
      </c>
      <c r="M2584" s="879">
        <f t="shared" ref="M2584:M2585" si="128">SUM(Q2584:Q2584)</f>
        <v>1</v>
      </c>
      <c r="N2584" s="880">
        <f>IFERROR(M2584/M2586,"-")</f>
        <v>1</v>
      </c>
      <c r="O2584" s="881">
        <f>SUMIFS('Data Entry'!S:S,'Data Entry'!K:K,G2584)</f>
        <v>0</v>
      </c>
      <c r="P2584" s="274" t="s">
        <v>233</v>
      </c>
      <c r="Q2584" s="895">
        <v>1</v>
      </c>
      <c r="R2584" s="114"/>
      <c r="S2584" s="884"/>
      <c r="T2584" s="270"/>
      <c r="U2584" s="270"/>
      <c r="V2584" s="270"/>
      <c r="W2584" s="270"/>
      <c r="X2584" s="270"/>
      <c r="Y2584" s="270"/>
      <c r="Z2584" s="270"/>
      <c r="AA2584" s="270"/>
    </row>
    <row r="2585" spans="3:27" ht="15" thickBot="1" x14ac:dyDescent="0.35">
      <c r="C2585" s="501" t="s">
        <v>417</v>
      </c>
      <c r="D2585" s="116"/>
      <c r="E2585" s="116" t="s">
        <v>8</v>
      </c>
      <c r="F2585" s="116" t="s">
        <v>53</v>
      </c>
      <c r="G2585" s="450" t="str">
        <f t="shared" si="123"/>
        <v>Central Heating/Cooling Plant-Other-Other 2</v>
      </c>
      <c r="H2585" s="116"/>
      <c r="I2585" s="889" t="s">
        <v>66</v>
      </c>
      <c r="J2585" s="890">
        <f>SUMIFS('Level of Efficiency Assumptions'!J:J,'Level of Efficiency Assumptions'!D:D,E2585,'Level of Efficiency Assumptions'!F:F,F2585,'Level of Efficiency Assumptions'!I:I,I2585)</f>
        <v>5</v>
      </c>
      <c r="K2585" s="383" t="s">
        <v>588</v>
      </c>
      <c r="L2585" s="257" t="s">
        <v>66</v>
      </c>
      <c r="M2585" s="879">
        <f t="shared" si="128"/>
        <v>0</v>
      </c>
      <c r="N2585" s="880">
        <f>IFERROR(M2585/M2586,"-")</f>
        <v>0</v>
      </c>
      <c r="O2585" s="881">
        <f>SUMIFS('Data Entry'!T:T,'Data Entry'!K:K,G2585)</f>
        <v>0</v>
      </c>
      <c r="P2585" s="269" t="s">
        <v>234</v>
      </c>
      <c r="Q2585" s="895">
        <v>0</v>
      </c>
      <c r="R2585" s="114"/>
      <c r="S2585" s="884"/>
      <c r="T2585" s="270"/>
      <c r="U2585" s="270"/>
      <c r="V2585" s="270"/>
      <c r="W2585" s="270"/>
      <c r="X2585" s="270"/>
      <c r="Y2585" s="270"/>
      <c r="Z2585" s="270"/>
      <c r="AA2585" s="270"/>
    </row>
    <row r="2586" spans="3:27" x14ac:dyDescent="0.3">
      <c r="C2586" s="450"/>
      <c r="D2586" s="182"/>
      <c r="E2586" s="182"/>
      <c r="F2586" s="182"/>
      <c r="G2586" s="450" t="str">
        <f t="shared" si="123"/>
        <v>--</v>
      </c>
      <c r="H2586" s="182"/>
      <c r="I2586" s="440"/>
      <c r="J2586" s="892"/>
      <c r="K2586" s="259"/>
      <c r="L2586" s="259" t="s">
        <v>46</v>
      </c>
      <c r="M2586" s="893">
        <f>SUM(M2583:M2585)</f>
        <v>1</v>
      </c>
      <c r="N2586" s="894"/>
      <c r="O2586" s="894">
        <f>SUM(O2583:O2585)</f>
        <v>0</v>
      </c>
      <c r="P2586" s="263" t="s">
        <v>46</v>
      </c>
      <c r="Q2586" s="897">
        <f>SUM(Q2583:Q2585)</f>
        <v>1</v>
      </c>
      <c r="R2586" s="899"/>
      <c r="S2586" s="900"/>
      <c r="T2586" s="270"/>
      <c r="U2586" s="270"/>
      <c r="V2586" s="270"/>
      <c r="W2586" s="270"/>
      <c r="X2586" s="270"/>
      <c r="Y2586" s="270"/>
      <c r="Z2586" s="270"/>
      <c r="AA2586" s="270"/>
    </row>
    <row r="2587" spans="3:27" x14ac:dyDescent="0.3">
      <c r="C2587" s="450"/>
      <c r="D2587" s="182"/>
      <c r="E2587" s="182"/>
      <c r="F2587" s="182"/>
      <c r="G2587" s="450" t="str">
        <f t="shared" si="123"/>
        <v>--</v>
      </c>
      <c r="H2587" s="182"/>
      <c r="I2587" s="892"/>
      <c r="J2587" s="288"/>
      <c r="K2587" s="182"/>
      <c r="L2587" s="182"/>
      <c r="M2587" s="270"/>
      <c r="N2587" s="892"/>
      <c r="O2587" s="892"/>
      <c r="P2587" s="270"/>
      <c r="Q2587" s="270"/>
      <c r="R2587" s="270"/>
      <c r="S2587" s="270"/>
      <c r="T2587" s="270"/>
      <c r="U2587" s="270"/>
      <c r="V2587" s="270"/>
      <c r="W2587" s="270"/>
      <c r="X2587" s="270"/>
      <c r="Y2587" s="270"/>
      <c r="Z2587" s="270"/>
      <c r="AA2587" s="270"/>
    </row>
    <row r="2588" spans="3:27" ht="15" thickBot="1" x14ac:dyDescent="0.35">
      <c r="C2588" s="450"/>
      <c r="D2588" s="182"/>
      <c r="E2588" s="182"/>
      <c r="F2588" s="182"/>
      <c r="G2588" s="450" t="str">
        <f t="shared" si="123"/>
        <v>--</v>
      </c>
      <c r="H2588" s="182"/>
      <c r="I2588" s="892"/>
      <c r="J2588" s="892"/>
      <c r="K2588" s="182"/>
      <c r="L2588" s="182"/>
      <c r="M2588" s="901" t="s">
        <v>155</v>
      </c>
      <c r="N2588" s="870" t="s">
        <v>188</v>
      </c>
      <c r="O2588" s="870"/>
      <c r="P2588" s="276" t="s">
        <v>54</v>
      </c>
      <c r="Q2588" s="871" t="s">
        <v>155</v>
      </c>
      <c r="R2588" s="902"/>
      <c r="S2588" s="874"/>
      <c r="T2588" s="270"/>
      <c r="U2588" s="270"/>
      <c r="V2588" s="270"/>
      <c r="W2588" s="270"/>
      <c r="X2588" s="270"/>
      <c r="Y2588" s="270"/>
      <c r="Z2588" s="270"/>
      <c r="AA2588" s="270"/>
    </row>
    <row r="2589" spans="3:27" ht="15" thickBot="1" x14ac:dyDescent="0.35">
      <c r="C2589" s="566" t="s">
        <v>417</v>
      </c>
      <c r="D2589" s="875" t="str">
        <f>VLOOKUP(C2589,'Airport Mapping'!$C$5:$D$39,2,FALSE)</f>
        <v xml:space="preserve"> </v>
      </c>
      <c r="E2589" s="567" t="s">
        <v>8</v>
      </c>
      <c r="F2589" s="567" t="s">
        <v>54</v>
      </c>
      <c r="G2589" s="450" t="str">
        <f t="shared" si="123"/>
        <v>Central Heating/Cooling Plant-Other-Other 3</v>
      </c>
      <c r="H2589" s="567" t="s">
        <v>364</v>
      </c>
      <c r="I2589" s="877" t="s">
        <v>64</v>
      </c>
      <c r="J2589" s="878">
        <f>SUMIFS('Level of Efficiency Assumptions'!J:J,'Level of Efficiency Assumptions'!D:D,E2589,'Level of Efficiency Assumptions'!F:F,F2589,'Level of Efficiency Assumptions'!I:I,I2589)</f>
        <v>10</v>
      </c>
      <c r="K2589" s="383" t="s">
        <v>588</v>
      </c>
      <c r="L2589" s="253" t="s">
        <v>64</v>
      </c>
      <c r="M2589" s="879">
        <f>SUM(Q2589:Q2589)</f>
        <v>0</v>
      </c>
      <c r="N2589" s="880">
        <f>IFERROR(M2589/M2592,"-")</f>
        <v>0</v>
      </c>
      <c r="O2589" s="881">
        <f>SUMIFS('Data Entry'!R:R,'Data Entry'!K:K,G2589)</f>
        <v>0</v>
      </c>
      <c r="P2589" s="272" t="s">
        <v>129</v>
      </c>
      <c r="Q2589" s="895">
        <v>0</v>
      </c>
      <c r="R2589" s="114"/>
      <c r="S2589" s="884"/>
      <c r="T2589" s="270"/>
      <c r="U2589" s="270"/>
      <c r="V2589" s="270"/>
      <c r="W2589" s="270"/>
      <c r="X2589" s="270"/>
      <c r="Y2589" s="270"/>
      <c r="Z2589" s="270"/>
      <c r="AA2589" s="270"/>
    </row>
    <row r="2590" spans="3:27" ht="15" thickBot="1" x14ac:dyDescent="0.35">
      <c r="C2590" s="494" t="s">
        <v>417</v>
      </c>
      <c r="D2590" s="577"/>
      <c r="E2590" s="577" t="s">
        <v>8</v>
      </c>
      <c r="F2590" s="577" t="s">
        <v>54</v>
      </c>
      <c r="G2590" s="450" t="str">
        <f t="shared" si="123"/>
        <v>Central Heating/Cooling Plant-Other-Other 3</v>
      </c>
      <c r="H2590" s="577"/>
      <c r="I2590" s="887" t="s">
        <v>65</v>
      </c>
      <c r="J2590" s="878">
        <f>SUMIFS('Level of Efficiency Assumptions'!J:J,'Level of Efficiency Assumptions'!D:D,E2590,'Level of Efficiency Assumptions'!F:F,F2590,'Level of Efficiency Assumptions'!I:I,I2590)</f>
        <v>7.5</v>
      </c>
      <c r="K2590" s="383" t="s">
        <v>588</v>
      </c>
      <c r="L2590" s="255" t="s">
        <v>65</v>
      </c>
      <c r="M2590" s="879">
        <f t="shared" ref="M2590:M2591" si="129">SUM(Q2590:Q2590)</f>
        <v>1</v>
      </c>
      <c r="N2590" s="880">
        <f>IFERROR(M2590/M2592,"-")</f>
        <v>1</v>
      </c>
      <c r="O2590" s="881">
        <f>SUMIFS('Data Entry'!S:S,'Data Entry'!K:K,G2590)</f>
        <v>0</v>
      </c>
      <c r="P2590" s="274" t="s">
        <v>233</v>
      </c>
      <c r="Q2590" s="895">
        <v>1</v>
      </c>
      <c r="R2590" s="114"/>
      <c r="S2590" s="884"/>
      <c r="T2590" s="270"/>
      <c r="U2590" s="270"/>
      <c r="V2590" s="270"/>
      <c r="W2590" s="270"/>
      <c r="X2590" s="270"/>
      <c r="Y2590" s="270"/>
      <c r="Z2590" s="270"/>
      <c r="AA2590" s="270"/>
    </row>
    <row r="2591" spans="3:27" ht="15" thickBot="1" x14ac:dyDescent="0.35">
      <c r="C2591" s="501" t="s">
        <v>417</v>
      </c>
      <c r="D2591" s="116"/>
      <c r="E2591" s="116" t="s">
        <v>8</v>
      </c>
      <c r="F2591" s="116" t="s">
        <v>54</v>
      </c>
      <c r="G2591" s="450" t="str">
        <f t="shared" si="123"/>
        <v>Central Heating/Cooling Plant-Other-Other 3</v>
      </c>
      <c r="H2591" s="116"/>
      <c r="I2591" s="889" t="s">
        <v>66</v>
      </c>
      <c r="J2591" s="890">
        <f>SUMIFS('Level of Efficiency Assumptions'!J:J,'Level of Efficiency Assumptions'!D:D,E2591,'Level of Efficiency Assumptions'!F:F,F2591,'Level of Efficiency Assumptions'!I:I,I2591)</f>
        <v>5</v>
      </c>
      <c r="K2591" s="383" t="s">
        <v>588</v>
      </c>
      <c r="L2591" s="257" t="s">
        <v>66</v>
      </c>
      <c r="M2591" s="879">
        <f t="shared" si="129"/>
        <v>0</v>
      </c>
      <c r="N2591" s="880">
        <f>IFERROR(M2591/M2592,"-")</f>
        <v>0</v>
      </c>
      <c r="O2591" s="881">
        <f>SUMIFS('Data Entry'!T:T,'Data Entry'!K:K,G2591)</f>
        <v>0</v>
      </c>
      <c r="P2591" s="269" t="s">
        <v>234</v>
      </c>
      <c r="Q2591" s="895">
        <v>0</v>
      </c>
      <c r="R2591" s="114"/>
      <c r="S2591" s="884"/>
      <c r="T2591" s="270"/>
      <c r="U2591" s="270"/>
      <c r="V2591" s="270"/>
      <c r="W2591" s="270"/>
      <c r="X2591" s="270"/>
      <c r="Y2591" s="270"/>
      <c r="Z2591" s="270"/>
      <c r="AA2591" s="270"/>
    </row>
    <row r="2592" spans="3:27" x14ac:dyDescent="0.3">
      <c r="C2592" s="450"/>
      <c r="D2592" s="182"/>
      <c r="E2592" s="182"/>
      <c r="F2592" s="182"/>
      <c r="G2592" s="450" t="str">
        <f t="shared" si="123"/>
        <v>--</v>
      </c>
      <c r="H2592" s="182"/>
      <c r="I2592" s="440"/>
      <c r="J2592" s="892"/>
      <c r="K2592" s="259"/>
      <c r="L2592" s="259" t="s">
        <v>46</v>
      </c>
      <c r="M2592" s="893">
        <f>SUM(M2589:M2591)</f>
        <v>1</v>
      </c>
      <c r="N2592" s="894"/>
      <c r="O2592" s="894">
        <f>SUM(O2589:O2591)</f>
        <v>0</v>
      </c>
      <c r="P2592" s="263" t="s">
        <v>46</v>
      </c>
      <c r="Q2592" s="897">
        <f>SUM(Q2589:Q2591)</f>
        <v>1</v>
      </c>
      <c r="R2592" s="899"/>
      <c r="S2592" s="900"/>
      <c r="T2592" s="270"/>
      <c r="U2592" s="270"/>
      <c r="V2592" s="270"/>
      <c r="W2592" s="270"/>
      <c r="X2592" s="270"/>
      <c r="Y2592" s="270"/>
      <c r="Z2592" s="270"/>
      <c r="AA2592" s="270"/>
    </row>
    <row r="2593" spans="3:27" ht="15" thickBot="1" x14ac:dyDescent="0.35">
      <c r="C2593" s="451"/>
      <c r="D2593" s="184"/>
      <c r="E2593" s="184"/>
      <c r="F2593" s="184"/>
      <c r="G2593" s="450" t="str">
        <f t="shared" ref="G2593:G2654" si="130">C2593&amp;"-"&amp;E2593&amp;"-"&amp;F2593</f>
        <v>--</v>
      </c>
      <c r="H2593" s="184"/>
      <c r="I2593" s="281"/>
      <c r="J2593" s="281"/>
      <c r="K2593" s="184"/>
      <c r="L2593" s="184"/>
      <c r="M2593" s="278"/>
      <c r="N2593" s="281"/>
      <c r="O2593" s="281"/>
      <c r="P2593" s="278"/>
      <c r="Q2593" s="278"/>
      <c r="R2593" s="278"/>
      <c r="S2593" s="278"/>
      <c r="T2593" s="278"/>
      <c r="U2593" s="278"/>
      <c r="V2593" s="278"/>
      <c r="W2593" s="278"/>
      <c r="X2593" s="278"/>
      <c r="Y2593" s="278"/>
      <c r="Z2593" s="278"/>
      <c r="AA2593" s="270"/>
    </row>
    <row r="2594" spans="3:27" x14ac:dyDescent="0.3">
      <c r="C2594" s="450"/>
      <c r="D2594" s="182"/>
      <c r="E2594" s="182"/>
      <c r="F2594" s="182"/>
      <c r="G2594" s="450" t="str">
        <f t="shared" si="130"/>
        <v>--</v>
      </c>
      <c r="H2594" s="182"/>
      <c r="I2594" s="892"/>
      <c r="J2594" s="892"/>
      <c r="K2594" s="182"/>
      <c r="L2594" s="182"/>
      <c r="M2594" s="270"/>
      <c r="N2594" s="892"/>
      <c r="O2594" s="892"/>
      <c r="P2594" s="270"/>
      <c r="Q2594" s="270"/>
      <c r="R2594" s="270"/>
      <c r="S2594" s="270"/>
      <c r="T2594" s="270"/>
      <c r="U2594" s="270"/>
      <c r="V2594" s="270"/>
      <c r="W2594" s="270"/>
      <c r="X2594" s="270"/>
      <c r="Y2594" s="270"/>
      <c r="Z2594" s="270"/>
      <c r="AA2594" s="270"/>
    </row>
    <row r="2595" spans="3:27" ht="15" thickBot="1" x14ac:dyDescent="0.35">
      <c r="C2595" s="450"/>
      <c r="D2595" s="182"/>
      <c r="E2595" s="182"/>
      <c r="F2595" s="182"/>
      <c r="G2595" s="450" t="str">
        <f t="shared" si="130"/>
        <v>--</v>
      </c>
      <c r="H2595" s="182"/>
      <c r="I2595" s="892"/>
      <c r="J2595" s="892"/>
      <c r="K2595" s="182"/>
      <c r="L2595" s="182"/>
      <c r="M2595" s="901" t="s">
        <v>155</v>
      </c>
      <c r="N2595" s="870" t="s">
        <v>188</v>
      </c>
      <c r="O2595" s="870"/>
      <c r="P2595" s="252" t="s">
        <v>158</v>
      </c>
      <c r="Q2595" s="871" t="s">
        <v>155</v>
      </c>
      <c r="R2595" s="872" t="s">
        <v>168</v>
      </c>
      <c r="S2595" s="872" t="s">
        <v>169</v>
      </c>
      <c r="T2595" s="873"/>
      <c r="U2595" s="874"/>
      <c r="V2595" s="270"/>
      <c r="W2595" s="270"/>
      <c r="X2595" s="270"/>
      <c r="Y2595" s="270"/>
      <c r="Z2595" s="270"/>
      <c r="AA2595" s="270"/>
    </row>
    <row r="2596" spans="3:27" ht="15" thickBot="1" x14ac:dyDescent="0.35">
      <c r="C2596" s="566" t="s">
        <v>419</v>
      </c>
      <c r="D2596" s="875" t="str">
        <f>VLOOKUP(C2596,'Airport Mapping'!$C$5:$D$39,2,FALSE)</f>
        <v xml:space="preserve"> </v>
      </c>
      <c r="E2596" s="567" t="s">
        <v>37</v>
      </c>
      <c r="F2596" s="567" t="s">
        <v>2</v>
      </c>
      <c r="G2596" s="450" t="str">
        <f t="shared" si="130"/>
        <v>Maintenance &amp; Services-Restrooms-Toilets</v>
      </c>
      <c r="H2596" s="567" t="s">
        <v>6</v>
      </c>
      <c r="I2596" s="877" t="s">
        <v>64</v>
      </c>
      <c r="J2596" s="878">
        <f>SUMIFS('Level of Efficiency Assumptions'!J:J,'Level of Efficiency Assumptions'!D:D,E2596,'Level of Efficiency Assumptions'!F:F,F2596,'Level of Efficiency Assumptions'!I:I,I2596)</f>
        <v>3.5</v>
      </c>
      <c r="K2596" s="383" t="s">
        <v>68</v>
      </c>
      <c r="L2596" s="253" t="s">
        <v>64</v>
      </c>
      <c r="M2596" s="879">
        <f>Q2596+Q2602</f>
        <v>0</v>
      </c>
      <c r="N2596" s="880">
        <f>IFERROR(M2596/M2599,"-")</f>
        <v>0</v>
      </c>
      <c r="O2596" s="881">
        <f>SUMIFS('Data Entry'!R:R,'Data Entry'!K:K,G2596)</f>
        <v>0</v>
      </c>
      <c r="P2596" s="254" t="s">
        <v>159</v>
      </c>
      <c r="Q2596" s="882">
        <v>0</v>
      </c>
      <c r="R2596" s="883"/>
      <c r="S2596" s="883"/>
      <c r="T2596" s="114" t="s">
        <v>182</v>
      </c>
      <c r="U2596" s="884"/>
      <c r="V2596" s="270"/>
      <c r="W2596" s="270"/>
      <c r="X2596" s="270"/>
      <c r="Y2596" s="270"/>
      <c r="Z2596" s="270"/>
      <c r="AA2596" s="270"/>
    </row>
    <row r="2597" spans="3:27" ht="15" thickBot="1" x14ac:dyDescent="0.35">
      <c r="C2597" s="494" t="s">
        <v>419</v>
      </c>
      <c r="D2597" s="577"/>
      <c r="E2597" s="577" t="s">
        <v>37</v>
      </c>
      <c r="F2597" s="577" t="s">
        <v>2</v>
      </c>
      <c r="G2597" s="450" t="str">
        <f t="shared" si="130"/>
        <v>Maintenance &amp; Services-Restrooms-Toilets</v>
      </c>
      <c r="H2597" s="577"/>
      <c r="I2597" s="887" t="s">
        <v>65</v>
      </c>
      <c r="J2597" s="878">
        <f>SUMIFS('Level of Efficiency Assumptions'!J:J,'Level of Efficiency Assumptions'!D:D,E2597,'Level of Efficiency Assumptions'!F:F,F2597,'Level of Efficiency Assumptions'!I:I,I2597)</f>
        <v>1.6</v>
      </c>
      <c r="K2597" s="383" t="s">
        <v>68</v>
      </c>
      <c r="L2597" s="255" t="s">
        <v>65</v>
      </c>
      <c r="M2597" s="879">
        <f>Q2597+Q2600+Q2603</f>
        <v>1</v>
      </c>
      <c r="N2597" s="880">
        <f>IFERROR(M2597/M2599,"-")</f>
        <v>1</v>
      </c>
      <c r="O2597" s="881">
        <f>SUMIFS('Data Entry'!S:S,'Data Entry'!K:K,G2597)</f>
        <v>0</v>
      </c>
      <c r="P2597" s="256" t="s">
        <v>161</v>
      </c>
      <c r="Q2597" s="882">
        <v>1</v>
      </c>
      <c r="R2597" s="883"/>
      <c r="S2597" s="883"/>
      <c r="T2597" s="114" t="s">
        <v>184</v>
      </c>
      <c r="U2597" s="884"/>
      <c r="V2597" s="270"/>
      <c r="W2597" s="270"/>
      <c r="X2597" s="270"/>
      <c r="Y2597" s="270"/>
      <c r="Z2597" s="270"/>
      <c r="AA2597" s="270"/>
    </row>
    <row r="2598" spans="3:27" ht="15" thickBot="1" x14ac:dyDescent="0.35">
      <c r="C2598" s="501" t="s">
        <v>419</v>
      </c>
      <c r="D2598" s="116"/>
      <c r="E2598" s="116" t="s">
        <v>37</v>
      </c>
      <c r="F2598" s="116" t="s">
        <v>2</v>
      </c>
      <c r="G2598" s="450" t="str">
        <f t="shared" si="130"/>
        <v>Maintenance &amp; Services-Restrooms-Toilets</v>
      </c>
      <c r="H2598" s="116"/>
      <c r="I2598" s="889" t="s">
        <v>66</v>
      </c>
      <c r="J2598" s="890">
        <f>SUMIFS('Level of Efficiency Assumptions'!J:J,'Level of Efficiency Assumptions'!D:D,E2598,'Level of Efficiency Assumptions'!F:F,F2598,'Level of Efficiency Assumptions'!I:I,I2598)</f>
        <v>1.28</v>
      </c>
      <c r="K2598" s="383" t="s">
        <v>68</v>
      </c>
      <c r="L2598" s="257" t="s">
        <v>66</v>
      </c>
      <c r="M2598" s="879">
        <f>Q2598+Q2599+Q2601+Q2604+Q2605</f>
        <v>0</v>
      </c>
      <c r="N2598" s="880">
        <f>IFERROR(M2598/M2599,"-")</f>
        <v>0</v>
      </c>
      <c r="O2598" s="881">
        <f>SUMIFS('Data Entry'!T:T,'Data Entry'!K:K,G2598)</f>
        <v>0</v>
      </c>
      <c r="P2598" s="258" t="s">
        <v>163</v>
      </c>
      <c r="Q2598" s="882">
        <v>0</v>
      </c>
      <c r="R2598" s="883"/>
      <c r="S2598" s="883"/>
      <c r="T2598" s="891"/>
      <c r="U2598" s="884"/>
      <c r="V2598" s="270"/>
      <c r="W2598" s="270"/>
      <c r="X2598" s="270"/>
      <c r="Y2598" s="270"/>
      <c r="Z2598" s="270"/>
      <c r="AA2598" s="270"/>
    </row>
    <row r="2599" spans="3:27" x14ac:dyDescent="0.3">
      <c r="C2599" s="450"/>
      <c r="D2599" s="182"/>
      <c r="E2599" s="182"/>
      <c r="F2599" s="182"/>
      <c r="G2599" s="450" t="str">
        <f t="shared" si="130"/>
        <v>--</v>
      </c>
      <c r="H2599" s="182"/>
      <c r="I2599" s="440"/>
      <c r="J2599" s="892"/>
      <c r="K2599" s="259"/>
      <c r="L2599" s="259" t="s">
        <v>46</v>
      </c>
      <c r="M2599" s="893">
        <f>SUM(M2596:M2598)</f>
        <v>1</v>
      </c>
      <c r="N2599" s="894"/>
      <c r="O2599" s="894">
        <f>SUM(O2596:O2598)</f>
        <v>0</v>
      </c>
      <c r="P2599" s="258" t="s">
        <v>165</v>
      </c>
      <c r="Q2599" s="882">
        <v>0</v>
      </c>
      <c r="R2599" s="883"/>
      <c r="S2599" s="883"/>
      <c r="T2599" s="891"/>
      <c r="U2599" s="884"/>
      <c r="V2599" s="270"/>
      <c r="W2599" s="270"/>
      <c r="X2599" s="270"/>
      <c r="Y2599" s="270"/>
      <c r="Z2599" s="270"/>
      <c r="AA2599" s="270"/>
    </row>
    <row r="2600" spans="3:27" ht="15" thickBot="1" x14ac:dyDescent="0.35">
      <c r="C2600" s="450"/>
      <c r="D2600" s="182"/>
      <c r="E2600" s="182"/>
      <c r="F2600" s="182"/>
      <c r="G2600" s="450" t="str">
        <f t="shared" si="130"/>
        <v>--</v>
      </c>
      <c r="H2600" s="182"/>
      <c r="I2600" s="892"/>
      <c r="J2600" s="288"/>
      <c r="K2600" s="182"/>
      <c r="L2600" s="181"/>
      <c r="M2600" s="181"/>
      <c r="N2600" s="892"/>
      <c r="O2600" s="892"/>
      <c r="P2600" s="256" t="s">
        <v>166</v>
      </c>
      <c r="Q2600" s="895">
        <v>0</v>
      </c>
      <c r="R2600" s="883"/>
      <c r="S2600" s="883"/>
      <c r="T2600" s="891"/>
      <c r="U2600" s="896"/>
      <c r="V2600" s="891"/>
      <c r="W2600" s="270"/>
      <c r="X2600" s="270"/>
      <c r="Y2600" s="270"/>
      <c r="Z2600" s="270"/>
      <c r="AA2600" s="270"/>
    </row>
    <row r="2601" spans="3:27" x14ac:dyDescent="0.3">
      <c r="C2601" s="450"/>
      <c r="D2601" s="182"/>
      <c r="E2601" s="182"/>
      <c r="F2601" s="182"/>
      <c r="G2601" s="450" t="str">
        <f t="shared" si="130"/>
        <v>--</v>
      </c>
      <c r="H2601" s="182"/>
      <c r="I2601" s="892"/>
      <c r="J2601" s="288"/>
      <c r="K2601" s="182"/>
      <c r="L2601" s="1384" t="s">
        <v>377</v>
      </c>
      <c r="M2601" s="1385"/>
      <c r="N2601" s="1385"/>
      <c r="O2601" s="1386"/>
      <c r="P2601" s="258" t="s">
        <v>167</v>
      </c>
      <c r="Q2601" s="895">
        <v>0</v>
      </c>
      <c r="R2601" s="883"/>
      <c r="S2601" s="883"/>
      <c r="T2601" s="891"/>
      <c r="U2601" s="896"/>
      <c r="V2601" s="891"/>
      <c r="W2601" s="270"/>
      <c r="X2601" s="270"/>
      <c r="Y2601" s="270"/>
      <c r="Z2601" s="270"/>
      <c r="AA2601" s="270"/>
    </row>
    <row r="2602" spans="3:27" x14ac:dyDescent="0.3">
      <c r="C2602" s="450"/>
      <c r="D2602" s="182"/>
      <c r="E2602" s="182"/>
      <c r="F2602" s="182"/>
      <c r="G2602" s="450" t="str">
        <f t="shared" si="130"/>
        <v>--</v>
      </c>
      <c r="H2602" s="182"/>
      <c r="I2602" s="892"/>
      <c r="J2602" s="288"/>
      <c r="K2602" s="182"/>
      <c r="L2602" s="1387"/>
      <c r="M2602" s="1388"/>
      <c r="N2602" s="1388"/>
      <c r="O2602" s="1389"/>
      <c r="P2602" s="254" t="s">
        <v>160</v>
      </c>
      <c r="Q2602" s="895">
        <v>0</v>
      </c>
      <c r="R2602" s="891"/>
      <c r="S2602" s="891"/>
      <c r="T2602" s="891"/>
      <c r="U2602" s="896"/>
      <c r="V2602" s="891"/>
      <c r="W2602" s="270"/>
      <c r="X2602" s="270"/>
      <c r="Y2602" s="270"/>
      <c r="Z2602" s="270"/>
      <c r="AA2602" s="270"/>
    </row>
    <row r="2603" spans="3:27" x14ac:dyDescent="0.3">
      <c r="C2603" s="450"/>
      <c r="D2603" s="182"/>
      <c r="E2603" s="182"/>
      <c r="F2603" s="182"/>
      <c r="G2603" s="450" t="str">
        <f t="shared" si="130"/>
        <v>--</v>
      </c>
      <c r="H2603" s="182"/>
      <c r="I2603" s="892"/>
      <c r="J2603" s="288"/>
      <c r="K2603" s="182"/>
      <c r="L2603" s="1387"/>
      <c r="M2603" s="1388"/>
      <c r="N2603" s="1388"/>
      <c r="O2603" s="1389"/>
      <c r="P2603" s="256" t="s">
        <v>162</v>
      </c>
      <c r="Q2603" s="895">
        <v>0</v>
      </c>
      <c r="R2603" s="891"/>
      <c r="S2603" s="891"/>
      <c r="T2603" s="891"/>
      <c r="U2603" s="896"/>
      <c r="V2603" s="891"/>
      <c r="W2603" s="270"/>
      <c r="X2603" s="270"/>
      <c r="Y2603" s="270"/>
      <c r="Z2603" s="270"/>
      <c r="AA2603" s="270"/>
    </row>
    <row r="2604" spans="3:27" ht="15" thickBot="1" x14ac:dyDescent="0.35">
      <c r="C2604" s="450"/>
      <c r="D2604" s="182"/>
      <c r="E2604" s="182"/>
      <c r="F2604" s="182"/>
      <c r="G2604" s="450" t="str">
        <f t="shared" si="130"/>
        <v>--</v>
      </c>
      <c r="H2604" s="182"/>
      <c r="I2604" s="892"/>
      <c r="J2604" s="288"/>
      <c r="K2604" s="182"/>
      <c r="L2604" s="1390"/>
      <c r="M2604" s="1391"/>
      <c r="N2604" s="1391"/>
      <c r="O2604" s="1392"/>
      <c r="P2604" s="258" t="s">
        <v>164</v>
      </c>
      <c r="Q2604" s="895">
        <v>0</v>
      </c>
      <c r="R2604" s="114"/>
      <c r="S2604" s="891"/>
      <c r="T2604" s="114"/>
      <c r="U2604" s="884"/>
      <c r="V2604" s="114"/>
      <c r="W2604" s="270"/>
      <c r="X2604" s="270"/>
      <c r="Y2604" s="270"/>
      <c r="Z2604" s="270"/>
      <c r="AA2604" s="270"/>
    </row>
    <row r="2605" spans="3:27" x14ac:dyDescent="0.3">
      <c r="C2605" s="450"/>
      <c r="D2605" s="182"/>
      <c r="E2605" s="182"/>
      <c r="F2605" s="182"/>
      <c r="G2605" s="450" t="str">
        <f t="shared" si="130"/>
        <v>--</v>
      </c>
      <c r="H2605" s="182"/>
      <c r="I2605" s="892"/>
      <c r="J2605" s="288"/>
      <c r="K2605" s="182"/>
      <c r="L2605" s="181"/>
      <c r="M2605" s="181"/>
      <c r="N2605" s="892"/>
      <c r="O2605" s="892"/>
      <c r="P2605" s="258" t="s">
        <v>187</v>
      </c>
      <c r="Q2605" s="895">
        <v>0</v>
      </c>
      <c r="R2605" s="114"/>
      <c r="S2605" s="891"/>
      <c r="T2605" s="114"/>
      <c r="U2605" s="884"/>
      <c r="V2605" s="114"/>
      <c r="W2605" s="270"/>
      <c r="X2605" s="270"/>
      <c r="Y2605" s="270"/>
      <c r="Z2605" s="270"/>
      <c r="AA2605" s="270"/>
    </row>
    <row r="2606" spans="3:27" x14ac:dyDescent="0.3">
      <c r="C2606" s="450"/>
      <c r="D2606" s="182"/>
      <c r="E2606" s="182"/>
      <c r="F2606" s="182"/>
      <c r="G2606" s="450" t="str">
        <f t="shared" si="130"/>
        <v>--</v>
      </c>
      <c r="H2606" s="182"/>
      <c r="I2606" s="892"/>
      <c r="J2606" s="288"/>
      <c r="K2606" s="182"/>
      <c r="L2606" s="181"/>
      <c r="M2606" s="181"/>
      <c r="N2606" s="892"/>
      <c r="O2606" s="892"/>
      <c r="P2606" s="263" t="s">
        <v>46</v>
      </c>
      <c r="Q2606" s="897">
        <f>SUM(Q2596:Q2605)</f>
        <v>1</v>
      </c>
      <c r="R2606" s="898"/>
      <c r="S2606" s="898"/>
      <c r="T2606" s="899"/>
      <c r="U2606" s="900"/>
      <c r="V2606" s="114"/>
      <c r="W2606" s="270"/>
      <c r="X2606" s="270"/>
      <c r="Y2606" s="270"/>
      <c r="Z2606" s="270"/>
      <c r="AA2606" s="270"/>
    </row>
    <row r="2607" spans="3:27" x14ac:dyDescent="0.3">
      <c r="C2607" s="450"/>
      <c r="D2607" s="182"/>
      <c r="E2607" s="182"/>
      <c r="F2607" s="182"/>
      <c r="G2607" s="450" t="str">
        <f t="shared" si="130"/>
        <v>--</v>
      </c>
      <c r="H2607" s="182"/>
      <c r="I2607" s="892"/>
      <c r="J2607" s="288"/>
      <c r="K2607" s="182"/>
      <c r="L2607" s="181"/>
      <c r="M2607" s="181"/>
      <c r="N2607" s="892"/>
      <c r="O2607" s="892"/>
      <c r="P2607" s="114"/>
      <c r="Q2607" s="114"/>
      <c r="R2607" s="891"/>
      <c r="S2607" s="891"/>
      <c r="T2607" s="114"/>
      <c r="U2607" s="114"/>
      <c r="V2607" s="114"/>
      <c r="W2607" s="270"/>
      <c r="X2607" s="270"/>
      <c r="Y2607" s="270"/>
      <c r="Z2607" s="270"/>
      <c r="AA2607" s="270"/>
    </row>
    <row r="2608" spans="3:27" ht="15" thickBot="1" x14ac:dyDescent="0.35">
      <c r="C2608" s="450"/>
      <c r="D2608" s="182"/>
      <c r="E2608" s="182"/>
      <c r="F2608" s="182"/>
      <c r="G2608" s="450" t="str">
        <f t="shared" si="130"/>
        <v>--</v>
      </c>
      <c r="H2608" s="182"/>
      <c r="I2608" s="892"/>
      <c r="J2608" s="892"/>
      <c r="K2608" s="182"/>
      <c r="L2608" s="182"/>
      <c r="M2608" s="901" t="s">
        <v>155</v>
      </c>
      <c r="N2608" s="870" t="s">
        <v>188</v>
      </c>
      <c r="O2608" s="870"/>
      <c r="P2608" s="252" t="s">
        <v>175</v>
      </c>
      <c r="Q2608" s="871" t="s">
        <v>155</v>
      </c>
      <c r="R2608" s="872" t="s">
        <v>168</v>
      </c>
      <c r="S2608" s="872" t="s">
        <v>169</v>
      </c>
      <c r="T2608" s="902"/>
      <c r="U2608" s="903"/>
      <c r="V2608" s="270"/>
      <c r="W2608" s="270"/>
      <c r="X2608" s="270"/>
      <c r="Y2608" s="270"/>
      <c r="Z2608" s="270"/>
      <c r="AA2608" s="270"/>
    </row>
    <row r="2609" spans="3:27" ht="15" thickBot="1" x14ac:dyDescent="0.35">
      <c r="C2609" s="566" t="s">
        <v>419</v>
      </c>
      <c r="D2609" s="875" t="str">
        <f>VLOOKUP(C2609,'Airport Mapping'!$C$5:$D$39,2,FALSE)</f>
        <v xml:space="preserve"> </v>
      </c>
      <c r="E2609" s="567" t="s">
        <v>37</v>
      </c>
      <c r="F2609" s="567" t="s">
        <v>4</v>
      </c>
      <c r="G2609" s="450" t="str">
        <f t="shared" si="130"/>
        <v>Maintenance &amp; Services-Restrooms-Urinals</v>
      </c>
      <c r="H2609" s="567" t="s">
        <v>6</v>
      </c>
      <c r="I2609" s="877" t="s">
        <v>64</v>
      </c>
      <c r="J2609" s="878">
        <f>SUMIFS('Level of Efficiency Assumptions'!J:J,'Level of Efficiency Assumptions'!D:D,E2609,'Level of Efficiency Assumptions'!F:F,F2609,'Level of Efficiency Assumptions'!I:I,I2609)</f>
        <v>2</v>
      </c>
      <c r="K2609" s="383" t="s">
        <v>68</v>
      </c>
      <c r="L2609" s="253" t="s">
        <v>64</v>
      </c>
      <c r="M2609" s="879">
        <f>Q2609+Q2610</f>
        <v>0</v>
      </c>
      <c r="N2609" s="880">
        <f>IFERROR(M2609/M2612,"-")</f>
        <v>0</v>
      </c>
      <c r="O2609" s="881">
        <f>SUMIFS('Data Entry'!R:R,'Data Entry'!K:K,G2609)</f>
        <v>0</v>
      </c>
      <c r="P2609" s="254" t="s">
        <v>177</v>
      </c>
      <c r="Q2609" s="882">
        <v>0</v>
      </c>
      <c r="R2609" s="883"/>
      <c r="S2609" s="883"/>
      <c r="T2609" s="114"/>
      <c r="U2609" s="904"/>
      <c r="V2609" s="270"/>
      <c r="W2609" s="270"/>
      <c r="X2609" s="270"/>
      <c r="Y2609" s="270"/>
      <c r="Z2609" s="270"/>
      <c r="AA2609" s="270"/>
    </row>
    <row r="2610" spans="3:27" ht="15" thickBot="1" x14ac:dyDescent="0.35">
      <c r="C2610" s="494" t="s">
        <v>419</v>
      </c>
      <c r="D2610" s="577"/>
      <c r="E2610" s="577" t="s">
        <v>37</v>
      </c>
      <c r="F2610" s="577" t="s">
        <v>4</v>
      </c>
      <c r="G2610" s="450" t="str">
        <f t="shared" si="130"/>
        <v>Maintenance &amp; Services-Restrooms-Urinals</v>
      </c>
      <c r="H2610" s="577"/>
      <c r="I2610" s="887" t="s">
        <v>65</v>
      </c>
      <c r="J2610" s="878">
        <f>SUMIFS('Level of Efficiency Assumptions'!J:J,'Level of Efficiency Assumptions'!D:D,E2610,'Level of Efficiency Assumptions'!F:F,F2610,'Level of Efficiency Assumptions'!I:I,I2610)</f>
        <v>1</v>
      </c>
      <c r="K2610" s="383" t="s">
        <v>68</v>
      </c>
      <c r="L2610" s="255" t="s">
        <v>65</v>
      </c>
      <c r="M2610" s="879">
        <f>Q2611+Q2612</f>
        <v>1</v>
      </c>
      <c r="N2610" s="880">
        <f>IFERROR(M2610/M2612,"-")</f>
        <v>1</v>
      </c>
      <c r="O2610" s="881">
        <f>SUMIFS('Data Entry'!S:S,'Data Entry'!K:K,G2610)</f>
        <v>0</v>
      </c>
      <c r="P2610" s="254" t="s">
        <v>179</v>
      </c>
      <c r="Q2610" s="882">
        <v>0</v>
      </c>
      <c r="R2610" s="883"/>
      <c r="S2610" s="883"/>
      <c r="T2610" s="114"/>
      <c r="U2610" s="904"/>
      <c r="V2610" s="270"/>
      <c r="W2610" s="270"/>
      <c r="X2610" s="270"/>
      <c r="Y2610" s="270"/>
      <c r="Z2610" s="270"/>
      <c r="AA2610" s="270"/>
    </row>
    <row r="2611" spans="3:27" ht="15" thickBot="1" x14ac:dyDescent="0.35">
      <c r="C2611" s="501" t="s">
        <v>419</v>
      </c>
      <c r="D2611" s="116"/>
      <c r="E2611" s="116" t="s">
        <v>37</v>
      </c>
      <c r="F2611" s="116" t="s">
        <v>4</v>
      </c>
      <c r="G2611" s="450" t="str">
        <f t="shared" si="130"/>
        <v>Maintenance &amp; Services-Restrooms-Urinals</v>
      </c>
      <c r="H2611" s="116"/>
      <c r="I2611" s="889" t="s">
        <v>66</v>
      </c>
      <c r="J2611" s="890">
        <f>SUMIFS('Level of Efficiency Assumptions'!J:J,'Level of Efficiency Assumptions'!D:D,E2611,'Level of Efficiency Assumptions'!F:F,F2611,'Level of Efficiency Assumptions'!I:I,I2611)</f>
        <v>0.125</v>
      </c>
      <c r="K2611" s="383" t="s">
        <v>68</v>
      </c>
      <c r="L2611" s="257" t="s">
        <v>66</v>
      </c>
      <c r="M2611" s="879">
        <f>Q2613+Q2614</f>
        <v>0</v>
      </c>
      <c r="N2611" s="880">
        <f>IFERROR(M2611/M2612,"-")</f>
        <v>0</v>
      </c>
      <c r="O2611" s="881">
        <f>SUMIFS('Data Entry'!T:T,'Data Entry'!K:K,G2611)</f>
        <v>0</v>
      </c>
      <c r="P2611" s="256" t="s">
        <v>189</v>
      </c>
      <c r="Q2611" s="882">
        <v>0</v>
      </c>
      <c r="R2611" s="883"/>
      <c r="S2611" s="883"/>
      <c r="T2611" s="114"/>
      <c r="U2611" s="904"/>
      <c r="V2611" s="270"/>
      <c r="W2611" s="270"/>
      <c r="X2611" s="270"/>
      <c r="Y2611" s="270"/>
      <c r="Z2611" s="270"/>
      <c r="AA2611" s="270"/>
    </row>
    <row r="2612" spans="3:27" x14ac:dyDescent="0.3">
      <c r="C2612" s="450"/>
      <c r="D2612" s="182"/>
      <c r="E2612" s="182"/>
      <c r="F2612" s="182"/>
      <c r="G2612" s="450" t="str">
        <f t="shared" si="130"/>
        <v>--</v>
      </c>
      <c r="H2612" s="182"/>
      <c r="I2612" s="440"/>
      <c r="J2612" s="892"/>
      <c r="K2612" s="259"/>
      <c r="L2612" s="259" t="s">
        <v>46</v>
      </c>
      <c r="M2612" s="893">
        <f>SUM(M2609:M2611)</f>
        <v>1</v>
      </c>
      <c r="N2612" s="894"/>
      <c r="O2612" s="894">
        <f>SUM(O2609:O2611)</f>
        <v>0</v>
      </c>
      <c r="P2612" s="256" t="s">
        <v>181</v>
      </c>
      <c r="Q2612" s="882">
        <v>1</v>
      </c>
      <c r="R2612" s="883"/>
      <c r="S2612" s="883"/>
      <c r="T2612" s="114"/>
      <c r="U2612" s="264"/>
      <c r="V2612" s="270"/>
      <c r="W2612" s="270"/>
      <c r="X2612" s="270"/>
      <c r="Y2612" s="270"/>
      <c r="Z2612" s="270"/>
      <c r="AA2612" s="270"/>
    </row>
    <row r="2613" spans="3:27" x14ac:dyDescent="0.3">
      <c r="C2613" s="450"/>
      <c r="D2613" s="182"/>
      <c r="E2613" s="182"/>
      <c r="F2613" s="182"/>
      <c r="G2613" s="450" t="str">
        <f t="shared" si="130"/>
        <v>--</v>
      </c>
      <c r="H2613" s="182"/>
      <c r="I2613" s="892"/>
      <c r="J2613" s="288"/>
      <c r="K2613" s="182"/>
      <c r="L2613" s="181"/>
      <c r="M2613" s="181"/>
      <c r="N2613" s="892"/>
      <c r="O2613" s="892"/>
      <c r="P2613" s="258" t="s">
        <v>183</v>
      </c>
      <c r="Q2613" s="882">
        <v>0</v>
      </c>
      <c r="R2613" s="883"/>
      <c r="S2613" s="883"/>
      <c r="T2613" s="114"/>
      <c r="U2613" s="884"/>
      <c r="V2613" s="114"/>
      <c r="W2613" s="270"/>
      <c r="X2613" s="270"/>
      <c r="Y2613" s="270"/>
      <c r="Z2613" s="270"/>
      <c r="AA2613" s="270"/>
    </row>
    <row r="2614" spans="3:27" x14ac:dyDescent="0.3">
      <c r="C2614" s="450"/>
      <c r="D2614" s="182"/>
      <c r="E2614" s="182"/>
      <c r="F2614" s="182"/>
      <c r="G2614" s="450" t="str">
        <f t="shared" si="130"/>
        <v>--</v>
      </c>
      <c r="H2614" s="182"/>
      <c r="I2614" s="892"/>
      <c r="J2614" s="288"/>
      <c r="K2614" s="182"/>
      <c r="L2614" s="181"/>
      <c r="M2614" s="181"/>
      <c r="N2614" s="892"/>
      <c r="O2614" s="892"/>
      <c r="P2614" s="258" t="s">
        <v>190</v>
      </c>
      <c r="Q2614" s="882">
        <v>0</v>
      </c>
      <c r="R2614" s="114"/>
      <c r="S2614" s="114"/>
      <c r="T2614" s="114"/>
      <c r="U2614" s="884"/>
      <c r="V2614" s="114"/>
      <c r="W2614" s="270"/>
      <c r="X2614" s="270"/>
      <c r="Y2614" s="270"/>
      <c r="Z2614" s="270"/>
      <c r="AA2614" s="270"/>
    </row>
    <row r="2615" spans="3:27" x14ac:dyDescent="0.3">
      <c r="C2615" s="450"/>
      <c r="D2615" s="182"/>
      <c r="E2615" s="182"/>
      <c r="F2615" s="182"/>
      <c r="G2615" s="450" t="str">
        <f t="shared" si="130"/>
        <v>--</v>
      </c>
      <c r="H2615" s="182"/>
      <c r="I2615" s="892"/>
      <c r="J2615" s="288"/>
      <c r="K2615" s="182"/>
      <c r="L2615" s="181"/>
      <c r="M2615" s="181"/>
      <c r="N2615" s="892"/>
      <c r="O2615" s="892"/>
      <c r="P2615" s="263" t="s">
        <v>46</v>
      </c>
      <c r="Q2615" s="897">
        <f>SUM(Q2609:Q2614)</f>
        <v>1</v>
      </c>
      <c r="R2615" s="899"/>
      <c r="S2615" s="899"/>
      <c r="T2615" s="899"/>
      <c r="U2615" s="900"/>
      <c r="V2615" s="114"/>
      <c r="W2615" s="270"/>
      <c r="X2615" s="270"/>
      <c r="Y2615" s="270"/>
      <c r="Z2615" s="270"/>
      <c r="AA2615" s="270"/>
    </row>
    <row r="2616" spans="3:27" x14ac:dyDescent="0.3">
      <c r="C2616" s="450"/>
      <c r="D2616" s="182"/>
      <c r="E2616" s="182"/>
      <c r="F2616" s="182"/>
      <c r="G2616" s="450" t="str">
        <f t="shared" si="130"/>
        <v>--</v>
      </c>
      <c r="H2616" s="182"/>
      <c r="I2616" s="892"/>
      <c r="J2616" s="288"/>
      <c r="K2616" s="182"/>
      <c r="L2616" s="181"/>
      <c r="M2616" s="181"/>
      <c r="N2616" s="892"/>
      <c r="O2616" s="892"/>
      <c r="P2616" s="262"/>
      <c r="Q2616" s="114"/>
      <c r="R2616" s="114"/>
      <c r="S2616" s="114"/>
      <c r="T2616" s="114"/>
      <c r="U2616" s="114"/>
      <c r="V2616" s="114"/>
      <c r="W2616" s="270"/>
      <c r="X2616" s="270"/>
      <c r="Y2616" s="270"/>
      <c r="Z2616" s="270"/>
      <c r="AA2616" s="270"/>
    </row>
    <row r="2617" spans="3:27" ht="15" thickBot="1" x14ac:dyDescent="0.35">
      <c r="C2617" s="450"/>
      <c r="D2617" s="182"/>
      <c r="E2617" s="182"/>
      <c r="F2617" s="182"/>
      <c r="G2617" s="450" t="str">
        <f t="shared" si="130"/>
        <v>--</v>
      </c>
      <c r="H2617" s="182"/>
      <c r="I2617" s="892"/>
      <c r="J2617" s="892"/>
      <c r="K2617" s="182"/>
      <c r="L2617" s="182"/>
      <c r="M2617" s="901" t="s">
        <v>155</v>
      </c>
      <c r="N2617" s="870" t="s">
        <v>188</v>
      </c>
      <c r="O2617" s="870"/>
      <c r="P2617" s="265" t="s">
        <v>33</v>
      </c>
      <c r="Q2617" s="871" t="s">
        <v>155</v>
      </c>
      <c r="R2617" s="872" t="s">
        <v>168</v>
      </c>
      <c r="S2617" s="872" t="s">
        <v>169</v>
      </c>
      <c r="T2617" s="872" t="s">
        <v>170</v>
      </c>
      <c r="U2617" s="872" t="s">
        <v>171</v>
      </c>
      <c r="V2617" s="902"/>
      <c r="W2617" s="902"/>
      <c r="X2617" s="874"/>
      <c r="Y2617" s="270"/>
      <c r="Z2617" s="270"/>
      <c r="AA2617" s="270"/>
    </row>
    <row r="2618" spans="3:27" ht="15" thickBot="1" x14ac:dyDescent="0.35">
      <c r="C2618" s="566" t="s">
        <v>419</v>
      </c>
      <c r="D2618" s="875" t="str">
        <f>VLOOKUP(C2618,'Airport Mapping'!$C$5:$D$39,2,FALSE)</f>
        <v xml:space="preserve"> </v>
      </c>
      <c r="E2618" s="567" t="s">
        <v>37</v>
      </c>
      <c r="F2618" s="567" t="s">
        <v>33</v>
      </c>
      <c r="G2618" s="450" t="str">
        <f t="shared" si="130"/>
        <v>Maintenance &amp; Services-Restrooms-Faucets</v>
      </c>
      <c r="H2618" s="567" t="s">
        <v>6</v>
      </c>
      <c r="I2618" s="877" t="s">
        <v>64</v>
      </c>
      <c r="J2618" s="878">
        <f>SUMIFS('Level of Efficiency Assumptions'!J:J,'Level of Efficiency Assumptions'!D:D,E2618,'Level of Efficiency Assumptions'!F:F,F2618,'Level of Efficiency Assumptions'!I:I,I2618)</f>
        <v>2</v>
      </c>
      <c r="K2618" s="383" t="s">
        <v>78</v>
      </c>
      <c r="L2618" s="253" t="s">
        <v>64</v>
      </c>
      <c r="M2618" s="879">
        <f>Q2618+Q2619</f>
        <v>0</v>
      </c>
      <c r="N2618" s="880">
        <f>IFERROR(M2618/M2621,"-")</f>
        <v>0</v>
      </c>
      <c r="O2618" s="881">
        <f>SUMIFS('Data Entry'!R:R,'Data Entry'!K:K,G2618)</f>
        <v>0</v>
      </c>
      <c r="P2618" s="266" t="s">
        <v>180</v>
      </c>
      <c r="Q2618" s="895">
        <v>0</v>
      </c>
      <c r="R2618" s="883"/>
      <c r="S2618" s="883"/>
      <c r="T2618" s="883"/>
      <c r="U2618" s="883"/>
      <c r="V2618" s="114" t="s">
        <v>182</v>
      </c>
      <c r="W2618" s="114"/>
      <c r="X2618" s="884"/>
      <c r="Y2618" s="270"/>
      <c r="Z2618" s="270"/>
      <c r="AA2618" s="270"/>
    </row>
    <row r="2619" spans="3:27" ht="15" thickBot="1" x14ac:dyDescent="0.35">
      <c r="C2619" s="494" t="s">
        <v>419</v>
      </c>
      <c r="D2619" s="577"/>
      <c r="E2619" s="577" t="s">
        <v>37</v>
      </c>
      <c r="F2619" s="577" t="s">
        <v>33</v>
      </c>
      <c r="G2619" s="450" t="str">
        <f t="shared" si="130"/>
        <v>Maintenance &amp; Services-Restrooms-Faucets</v>
      </c>
      <c r="H2619" s="577"/>
      <c r="I2619" s="887" t="s">
        <v>65</v>
      </c>
      <c r="J2619" s="878">
        <f>SUMIFS('Level of Efficiency Assumptions'!J:J,'Level of Efficiency Assumptions'!D:D,E2619,'Level of Efficiency Assumptions'!F:F,F2619,'Level of Efficiency Assumptions'!I:I,I2619)</f>
        <v>1</v>
      </c>
      <c r="K2619" s="383" t="s">
        <v>78</v>
      </c>
      <c r="L2619" s="255" t="s">
        <v>65</v>
      </c>
      <c r="M2619" s="879">
        <f>Q2620+Q2621</f>
        <v>1</v>
      </c>
      <c r="N2619" s="880">
        <f>IFERROR(M2619/M2621,"-")</f>
        <v>1</v>
      </c>
      <c r="O2619" s="881">
        <f>SUMIFS('Data Entry'!S:S,'Data Entry'!K:K,G2619)</f>
        <v>0</v>
      </c>
      <c r="P2619" s="266" t="s">
        <v>178</v>
      </c>
      <c r="Q2619" s="895">
        <v>0</v>
      </c>
      <c r="R2619" s="883"/>
      <c r="S2619" s="883"/>
      <c r="T2619" s="883"/>
      <c r="U2619" s="883"/>
      <c r="V2619" s="114" t="s">
        <v>184</v>
      </c>
      <c r="W2619" s="114"/>
      <c r="X2619" s="884"/>
      <c r="Y2619" s="270"/>
      <c r="Z2619" s="270"/>
      <c r="AA2619" s="270"/>
    </row>
    <row r="2620" spans="3:27" ht="15" thickBot="1" x14ac:dyDescent="0.35">
      <c r="C2620" s="501" t="s">
        <v>419</v>
      </c>
      <c r="D2620" s="116"/>
      <c r="E2620" s="116" t="s">
        <v>37</v>
      </c>
      <c r="F2620" s="116" t="s">
        <v>33</v>
      </c>
      <c r="G2620" s="450" t="str">
        <f t="shared" si="130"/>
        <v>Maintenance &amp; Services-Restrooms-Faucets</v>
      </c>
      <c r="H2620" s="116"/>
      <c r="I2620" s="889" t="s">
        <v>66</v>
      </c>
      <c r="J2620" s="890">
        <f>SUMIFS('Level of Efficiency Assumptions'!J:J,'Level of Efficiency Assumptions'!D:D,E2620,'Level of Efficiency Assumptions'!F:F,F2620,'Level of Efficiency Assumptions'!I:I,I2620)</f>
        <v>0.5</v>
      </c>
      <c r="K2620" s="383" t="s">
        <v>78</v>
      </c>
      <c r="L2620" s="257" t="s">
        <v>66</v>
      </c>
      <c r="M2620" s="879">
        <f>Q2622</f>
        <v>0</v>
      </c>
      <c r="N2620" s="880">
        <f>IFERROR(M2620/M2621,"-")</f>
        <v>0</v>
      </c>
      <c r="O2620" s="881">
        <f>SUMIFS('Data Entry'!T:T,'Data Entry'!K:K,G2620)</f>
        <v>0</v>
      </c>
      <c r="P2620" s="267" t="s">
        <v>176</v>
      </c>
      <c r="Q2620" s="895">
        <v>1</v>
      </c>
      <c r="R2620" s="883"/>
      <c r="S2620" s="883"/>
      <c r="T2620" s="883"/>
      <c r="U2620" s="883"/>
      <c r="V2620" s="114" t="s">
        <v>185</v>
      </c>
      <c r="W2620" s="114"/>
      <c r="X2620" s="884"/>
      <c r="Y2620" s="270"/>
      <c r="Z2620" s="270"/>
      <c r="AA2620" s="270"/>
    </row>
    <row r="2621" spans="3:27" x14ac:dyDescent="0.3">
      <c r="C2621" s="450"/>
      <c r="D2621" s="182"/>
      <c r="E2621" s="182"/>
      <c r="F2621" s="182"/>
      <c r="G2621" s="450" t="str">
        <f t="shared" si="130"/>
        <v>--</v>
      </c>
      <c r="H2621" s="182"/>
      <c r="I2621" s="440"/>
      <c r="J2621" s="892"/>
      <c r="K2621" s="259"/>
      <c r="L2621" s="259" t="s">
        <v>46</v>
      </c>
      <c r="M2621" s="893">
        <f>SUM(M2618:M2620)</f>
        <v>1</v>
      </c>
      <c r="N2621" s="894"/>
      <c r="O2621" s="894">
        <f>SUM(O2618:O2620)</f>
        <v>0</v>
      </c>
      <c r="P2621" s="256" t="s">
        <v>173</v>
      </c>
      <c r="Q2621" s="895">
        <v>0</v>
      </c>
      <c r="R2621" s="883"/>
      <c r="S2621" s="883"/>
      <c r="T2621" s="883"/>
      <c r="U2621" s="883"/>
      <c r="V2621" s="114" t="s">
        <v>186</v>
      </c>
      <c r="W2621" s="114"/>
      <c r="X2621" s="884"/>
      <c r="Y2621" s="270"/>
      <c r="Z2621" s="270"/>
      <c r="AA2621" s="270"/>
    </row>
    <row r="2622" spans="3:27" x14ac:dyDescent="0.3">
      <c r="C2622" s="450"/>
      <c r="D2622" s="182"/>
      <c r="E2622" s="182"/>
      <c r="F2622" s="182"/>
      <c r="G2622" s="450" t="str">
        <f t="shared" si="130"/>
        <v>--</v>
      </c>
      <c r="H2622" s="182"/>
      <c r="I2622" s="892"/>
      <c r="J2622" s="288"/>
      <c r="K2622" s="182"/>
      <c r="L2622" s="114"/>
      <c r="M2622" s="114"/>
      <c r="N2622" s="905"/>
      <c r="O2622" s="905"/>
      <c r="P2622" s="258" t="s">
        <v>172</v>
      </c>
      <c r="Q2622" s="895">
        <v>0</v>
      </c>
      <c r="R2622" s="883"/>
      <c r="S2622" s="883"/>
      <c r="T2622" s="883"/>
      <c r="U2622" s="883"/>
      <c r="V2622" s="114"/>
      <c r="W2622" s="114"/>
      <c r="X2622" s="884"/>
      <c r="Y2622" s="270"/>
      <c r="Z2622" s="270"/>
      <c r="AA2622" s="270"/>
    </row>
    <row r="2623" spans="3:27" x14ac:dyDescent="0.3">
      <c r="C2623" s="450"/>
      <c r="D2623" s="182"/>
      <c r="E2623" s="182"/>
      <c r="F2623" s="182"/>
      <c r="G2623" s="450" t="str">
        <f t="shared" si="130"/>
        <v>--</v>
      </c>
      <c r="H2623" s="182"/>
      <c r="I2623" s="892"/>
      <c r="J2623" s="288"/>
      <c r="K2623" s="182"/>
      <c r="L2623" s="181"/>
      <c r="M2623" s="181"/>
      <c r="N2623" s="892"/>
      <c r="O2623" s="892"/>
      <c r="P2623" s="263" t="s">
        <v>46</v>
      </c>
      <c r="Q2623" s="897">
        <f>SUM(Q2617:Q2622)</f>
        <v>1</v>
      </c>
      <c r="R2623" s="899"/>
      <c r="S2623" s="899"/>
      <c r="T2623" s="899"/>
      <c r="U2623" s="899"/>
      <c r="V2623" s="899"/>
      <c r="W2623" s="899"/>
      <c r="X2623" s="900"/>
      <c r="Y2623" s="270"/>
      <c r="Z2623" s="270"/>
      <c r="AA2623" s="270"/>
    </row>
    <row r="2624" spans="3:27" x14ac:dyDescent="0.3">
      <c r="C2624" s="450"/>
      <c r="D2624" s="182"/>
      <c r="E2624" s="182"/>
      <c r="F2624" s="182"/>
      <c r="G2624" s="450" t="str">
        <f t="shared" si="130"/>
        <v>--</v>
      </c>
      <c r="H2624" s="182"/>
      <c r="I2624" s="892"/>
      <c r="J2624" s="288"/>
      <c r="K2624" s="182"/>
      <c r="L2624" s="181"/>
      <c r="M2624" s="181"/>
      <c r="N2624" s="892"/>
      <c r="O2624" s="892"/>
      <c r="P2624" s="262"/>
      <c r="Q2624" s="114"/>
      <c r="R2624" s="114"/>
      <c r="S2624" s="114"/>
      <c r="T2624" s="114"/>
      <c r="U2624" s="114"/>
      <c r="V2624" s="114"/>
      <c r="W2624" s="270"/>
      <c r="X2624" s="270"/>
      <c r="Y2624" s="270"/>
      <c r="Z2624" s="270"/>
      <c r="AA2624" s="270"/>
    </row>
    <row r="2625" spans="3:31" ht="15" thickBot="1" x14ac:dyDescent="0.35">
      <c r="C2625" s="450"/>
      <c r="D2625" s="182"/>
      <c r="E2625" s="182"/>
      <c r="F2625" s="182"/>
      <c r="G2625" s="450" t="str">
        <f t="shared" si="130"/>
        <v>--</v>
      </c>
      <c r="H2625" s="182"/>
      <c r="I2625" s="892"/>
      <c r="J2625" s="892"/>
      <c r="K2625" s="182"/>
      <c r="L2625" s="182"/>
      <c r="M2625" s="901" t="s">
        <v>155</v>
      </c>
      <c r="N2625" s="870" t="s">
        <v>188</v>
      </c>
      <c r="O2625" s="870"/>
      <c r="P2625" s="265" t="s">
        <v>33</v>
      </c>
      <c r="Q2625" s="871" t="s">
        <v>155</v>
      </c>
      <c r="R2625" s="872" t="s">
        <v>168</v>
      </c>
      <c r="S2625" s="872" t="s">
        <v>169</v>
      </c>
      <c r="T2625" s="872" t="s">
        <v>170</v>
      </c>
      <c r="U2625" s="872" t="s">
        <v>171</v>
      </c>
      <c r="V2625" s="902"/>
      <c r="W2625" s="902"/>
      <c r="X2625" s="874"/>
      <c r="Y2625" s="270"/>
      <c r="Z2625" s="270"/>
      <c r="AA2625" s="270"/>
    </row>
    <row r="2626" spans="3:31" ht="15" thickBot="1" x14ac:dyDescent="0.35">
      <c r="C2626" s="566" t="s">
        <v>419</v>
      </c>
      <c r="D2626" s="875" t="str">
        <f>VLOOKUP(C2626,'Airport Mapping'!$C$5:$D$39,2,FALSE)</f>
        <v xml:space="preserve"> </v>
      </c>
      <c r="E2626" s="567" t="s">
        <v>5</v>
      </c>
      <c r="F2626" s="567" t="s">
        <v>33</v>
      </c>
      <c r="G2626" s="450" t="str">
        <f t="shared" si="130"/>
        <v>Maintenance &amp; Services-Break rooms-Faucets</v>
      </c>
      <c r="H2626" s="567" t="s">
        <v>6</v>
      </c>
      <c r="I2626" s="877" t="s">
        <v>64</v>
      </c>
      <c r="J2626" s="878">
        <f>SUMIFS('Level of Efficiency Assumptions'!J:J,'Level of Efficiency Assumptions'!D:D,E2626,'Level of Efficiency Assumptions'!F:F,F2626,'Level of Efficiency Assumptions'!I:I,I2626)</f>
        <v>2</v>
      </c>
      <c r="K2626" s="383" t="s">
        <v>78</v>
      </c>
      <c r="L2626" s="253" t="s">
        <v>64</v>
      </c>
      <c r="M2626" s="879">
        <f>Q2626+Q2627</f>
        <v>0</v>
      </c>
      <c r="N2626" s="880">
        <f>IFERROR(M2626/M2629,"-")</f>
        <v>0</v>
      </c>
      <c r="O2626" s="881">
        <f>SUMIFS('Data Entry'!R:R,'Data Entry'!K:K,G2626)</f>
        <v>0</v>
      </c>
      <c r="P2626" s="266" t="s">
        <v>180</v>
      </c>
      <c r="Q2626" s="895">
        <v>0</v>
      </c>
      <c r="R2626" s="883"/>
      <c r="S2626" s="883"/>
      <c r="T2626" s="883"/>
      <c r="U2626" s="883"/>
      <c r="V2626" s="114" t="s">
        <v>182</v>
      </c>
      <c r="W2626" s="114"/>
      <c r="X2626" s="884"/>
      <c r="Y2626" s="270"/>
      <c r="Z2626" s="270"/>
      <c r="AA2626" s="270"/>
    </row>
    <row r="2627" spans="3:31" ht="15" thickBot="1" x14ac:dyDescent="0.35">
      <c r="C2627" s="494" t="s">
        <v>419</v>
      </c>
      <c r="D2627" s="577"/>
      <c r="E2627" s="577" t="s">
        <v>5</v>
      </c>
      <c r="F2627" s="577" t="s">
        <v>33</v>
      </c>
      <c r="G2627" s="450" t="str">
        <f t="shared" si="130"/>
        <v>Maintenance &amp; Services-Break rooms-Faucets</v>
      </c>
      <c r="H2627" s="577"/>
      <c r="I2627" s="887" t="s">
        <v>65</v>
      </c>
      <c r="J2627" s="878">
        <f>SUMIFS('Level of Efficiency Assumptions'!J:J,'Level of Efficiency Assumptions'!D:D,E2627,'Level of Efficiency Assumptions'!F:F,F2627,'Level of Efficiency Assumptions'!I:I,I2627)</f>
        <v>1</v>
      </c>
      <c r="K2627" s="383" t="s">
        <v>78</v>
      </c>
      <c r="L2627" s="255" t="s">
        <v>65</v>
      </c>
      <c r="M2627" s="879">
        <f>Q2628+Q2629</f>
        <v>1</v>
      </c>
      <c r="N2627" s="880">
        <f>IFERROR(M2627/M2629,"-")</f>
        <v>1</v>
      </c>
      <c r="O2627" s="881">
        <f>SUMIFS('Data Entry'!S:S,'Data Entry'!K:K,G2627)</f>
        <v>0</v>
      </c>
      <c r="P2627" s="266" t="s">
        <v>178</v>
      </c>
      <c r="Q2627" s="895">
        <v>0</v>
      </c>
      <c r="R2627" s="883"/>
      <c r="S2627" s="883"/>
      <c r="T2627" s="883"/>
      <c r="U2627" s="883"/>
      <c r="V2627" s="114" t="s">
        <v>184</v>
      </c>
      <c r="W2627" s="114"/>
      <c r="X2627" s="884"/>
      <c r="Y2627" s="270"/>
      <c r="Z2627" s="270"/>
      <c r="AA2627" s="270"/>
    </row>
    <row r="2628" spans="3:31" ht="15" thickBot="1" x14ac:dyDescent="0.35">
      <c r="C2628" s="501" t="s">
        <v>419</v>
      </c>
      <c r="D2628" s="116"/>
      <c r="E2628" s="116" t="s">
        <v>5</v>
      </c>
      <c r="F2628" s="116" t="s">
        <v>33</v>
      </c>
      <c r="G2628" s="450" t="str">
        <f t="shared" si="130"/>
        <v>Maintenance &amp; Services-Break rooms-Faucets</v>
      </c>
      <c r="H2628" s="116"/>
      <c r="I2628" s="889" t="s">
        <v>66</v>
      </c>
      <c r="J2628" s="890">
        <f>SUMIFS('Level of Efficiency Assumptions'!J:J,'Level of Efficiency Assumptions'!D:D,E2628,'Level of Efficiency Assumptions'!F:F,F2628,'Level of Efficiency Assumptions'!I:I,I2628)</f>
        <v>0.5</v>
      </c>
      <c r="K2628" s="383" t="s">
        <v>78</v>
      </c>
      <c r="L2628" s="257" t="s">
        <v>66</v>
      </c>
      <c r="M2628" s="879">
        <f>Q2630</f>
        <v>0</v>
      </c>
      <c r="N2628" s="880">
        <f>IFERROR(M2628/M2629,"-")</f>
        <v>0</v>
      </c>
      <c r="O2628" s="881">
        <f>SUMIFS('Data Entry'!T:T,'Data Entry'!K:K,G2628)</f>
        <v>0</v>
      </c>
      <c r="P2628" s="267" t="s">
        <v>176</v>
      </c>
      <c r="Q2628" s="895">
        <v>1</v>
      </c>
      <c r="R2628" s="883"/>
      <c r="S2628" s="883"/>
      <c r="T2628" s="883"/>
      <c r="U2628" s="883"/>
      <c r="V2628" s="114" t="s">
        <v>185</v>
      </c>
      <c r="W2628" s="114"/>
      <c r="X2628" s="884"/>
      <c r="Y2628" s="270"/>
      <c r="Z2628" s="270"/>
      <c r="AA2628" s="270"/>
    </row>
    <row r="2629" spans="3:31" x14ac:dyDescent="0.3">
      <c r="C2629" s="450"/>
      <c r="D2629" s="182"/>
      <c r="E2629" s="182"/>
      <c r="F2629" s="182"/>
      <c r="G2629" s="450" t="str">
        <f t="shared" si="130"/>
        <v>--</v>
      </c>
      <c r="H2629" s="182"/>
      <c r="I2629" s="440"/>
      <c r="J2629" s="892"/>
      <c r="K2629" s="259"/>
      <c r="L2629" s="259" t="s">
        <v>46</v>
      </c>
      <c r="M2629" s="893">
        <f>SUM(M2626:M2628)</f>
        <v>1</v>
      </c>
      <c r="N2629" s="894"/>
      <c r="O2629" s="894">
        <f>SUM(O2626:O2628)</f>
        <v>0</v>
      </c>
      <c r="P2629" s="256" t="s">
        <v>173</v>
      </c>
      <c r="Q2629" s="895">
        <v>0</v>
      </c>
      <c r="R2629" s="883"/>
      <c r="S2629" s="883"/>
      <c r="T2629" s="883"/>
      <c r="U2629" s="883"/>
      <c r="V2629" s="114" t="s">
        <v>186</v>
      </c>
      <c r="W2629" s="114"/>
      <c r="X2629" s="884"/>
      <c r="Y2629" s="270"/>
      <c r="Z2629" s="270"/>
      <c r="AA2629" s="270"/>
    </row>
    <row r="2630" spans="3:31" x14ac:dyDescent="0.3">
      <c r="C2630" s="450"/>
      <c r="D2630" s="182"/>
      <c r="E2630" s="182"/>
      <c r="F2630" s="182"/>
      <c r="G2630" s="450" t="str">
        <f t="shared" si="130"/>
        <v>--</v>
      </c>
      <c r="H2630" s="182"/>
      <c r="I2630" s="892"/>
      <c r="J2630" s="288"/>
      <c r="K2630" s="182"/>
      <c r="L2630" s="182"/>
      <c r="M2630" s="270"/>
      <c r="N2630" s="892"/>
      <c r="O2630" s="892"/>
      <c r="P2630" s="258" t="s">
        <v>172</v>
      </c>
      <c r="Q2630" s="895">
        <v>0</v>
      </c>
      <c r="R2630" s="883"/>
      <c r="S2630" s="883"/>
      <c r="T2630" s="883"/>
      <c r="U2630" s="883"/>
      <c r="V2630" s="114"/>
      <c r="W2630" s="114"/>
      <c r="X2630" s="884"/>
      <c r="Y2630" s="270"/>
      <c r="Z2630" s="270"/>
      <c r="AA2630" s="270"/>
    </row>
    <row r="2631" spans="3:31" x14ac:dyDescent="0.3">
      <c r="C2631" s="450"/>
      <c r="D2631" s="182"/>
      <c r="E2631" s="182"/>
      <c r="F2631" s="182"/>
      <c r="G2631" s="450" t="str">
        <f t="shared" si="130"/>
        <v>--</v>
      </c>
      <c r="H2631" s="182"/>
      <c r="I2631" s="892"/>
      <c r="J2631" s="288"/>
      <c r="K2631" s="182"/>
      <c r="L2631" s="182"/>
      <c r="M2631" s="270"/>
      <c r="N2631" s="892"/>
      <c r="O2631" s="892"/>
      <c r="P2631" s="263" t="s">
        <v>46</v>
      </c>
      <c r="Q2631" s="897">
        <f>SUM(Q2625:Q2630)</f>
        <v>1</v>
      </c>
      <c r="R2631" s="899"/>
      <c r="S2631" s="899"/>
      <c r="T2631" s="899"/>
      <c r="U2631" s="899"/>
      <c r="V2631" s="899"/>
      <c r="W2631" s="899"/>
      <c r="X2631" s="900"/>
      <c r="Y2631" s="270"/>
      <c r="Z2631" s="270"/>
      <c r="AA2631" s="270"/>
    </row>
    <row r="2632" spans="3:31" x14ac:dyDescent="0.3">
      <c r="C2632" s="450"/>
      <c r="D2632" s="182"/>
      <c r="E2632" s="182"/>
      <c r="F2632" s="182"/>
      <c r="G2632" s="450" t="str">
        <f t="shared" si="130"/>
        <v>--</v>
      </c>
      <c r="H2632" s="182"/>
      <c r="I2632" s="892"/>
      <c r="J2632" s="288"/>
      <c r="K2632" s="182"/>
      <c r="L2632" s="182"/>
      <c r="M2632" s="270"/>
      <c r="N2632" s="892"/>
      <c r="O2632" s="892"/>
      <c r="P2632" s="270"/>
      <c r="Q2632" s="270"/>
      <c r="R2632" s="270"/>
      <c r="S2632" s="270"/>
      <c r="T2632" s="270"/>
      <c r="U2632" s="270"/>
      <c r="V2632" s="270"/>
      <c r="W2632" s="270"/>
      <c r="X2632" s="270"/>
      <c r="Y2632" s="270"/>
      <c r="Z2632" s="270"/>
      <c r="AA2632" s="270"/>
    </row>
    <row r="2633" spans="3:31" s="45" customFormat="1" ht="15" thickBot="1" x14ac:dyDescent="0.35">
      <c r="C2633" s="450"/>
      <c r="D2633" s="182"/>
      <c r="E2633" s="182"/>
      <c r="F2633" s="182"/>
      <c r="G2633" s="450" t="str">
        <f t="shared" si="130"/>
        <v>--</v>
      </c>
      <c r="H2633" s="182"/>
      <c r="I2633" s="892"/>
      <c r="J2633" s="892"/>
      <c r="K2633" s="182"/>
      <c r="L2633" s="182"/>
      <c r="M2633" s="901" t="s">
        <v>155</v>
      </c>
      <c r="N2633" s="870" t="s">
        <v>188</v>
      </c>
      <c r="O2633" s="870"/>
      <c r="P2633" s="283" t="s">
        <v>426</v>
      </c>
      <c r="Q2633" s="871" t="s">
        <v>155</v>
      </c>
      <c r="R2633" s="902"/>
      <c r="S2633" s="874"/>
      <c r="T2633" s="270"/>
      <c r="U2633" s="270"/>
      <c r="V2633" s="270"/>
      <c r="W2633" s="270"/>
      <c r="X2633" s="270"/>
      <c r="Y2633" s="270"/>
      <c r="Z2633" s="270"/>
      <c r="AA2633" s="114"/>
      <c r="AB2633" s="85"/>
      <c r="AC2633" s="85"/>
      <c r="AD2633" s="85"/>
      <c r="AE2633" s="85"/>
    </row>
    <row r="2634" spans="3:31" s="45" customFormat="1" ht="15" thickBot="1" x14ac:dyDescent="0.35">
      <c r="C2634" s="566" t="s">
        <v>419</v>
      </c>
      <c r="D2634" s="875" t="str">
        <f>VLOOKUP(C2634,'Airport Mapping'!$C$5:$D$39,2,FALSE)</f>
        <v xml:space="preserve"> </v>
      </c>
      <c r="E2634" s="567" t="s">
        <v>43</v>
      </c>
      <c r="F2634" s="567" t="s">
        <v>426</v>
      </c>
      <c r="G2634" s="450" t="str">
        <f t="shared" si="130"/>
        <v>Maintenance &amp; Services-Maintenance-Pavement cleaning</v>
      </c>
      <c r="H2634" s="567" t="s">
        <v>10</v>
      </c>
      <c r="I2634" s="877" t="s">
        <v>64</v>
      </c>
      <c r="J2634" s="878">
        <f>SUMIFS('Level of Efficiency Assumptions'!J:J,'Level of Efficiency Assumptions'!D:D,E2634,'Level of Efficiency Assumptions'!F:F,F2634,'Level of Efficiency Assumptions'!I:I,I2634)</f>
        <v>10</v>
      </c>
      <c r="K2634" s="383" t="s">
        <v>588</v>
      </c>
      <c r="L2634" s="253" t="s">
        <v>64</v>
      </c>
      <c r="M2634" s="879">
        <f>SUM(Q2634:Q2635)</f>
        <v>0</v>
      </c>
      <c r="N2634" s="880">
        <f>IFERROR(M2634/M2637,"-")</f>
        <v>0</v>
      </c>
      <c r="O2634" s="881">
        <f>SUMIFS('Data Entry'!R:R,'Data Entry'!K:K,G2634)</f>
        <v>0</v>
      </c>
      <c r="P2634" s="272"/>
      <c r="Q2634" s="895">
        <v>0</v>
      </c>
      <c r="R2634" s="114"/>
      <c r="S2634" s="884"/>
      <c r="T2634" s="270"/>
      <c r="U2634" s="270"/>
      <c r="V2634" s="270"/>
      <c r="W2634" s="270"/>
      <c r="X2634" s="270"/>
      <c r="Y2634" s="270"/>
      <c r="Z2634" s="270"/>
      <c r="AA2634" s="114"/>
      <c r="AB2634" s="85"/>
      <c r="AC2634" s="85"/>
      <c r="AD2634" s="85"/>
      <c r="AE2634" s="85"/>
    </row>
    <row r="2635" spans="3:31" s="45" customFormat="1" ht="15" thickBot="1" x14ac:dyDescent="0.35">
      <c r="C2635" s="494" t="s">
        <v>419</v>
      </c>
      <c r="D2635" s="577"/>
      <c r="E2635" s="577" t="s">
        <v>43</v>
      </c>
      <c r="F2635" s="577" t="s">
        <v>426</v>
      </c>
      <c r="G2635" s="450" t="str">
        <f t="shared" si="130"/>
        <v>Maintenance &amp; Services-Maintenance-Pavement cleaning</v>
      </c>
      <c r="H2635" s="577"/>
      <c r="I2635" s="887" t="s">
        <v>65</v>
      </c>
      <c r="J2635" s="878">
        <f>SUMIFS('Level of Efficiency Assumptions'!J:J,'Level of Efficiency Assumptions'!D:D,E2635,'Level of Efficiency Assumptions'!F:F,F2635,'Level of Efficiency Assumptions'!I:I,I2635)</f>
        <v>7.5</v>
      </c>
      <c r="K2635" s="383" t="s">
        <v>588</v>
      </c>
      <c r="L2635" s="255" t="s">
        <v>65</v>
      </c>
      <c r="M2635" s="879">
        <f>Q2636+Q2637</f>
        <v>1</v>
      </c>
      <c r="N2635" s="880">
        <f>IFERROR(M2635/M2637,"-")</f>
        <v>1</v>
      </c>
      <c r="O2635" s="881">
        <f>SUMIFS('Data Entry'!S:S,'Data Entry'!K:K,G2635)</f>
        <v>0</v>
      </c>
      <c r="P2635" s="272"/>
      <c r="Q2635" s="895">
        <v>0</v>
      </c>
      <c r="R2635" s="114"/>
      <c r="S2635" s="884"/>
      <c r="T2635" s="270"/>
      <c r="U2635" s="270"/>
      <c r="V2635" s="270"/>
      <c r="W2635" s="270"/>
      <c r="X2635" s="270"/>
      <c r="Y2635" s="114"/>
      <c r="Z2635" s="114"/>
      <c r="AA2635" s="114"/>
      <c r="AB2635" s="85"/>
      <c r="AC2635" s="85"/>
      <c r="AD2635" s="85"/>
      <c r="AE2635" s="85"/>
    </row>
    <row r="2636" spans="3:31" s="45" customFormat="1" ht="15" thickBot="1" x14ac:dyDescent="0.35">
      <c r="C2636" s="501" t="s">
        <v>419</v>
      </c>
      <c r="D2636" s="116"/>
      <c r="E2636" s="116" t="s">
        <v>43</v>
      </c>
      <c r="F2636" s="116" t="s">
        <v>426</v>
      </c>
      <c r="G2636" s="450" t="str">
        <f t="shared" si="130"/>
        <v>Maintenance &amp; Services-Maintenance-Pavement cleaning</v>
      </c>
      <c r="H2636" s="116"/>
      <c r="I2636" s="889" t="s">
        <v>66</v>
      </c>
      <c r="J2636" s="890">
        <f>SUMIFS('Level of Efficiency Assumptions'!J:J,'Level of Efficiency Assumptions'!D:D,E2636,'Level of Efficiency Assumptions'!F:F,F2636,'Level of Efficiency Assumptions'!I:I,I2636)</f>
        <v>5</v>
      </c>
      <c r="K2636" s="383" t="s">
        <v>588</v>
      </c>
      <c r="L2636" s="257" t="s">
        <v>66</v>
      </c>
      <c r="M2636" s="879">
        <f>Q2638+Q2639</f>
        <v>0</v>
      </c>
      <c r="N2636" s="880">
        <f>IFERROR(M2636/M2637,"-")</f>
        <v>0</v>
      </c>
      <c r="O2636" s="881">
        <f>SUMIFS('Data Entry'!T:T,'Data Entry'!K:K,G2636)</f>
        <v>0</v>
      </c>
      <c r="P2636" s="274"/>
      <c r="Q2636" s="895">
        <v>1</v>
      </c>
      <c r="R2636" s="114"/>
      <c r="S2636" s="884"/>
      <c r="T2636" s="270"/>
      <c r="U2636" s="270"/>
      <c r="V2636" s="270"/>
      <c r="W2636" s="270"/>
      <c r="X2636" s="270"/>
      <c r="Y2636" s="114"/>
      <c r="Z2636" s="114"/>
      <c r="AA2636" s="114"/>
      <c r="AB2636" s="85"/>
      <c r="AC2636" s="85"/>
      <c r="AD2636" s="85"/>
      <c r="AE2636" s="85"/>
    </row>
    <row r="2637" spans="3:31" s="45" customFormat="1" x14ac:dyDescent="0.3">
      <c r="C2637" s="450"/>
      <c r="D2637" s="182"/>
      <c r="E2637" s="182"/>
      <c r="F2637" s="182"/>
      <c r="G2637" s="450" t="str">
        <f t="shared" si="130"/>
        <v>--</v>
      </c>
      <c r="H2637" s="182"/>
      <c r="I2637" s="440"/>
      <c r="J2637" s="892"/>
      <c r="K2637" s="259"/>
      <c r="L2637" s="259" t="s">
        <v>46</v>
      </c>
      <c r="M2637" s="893">
        <f>SUM(M2634:M2636)</f>
        <v>1</v>
      </c>
      <c r="N2637" s="894"/>
      <c r="O2637" s="894">
        <f>SUM(O2634:O2636)</f>
        <v>0</v>
      </c>
      <c r="P2637" s="274"/>
      <c r="Q2637" s="895">
        <v>0</v>
      </c>
      <c r="R2637" s="114"/>
      <c r="S2637" s="884"/>
      <c r="T2637" s="270"/>
      <c r="U2637" s="270"/>
      <c r="V2637" s="270"/>
      <c r="W2637" s="270"/>
      <c r="X2637" s="270"/>
      <c r="Y2637" s="114"/>
      <c r="Z2637" s="114"/>
      <c r="AA2637" s="114"/>
      <c r="AB2637" s="85"/>
      <c r="AC2637" s="85"/>
      <c r="AD2637" s="85"/>
      <c r="AE2637" s="85"/>
    </row>
    <row r="2638" spans="3:31" s="45" customFormat="1" x14ac:dyDescent="0.3">
      <c r="C2638" s="450"/>
      <c r="D2638" s="182"/>
      <c r="E2638" s="182"/>
      <c r="F2638" s="182"/>
      <c r="G2638" s="450" t="str">
        <f t="shared" si="130"/>
        <v>--</v>
      </c>
      <c r="H2638" s="182"/>
      <c r="I2638" s="892"/>
      <c r="J2638" s="288"/>
      <c r="K2638" s="182"/>
      <c r="L2638" s="182"/>
      <c r="M2638" s="270"/>
      <c r="N2638" s="892"/>
      <c r="O2638" s="892"/>
      <c r="P2638" s="275"/>
      <c r="Q2638" s="895">
        <v>0</v>
      </c>
      <c r="R2638" s="114"/>
      <c r="S2638" s="884"/>
      <c r="T2638" s="270"/>
      <c r="U2638" s="270"/>
      <c r="V2638" s="270"/>
      <c r="W2638" s="270"/>
      <c r="X2638" s="270"/>
      <c r="Y2638" s="114"/>
      <c r="Z2638" s="114"/>
      <c r="AA2638" s="114"/>
      <c r="AB2638" s="85"/>
      <c r="AC2638" s="85"/>
      <c r="AD2638" s="85"/>
      <c r="AE2638" s="85"/>
    </row>
    <row r="2639" spans="3:31" s="45" customFormat="1" x14ac:dyDescent="0.3">
      <c r="C2639" s="450"/>
      <c r="D2639" s="182"/>
      <c r="E2639" s="182"/>
      <c r="F2639" s="182"/>
      <c r="G2639" s="450" t="str">
        <f t="shared" si="130"/>
        <v>--</v>
      </c>
      <c r="H2639" s="182"/>
      <c r="I2639" s="892"/>
      <c r="J2639" s="288"/>
      <c r="K2639" s="182"/>
      <c r="L2639" s="182"/>
      <c r="M2639" s="270"/>
      <c r="N2639" s="892"/>
      <c r="O2639" s="892"/>
      <c r="P2639" s="269"/>
      <c r="Q2639" s="895">
        <v>0</v>
      </c>
      <c r="R2639" s="114"/>
      <c r="S2639" s="884"/>
      <c r="T2639" s="270"/>
      <c r="U2639" s="270"/>
      <c r="V2639" s="270"/>
      <c r="W2639" s="270"/>
      <c r="X2639" s="270"/>
      <c r="Y2639" s="114"/>
      <c r="Z2639" s="114"/>
      <c r="AA2639" s="114"/>
      <c r="AB2639" s="85"/>
      <c r="AC2639" s="85"/>
      <c r="AD2639" s="85"/>
      <c r="AE2639" s="85"/>
    </row>
    <row r="2640" spans="3:31" s="45" customFormat="1" x14ac:dyDescent="0.3">
      <c r="C2640" s="450"/>
      <c r="D2640" s="182"/>
      <c r="E2640" s="182"/>
      <c r="F2640" s="182"/>
      <c r="G2640" s="450" t="str">
        <f t="shared" si="130"/>
        <v>--</v>
      </c>
      <c r="H2640" s="182"/>
      <c r="I2640" s="892"/>
      <c r="J2640" s="288"/>
      <c r="K2640" s="182"/>
      <c r="L2640" s="182"/>
      <c r="M2640" s="270"/>
      <c r="N2640" s="892"/>
      <c r="O2640" s="892"/>
      <c r="P2640" s="263" t="s">
        <v>46</v>
      </c>
      <c r="Q2640" s="897">
        <f>SUM(Q2634:Q2639)</f>
        <v>1</v>
      </c>
      <c r="R2640" s="899"/>
      <c r="S2640" s="900"/>
      <c r="T2640" s="270"/>
      <c r="U2640" s="270"/>
      <c r="V2640" s="270"/>
      <c r="W2640" s="270"/>
      <c r="X2640" s="270"/>
      <c r="Y2640" s="114"/>
      <c r="Z2640" s="114"/>
      <c r="AA2640" s="114"/>
      <c r="AB2640" s="85"/>
      <c r="AC2640" s="85"/>
      <c r="AD2640" s="85"/>
      <c r="AE2640" s="85"/>
    </row>
    <row r="2641" spans="3:27" x14ac:dyDescent="0.3">
      <c r="C2641" s="450"/>
      <c r="D2641" s="182"/>
      <c r="E2641" s="182"/>
      <c r="F2641" s="182"/>
      <c r="G2641" s="450" t="str">
        <f t="shared" si="130"/>
        <v>--</v>
      </c>
      <c r="H2641" s="182"/>
      <c r="I2641" s="892"/>
      <c r="J2641" s="288"/>
      <c r="K2641" s="182"/>
      <c r="L2641" s="182"/>
      <c r="M2641" s="270"/>
      <c r="N2641" s="892"/>
      <c r="O2641" s="892"/>
      <c r="P2641" s="259"/>
      <c r="Q2641" s="114"/>
      <c r="R2641" s="270"/>
      <c r="S2641" s="270"/>
      <c r="T2641" s="270"/>
      <c r="U2641" s="270"/>
      <c r="V2641" s="270"/>
      <c r="W2641" s="270"/>
      <c r="X2641" s="270"/>
      <c r="Y2641" s="114"/>
      <c r="Z2641" s="114"/>
      <c r="AA2641" s="270"/>
    </row>
    <row r="2642" spans="3:27" ht="15" thickBot="1" x14ac:dyDescent="0.35">
      <c r="C2642" s="450"/>
      <c r="D2642" s="182"/>
      <c r="E2642" s="182"/>
      <c r="F2642" s="182"/>
      <c r="G2642" s="450" t="str">
        <f t="shared" si="130"/>
        <v>--</v>
      </c>
      <c r="H2642" s="182"/>
      <c r="I2642" s="892"/>
      <c r="J2642" s="892"/>
      <c r="K2642" s="182"/>
      <c r="L2642" s="182"/>
      <c r="M2642" s="901" t="s">
        <v>155</v>
      </c>
      <c r="N2642" s="870" t="s">
        <v>188</v>
      </c>
      <c r="O2642" s="870"/>
      <c r="P2642" s="283"/>
      <c r="Q2642" s="871" t="s">
        <v>155</v>
      </c>
      <c r="R2642" s="902"/>
      <c r="S2642" s="874"/>
      <c r="T2642" s="270"/>
      <c r="U2642" s="270"/>
      <c r="V2642" s="270"/>
      <c r="W2642" s="270"/>
      <c r="X2642" s="270"/>
      <c r="Y2642" s="114"/>
      <c r="Z2642" s="114"/>
      <c r="AA2642" s="270"/>
    </row>
    <row r="2643" spans="3:27" ht="15" thickBot="1" x14ac:dyDescent="0.35">
      <c r="C2643" s="566" t="s">
        <v>419</v>
      </c>
      <c r="D2643" s="875" t="str">
        <f>VLOOKUP(C2643,'Airport Mapping'!$C$5:$D$39,2,FALSE)</f>
        <v xml:space="preserve"> </v>
      </c>
      <c r="E2643" s="567" t="s">
        <v>44</v>
      </c>
      <c r="F2643" s="567" t="s">
        <v>29</v>
      </c>
      <c r="G2643" s="450" t="str">
        <f t="shared" si="130"/>
        <v>Maintenance &amp; Services-Aircraft-Deicing</v>
      </c>
      <c r="H2643" s="567"/>
      <c r="I2643" s="877" t="s">
        <v>64</v>
      </c>
      <c r="J2643" s="878">
        <f>SUMIFS('Level of Efficiency Assumptions'!J:J,'Level of Efficiency Assumptions'!D:D,E2643,'Level of Efficiency Assumptions'!F:F,F2643,'Level of Efficiency Assumptions'!I:I,I2643)</f>
        <v>20</v>
      </c>
      <c r="K2643" s="383" t="s">
        <v>588</v>
      </c>
      <c r="L2643" s="253" t="s">
        <v>64</v>
      </c>
      <c r="M2643" s="879">
        <f>SUM(Q2643:Q2643)</f>
        <v>0</v>
      </c>
      <c r="N2643" s="880">
        <f>IFERROR(M2643/M2646,"-")</f>
        <v>0</v>
      </c>
      <c r="O2643" s="881">
        <f>SUMIFS('Data Entry'!R:R,'Data Entry'!K:K,G2643)</f>
        <v>0</v>
      </c>
      <c r="P2643" s="272" t="s">
        <v>129</v>
      </c>
      <c r="Q2643" s="895">
        <v>0</v>
      </c>
      <c r="R2643" s="114"/>
      <c r="S2643" s="884"/>
      <c r="T2643" s="270"/>
      <c r="U2643" s="270"/>
      <c r="V2643" s="270"/>
      <c r="W2643" s="270"/>
      <c r="X2643" s="270"/>
      <c r="Y2643" s="270"/>
      <c r="Z2643" s="270"/>
      <c r="AA2643" s="270"/>
    </row>
    <row r="2644" spans="3:27" ht="15" thickBot="1" x14ac:dyDescent="0.35">
      <c r="C2644" s="494" t="s">
        <v>419</v>
      </c>
      <c r="D2644" s="577"/>
      <c r="E2644" s="577" t="s">
        <v>44</v>
      </c>
      <c r="F2644" s="577" t="s">
        <v>29</v>
      </c>
      <c r="G2644" s="450" t="str">
        <f t="shared" si="130"/>
        <v>Maintenance &amp; Services-Aircraft-Deicing</v>
      </c>
      <c r="H2644" s="577"/>
      <c r="I2644" s="887" t="s">
        <v>65</v>
      </c>
      <c r="J2644" s="878">
        <f>SUMIFS('Level of Efficiency Assumptions'!J:J,'Level of Efficiency Assumptions'!D:D,E2644,'Level of Efficiency Assumptions'!F:F,F2644,'Level of Efficiency Assumptions'!I:I,I2644)</f>
        <v>10</v>
      </c>
      <c r="K2644" s="383" t="s">
        <v>588</v>
      </c>
      <c r="L2644" s="255" t="s">
        <v>65</v>
      </c>
      <c r="M2644" s="879">
        <f t="shared" ref="M2644:M2645" si="131">SUM(Q2644:Q2644)</f>
        <v>1</v>
      </c>
      <c r="N2644" s="880">
        <f>IFERROR(M2644/M2646,"-")</f>
        <v>1</v>
      </c>
      <c r="O2644" s="881">
        <f>SUMIFS('Data Entry'!S:S,'Data Entry'!K:K,G2644)</f>
        <v>0</v>
      </c>
      <c r="P2644" s="274" t="s">
        <v>233</v>
      </c>
      <c r="Q2644" s="895">
        <v>1</v>
      </c>
      <c r="R2644" s="114"/>
      <c r="S2644" s="884"/>
      <c r="T2644" s="270"/>
      <c r="U2644" s="270"/>
      <c r="V2644" s="270"/>
      <c r="W2644" s="270"/>
      <c r="X2644" s="270"/>
      <c r="Y2644" s="270"/>
      <c r="Z2644" s="270"/>
      <c r="AA2644" s="270"/>
    </row>
    <row r="2645" spans="3:27" ht="15" thickBot="1" x14ac:dyDescent="0.35">
      <c r="C2645" s="501" t="s">
        <v>419</v>
      </c>
      <c r="D2645" s="116"/>
      <c r="E2645" s="116" t="s">
        <v>44</v>
      </c>
      <c r="F2645" s="116" t="s">
        <v>29</v>
      </c>
      <c r="G2645" s="450" t="str">
        <f t="shared" si="130"/>
        <v>Maintenance &amp; Services-Aircraft-Deicing</v>
      </c>
      <c r="H2645" s="116"/>
      <c r="I2645" s="889" t="s">
        <v>66</v>
      </c>
      <c r="J2645" s="890">
        <f>SUMIFS('Level of Efficiency Assumptions'!J:J,'Level of Efficiency Assumptions'!D:D,E2645,'Level of Efficiency Assumptions'!F:F,F2645,'Level of Efficiency Assumptions'!I:I,I2645)</f>
        <v>5</v>
      </c>
      <c r="K2645" s="383" t="s">
        <v>588</v>
      </c>
      <c r="L2645" s="257" t="s">
        <v>66</v>
      </c>
      <c r="M2645" s="879">
        <f t="shared" si="131"/>
        <v>0</v>
      </c>
      <c r="N2645" s="880">
        <f>IFERROR(M2645/M2646,"-")</f>
        <v>0</v>
      </c>
      <c r="O2645" s="881">
        <f>SUMIFS('Data Entry'!T:T,'Data Entry'!K:K,G2645)</f>
        <v>0</v>
      </c>
      <c r="P2645" s="269" t="s">
        <v>234</v>
      </c>
      <c r="Q2645" s="895">
        <v>0</v>
      </c>
      <c r="R2645" s="114"/>
      <c r="S2645" s="884"/>
      <c r="T2645" s="270"/>
      <c r="U2645" s="270"/>
      <c r="V2645" s="270"/>
      <c r="W2645" s="270"/>
      <c r="X2645" s="270"/>
      <c r="Y2645" s="270"/>
      <c r="Z2645" s="270"/>
      <c r="AA2645" s="270"/>
    </row>
    <row r="2646" spans="3:27" x14ac:dyDescent="0.3">
      <c r="C2646" s="450"/>
      <c r="D2646" s="182"/>
      <c r="E2646" s="182"/>
      <c r="F2646" s="182"/>
      <c r="G2646" s="450" t="str">
        <f t="shared" si="130"/>
        <v>--</v>
      </c>
      <c r="H2646" s="182"/>
      <c r="I2646" s="440"/>
      <c r="J2646" s="892"/>
      <c r="K2646" s="259"/>
      <c r="L2646" s="259" t="s">
        <v>46</v>
      </c>
      <c r="M2646" s="893">
        <f>SUM(M2643:M2645)</f>
        <v>1</v>
      </c>
      <c r="N2646" s="894"/>
      <c r="O2646" s="894">
        <f>SUM(O2643:O2645)</f>
        <v>0</v>
      </c>
      <c r="P2646" s="263" t="s">
        <v>46</v>
      </c>
      <c r="Q2646" s="897">
        <f>SUM(Q2643:Q2645)</f>
        <v>1</v>
      </c>
      <c r="R2646" s="899"/>
      <c r="S2646" s="900"/>
      <c r="T2646" s="270"/>
      <c r="U2646" s="270"/>
      <c r="V2646" s="270"/>
      <c r="W2646" s="270"/>
      <c r="X2646" s="270"/>
      <c r="Y2646" s="270"/>
      <c r="Z2646" s="270"/>
      <c r="AA2646" s="270"/>
    </row>
    <row r="2647" spans="3:27" x14ac:dyDescent="0.3">
      <c r="C2647" s="450"/>
      <c r="D2647" s="182"/>
      <c r="E2647" s="182"/>
      <c r="F2647" s="182"/>
      <c r="G2647" s="450" t="str">
        <f t="shared" si="130"/>
        <v>--</v>
      </c>
      <c r="H2647" s="182"/>
      <c r="I2647" s="892"/>
      <c r="J2647" s="288"/>
      <c r="K2647" s="182"/>
      <c r="L2647" s="182"/>
      <c r="M2647" s="270"/>
      <c r="N2647" s="892"/>
      <c r="O2647" s="892"/>
      <c r="P2647" s="270"/>
      <c r="Q2647" s="270"/>
      <c r="R2647" s="270"/>
      <c r="S2647" s="270"/>
      <c r="T2647" s="270"/>
      <c r="U2647" s="270"/>
      <c r="V2647" s="270"/>
      <c r="W2647" s="270"/>
      <c r="X2647" s="270"/>
      <c r="Y2647" s="270"/>
      <c r="Z2647" s="270"/>
      <c r="AA2647" s="270"/>
    </row>
    <row r="2648" spans="3:27" ht="15" thickBot="1" x14ac:dyDescent="0.35">
      <c r="C2648" s="450"/>
      <c r="D2648" s="182"/>
      <c r="E2648" s="182"/>
      <c r="F2648" s="182"/>
      <c r="G2648" s="450" t="str">
        <f t="shared" si="130"/>
        <v>--</v>
      </c>
      <c r="H2648" s="182"/>
      <c r="I2648" s="892"/>
      <c r="J2648" s="892"/>
      <c r="K2648" s="182"/>
      <c r="L2648" s="182"/>
      <c r="M2648" s="901" t="s">
        <v>155</v>
      </c>
      <c r="N2648" s="870" t="s">
        <v>188</v>
      </c>
      <c r="O2648" s="870"/>
      <c r="P2648" s="283" t="s">
        <v>24</v>
      </c>
      <c r="Q2648" s="871" t="s">
        <v>155</v>
      </c>
      <c r="R2648" s="902"/>
      <c r="S2648" s="874"/>
      <c r="T2648" s="270"/>
      <c r="U2648" s="270"/>
      <c r="V2648" s="270"/>
      <c r="W2648" s="270"/>
      <c r="X2648" s="270"/>
      <c r="Y2648" s="270"/>
      <c r="Z2648" s="270"/>
      <c r="AA2648" s="270"/>
    </row>
    <row r="2649" spans="3:27" ht="15" thickBot="1" x14ac:dyDescent="0.35">
      <c r="C2649" s="566" t="s">
        <v>419</v>
      </c>
      <c r="D2649" s="875" t="str">
        <f>VLOOKUP(C2649,'Airport Mapping'!$C$5:$D$39,2,FALSE)</f>
        <v xml:space="preserve"> </v>
      </c>
      <c r="E2649" s="567" t="s">
        <v>43</v>
      </c>
      <c r="F2649" s="567" t="s">
        <v>24</v>
      </c>
      <c r="G2649" s="450" t="str">
        <f t="shared" si="130"/>
        <v>Maintenance &amp; Services-Maintenance-Snow removal</v>
      </c>
      <c r="H2649" s="567" t="s">
        <v>10</v>
      </c>
      <c r="I2649" s="877" t="s">
        <v>64</v>
      </c>
      <c r="J2649" s="878">
        <f>SUMIFS('Level of Efficiency Assumptions'!J:J,'Level of Efficiency Assumptions'!D:D,E2649,'Level of Efficiency Assumptions'!F:F,F2649,'Level of Efficiency Assumptions'!I:I,I2649)</f>
        <v>10</v>
      </c>
      <c r="K2649" s="383" t="s">
        <v>588</v>
      </c>
      <c r="L2649" s="253" t="s">
        <v>64</v>
      </c>
      <c r="M2649" s="879">
        <f>SUM(Q2649:Q2649)</f>
        <v>0</v>
      </c>
      <c r="N2649" s="880">
        <f>IFERROR(M2649/M2652,"-")</f>
        <v>0</v>
      </c>
      <c r="O2649" s="881">
        <f>SUMIFS('Data Entry'!R:R,'Data Entry'!K:K,G2649)</f>
        <v>0</v>
      </c>
      <c r="P2649" s="272" t="s">
        <v>129</v>
      </c>
      <c r="Q2649" s="895">
        <v>0</v>
      </c>
      <c r="R2649" s="114"/>
      <c r="S2649" s="884"/>
      <c r="T2649" s="270"/>
      <c r="U2649" s="270"/>
      <c r="V2649" s="270"/>
      <c r="W2649" s="270"/>
      <c r="X2649" s="270"/>
      <c r="Y2649" s="270"/>
      <c r="Z2649" s="270"/>
      <c r="AA2649" s="270"/>
    </row>
    <row r="2650" spans="3:27" ht="15" thickBot="1" x14ac:dyDescent="0.35">
      <c r="C2650" s="494" t="s">
        <v>419</v>
      </c>
      <c r="D2650" s="577"/>
      <c r="E2650" s="577" t="s">
        <v>43</v>
      </c>
      <c r="F2650" s="577" t="s">
        <v>24</v>
      </c>
      <c r="G2650" s="450" t="str">
        <f t="shared" si="130"/>
        <v>Maintenance &amp; Services-Maintenance-Snow removal</v>
      </c>
      <c r="H2650" s="577"/>
      <c r="I2650" s="887" t="s">
        <v>65</v>
      </c>
      <c r="J2650" s="878">
        <f>SUMIFS('Level of Efficiency Assumptions'!J:J,'Level of Efficiency Assumptions'!D:D,E2650,'Level of Efficiency Assumptions'!F:F,F2650,'Level of Efficiency Assumptions'!I:I,I2650)</f>
        <v>7.5</v>
      </c>
      <c r="K2650" s="383" t="s">
        <v>588</v>
      </c>
      <c r="L2650" s="255" t="s">
        <v>65</v>
      </c>
      <c r="M2650" s="879">
        <f t="shared" ref="M2650:M2651" si="132">SUM(Q2650:Q2650)</f>
        <v>1</v>
      </c>
      <c r="N2650" s="880">
        <f>IFERROR(M2650/M2652,"-")</f>
        <v>1</v>
      </c>
      <c r="O2650" s="881">
        <f>SUMIFS('Data Entry'!S:S,'Data Entry'!K:K,G2650)</f>
        <v>0</v>
      </c>
      <c r="P2650" s="274" t="s">
        <v>233</v>
      </c>
      <c r="Q2650" s="895">
        <v>1</v>
      </c>
      <c r="R2650" s="114"/>
      <c r="S2650" s="884"/>
      <c r="T2650" s="270"/>
      <c r="U2650" s="270"/>
      <c r="V2650" s="270"/>
      <c r="W2650" s="270"/>
      <c r="X2650" s="270"/>
      <c r="Y2650" s="270"/>
      <c r="Z2650" s="270"/>
      <c r="AA2650" s="270"/>
    </row>
    <row r="2651" spans="3:27" ht="15" thickBot="1" x14ac:dyDescent="0.35">
      <c r="C2651" s="501" t="s">
        <v>419</v>
      </c>
      <c r="D2651" s="116"/>
      <c r="E2651" s="116" t="s">
        <v>43</v>
      </c>
      <c r="F2651" s="116" t="s">
        <v>24</v>
      </c>
      <c r="G2651" s="450" t="str">
        <f t="shared" si="130"/>
        <v>Maintenance &amp; Services-Maintenance-Snow removal</v>
      </c>
      <c r="H2651" s="116"/>
      <c r="I2651" s="889" t="s">
        <v>66</v>
      </c>
      <c r="J2651" s="890">
        <f>SUMIFS('Level of Efficiency Assumptions'!J:J,'Level of Efficiency Assumptions'!D:D,E2651,'Level of Efficiency Assumptions'!F:F,F2651,'Level of Efficiency Assumptions'!I:I,I2651)</f>
        <v>5</v>
      </c>
      <c r="K2651" s="383" t="s">
        <v>588</v>
      </c>
      <c r="L2651" s="257" t="s">
        <v>66</v>
      </c>
      <c r="M2651" s="879">
        <f t="shared" si="132"/>
        <v>0</v>
      </c>
      <c r="N2651" s="880">
        <f>IFERROR(M2651/M2652,"-")</f>
        <v>0</v>
      </c>
      <c r="O2651" s="881">
        <f>SUMIFS('Data Entry'!T:T,'Data Entry'!K:K,G2651)</f>
        <v>0</v>
      </c>
      <c r="P2651" s="269" t="s">
        <v>234</v>
      </c>
      <c r="Q2651" s="895">
        <v>0</v>
      </c>
      <c r="R2651" s="114"/>
      <c r="S2651" s="884"/>
      <c r="T2651" s="270"/>
      <c r="U2651" s="270"/>
      <c r="V2651" s="270"/>
      <c r="W2651" s="270"/>
      <c r="X2651" s="270"/>
      <c r="Y2651" s="270"/>
      <c r="Z2651" s="270"/>
      <c r="AA2651" s="270"/>
    </row>
    <row r="2652" spans="3:27" x14ac:dyDescent="0.3">
      <c r="C2652" s="450"/>
      <c r="D2652" s="182"/>
      <c r="E2652" s="182"/>
      <c r="F2652" s="182"/>
      <c r="G2652" s="450" t="str">
        <f t="shared" si="130"/>
        <v>--</v>
      </c>
      <c r="H2652" s="182"/>
      <c r="I2652" s="440"/>
      <c r="J2652" s="892"/>
      <c r="K2652" s="259"/>
      <c r="L2652" s="259" t="s">
        <v>46</v>
      </c>
      <c r="M2652" s="893">
        <f>SUM(M2649:M2651)</f>
        <v>1</v>
      </c>
      <c r="N2652" s="894"/>
      <c r="O2652" s="894">
        <f>SUM(O2649:O2651)</f>
        <v>0</v>
      </c>
      <c r="P2652" s="263" t="s">
        <v>46</v>
      </c>
      <c r="Q2652" s="897">
        <f>SUM(Q2649:Q2651)</f>
        <v>1</v>
      </c>
      <c r="R2652" s="899"/>
      <c r="S2652" s="900"/>
      <c r="T2652" s="270"/>
      <c r="U2652" s="270"/>
      <c r="V2652" s="270"/>
      <c r="W2652" s="270"/>
      <c r="X2652" s="270"/>
      <c r="Y2652" s="270"/>
      <c r="Z2652" s="270"/>
      <c r="AA2652" s="270"/>
    </row>
    <row r="2653" spans="3:27" x14ac:dyDescent="0.3">
      <c r="C2653" s="450"/>
      <c r="D2653" s="182"/>
      <c r="E2653" s="182"/>
      <c r="F2653" s="182"/>
      <c r="G2653" s="450" t="str">
        <f t="shared" si="130"/>
        <v>--</v>
      </c>
      <c r="H2653" s="182"/>
      <c r="I2653" s="892"/>
      <c r="J2653" s="288"/>
      <c r="K2653" s="182"/>
      <c r="L2653" s="921"/>
      <c r="M2653" s="270"/>
      <c r="N2653" s="892"/>
      <c r="O2653" s="892"/>
      <c r="P2653" s="270"/>
      <c r="Q2653" s="270"/>
      <c r="R2653" s="270"/>
      <c r="S2653" s="270"/>
      <c r="T2653" s="270"/>
      <c r="U2653" s="270"/>
      <c r="V2653" s="270"/>
      <c r="W2653" s="270"/>
      <c r="X2653" s="270"/>
      <c r="Y2653" s="270"/>
      <c r="Z2653" s="270"/>
      <c r="AA2653" s="270"/>
    </row>
    <row r="2654" spans="3:27" ht="15" thickBot="1" x14ac:dyDescent="0.35">
      <c r="C2654" s="450"/>
      <c r="D2654" s="182"/>
      <c r="E2654" s="182"/>
      <c r="F2654" s="182"/>
      <c r="G2654" s="450" t="str">
        <f t="shared" si="130"/>
        <v>--</v>
      </c>
      <c r="H2654" s="182"/>
      <c r="I2654" s="892"/>
      <c r="J2654" s="892"/>
      <c r="K2654" s="182"/>
      <c r="L2654" s="182"/>
      <c r="M2654" s="901" t="s">
        <v>155</v>
      </c>
      <c r="N2654" s="870" t="s">
        <v>188</v>
      </c>
      <c r="O2654" s="870"/>
      <c r="P2654" s="285" t="s">
        <v>25</v>
      </c>
      <c r="Q2654" s="871" t="s">
        <v>155</v>
      </c>
      <c r="R2654" s="902"/>
      <c r="S2654" s="874"/>
      <c r="T2654" s="114"/>
      <c r="U2654" s="270"/>
      <c r="V2654" s="270"/>
      <c r="W2654" s="270"/>
      <c r="X2654" s="270"/>
      <c r="Y2654" s="270"/>
      <c r="Z2654" s="270"/>
      <c r="AA2654" s="270"/>
    </row>
    <row r="2655" spans="3:27" ht="15" thickBot="1" x14ac:dyDescent="0.35">
      <c r="C2655" s="566" t="s">
        <v>419</v>
      </c>
      <c r="D2655" s="875" t="str">
        <f>VLOOKUP(C2655,'Airport Mapping'!$C$5:$D$39,2,FALSE)</f>
        <v xml:space="preserve"> </v>
      </c>
      <c r="E2655" s="567" t="s">
        <v>43</v>
      </c>
      <c r="F2655" s="567" t="s">
        <v>25</v>
      </c>
      <c r="G2655" s="450" t="str">
        <f t="shared" ref="G2655:G2715" si="133">C2655&amp;"-"&amp;E2655&amp;"-"&amp;F2655</f>
        <v>Maintenance &amp; Services-Maintenance-Fleet vehicle washing</v>
      </c>
      <c r="H2655" s="567" t="s">
        <v>10</v>
      </c>
      <c r="I2655" s="877" t="s">
        <v>64</v>
      </c>
      <c r="J2655" s="878">
        <f>SUMIFS('Level of Efficiency Assumptions'!J:J,'Level of Efficiency Assumptions'!D:D,E2655,'Level of Efficiency Assumptions'!F:F,F2655,'Level of Efficiency Assumptions'!I:I,I2655)</f>
        <v>10</v>
      </c>
      <c r="K2655" s="383" t="s">
        <v>588</v>
      </c>
      <c r="L2655" s="253" t="s">
        <v>64</v>
      </c>
      <c r="M2655" s="879">
        <f>SUM(Q2655:Q2656)</f>
        <v>0</v>
      </c>
      <c r="N2655" s="880">
        <f>IFERROR(M2655/M2658,"-")</f>
        <v>0</v>
      </c>
      <c r="O2655" s="881">
        <f>SUMIFS('Data Entry'!R:R,'Data Entry'!K:K,G2655)</f>
        <v>0</v>
      </c>
      <c r="P2655" s="272"/>
      <c r="Q2655" s="895">
        <v>0</v>
      </c>
      <c r="R2655" s="114"/>
      <c r="S2655" s="884"/>
      <c r="T2655" s="114"/>
      <c r="U2655" s="270"/>
      <c r="V2655" s="270"/>
      <c r="W2655" s="270"/>
      <c r="X2655" s="270"/>
      <c r="Y2655" s="270"/>
      <c r="Z2655" s="270"/>
      <c r="AA2655" s="270"/>
    </row>
    <row r="2656" spans="3:27" ht="15" thickBot="1" x14ac:dyDescent="0.35">
      <c r="C2656" s="494" t="s">
        <v>419</v>
      </c>
      <c r="D2656" s="577"/>
      <c r="E2656" s="577" t="s">
        <v>43</v>
      </c>
      <c r="F2656" s="577" t="s">
        <v>25</v>
      </c>
      <c r="G2656" s="450" t="str">
        <f t="shared" si="133"/>
        <v>Maintenance &amp; Services-Maintenance-Fleet vehicle washing</v>
      </c>
      <c r="H2656" s="577"/>
      <c r="I2656" s="887" t="s">
        <v>65</v>
      </c>
      <c r="J2656" s="878">
        <f>SUMIFS('Level of Efficiency Assumptions'!J:J,'Level of Efficiency Assumptions'!D:D,E2656,'Level of Efficiency Assumptions'!F:F,F2656,'Level of Efficiency Assumptions'!I:I,I2656)</f>
        <v>7.5</v>
      </c>
      <c r="K2656" s="383" t="s">
        <v>588</v>
      </c>
      <c r="L2656" s="255" t="s">
        <v>65</v>
      </c>
      <c r="M2656" s="879">
        <f>Q2657+Q2658</f>
        <v>1</v>
      </c>
      <c r="N2656" s="880">
        <f>IFERROR(M2656/M2658,"-")</f>
        <v>1</v>
      </c>
      <c r="O2656" s="881">
        <f>SUMIFS('Data Entry'!S:S,'Data Entry'!K:K,G2656)</f>
        <v>0</v>
      </c>
      <c r="P2656" s="272"/>
      <c r="Q2656" s="895">
        <v>0</v>
      </c>
      <c r="R2656" s="114"/>
      <c r="S2656" s="884"/>
      <c r="T2656" s="114"/>
      <c r="U2656" s="270"/>
      <c r="V2656" s="270"/>
      <c r="W2656" s="270"/>
      <c r="X2656" s="270"/>
      <c r="Y2656" s="270"/>
      <c r="Z2656" s="270"/>
      <c r="AA2656" s="270"/>
    </row>
    <row r="2657" spans="3:27" ht="15" thickBot="1" x14ac:dyDescent="0.35">
      <c r="C2657" s="501" t="s">
        <v>419</v>
      </c>
      <c r="D2657" s="116"/>
      <c r="E2657" s="116" t="s">
        <v>43</v>
      </c>
      <c r="F2657" s="116" t="s">
        <v>25</v>
      </c>
      <c r="G2657" s="450" t="str">
        <f t="shared" si="133"/>
        <v>Maintenance &amp; Services-Maintenance-Fleet vehicle washing</v>
      </c>
      <c r="H2657" s="116"/>
      <c r="I2657" s="889" t="s">
        <v>66</v>
      </c>
      <c r="J2657" s="890">
        <f>SUMIFS('Level of Efficiency Assumptions'!J:J,'Level of Efficiency Assumptions'!D:D,E2657,'Level of Efficiency Assumptions'!F:F,F2657,'Level of Efficiency Assumptions'!I:I,I2657)</f>
        <v>5</v>
      </c>
      <c r="K2657" s="383" t="s">
        <v>588</v>
      </c>
      <c r="L2657" s="257" t="s">
        <v>66</v>
      </c>
      <c r="M2657" s="879">
        <f>Q2659+Q2660</f>
        <v>0</v>
      </c>
      <c r="N2657" s="880">
        <f>IFERROR(M2657/M2658,"-")</f>
        <v>0</v>
      </c>
      <c r="O2657" s="881">
        <f>SUMIFS('Data Entry'!T:T,'Data Entry'!K:K,G2657)</f>
        <v>0</v>
      </c>
      <c r="P2657" s="274"/>
      <c r="Q2657" s="895">
        <v>1</v>
      </c>
      <c r="R2657" s="114"/>
      <c r="S2657" s="884"/>
      <c r="T2657" s="114"/>
      <c r="U2657" s="270"/>
      <c r="V2657" s="270"/>
      <c r="W2657" s="270"/>
      <c r="X2657" s="270"/>
      <c r="Y2657" s="270"/>
      <c r="Z2657" s="270"/>
      <c r="AA2657" s="270"/>
    </row>
    <row r="2658" spans="3:27" x14ac:dyDescent="0.3">
      <c r="C2658" s="450"/>
      <c r="D2658" s="182"/>
      <c r="E2658" s="182"/>
      <c r="F2658" s="182"/>
      <c r="G2658" s="450" t="str">
        <f t="shared" si="133"/>
        <v>--</v>
      </c>
      <c r="H2658" s="182"/>
      <c r="I2658" s="440"/>
      <c r="J2658" s="892"/>
      <c r="K2658" s="259"/>
      <c r="L2658" s="259" t="s">
        <v>46</v>
      </c>
      <c r="M2658" s="893">
        <f>SUM(M2655:M2657)</f>
        <v>1</v>
      </c>
      <c r="N2658" s="894"/>
      <c r="O2658" s="894">
        <f>SUM(O2655:O2657)</f>
        <v>0</v>
      </c>
      <c r="P2658" s="274"/>
      <c r="Q2658" s="895">
        <v>0</v>
      </c>
      <c r="R2658" s="114"/>
      <c r="S2658" s="884"/>
      <c r="T2658" s="114"/>
      <c r="U2658" s="270"/>
      <c r="V2658" s="270"/>
      <c r="W2658" s="270"/>
      <c r="X2658" s="270"/>
      <c r="Y2658" s="270"/>
      <c r="Z2658" s="270"/>
      <c r="AA2658" s="270"/>
    </row>
    <row r="2659" spans="3:27" x14ac:dyDescent="0.3">
      <c r="C2659" s="450"/>
      <c r="D2659" s="182"/>
      <c r="E2659" s="182"/>
      <c r="F2659" s="182"/>
      <c r="G2659" s="450" t="str">
        <f t="shared" si="133"/>
        <v>--</v>
      </c>
      <c r="H2659" s="182"/>
      <c r="I2659" s="892"/>
      <c r="J2659" s="288"/>
      <c r="K2659" s="182"/>
      <c r="L2659" s="182"/>
      <c r="M2659" s="270"/>
      <c r="N2659" s="892"/>
      <c r="O2659" s="892"/>
      <c r="P2659" s="275"/>
      <c r="Q2659" s="895">
        <v>0</v>
      </c>
      <c r="R2659" s="114"/>
      <c r="S2659" s="884"/>
      <c r="T2659" s="114"/>
      <c r="U2659" s="270"/>
      <c r="V2659" s="270"/>
      <c r="W2659" s="270"/>
      <c r="X2659" s="270"/>
      <c r="Y2659" s="270"/>
      <c r="Z2659" s="270"/>
      <c r="AA2659" s="270"/>
    </row>
    <row r="2660" spans="3:27" x14ac:dyDescent="0.3">
      <c r="C2660" s="450"/>
      <c r="D2660" s="182"/>
      <c r="E2660" s="182"/>
      <c r="F2660" s="182"/>
      <c r="G2660" s="450" t="str">
        <f t="shared" si="133"/>
        <v>--</v>
      </c>
      <c r="H2660" s="182"/>
      <c r="I2660" s="892"/>
      <c r="J2660" s="288"/>
      <c r="K2660" s="182"/>
      <c r="L2660" s="182"/>
      <c r="M2660" s="270"/>
      <c r="N2660" s="892"/>
      <c r="O2660" s="892"/>
      <c r="P2660" s="269"/>
      <c r="Q2660" s="895">
        <v>0</v>
      </c>
      <c r="R2660" s="114"/>
      <c r="S2660" s="884"/>
      <c r="T2660" s="114"/>
      <c r="U2660" s="270"/>
      <c r="V2660" s="270"/>
      <c r="W2660" s="270"/>
      <c r="X2660" s="270"/>
      <c r="Y2660" s="270"/>
      <c r="Z2660" s="270"/>
      <c r="AA2660" s="270"/>
    </row>
    <row r="2661" spans="3:27" x14ac:dyDescent="0.3">
      <c r="C2661" s="450"/>
      <c r="D2661" s="182"/>
      <c r="E2661" s="182"/>
      <c r="F2661" s="182"/>
      <c r="G2661" s="450" t="str">
        <f t="shared" si="133"/>
        <v>--</v>
      </c>
      <c r="H2661" s="182"/>
      <c r="I2661" s="892"/>
      <c r="J2661" s="288"/>
      <c r="K2661" s="182"/>
      <c r="L2661" s="182"/>
      <c r="M2661" s="270"/>
      <c r="N2661" s="892"/>
      <c r="O2661" s="892"/>
      <c r="P2661" s="263" t="s">
        <v>46</v>
      </c>
      <c r="Q2661" s="897">
        <f>SUM(Q2655:Q2660)</f>
        <v>1</v>
      </c>
      <c r="R2661" s="899"/>
      <c r="S2661" s="900"/>
      <c r="T2661" s="114"/>
      <c r="U2661" s="270"/>
      <c r="V2661" s="270"/>
      <c r="W2661" s="270"/>
      <c r="X2661" s="270"/>
      <c r="Y2661" s="270"/>
      <c r="Z2661" s="270"/>
      <c r="AA2661" s="270"/>
    </row>
    <row r="2662" spans="3:27" x14ac:dyDescent="0.3">
      <c r="C2662" s="450"/>
      <c r="D2662" s="182"/>
      <c r="E2662" s="182"/>
      <c r="F2662" s="182"/>
      <c r="G2662" s="450" t="str">
        <f t="shared" si="133"/>
        <v>--</v>
      </c>
      <c r="H2662" s="182"/>
      <c r="I2662" s="892"/>
      <c r="J2662" s="288"/>
      <c r="K2662" s="182"/>
      <c r="L2662" s="182"/>
      <c r="M2662" s="270"/>
      <c r="N2662" s="892"/>
      <c r="O2662" s="892"/>
      <c r="P2662" s="270"/>
      <c r="Q2662" s="270"/>
      <c r="R2662" s="270"/>
      <c r="S2662" s="270"/>
      <c r="T2662" s="114"/>
      <c r="U2662" s="270"/>
      <c r="V2662" s="270"/>
      <c r="W2662" s="270"/>
      <c r="X2662" s="270"/>
      <c r="Y2662" s="270"/>
      <c r="Z2662" s="270"/>
      <c r="AA2662" s="270"/>
    </row>
    <row r="2663" spans="3:27" ht="15" thickBot="1" x14ac:dyDescent="0.35">
      <c r="C2663" s="450"/>
      <c r="D2663" s="182"/>
      <c r="E2663" s="182"/>
      <c r="F2663" s="182"/>
      <c r="G2663" s="450" t="str">
        <f t="shared" si="133"/>
        <v>--</v>
      </c>
      <c r="H2663" s="182"/>
      <c r="I2663" s="892"/>
      <c r="J2663" s="892"/>
      <c r="K2663" s="182"/>
      <c r="L2663" s="182"/>
      <c r="M2663" s="901" t="s">
        <v>155</v>
      </c>
      <c r="N2663" s="870" t="s">
        <v>188</v>
      </c>
      <c r="O2663" s="870"/>
      <c r="P2663" s="283" t="s">
        <v>26</v>
      </c>
      <c r="Q2663" s="871" t="s">
        <v>155</v>
      </c>
      <c r="R2663" s="902"/>
      <c r="S2663" s="874"/>
      <c r="T2663" s="114"/>
      <c r="U2663" s="270"/>
      <c r="V2663" s="270"/>
      <c r="W2663" s="270"/>
      <c r="X2663" s="270"/>
      <c r="Y2663" s="270"/>
      <c r="Z2663" s="270"/>
      <c r="AA2663" s="270"/>
    </row>
    <row r="2664" spans="3:27" ht="15" thickBot="1" x14ac:dyDescent="0.35">
      <c r="C2664" s="566" t="s">
        <v>419</v>
      </c>
      <c r="D2664" s="875" t="str">
        <f>VLOOKUP(C2664,'Airport Mapping'!$C$5:$D$39,2,FALSE)</f>
        <v xml:space="preserve"> </v>
      </c>
      <c r="E2664" s="567" t="s">
        <v>43</v>
      </c>
      <c r="F2664" s="567" t="s">
        <v>26</v>
      </c>
      <c r="G2664" s="450" t="str">
        <f t="shared" si="133"/>
        <v xml:space="preserve">Maintenance &amp; Services-Maintenance-Runway rubber removal </v>
      </c>
      <c r="H2664" s="567" t="s">
        <v>10</v>
      </c>
      <c r="I2664" s="877" t="s">
        <v>64</v>
      </c>
      <c r="J2664" s="878">
        <f>SUMIFS('Level of Efficiency Assumptions'!J:J,'Level of Efficiency Assumptions'!D:D,E2664,'Level of Efficiency Assumptions'!F:F,F2664,'Level of Efficiency Assumptions'!I:I,I2664)</f>
        <v>10</v>
      </c>
      <c r="K2664" s="383" t="s">
        <v>588</v>
      </c>
      <c r="L2664" s="253" t="s">
        <v>64</v>
      </c>
      <c r="M2664" s="879">
        <f>SUM(Q2664:Q2664)</f>
        <v>0</v>
      </c>
      <c r="N2664" s="880">
        <f>IFERROR(M2664/M2667,"-")</f>
        <v>0</v>
      </c>
      <c r="O2664" s="881">
        <f>SUMIFS('Data Entry'!R:R,'Data Entry'!K:K,G2664)</f>
        <v>0</v>
      </c>
      <c r="P2664" s="272" t="s">
        <v>129</v>
      </c>
      <c r="Q2664" s="895">
        <v>0</v>
      </c>
      <c r="R2664" s="114"/>
      <c r="S2664" s="884"/>
      <c r="T2664" s="114"/>
      <c r="U2664" s="270"/>
      <c r="V2664" s="270"/>
      <c r="W2664" s="270"/>
      <c r="X2664" s="270"/>
      <c r="Y2664" s="270"/>
      <c r="Z2664" s="270"/>
      <c r="AA2664" s="270"/>
    </row>
    <row r="2665" spans="3:27" ht="15" thickBot="1" x14ac:dyDescent="0.35">
      <c r="C2665" s="494" t="s">
        <v>419</v>
      </c>
      <c r="D2665" s="577"/>
      <c r="E2665" s="577" t="s">
        <v>43</v>
      </c>
      <c r="F2665" s="577" t="s">
        <v>26</v>
      </c>
      <c r="G2665" s="450" t="str">
        <f t="shared" si="133"/>
        <v xml:space="preserve">Maintenance &amp; Services-Maintenance-Runway rubber removal </v>
      </c>
      <c r="H2665" s="577"/>
      <c r="I2665" s="887" t="s">
        <v>65</v>
      </c>
      <c r="J2665" s="878">
        <f>SUMIFS('Level of Efficiency Assumptions'!J:J,'Level of Efficiency Assumptions'!D:D,E2665,'Level of Efficiency Assumptions'!F:F,F2665,'Level of Efficiency Assumptions'!I:I,I2665)</f>
        <v>7.5</v>
      </c>
      <c r="K2665" s="383" t="s">
        <v>588</v>
      </c>
      <c r="L2665" s="255" t="s">
        <v>65</v>
      </c>
      <c r="M2665" s="879">
        <f t="shared" ref="M2665:M2666" si="134">SUM(Q2665:Q2665)</f>
        <v>1</v>
      </c>
      <c r="N2665" s="880">
        <f>IFERROR(M2665/M2667,"-")</f>
        <v>1</v>
      </c>
      <c r="O2665" s="881">
        <f>SUMIFS('Data Entry'!S:S,'Data Entry'!K:K,G2665)</f>
        <v>0</v>
      </c>
      <c r="P2665" s="274" t="s">
        <v>233</v>
      </c>
      <c r="Q2665" s="895">
        <v>1</v>
      </c>
      <c r="R2665" s="114"/>
      <c r="S2665" s="884"/>
      <c r="T2665" s="114"/>
      <c r="U2665" s="270"/>
      <c r="V2665" s="270"/>
      <c r="W2665" s="270"/>
      <c r="X2665" s="270"/>
      <c r="Y2665" s="270"/>
      <c r="Z2665" s="270"/>
      <c r="AA2665" s="270"/>
    </row>
    <row r="2666" spans="3:27" ht="15" thickBot="1" x14ac:dyDescent="0.35">
      <c r="C2666" s="501" t="s">
        <v>419</v>
      </c>
      <c r="D2666" s="116"/>
      <c r="E2666" s="116" t="s">
        <v>43</v>
      </c>
      <c r="F2666" s="116" t="s">
        <v>26</v>
      </c>
      <c r="G2666" s="450" t="str">
        <f t="shared" si="133"/>
        <v xml:space="preserve">Maintenance &amp; Services-Maintenance-Runway rubber removal </v>
      </c>
      <c r="H2666" s="116"/>
      <c r="I2666" s="889" t="s">
        <v>66</v>
      </c>
      <c r="J2666" s="890">
        <f>SUMIFS('Level of Efficiency Assumptions'!J:J,'Level of Efficiency Assumptions'!D:D,E2666,'Level of Efficiency Assumptions'!F:F,F2666,'Level of Efficiency Assumptions'!I:I,I2666)</f>
        <v>5</v>
      </c>
      <c r="K2666" s="383" t="s">
        <v>588</v>
      </c>
      <c r="L2666" s="257" t="s">
        <v>66</v>
      </c>
      <c r="M2666" s="879">
        <f t="shared" si="134"/>
        <v>0</v>
      </c>
      <c r="N2666" s="880">
        <f>IFERROR(M2666/M2667,"-")</f>
        <v>0</v>
      </c>
      <c r="O2666" s="881">
        <f>SUMIFS('Data Entry'!T:T,'Data Entry'!K:K,G2666)</f>
        <v>0</v>
      </c>
      <c r="P2666" s="269" t="s">
        <v>234</v>
      </c>
      <c r="Q2666" s="895">
        <v>0</v>
      </c>
      <c r="R2666" s="114"/>
      <c r="S2666" s="884"/>
      <c r="T2666" s="114"/>
      <c r="U2666" s="270"/>
      <c r="V2666" s="270"/>
      <c r="W2666" s="270"/>
      <c r="X2666" s="270"/>
      <c r="Y2666" s="270"/>
      <c r="Z2666" s="270"/>
      <c r="AA2666" s="270"/>
    </row>
    <row r="2667" spans="3:27" x14ac:dyDescent="0.3">
      <c r="C2667" s="450"/>
      <c r="D2667" s="182"/>
      <c r="E2667" s="182"/>
      <c r="F2667" s="182"/>
      <c r="G2667" s="450" t="str">
        <f t="shared" si="133"/>
        <v>--</v>
      </c>
      <c r="H2667" s="182"/>
      <c r="I2667" s="440"/>
      <c r="J2667" s="892"/>
      <c r="K2667" s="259"/>
      <c r="L2667" s="259" t="s">
        <v>46</v>
      </c>
      <c r="M2667" s="893">
        <f>SUM(M2664:M2666)</f>
        <v>1</v>
      </c>
      <c r="N2667" s="894"/>
      <c r="O2667" s="894">
        <f>SUM(O2664:O2666)</f>
        <v>0</v>
      </c>
      <c r="P2667" s="263" t="s">
        <v>46</v>
      </c>
      <c r="Q2667" s="897">
        <f>SUM(Q2664:Q2666)</f>
        <v>1</v>
      </c>
      <c r="R2667" s="899"/>
      <c r="S2667" s="900"/>
      <c r="T2667" s="270"/>
      <c r="U2667" s="270"/>
      <c r="V2667" s="270"/>
      <c r="W2667" s="270"/>
      <c r="X2667" s="270"/>
      <c r="Y2667" s="270"/>
      <c r="Z2667" s="270"/>
      <c r="AA2667" s="270"/>
    </row>
    <row r="2668" spans="3:27" x14ac:dyDescent="0.3">
      <c r="C2668" s="450"/>
      <c r="D2668" s="182"/>
      <c r="E2668" s="182"/>
      <c r="F2668" s="182"/>
      <c r="G2668" s="450" t="str">
        <f t="shared" si="133"/>
        <v>--</v>
      </c>
      <c r="H2668" s="182"/>
      <c r="I2668" s="892"/>
      <c r="J2668" s="288"/>
      <c r="K2668" s="182"/>
      <c r="L2668" s="182"/>
      <c r="M2668" s="270"/>
      <c r="N2668" s="892"/>
      <c r="O2668" s="892"/>
      <c r="P2668" s="259"/>
      <c r="Q2668" s="114"/>
      <c r="R2668" s="114"/>
      <c r="S2668" s="114"/>
      <c r="T2668" s="270"/>
      <c r="U2668" s="270"/>
      <c r="V2668" s="270"/>
      <c r="W2668" s="270"/>
      <c r="X2668" s="270"/>
      <c r="Y2668" s="270"/>
      <c r="Z2668" s="270"/>
      <c r="AA2668" s="270"/>
    </row>
    <row r="2669" spans="3:27" ht="15" thickBot="1" x14ac:dyDescent="0.35">
      <c r="C2669" s="450"/>
      <c r="D2669" s="182"/>
      <c r="E2669" s="182"/>
      <c r="F2669" s="182"/>
      <c r="G2669" s="450" t="str">
        <f t="shared" si="133"/>
        <v>--</v>
      </c>
      <c r="H2669" s="182"/>
      <c r="I2669" s="892"/>
      <c r="J2669" s="892"/>
      <c r="K2669" s="182"/>
      <c r="L2669" s="182"/>
      <c r="M2669" s="901" t="s">
        <v>155</v>
      </c>
      <c r="N2669" s="870" t="s">
        <v>188</v>
      </c>
      <c r="O2669" s="870"/>
      <c r="P2669" s="276" t="s">
        <v>52</v>
      </c>
      <c r="Q2669" s="871" t="s">
        <v>155</v>
      </c>
      <c r="R2669" s="902"/>
      <c r="S2669" s="874"/>
      <c r="T2669" s="270"/>
      <c r="U2669" s="270"/>
      <c r="V2669" s="270"/>
      <c r="W2669" s="270"/>
      <c r="X2669" s="270"/>
      <c r="Y2669" s="270"/>
      <c r="Z2669" s="270"/>
      <c r="AA2669" s="270"/>
    </row>
    <row r="2670" spans="3:27" ht="15" thickBot="1" x14ac:dyDescent="0.35">
      <c r="C2670" s="566" t="s">
        <v>419</v>
      </c>
      <c r="D2670" s="875" t="str">
        <f>VLOOKUP(C2670,'Airport Mapping'!$C$5:$D$39,2,FALSE)</f>
        <v xml:space="preserve"> </v>
      </c>
      <c r="E2670" s="567" t="s">
        <v>8</v>
      </c>
      <c r="F2670" s="567" t="s">
        <v>52</v>
      </c>
      <c r="G2670" s="450" t="str">
        <f t="shared" si="133"/>
        <v>Maintenance &amp; Services-Other-Other 1</v>
      </c>
      <c r="H2670" s="567" t="s">
        <v>362</v>
      </c>
      <c r="I2670" s="877" t="s">
        <v>64</v>
      </c>
      <c r="J2670" s="878">
        <f>SUMIFS('Level of Efficiency Assumptions'!J:J,'Level of Efficiency Assumptions'!D:D,E2670,'Level of Efficiency Assumptions'!F:F,F2670,'Level of Efficiency Assumptions'!I:I,I2670)</f>
        <v>10</v>
      </c>
      <c r="K2670" s="383" t="s">
        <v>588</v>
      </c>
      <c r="L2670" s="253" t="s">
        <v>64</v>
      </c>
      <c r="M2670" s="879">
        <f>SUM(Q2670:Q2670)</f>
        <v>0</v>
      </c>
      <c r="N2670" s="880">
        <f>IFERROR(M2670/M2673,"-")</f>
        <v>0</v>
      </c>
      <c r="O2670" s="881">
        <f>SUMIFS('Data Entry'!R:R,'Data Entry'!K:K,G2670)</f>
        <v>0</v>
      </c>
      <c r="P2670" s="272" t="s">
        <v>129</v>
      </c>
      <c r="Q2670" s="895">
        <v>0</v>
      </c>
      <c r="R2670" s="114"/>
      <c r="S2670" s="884"/>
      <c r="T2670" s="270"/>
      <c r="U2670" s="270"/>
      <c r="V2670" s="270"/>
      <c r="W2670" s="270"/>
      <c r="X2670" s="270"/>
      <c r="Y2670" s="270"/>
      <c r="Z2670" s="270"/>
      <c r="AA2670" s="270"/>
    </row>
    <row r="2671" spans="3:27" ht="15" thickBot="1" x14ac:dyDescent="0.35">
      <c r="C2671" s="494" t="s">
        <v>419</v>
      </c>
      <c r="D2671" s="577"/>
      <c r="E2671" s="577" t="s">
        <v>8</v>
      </c>
      <c r="F2671" s="577" t="s">
        <v>52</v>
      </c>
      <c r="G2671" s="450" t="str">
        <f t="shared" si="133"/>
        <v>Maintenance &amp; Services-Other-Other 1</v>
      </c>
      <c r="H2671" s="577"/>
      <c r="I2671" s="887" t="s">
        <v>65</v>
      </c>
      <c r="J2671" s="878">
        <f>SUMIFS('Level of Efficiency Assumptions'!J:J,'Level of Efficiency Assumptions'!D:D,E2671,'Level of Efficiency Assumptions'!F:F,F2671,'Level of Efficiency Assumptions'!I:I,I2671)</f>
        <v>7.5</v>
      </c>
      <c r="K2671" s="383" t="s">
        <v>588</v>
      </c>
      <c r="L2671" s="255" t="s">
        <v>65</v>
      </c>
      <c r="M2671" s="879">
        <f t="shared" ref="M2671:M2672" si="135">SUM(Q2671:Q2671)</f>
        <v>1</v>
      </c>
      <c r="N2671" s="880">
        <f>IFERROR(M2671/M2673,"-")</f>
        <v>1</v>
      </c>
      <c r="O2671" s="881">
        <f>SUMIFS('Data Entry'!S:S,'Data Entry'!K:K,G2671)</f>
        <v>0</v>
      </c>
      <c r="P2671" s="274" t="s">
        <v>233</v>
      </c>
      <c r="Q2671" s="895">
        <v>1</v>
      </c>
      <c r="R2671" s="114"/>
      <c r="S2671" s="884"/>
      <c r="T2671" s="270"/>
      <c r="U2671" s="270"/>
      <c r="V2671" s="270"/>
      <c r="W2671" s="270"/>
      <c r="X2671" s="270"/>
      <c r="Y2671" s="270"/>
      <c r="Z2671" s="270"/>
      <c r="AA2671" s="270"/>
    </row>
    <row r="2672" spans="3:27" ht="15" thickBot="1" x14ac:dyDescent="0.35">
      <c r="C2672" s="501" t="s">
        <v>419</v>
      </c>
      <c r="D2672" s="116"/>
      <c r="E2672" s="116" t="s">
        <v>8</v>
      </c>
      <c r="F2672" s="116" t="s">
        <v>52</v>
      </c>
      <c r="G2672" s="450" t="str">
        <f t="shared" si="133"/>
        <v>Maintenance &amp; Services-Other-Other 1</v>
      </c>
      <c r="H2672" s="116"/>
      <c r="I2672" s="889" t="s">
        <v>66</v>
      </c>
      <c r="J2672" s="890">
        <f>SUMIFS('Level of Efficiency Assumptions'!J:J,'Level of Efficiency Assumptions'!D:D,E2672,'Level of Efficiency Assumptions'!F:F,F2672,'Level of Efficiency Assumptions'!I:I,I2672)</f>
        <v>5</v>
      </c>
      <c r="K2672" s="383" t="s">
        <v>588</v>
      </c>
      <c r="L2672" s="257" t="s">
        <v>66</v>
      </c>
      <c r="M2672" s="879">
        <f t="shared" si="135"/>
        <v>0</v>
      </c>
      <c r="N2672" s="880">
        <f>IFERROR(M2672/M2673,"-")</f>
        <v>0</v>
      </c>
      <c r="O2672" s="881">
        <f>SUMIFS('Data Entry'!T:T,'Data Entry'!K:K,G2672)</f>
        <v>0</v>
      </c>
      <c r="P2672" s="269" t="s">
        <v>234</v>
      </c>
      <c r="Q2672" s="895">
        <v>0</v>
      </c>
      <c r="R2672" s="114"/>
      <c r="S2672" s="884"/>
      <c r="T2672" s="270"/>
      <c r="U2672" s="270"/>
      <c r="V2672" s="270"/>
      <c r="W2672" s="270"/>
      <c r="X2672" s="270"/>
      <c r="Y2672" s="270"/>
      <c r="Z2672" s="270"/>
      <c r="AA2672" s="270"/>
    </row>
    <row r="2673" spans="3:27" x14ac:dyDescent="0.3">
      <c r="C2673" s="450"/>
      <c r="D2673" s="182"/>
      <c r="E2673" s="182"/>
      <c r="F2673" s="182"/>
      <c r="G2673" s="450" t="str">
        <f t="shared" si="133"/>
        <v>--</v>
      </c>
      <c r="H2673" s="182"/>
      <c r="I2673" s="440"/>
      <c r="J2673" s="892"/>
      <c r="K2673" s="259"/>
      <c r="L2673" s="259" t="s">
        <v>46</v>
      </c>
      <c r="M2673" s="893">
        <f>SUM(M2670:M2672)</f>
        <v>1</v>
      </c>
      <c r="N2673" s="894"/>
      <c r="O2673" s="894">
        <f>SUM(O2670:O2672)</f>
        <v>0</v>
      </c>
      <c r="P2673" s="263" t="s">
        <v>46</v>
      </c>
      <c r="Q2673" s="897">
        <f>SUM(Q2670:Q2672)</f>
        <v>1</v>
      </c>
      <c r="R2673" s="899"/>
      <c r="S2673" s="900"/>
      <c r="T2673" s="270"/>
      <c r="U2673" s="270"/>
      <c r="V2673" s="270"/>
      <c r="W2673" s="270"/>
      <c r="X2673" s="270"/>
      <c r="Y2673" s="270"/>
      <c r="Z2673" s="270"/>
      <c r="AA2673" s="270"/>
    </row>
    <row r="2674" spans="3:27" x14ac:dyDescent="0.3">
      <c r="C2674" s="450"/>
      <c r="D2674" s="182"/>
      <c r="E2674" s="182"/>
      <c r="F2674" s="182"/>
      <c r="G2674" s="450" t="str">
        <f t="shared" si="133"/>
        <v>--</v>
      </c>
      <c r="H2674" s="182"/>
      <c r="I2674" s="892"/>
      <c r="J2674" s="288"/>
      <c r="K2674" s="182"/>
      <c r="L2674" s="182"/>
      <c r="M2674" s="270"/>
      <c r="N2674" s="892"/>
      <c r="O2674" s="892"/>
      <c r="P2674" s="270"/>
      <c r="Q2674" s="270"/>
      <c r="R2674" s="270"/>
      <c r="S2674" s="270"/>
      <c r="T2674" s="270"/>
      <c r="U2674" s="270"/>
      <c r="V2674" s="270"/>
      <c r="W2674" s="270"/>
      <c r="X2674" s="270"/>
      <c r="Y2674" s="270"/>
      <c r="Z2674" s="270"/>
      <c r="AA2674" s="270"/>
    </row>
    <row r="2675" spans="3:27" ht="15" thickBot="1" x14ac:dyDescent="0.35">
      <c r="C2675" s="450"/>
      <c r="D2675" s="182"/>
      <c r="E2675" s="182"/>
      <c r="F2675" s="182"/>
      <c r="G2675" s="450" t="str">
        <f t="shared" si="133"/>
        <v>--</v>
      </c>
      <c r="H2675" s="182"/>
      <c r="I2675" s="892"/>
      <c r="J2675" s="892"/>
      <c r="K2675" s="182"/>
      <c r="L2675" s="182"/>
      <c r="M2675" s="901" t="s">
        <v>155</v>
      </c>
      <c r="N2675" s="870" t="s">
        <v>188</v>
      </c>
      <c r="O2675" s="870"/>
      <c r="P2675" s="276" t="s">
        <v>53</v>
      </c>
      <c r="Q2675" s="871" t="s">
        <v>155</v>
      </c>
      <c r="R2675" s="902"/>
      <c r="S2675" s="874"/>
      <c r="T2675" s="270"/>
      <c r="U2675" s="270"/>
      <c r="V2675" s="270"/>
      <c r="W2675" s="270"/>
      <c r="X2675" s="270"/>
      <c r="Y2675" s="270"/>
      <c r="Z2675" s="270"/>
      <c r="AA2675" s="270"/>
    </row>
    <row r="2676" spans="3:27" ht="15" thickBot="1" x14ac:dyDescent="0.35">
      <c r="C2676" s="566" t="s">
        <v>419</v>
      </c>
      <c r="D2676" s="875" t="str">
        <f>VLOOKUP(C2676,'Airport Mapping'!$C$5:$D$39,2,FALSE)</f>
        <v xml:space="preserve"> </v>
      </c>
      <c r="E2676" s="567" t="s">
        <v>8</v>
      </c>
      <c r="F2676" s="567" t="s">
        <v>53</v>
      </c>
      <c r="G2676" s="450" t="str">
        <f t="shared" si="133"/>
        <v>Maintenance &amp; Services-Other-Other 2</v>
      </c>
      <c r="H2676" s="567" t="s">
        <v>363</v>
      </c>
      <c r="I2676" s="877" t="s">
        <v>64</v>
      </c>
      <c r="J2676" s="878">
        <f>SUMIFS('Level of Efficiency Assumptions'!J:J,'Level of Efficiency Assumptions'!D:D,E2676,'Level of Efficiency Assumptions'!F:F,F2676,'Level of Efficiency Assumptions'!I:I,I2676)</f>
        <v>10</v>
      </c>
      <c r="K2676" s="383" t="s">
        <v>588</v>
      </c>
      <c r="L2676" s="253" t="s">
        <v>64</v>
      </c>
      <c r="M2676" s="879">
        <f>SUM(Q2676:Q2676)</f>
        <v>0</v>
      </c>
      <c r="N2676" s="880">
        <f>IFERROR(M2676/M2679,"-")</f>
        <v>0</v>
      </c>
      <c r="O2676" s="881">
        <f>SUMIFS('Data Entry'!R:R,'Data Entry'!K:K,G2676)</f>
        <v>0</v>
      </c>
      <c r="P2676" s="272" t="s">
        <v>129</v>
      </c>
      <c r="Q2676" s="895">
        <v>0</v>
      </c>
      <c r="R2676" s="114"/>
      <c r="S2676" s="884"/>
      <c r="T2676" s="270"/>
      <c r="U2676" s="270"/>
      <c r="V2676" s="270"/>
      <c r="W2676" s="270"/>
      <c r="X2676" s="270"/>
      <c r="Y2676" s="270"/>
      <c r="Z2676" s="270"/>
      <c r="AA2676" s="270"/>
    </row>
    <row r="2677" spans="3:27" ht="15" thickBot="1" x14ac:dyDescent="0.35">
      <c r="C2677" s="494" t="s">
        <v>419</v>
      </c>
      <c r="D2677" s="577"/>
      <c r="E2677" s="577" t="s">
        <v>8</v>
      </c>
      <c r="F2677" s="577" t="s">
        <v>53</v>
      </c>
      <c r="G2677" s="450" t="str">
        <f t="shared" si="133"/>
        <v>Maintenance &amp; Services-Other-Other 2</v>
      </c>
      <c r="H2677" s="577"/>
      <c r="I2677" s="887" t="s">
        <v>65</v>
      </c>
      <c r="J2677" s="878">
        <f>SUMIFS('Level of Efficiency Assumptions'!J:J,'Level of Efficiency Assumptions'!D:D,E2677,'Level of Efficiency Assumptions'!F:F,F2677,'Level of Efficiency Assumptions'!I:I,I2677)</f>
        <v>7.5</v>
      </c>
      <c r="K2677" s="383" t="s">
        <v>588</v>
      </c>
      <c r="L2677" s="255" t="s">
        <v>65</v>
      </c>
      <c r="M2677" s="879">
        <f t="shared" ref="M2677:M2678" si="136">SUM(Q2677:Q2677)</f>
        <v>1</v>
      </c>
      <c r="N2677" s="880">
        <f>IFERROR(M2677/M2679,"-")</f>
        <v>1</v>
      </c>
      <c r="O2677" s="881">
        <f>SUMIFS('Data Entry'!S:S,'Data Entry'!K:K,G2677)</f>
        <v>0</v>
      </c>
      <c r="P2677" s="274" t="s">
        <v>233</v>
      </c>
      <c r="Q2677" s="895">
        <v>1</v>
      </c>
      <c r="R2677" s="114"/>
      <c r="S2677" s="884"/>
      <c r="T2677" s="270"/>
      <c r="U2677" s="270"/>
      <c r="V2677" s="270"/>
      <c r="W2677" s="270"/>
      <c r="X2677" s="270"/>
      <c r="Y2677" s="270"/>
      <c r="Z2677" s="270"/>
      <c r="AA2677" s="270"/>
    </row>
    <row r="2678" spans="3:27" ht="15" thickBot="1" x14ac:dyDescent="0.35">
      <c r="C2678" s="501" t="s">
        <v>419</v>
      </c>
      <c r="D2678" s="116"/>
      <c r="E2678" s="116" t="s">
        <v>8</v>
      </c>
      <c r="F2678" s="116" t="s">
        <v>53</v>
      </c>
      <c r="G2678" s="450" t="str">
        <f t="shared" si="133"/>
        <v>Maintenance &amp; Services-Other-Other 2</v>
      </c>
      <c r="H2678" s="116"/>
      <c r="I2678" s="889" t="s">
        <v>66</v>
      </c>
      <c r="J2678" s="890">
        <f>SUMIFS('Level of Efficiency Assumptions'!J:J,'Level of Efficiency Assumptions'!D:D,E2678,'Level of Efficiency Assumptions'!F:F,F2678,'Level of Efficiency Assumptions'!I:I,I2678)</f>
        <v>5</v>
      </c>
      <c r="K2678" s="383" t="s">
        <v>588</v>
      </c>
      <c r="L2678" s="257" t="s">
        <v>66</v>
      </c>
      <c r="M2678" s="879">
        <f t="shared" si="136"/>
        <v>0</v>
      </c>
      <c r="N2678" s="880">
        <f>IFERROR(M2678/M2679,"-")</f>
        <v>0</v>
      </c>
      <c r="O2678" s="881">
        <f>SUMIFS('Data Entry'!T:T,'Data Entry'!K:K,G2678)</f>
        <v>0</v>
      </c>
      <c r="P2678" s="269" t="s">
        <v>234</v>
      </c>
      <c r="Q2678" s="895">
        <v>0</v>
      </c>
      <c r="R2678" s="114"/>
      <c r="S2678" s="884"/>
      <c r="T2678" s="270"/>
      <c r="U2678" s="270"/>
      <c r="V2678" s="270"/>
      <c r="W2678" s="270"/>
      <c r="X2678" s="270"/>
      <c r="Y2678" s="270"/>
      <c r="Z2678" s="270"/>
      <c r="AA2678" s="270"/>
    </row>
    <row r="2679" spans="3:27" x14ac:dyDescent="0.3">
      <c r="C2679" s="450"/>
      <c r="D2679" s="182"/>
      <c r="E2679" s="182"/>
      <c r="F2679" s="182"/>
      <c r="G2679" s="450" t="str">
        <f t="shared" si="133"/>
        <v>--</v>
      </c>
      <c r="H2679" s="182"/>
      <c r="I2679" s="440"/>
      <c r="J2679" s="892"/>
      <c r="K2679" s="259"/>
      <c r="L2679" s="259" t="s">
        <v>46</v>
      </c>
      <c r="M2679" s="893">
        <f>SUM(M2676:M2678)</f>
        <v>1</v>
      </c>
      <c r="N2679" s="894"/>
      <c r="O2679" s="894">
        <f>SUM(O2676:O2678)</f>
        <v>0</v>
      </c>
      <c r="P2679" s="263" t="s">
        <v>46</v>
      </c>
      <c r="Q2679" s="897">
        <f>SUM(Q2676:Q2678)</f>
        <v>1</v>
      </c>
      <c r="R2679" s="899"/>
      <c r="S2679" s="900"/>
      <c r="T2679" s="270"/>
      <c r="U2679" s="270"/>
      <c r="V2679" s="270"/>
      <c r="W2679" s="270"/>
      <c r="X2679" s="270"/>
      <c r="Y2679" s="270"/>
      <c r="Z2679" s="270"/>
      <c r="AA2679" s="270"/>
    </row>
    <row r="2680" spans="3:27" x14ac:dyDescent="0.3">
      <c r="C2680" s="450"/>
      <c r="D2680" s="182"/>
      <c r="E2680" s="182"/>
      <c r="F2680" s="182"/>
      <c r="G2680" s="450" t="str">
        <f t="shared" si="133"/>
        <v>--</v>
      </c>
      <c r="H2680" s="182"/>
      <c r="I2680" s="892"/>
      <c r="J2680" s="288"/>
      <c r="K2680" s="182"/>
      <c r="L2680" s="182"/>
      <c r="M2680" s="270"/>
      <c r="N2680" s="892"/>
      <c r="O2680" s="892"/>
      <c r="P2680" s="270"/>
      <c r="Q2680" s="270"/>
      <c r="R2680" s="270"/>
      <c r="S2680" s="270"/>
      <c r="T2680" s="270"/>
      <c r="U2680" s="270"/>
      <c r="V2680" s="270"/>
      <c r="W2680" s="270"/>
      <c r="X2680" s="270"/>
      <c r="Y2680" s="270"/>
      <c r="Z2680" s="270"/>
      <c r="AA2680" s="270"/>
    </row>
    <row r="2681" spans="3:27" ht="15" thickBot="1" x14ac:dyDescent="0.35">
      <c r="C2681" s="450"/>
      <c r="D2681" s="182"/>
      <c r="E2681" s="182"/>
      <c r="F2681" s="182"/>
      <c r="G2681" s="450" t="str">
        <f t="shared" si="133"/>
        <v>--</v>
      </c>
      <c r="H2681" s="182"/>
      <c r="I2681" s="892"/>
      <c r="J2681" s="892"/>
      <c r="K2681" s="182"/>
      <c r="L2681" s="182"/>
      <c r="M2681" s="901" t="s">
        <v>155</v>
      </c>
      <c r="N2681" s="870" t="s">
        <v>188</v>
      </c>
      <c r="O2681" s="870"/>
      <c r="P2681" s="276" t="s">
        <v>54</v>
      </c>
      <c r="Q2681" s="871" t="s">
        <v>155</v>
      </c>
      <c r="R2681" s="902"/>
      <c r="S2681" s="874"/>
      <c r="T2681" s="270"/>
      <c r="U2681" s="270"/>
      <c r="V2681" s="270"/>
      <c r="W2681" s="270"/>
      <c r="X2681" s="270"/>
      <c r="Y2681" s="270"/>
      <c r="Z2681" s="270"/>
      <c r="AA2681" s="270"/>
    </row>
    <row r="2682" spans="3:27" ht="15" thickBot="1" x14ac:dyDescent="0.35">
      <c r="C2682" s="566" t="s">
        <v>419</v>
      </c>
      <c r="D2682" s="875" t="str">
        <f>VLOOKUP(C2682,'Airport Mapping'!$C$5:$D$39,2,FALSE)</f>
        <v xml:space="preserve"> </v>
      </c>
      <c r="E2682" s="567" t="s">
        <v>8</v>
      </c>
      <c r="F2682" s="567" t="s">
        <v>54</v>
      </c>
      <c r="G2682" s="450" t="str">
        <f t="shared" si="133"/>
        <v>Maintenance &amp; Services-Other-Other 3</v>
      </c>
      <c r="H2682" s="567" t="s">
        <v>364</v>
      </c>
      <c r="I2682" s="877" t="s">
        <v>64</v>
      </c>
      <c r="J2682" s="878">
        <f>SUMIFS('Level of Efficiency Assumptions'!J:J,'Level of Efficiency Assumptions'!D:D,E2682,'Level of Efficiency Assumptions'!F:F,F2682,'Level of Efficiency Assumptions'!I:I,I2682)</f>
        <v>10</v>
      </c>
      <c r="K2682" s="383" t="s">
        <v>588</v>
      </c>
      <c r="L2682" s="253" t="s">
        <v>64</v>
      </c>
      <c r="M2682" s="879">
        <f>SUM(Q2682:Q2682)</f>
        <v>0</v>
      </c>
      <c r="N2682" s="880">
        <f>IFERROR(M2682/M2685,"-")</f>
        <v>0</v>
      </c>
      <c r="O2682" s="881">
        <f>SUMIFS('Data Entry'!R:R,'Data Entry'!K:K,G2682)</f>
        <v>0</v>
      </c>
      <c r="P2682" s="272" t="s">
        <v>129</v>
      </c>
      <c r="Q2682" s="895">
        <v>0</v>
      </c>
      <c r="R2682" s="114"/>
      <c r="S2682" s="884"/>
      <c r="T2682" s="270"/>
      <c r="U2682" s="270"/>
      <c r="V2682" s="270"/>
      <c r="W2682" s="270"/>
      <c r="X2682" s="270"/>
      <c r="Y2682" s="270"/>
      <c r="Z2682" s="270"/>
      <c r="AA2682" s="270"/>
    </row>
    <row r="2683" spans="3:27" ht="15" thickBot="1" x14ac:dyDescent="0.35">
      <c r="C2683" s="494" t="s">
        <v>419</v>
      </c>
      <c r="D2683" s="577"/>
      <c r="E2683" s="577" t="s">
        <v>8</v>
      </c>
      <c r="F2683" s="577" t="s">
        <v>54</v>
      </c>
      <c r="G2683" s="450" t="str">
        <f t="shared" si="133"/>
        <v>Maintenance &amp; Services-Other-Other 3</v>
      </c>
      <c r="H2683" s="577"/>
      <c r="I2683" s="887" t="s">
        <v>65</v>
      </c>
      <c r="J2683" s="878">
        <f>SUMIFS('Level of Efficiency Assumptions'!J:J,'Level of Efficiency Assumptions'!D:D,E2683,'Level of Efficiency Assumptions'!F:F,F2683,'Level of Efficiency Assumptions'!I:I,I2683)</f>
        <v>7.5</v>
      </c>
      <c r="K2683" s="383" t="s">
        <v>588</v>
      </c>
      <c r="L2683" s="255" t="s">
        <v>65</v>
      </c>
      <c r="M2683" s="879">
        <f t="shared" ref="M2683:M2684" si="137">SUM(Q2683:Q2683)</f>
        <v>1</v>
      </c>
      <c r="N2683" s="880">
        <f>IFERROR(M2683/M2685,"-")</f>
        <v>1</v>
      </c>
      <c r="O2683" s="881">
        <f>SUMIFS('Data Entry'!S:S,'Data Entry'!K:K,G2683)</f>
        <v>0</v>
      </c>
      <c r="P2683" s="274" t="s">
        <v>233</v>
      </c>
      <c r="Q2683" s="895">
        <v>1</v>
      </c>
      <c r="R2683" s="114"/>
      <c r="S2683" s="884"/>
      <c r="T2683" s="270"/>
      <c r="U2683" s="270"/>
      <c r="V2683" s="270"/>
      <c r="W2683" s="270"/>
      <c r="X2683" s="270"/>
      <c r="Y2683" s="270"/>
      <c r="Z2683" s="270"/>
      <c r="AA2683" s="270"/>
    </row>
    <row r="2684" spans="3:27" ht="15" thickBot="1" x14ac:dyDescent="0.35">
      <c r="C2684" s="501" t="s">
        <v>419</v>
      </c>
      <c r="D2684" s="116"/>
      <c r="E2684" s="116" t="s">
        <v>8</v>
      </c>
      <c r="F2684" s="116" t="s">
        <v>54</v>
      </c>
      <c r="G2684" s="450" t="str">
        <f t="shared" si="133"/>
        <v>Maintenance &amp; Services-Other-Other 3</v>
      </c>
      <c r="H2684" s="116"/>
      <c r="I2684" s="889" t="s">
        <v>66</v>
      </c>
      <c r="J2684" s="890">
        <f>SUMIFS('Level of Efficiency Assumptions'!J:J,'Level of Efficiency Assumptions'!D:D,E2684,'Level of Efficiency Assumptions'!F:F,F2684,'Level of Efficiency Assumptions'!I:I,I2684)</f>
        <v>5</v>
      </c>
      <c r="K2684" s="383" t="s">
        <v>588</v>
      </c>
      <c r="L2684" s="257" t="s">
        <v>66</v>
      </c>
      <c r="M2684" s="879">
        <f t="shared" si="137"/>
        <v>0</v>
      </c>
      <c r="N2684" s="880">
        <f>IFERROR(M2684/M2685,"-")</f>
        <v>0</v>
      </c>
      <c r="O2684" s="881">
        <f>SUMIFS('Data Entry'!T:T,'Data Entry'!K:K,G2684)</f>
        <v>0</v>
      </c>
      <c r="P2684" s="269" t="s">
        <v>234</v>
      </c>
      <c r="Q2684" s="895">
        <v>0</v>
      </c>
      <c r="R2684" s="114"/>
      <c r="S2684" s="884"/>
      <c r="T2684" s="270"/>
      <c r="U2684" s="270"/>
      <c r="V2684" s="270"/>
      <c r="W2684" s="270"/>
      <c r="X2684" s="270"/>
      <c r="Y2684" s="270"/>
      <c r="Z2684" s="270"/>
      <c r="AA2684" s="270"/>
    </row>
    <row r="2685" spans="3:27" x14ac:dyDescent="0.3">
      <c r="C2685" s="450"/>
      <c r="D2685" s="182"/>
      <c r="E2685" s="182"/>
      <c r="F2685" s="182"/>
      <c r="G2685" s="450" t="str">
        <f t="shared" si="133"/>
        <v>--</v>
      </c>
      <c r="H2685" s="182"/>
      <c r="I2685" s="440"/>
      <c r="J2685" s="892"/>
      <c r="K2685" s="259"/>
      <c r="L2685" s="259" t="s">
        <v>46</v>
      </c>
      <c r="M2685" s="893">
        <f>SUM(M2682:M2684)</f>
        <v>1</v>
      </c>
      <c r="N2685" s="894"/>
      <c r="O2685" s="894">
        <f>SUM(O2682:O2684)</f>
        <v>0</v>
      </c>
      <c r="P2685" s="263" t="s">
        <v>46</v>
      </c>
      <c r="Q2685" s="897">
        <f>SUM(Q2682:Q2684)</f>
        <v>1</v>
      </c>
      <c r="R2685" s="899"/>
      <c r="S2685" s="900"/>
      <c r="T2685" s="270"/>
      <c r="U2685" s="270"/>
      <c r="V2685" s="270"/>
      <c r="W2685" s="270"/>
      <c r="X2685" s="270"/>
      <c r="Y2685" s="270"/>
      <c r="Z2685" s="270"/>
      <c r="AA2685" s="270"/>
    </row>
    <row r="2686" spans="3:27" ht="15" thickBot="1" x14ac:dyDescent="0.35">
      <c r="C2686" s="451"/>
      <c r="D2686" s="184"/>
      <c r="E2686" s="184"/>
      <c r="F2686" s="184"/>
      <c r="G2686" s="450" t="str">
        <f t="shared" si="133"/>
        <v>--</v>
      </c>
      <c r="H2686" s="184"/>
      <c r="I2686" s="281"/>
      <c r="J2686" s="281"/>
      <c r="K2686" s="184"/>
      <c r="L2686" s="184"/>
      <c r="M2686" s="278"/>
      <c r="N2686" s="281"/>
      <c r="O2686" s="281"/>
      <c r="P2686" s="278"/>
      <c r="Q2686" s="278"/>
      <c r="R2686" s="278"/>
      <c r="S2686" s="278"/>
      <c r="T2686" s="278"/>
      <c r="U2686" s="278"/>
      <c r="V2686" s="278"/>
      <c r="W2686" s="278"/>
      <c r="X2686" s="270"/>
      <c r="Y2686" s="270"/>
      <c r="Z2686" s="270"/>
      <c r="AA2686" s="270"/>
    </row>
    <row r="2687" spans="3:27" x14ac:dyDescent="0.3">
      <c r="C2687" s="450"/>
      <c r="D2687" s="182"/>
      <c r="E2687" s="182"/>
      <c r="F2687" s="182"/>
      <c r="G2687" s="450" t="str">
        <f t="shared" si="133"/>
        <v>--</v>
      </c>
      <c r="H2687" s="182"/>
      <c r="I2687" s="892"/>
      <c r="J2687" s="892"/>
      <c r="K2687" s="182"/>
      <c r="L2687" s="182"/>
      <c r="M2687" s="270"/>
      <c r="N2687" s="892"/>
      <c r="O2687" s="892"/>
      <c r="P2687" s="270"/>
      <c r="Q2687" s="270"/>
      <c r="R2687" s="270"/>
      <c r="S2687" s="270"/>
      <c r="T2687" s="270"/>
      <c r="U2687" s="270"/>
      <c r="V2687" s="270"/>
      <c r="W2687" s="270"/>
      <c r="X2687" s="270"/>
      <c r="Y2687" s="270"/>
      <c r="Z2687" s="270"/>
      <c r="AA2687" s="270"/>
    </row>
    <row r="2688" spans="3:27" ht="15" thickBot="1" x14ac:dyDescent="0.35">
      <c r="C2688" s="450"/>
      <c r="D2688" s="182"/>
      <c r="E2688" s="182"/>
      <c r="F2688" s="182"/>
      <c r="G2688" s="450" t="str">
        <f t="shared" si="133"/>
        <v>--</v>
      </c>
      <c r="H2688" s="182"/>
      <c r="I2688" s="892"/>
      <c r="J2688" s="892"/>
      <c r="K2688" s="182"/>
      <c r="L2688" s="182"/>
      <c r="M2688" s="901" t="s">
        <v>155</v>
      </c>
      <c r="N2688" s="870" t="s">
        <v>188</v>
      </c>
      <c r="O2688" s="870"/>
      <c r="P2688" s="252" t="s">
        <v>158</v>
      </c>
      <c r="Q2688" s="871" t="s">
        <v>155</v>
      </c>
      <c r="R2688" s="872" t="s">
        <v>168</v>
      </c>
      <c r="S2688" s="872" t="s">
        <v>169</v>
      </c>
      <c r="T2688" s="873"/>
      <c r="U2688" s="874"/>
      <c r="V2688" s="270"/>
      <c r="W2688" s="270"/>
      <c r="X2688" s="270"/>
      <c r="Y2688" s="114"/>
      <c r="Z2688" s="270"/>
      <c r="AA2688" s="270"/>
    </row>
    <row r="2689" spans="3:27" ht="15" thickBot="1" x14ac:dyDescent="0.35">
      <c r="C2689" s="566" t="s">
        <v>106</v>
      </c>
      <c r="D2689" s="875" t="str">
        <f>VLOOKUP(C2689,'Airport Mapping'!$C$5:$D$39,2,FALSE)</f>
        <v xml:space="preserve"> </v>
      </c>
      <c r="E2689" s="567" t="s">
        <v>37</v>
      </c>
      <c r="F2689" s="567" t="s">
        <v>2</v>
      </c>
      <c r="G2689" s="450" t="str">
        <f t="shared" si="133"/>
        <v>Tenant A-Restrooms-Toilets</v>
      </c>
      <c r="H2689" s="567" t="s">
        <v>6</v>
      </c>
      <c r="I2689" s="877" t="s">
        <v>64</v>
      </c>
      <c r="J2689" s="878">
        <f>SUMIFS('Level of Efficiency Assumptions'!J:J,'Level of Efficiency Assumptions'!D:D,E2689,'Level of Efficiency Assumptions'!F:F,F2689,'Level of Efficiency Assumptions'!I:I,I2689)</f>
        <v>3.5</v>
      </c>
      <c r="K2689" s="383" t="s">
        <v>68</v>
      </c>
      <c r="L2689" s="253" t="s">
        <v>64</v>
      </c>
      <c r="M2689" s="879">
        <f>Q2689+Q2695</f>
        <v>0</v>
      </c>
      <c r="N2689" s="880">
        <f>IFERROR(M2689/M2692,"-")</f>
        <v>0</v>
      </c>
      <c r="O2689" s="881">
        <f>SUMIFS('Data Entry'!R:R,'Data Entry'!K:K,G2689)</f>
        <v>0</v>
      </c>
      <c r="P2689" s="254" t="s">
        <v>159</v>
      </c>
      <c r="Q2689" s="882">
        <v>0</v>
      </c>
      <c r="R2689" s="883"/>
      <c r="S2689" s="883"/>
      <c r="T2689" s="114" t="s">
        <v>182</v>
      </c>
      <c r="U2689" s="884"/>
      <c r="V2689" s="270"/>
      <c r="W2689" s="270"/>
      <c r="X2689" s="270"/>
      <c r="Y2689" s="114"/>
      <c r="Z2689" s="270"/>
      <c r="AA2689" s="270"/>
    </row>
    <row r="2690" spans="3:27" ht="15" thickBot="1" x14ac:dyDescent="0.35">
      <c r="C2690" s="494" t="s">
        <v>106</v>
      </c>
      <c r="D2690" s="577"/>
      <c r="E2690" s="577" t="s">
        <v>37</v>
      </c>
      <c r="F2690" s="577" t="s">
        <v>2</v>
      </c>
      <c r="G2690" s="450" t="str">
        <f t="shared" si="133"/>
        <v>Tenant A-Restrooms-Toilets</v>
      </c>
      <c r="H2690" s="577"/>
      <c r="I2690" s="887" t="s">
        <v>65</v>
      </c>
      <c r="J2690" s="878">
        <f>SUMIFS('Level of Efficiency Assumptions'!J:J,'Level of Efficiency Assumptions'!D:D,E2690,'Level of Efficiency Assumptions'!F:F,F2690,'Level of Efficiency Assumptions'!I:I,I2690)</f>
        <v>1.6</v>
      </c>
      <c r="K2690" s="383" t="s">
        <v>68</v>
      </c>
      <c r="L2690" s="255" t="s">
        <v>65</v>
      </c>
      <c r="M2690" s="879">
        <f>Q2690+Q2693+Q2696</f>
        <v>1</v>
      </c>
      <c r="N2690" s="880">
        <f>IFERROR(M2690/M2692,"-")</f>
        <v>1</v>
      </c>
      <c r="O2690" s="881">
        <f>SUMIFS('Data Entry'!S:S,'Data Entry'!K:K,G2690)</f>
        <v>0</v>
      </c>
      <c r="P2690" s="256" t="s">
        <v>161</v>
      </c>
      <c r="Q2690" s="882">
        <v>1</v>
      </c>
      <c r="R2690" s="883"/>
      <c r="S2690" s="883"/>
      <c r="T2690" s="114" t="s">
        <v>184</v>
      </c>
      <c r="U2690" s="884"/>
      <c r="V2690" s="270"/>
      <c r="W2690" s="270"/>
      <c r="X2690" s="270"/>
      <c r="Y2690" s="114"/>
      <c r="Z2690" s="270"/>
      <c r="AA2690" s="270"/>
    </row>
    <row r="2691" spans="3:27" ht="15" thickBot="1" x14ac:dyDescent="0.35">
      <c r="C2691" s="501" t="s">
        <v>106</v>
      </c>
      <c r="D2691" s="116"/>
      <c r="E2691" s="116" t="s">
        <v>37</v>
      </c>
      <c r="F2691" s="116" t="s">
        <v>2</v>
      </c>
      <c r="G2691" s="450" t="str">
        <f t="shared" si="133"/>
        <v>Tenant A-Restrooms-Toilets</v>
      </c>
      <c r="H2691" s="116"/>
      <c r="I2691" s="889" t="s">
        <v>66</v>
      </c>
      <c r="J2691" s="890">
        <f>SUMIFS('Level of Efficiency Assumptions'!J:J,'Level of Efficiency Assumptions'!D:D,E2691,'Level of Efficiency Assumptions'!F:F,F2691,'Level of Efficiency Assumptions'!I:I,I2691)</f>
        <v>1.28</v>
      </c>
      <c r="K2691" s="383" t="s">
        <v>68</v>
      </c>
      <c r="L2691" s="257" t="s">
        <v>66</v>
      </c>
      <c r="M2691" s="879">
        <f>Q2691+Q2692+Q2694+Q2697+Q2698</f>
        <v>0</v>
      </c>
      <c r="N2691" s="880">
        <f>IFERROR(M2691/M2692,"-")</f>
        <v>0</v>
      </c>
      <c r="O2691" s="881">
        <f>SUMIFS('Data Entry'!T:T,'Data Entry'!K:K,G2691)</f>
        <v>0</v>
      </c>
      <c r="P2691" s="258" t="s">
        <v>163</v>
      </c>
      <c r="Q2691" s="882">
        <v>0</v>
      </c>
      <c r="R2691" s="883"/>
      <c r="S2691" s="883"/>
      <c r="T2691" s="891"/>
      <c r="U2691" s="884"/>
      <c r="V2691" s="270"/>
      <c r="W2691" s="270"/>
      <c r="X2691" s="270"/>
      <c r="Y2691" s="114"/>
      <c r="Z2691" s="270"/>
      <c r="AA2691" s="270"/>
    </row>
    <row r="2692" spans="3:27" x14ac:dyDescent="0.3">
      <c r="C2692" s="450"/>
      <c r="D2692" s="182"/>
      <c r="E2692" s="182"/>
      <c r="F2692" s="182"/>
      <c r="G2692" s="450" t="str">
        <f t="shared" si="133"/>
        <v>--</v>
      </c>
      <c r="H2692" s="182"/>
      <c r="I2692" s="440"/>
      <c r="J2692" s="892"/>
      <c r="K2692" s="259"/>
      <c r="L2692" s="259" t="s">
        <v>46</v>
      </c>
      <c r="M2692" s="893">
        <f>SUM(M2689:M2691)</f>
        <v>1</v>
      </c>
      <c r="N2692" s="894"/>
      <c r="O2692" s="894">
        <f>SUM(O2689:O2691)</f>
        <v>0</v>
      </c>
      <c r="P2692" s="258" t="s">
        <v>165</v>
      </c>
      <c r="Q2692" s="882">
        <v>0</v>
      </c>
      <c r="R2692" s="883"/>
      <c r="S2692" s="883"/>
      <c r="T2692" s="891"/>
      <c r="U2692" s="884"/>
      <c r="V2692" s="270"/>
      <c r="W2692" s="270"/>
      <c r="X2692" s="270"/>
      <c r="Y2692" s="114"/>
      <c r="Z2692" s="270"/>
      <c r="AA2692" s="270"/>
    </row>
    <row r="2693" spans="3:27" ht="15" thickBot="1" x14ac:dyDescent="0.35">
      <c r="C2693" s="450"/>
      <c r="D2693" s="182"/>
      <c r="E2693" s="182"/>
      <c r="F2693" s="182"/>
      <c r="G2693" s="450" t="str">
        <f t="shared" si="133"/>
        <v>--</v>
      </c>
      <c r="H2693" s="182"/>
      <c r="I2693" s="892"/>
      <c r="J2693" s="288"/>
      <c r="K2693" s="182"/>
      <c r="L2693" s="181"/>
      <c r="M2693" s="181"/>
      <c r="N2693" s="892"/>
      <c r="O2693" s="892"/>
      <c r="P2693" s="256" t="s">
        <v>166</v>
      </c>
      <c r="Q2693" s="895">
        <v>0</v>
      </c>
      <c r="R2693" s="883"/>
      <c r="S2693" s="883"/>
      <c r="T2693" s="891"/>
      <c r="U2693" s="896"/>
      <c r="V2693" s="891"/>
      <c r="W2693" s="270"/>
      <c r="X2693" s="270"/>
      <c r="Y2693" s="114"/>
      <c r="Z2693" s="270"/>
      <c r="AA2693" s="270"/>
    </row>
    <row r="2694" spans="3:27" x14ac:dyDescent="0.3">
      <c r="C2694" s="450"/>
      <c r="D2694" s="182"/>
      <c r="E2694" s="182"/>
      <c r="F2694" s="182"/>
      <c r="G2694" s="450" t="str">
        <f t="shared" si="133"/>
        <v>--</v>
      </c>
      <c r="H2694" s="182"/>
      <c r="I2694" s="892"/>
      <c r="J2694" s="288"/>
      <c r="K2694" s="182"/>
      <c r="L2694" s="1384" t="s">
        <v>377</v>
      </c>
      <c r="M2694" s="1385"/>
      <c r="N2694" s="1385"/>
      <c r="O2694" s="1386"/>
      <c r="P2694" s="258" t="s">
        <v>167</v>
      </c>
      <c r="Q2694" s="895">
        <v>0</v>
      </c>
      <c r="R2694" s="883"/>
      <c r="S2694" s="883"/>
      <c r="T2694" s="891"/>
      <c r="U2694" s="896"/>
      <c r="V2694" s="891"/>
      <c r="W2694" s="270"/>
      <c r="X2694" s="270"/>
      <c r="Y2694" s="270"/>
      <c r="Z2694" s="270"/>
      <c r="AA2694" s="270"/>
    </row>
    <row r="2695" spans="3:27" x14ac:dyDescent="0.3">
      <c r="C2695" s="450"/>
      <c r="D2695" s="182"/>
      <c r="E2695" s="182"/>
      <c r="F2695" s="182"/>
      <c r="G2695" s="450" t="str">
        <f t="shared" si="133"/>
        <v>--</v>
      </c>
      <c r="H2695" s="182"/>
      <c r="I2695" s="892"/>
      <c r="J2695" s="288"/>
      <c r="K2695" s="182"/>
      <c r="L2695" s="1387"/>
      <c r="M2695" s="1388"/>
      <c r="N2695" s="1388"/>
      <c r="O2695" s="1389"/>
      <c r="P2695" s="254" t="s">
        <v>160</v>
      </c>
      <c r="Q2695" s="895">
        <v>0</v>
      </c>
      <c r="R2695" s="891"/>
      <c r="S2695" s="891"/>
      <c r="T2695" s="891"/>
      <c r="U2695" s="896"/>
      <c r="V2695" s="891"/>
      <c r="W2695" s="270"/>
      <c r="X2695" s="270"/>
      <c r="Y2695" s="270"/>
      <c r="Z2695" s="270"/>
      <c r="AA2695" s="270"/>
    </row>
    <row r="2696" spans="3:27" x14ac:dyDescent="0.3">
      <c r="C2696" s="450"/>
      <c r="D2696" s="182"/>
      <c r="E2696" s="182"/>
      <c r="F2696" s="182"/>
      <c r="G2696" s="450" t="str">
        <f t="shared" si="133"/>
        <v>--</v>
      </c>
      <c r="H2696" s="182"/>
      <c r="I2696" s="892"/>
      <c r="J2696" s="288"/>
      <c r="K2696" s="182"/>
      <c r="L2696" s="1387"/>
      <c r="M2696" s="1388"/>
      <c r="N2696" s="1388"/>
      <c r="O2696" s="1389"/>
      <c r="P2696" s="256" t="s">
        <v>162</v>
      </c>
      <c r="Q2696" s="895">
        <v>0</v>
      </c>
      <c r="R2696" s="891"/>
      <c r="S2696" s="891"/>
      <c r="T2696" s="891"/>
      <c r="U2696" s="896"/>
      <c r="V2696" s="891"/>
      <c r="W2696" s="270"/>
      <c r="X2696" s="270"/>
      <c r="Y2696" s="270"/>
      <c r="Z2696" s="270"/>
      <c r="AA2696" s="270"/>
    </row>
    <row r="2697" spans="3:27" ht="15" thickBot="1" x14ac:dyDescent="0.35">
      <c r="C2697" s="450"/>
      <c r="D2697" s="182"/>
      <c r="E2697" s="182"/>
      <c r="F2697" s="182"/>
      <c r="G2697" s="450" t="str">
        <f t="shared" si="133"/>
        <v>--</v>
      </c>
      <c r="H2697" s="182"/>
      <c r="I2697" s="892"/>
      <c r="J2697" s="288"/>
      <c r="K2697" s="182"/>
      <c r="L2697" s="1390"/>
      <c r="M2697" s="1391"/>
      <c r="N2697" s="1391"/>
      <c r="O2697" s="1392"/>
      <c r="P2697" s="258" t="s">
        <v>164</v>
      </c>
      <c r="Q2697" s="895">
        <v>0</v>
      </c>
      <c r="R2697" s="114"/>
      <c r="S2697" s="891"/>
      <c r="T2697" s="114"/>
      <c r="U2697" s="884"/>
      <c r="V2697" s="114"/>
      <c r="W2697" s="270"/>
      <c r="X2697" s="270"/>
      <c r="Y2697" s="270"/>
      <c r="Z2697" s="270"/>
      <c r="AA2697" s="270"/>
    </row>
    <row r="2698" spans="3:27" x14ac:dyDescent="0.3">
      <c r="C2698" s="450"/>
      <c r="D2698" s="182"/>
      <c r="E2698" s="182"/>
      <c r="F2698" s="182"/>
      <c r="G2698" s="450" t="str">
        <f t="shared" si="133"/>
        <v>--</v>
      </c>
      <c r="H2698" s="182"/>
      <c r="I2698" s="892"/>
      <c r="J2698" s="288"/>
      <c r="K2698" s="182"/>
      <c r="L2698" s="181"/>
      <c r="M2698" s="181"/>
      <c r="N2698" s="892"/>
      <c r="O2698" s="892"/>
      <c r="P2698" s="258" t="s">
        <v>187</v>
      </c>
      <c r="Q2698" s="895">
        <v>0</v>
      </c>
      <c r="R2698" s="114"/>
      <c r="S2698" s="891"/>
      <c r="T2698" s="114"/>
      <c r="U2698" s="884"/>
      <c r="V2698" s="114"/>
      <c r="W2698" s="270"/>
      <c r="X2698" s="270"/>
      <c r="Y2698" s="270"/>
      <c r="Z2698" s="270"/>
      <c r="AA2698" s="270"/>
    </row>
    <row r="2699" spans="3:27" x14ac:dyDescent="0.3">
      <c r="C2699" s="450"/>
      <c r="D2699" s="182"/>
      <c r="E2699" s="182"/>
      <c r="F2699" s="182"/>
      <c r="G2699" s="450" t="str">
        <f t="shared" si="133"/>
        <v>--</v>
      </c>
      <c r="H2699" s="182"/>
      <c r="I2699" s="892"/>
      <c r="J2699" s="288"/>
      <c r="K2699" s="182"/>
      <c r="L2699" s="181"/>
      <c r="M2699" s="181"/>
      <c r="N2699" s="892"/>
      <c r="O2699" s="892"/>
      <c r="P2699" s="263" t="s">
        <v>46</v>
      </c>
      <c r="Q2699" s="897">
        <f>SUM(Q2689:Q2698)</f>
        <v>1</v>
      </c>
      <c r="R2699" s="898"/>
      <c r="S2699" s="898"/>
      <c r="T2699" s="899"/>
      <c r="U2699" s="900"/>
      <c r="V2699" s="114"/>
      <c r="W2699" s="270"/>
      <c r="X2699" s="270"/>
      <c r="Y2699" s="270"/>
      <c r="Z2699" s="270"/>
      <c r="AA2699" s="270"/>
    </row>
    <row r="2700" spans="3:27" x14ac:dyDescent="0.3">
      <c r="C2700" s="450"/>
      <c r="D2700" s="182"/>
      <c r="E2700" s="182"/>
      <c r="F2700" s="182"/>
      <c r="G2700" s="450" t="str">
        <f t="shared" si="133"/>
        <v>--</v>
      </c>
      <c r="H2700" s="182"/>
      <c r="I2700" s="892"/>
      <c r="J2700" s="288"/>
      <c r="K2700" s="182"/>
      <c r="L2700" s="181"/>
      <c r="M2700" s="181"/>
      <c r="N2700" s="892"/>
      <c r="O2700" s="892"/>
      <c r="P2700" s="114"/>
      <c r="Q2700" s="114"/>
      <c r="R2700" s="891"/>
      <c r="S2700" s="891"/>
      <c r="T2700" s="114"/>
      <c r="U2700" s="114"/>
      <c r="V2700" s="114"/>
      <c r="W2700" s="270"/>
      <c r="X2700" s="270"/>
      <c r="Y2700" s="270"/>
      <c r="Z2700" s="270"/>
      <c r="AA2700" s="270"/>
    </row>
    <row r="2701" spans="3:27" ht="15" thickBot="1" x14ac:dyDescent="0.35">
      <c r="C2701" s="450"/>
      <c r="D2701" s="182"/>
      <c r="E2701" s="182"/>
      <c r="F2701" s="182"/>
      <c r="G2701" s="450" t="str">
        <f t="shared" si="133"/>
        <v>--</v>
      </c>
      <c r="H2701" s="182"/>
      <c r="I2701" s="892"/>
      <c r="J2701" s="892"/>
      <c r="K2701" s="182"/>
      <c r="L2701" s="182"/>
      <c r="M2701" s="901" t="s">
        <v>155</v>
      </c>
      <c r="N2701" s="870" t="s">
        <v>188</v>
      </c>
      <c r="O2701" s="870"/>
      <c r="P2701" s="252" t="s">
        <v>175</v>
      </c>
      <c r="Q2701" s="871" t="s">
        <v>155</v>
      </c>
      <c r="R2701" s="872" t="s">
        <v>168</v>
      </c>
      <c r="S2701" s="872" t="s">
        <v>169</v>
      </c>
      <c r="T2701" s="902"/>
      <c r="U2701" s="903"/>
      <c r="V2701" s="270"/>
      <c r="W2701" s="270"/>
      <c r="X2701" s="270"/>
      <c r="Y2701" s="270"/>
      <c r="Z2701" s="270"/>
      <c r="AA2701" s="270"/>
    </row>
    <row r="2702" spans="3:27" ht="15" thickBot="1" x14ac:dyDescent="0.35">
      <c r="C2702" s="566" t="s">
        <v>106</v>
      </c>
      <c r="D2702" s="875" t="str">
        <f>VLOOKUP(C2702,'Airport Mapping'!$C$5:$D$39,2,FALSE)</f>
        <v xml:space="preserve"> </v>
      </c>
      <c r="E2702" s="567" t="s">
        <v>37</v>
      </c>
      <c r="F2702" s="567" t="s">
        <v>4</v>
      </c>
      <c r="G2702" s="450" t="str">
        <f t="shared" si="133"/>
        <v>Tenant A-Restrooms-Urinals</v>
      </c>
      <c r="H2702" s="567" t="s">
        <v>6</v>
      </c>
      <c r="I2702" s="877" t="s">
        <v>64</v>
      </c>
      <c r="J2702" s="878">
        <f>SUMIFS('Level of Efficiency Assumptions'!J:J,'Level of Efficiency Assumptions'!D:D,E2702,'Level of Efficiency Assumptions'!F:F,F2702,'Level of Efficiency Assumptions'!I:I,I2702)</f>
        <v>2</v>
      </c>
      <c r="K2702" s="383" t="s">
        <v>68</v>
      </c>
      <c r="L2702" s="253" t="s">
        <v>64</v>
      </c>
      <c r="M2702" s="879">
        <f>Q2702+Q2703</f>
        <v>0</v>
      </c>
      <c r="N2702" s="880">
        <f>IFERROR(M2702/M2705,"-")</f>
        <v>0</v>
      </c>
      <c r="O2702" s="881">
        <f>SUMIFS('Data Entry'!R:R,'Data Entry'!K:K,G2702)</f>
        <v>0</v>
      </c>
      <c r="P2702" s="254" t="s">
        <v>177</v>
      </c>
      <c r="Q2702" s="882">
        <v>0</v>
      </c>
      <c r="R2702" s="883"/>
      <c r="S2702" s="883"/>
      <c r="T2702" s="114"/>
      <c r="U2702" s="904"/>
      <c r="V2702" s="270"/>
      <c r="W2702" s="270"/>
      <c r="X2702" s="270"/>
      <c r="Y2702" s="270"/>
      <c r="Z2702" s="270"/>
      <c r="AA2702" s="270"/>
    </row>
    <row r="2703" spans="3:27" ht="15" thickBot="1" x14ac:dyDescent="0.35">
      <c r="C2703" s="494" t="s">
        <v>106</v>
      </c>
      <c r="D2703" s="577"/>
      <c r="E2703" s="577" t="s">
        <v>37</v>
      </c>
      <c r="F2703" s="577" t="s">
        <v>4</v>
      </c>
      <c r="G2703" s="450" t="str">
        <f t="shared" si="133"/>
        <v>Tenant A-Restrooms-Urinals</v>
      </c>
      <c r="H2703" s="577"/>
      <c r="I2703" s="887" t="s">
        <v>65</v>
      </c>
      <c r="J2703" s="878">
        <f>SUMIFS('Level of Efficiency Assumptions'!J:J,'Level of Efficiency Assumptions'!D:D,E2703,'Level of Efficiency Assumptions'!F:F,F2703,'Level of Efficiency Assumptions'!I:I,I2703)</f>
        <v>1</v>
      </c>
      <c r="K2703" s="383" t="s">
        <v>68</v>
      </c>
      <c r="L2703" s="255" t="s">
        <v>65</v>
      </c>
      <c r="M2703" s="879">
        <f>Q2704+Q2705</f>
        <v>1</v>
      </c>
      <c r="N2703" s="880">
        <f>IFERROR(M2703/M2705,"-")</f>
        <v>1</v>
      </c>
      <c r="O2703" s="881">
        <f>SUMIFS('Data Entry'!S:S,'Data Entry'!K:K,G2703)</f>
        <v>0</v>
      </c>
      <c r="P2703" s="254" t="s">
        <v>179</v>
      </c>
      <c r="Q2703" s="882">
        <v>0</v>
      </c>
      <c r="R2703" s="883"/>
      <c r="S2703" s="883"/>
      <c r="T2703" s="114"/>
      <c r="U2703" s="904"/>
      <c r="V2703" s="270"/>
      <c r="W2703" s="270"/>
      <c r="X2703" s="270"/>
      <c r="Y2703" s="270"/>
      <c r="Z2703" s="270"/>
      <c r="AA2703" s="270"/>
    </row>
    <row r="2704" spans="3:27" ht="15" thickBot="1" x14ac:dyDescent="0.35">
      <c r="C2704" s="501" t="s">
        <v>106</v>
      </c>
      <c r="D2704" s="116"/>
      <c r="E2704" s="116" t="s">
        <v>37</v>
      </c>
      <c r="F2704" s="116" t="s">
        <v>4</v>
      </c>
      <c r="G2704" s="450" t="str">
        <f t="shared" si="133"/>
        <v>Tenant A-Restrooms-Urinals</v>
      </c>
      <c r="H2704" s="116"/>
      <c r="I2704" s="889" t="s">
        <v>66</v>
      </c>
      <c r="J2704" s="890">
        <f>SUMIFS('Level of Efficiency Assumptions'!J:J,'Level of Efficiency Assumptions'!D:D,E2704,'Level of Efficiency Assumptions'!F:F,F2704,'Level of Efficiency Assumptions'!I:I,I2704)</f>
        <v>0.125</v>
      </c>
      <c r="K2704" s="383" t="s">
        <v>68</v>
      </c>
      <c r="L2704" s="257" t="s">
        <v>66</v>
      </c>
      <c r="M2704" s="879">
        <f>Q2706+Q2707</f>
        <v>0</v>
      </c>
      <c r="N2704" s="880">
        <f>IFERROR(M2704/M2705,"-")</f>
        <v>0</v>
      </c>
      <c r="O2704" s="881">
        <f>SUMIFS('Data Entry'!T:T,'Data Entry'!K:K,G2704)</f>
        <v>0</v>
      </c>
      <c r="P2704" s="256" t="s">
        <v>189</v>
      </c>
      <c r="Q2704" s="882">
        <v>0</v>
      </c>
      <c r="R2704" s="883"/>
      <c r="S2704" s="883"/>
      <c r="T2704" s="114"/>
      <c r="U2704" s="904"/>
      <c r="V2704" s="270"/>
      <c r="W2704" s="270"/>
      <c r="X2704" s="270"/>
      <c r="Y2704" s="270"/>
      <c r="Z2704" s="270"/>
      <c r="AA2704" s="270"/>
    </row>
    <row r="2705" spans="3:27" x14ac:dyDescent="0.3">
      <c r="C2705" s="450"/>
      <c r="D2705" s="182"/>
      <c r="E2705" s="182"/>
      <c r="F2705" s="182"/>
      <c r="G2705" s="450" t="str">
        <f t="shared" si="133"/>
        <v>--</v>
      </c>
      <c r="H2705" s="182"/>
      <c r="I2705" s="440"/>
      <c r="J2705" s="892"/>
      <c r="K2705" s="259"/>
      <c r="L2705" s="259" t="s">
        <v>46</v>
      </c>
      <c r="M2705" s="893">
        <f>SUM(M2702:M2704)</f>
        <v>1</v>
      </c>
      <c r="N2705" s="894"/>
      <c r="O2705" s="894">
        <f>SUM(O2702:O2704)</f>
        <v>0</v>
      </c>
      <c r="P2705" s="256" t="s">
        <v>181</v>
      </c>
      <c r="Q2705" s="882">
        <v>1</v>
      </c>
      <c r="R2705" s="883"/>
      <c r="S2705" s="883"/>
      <c r="T2705" s="114"/>
      <c r="U2705" s="264"/>
      <c r="V2705" s="270"/>
      <c r="W2705" s="270"/>
      <c r="X2705" s="270"/>
      <c r="Y2705" s="270"/>
      <c r="Z2705" s="270"/>
      <c r="AA2705" s="270"/>
    </row>
    <row r="2706" spans="3:27" x14ac:dyDescent="0.3">
      <c r="C2706" s="450"/>
      <c r="D2706" s="182"/>
      <c r="E2706" s="182"/>
      <c r="F2706" s="182"/>
      <c r="G2706" s="450" t="str">
        <f t="shared" si="133"/>
        <v>--</v>
      </c>
      <c r="H2706" s="182"/>
      <c r="I2706" s="892"/>
      <c r="J2706" s="288"/>
      <c r="K2706" s="182"/>
      <c r="L2706" s="181"/>
      <c r="M2706" s="181"/>
      <c r="N2706" s="892"/>
      <c r="O2706" s="892"/>
      <c r="P2706" s="258" t="s">
        <v>183</v>
      </c>
      <c r="Q2706" s="882">
        <v>0</v>
      </c>
      <c r="R2706" s="883"/>
      <c r="S2706" s="883"/>
      <c r="T2706" s="114"/>
      <c r="U2706" s="884"/>
      <c r="V2706" s="114"/>
      <c r="W2706" s="270"/>
      <c r="X2706" s="270"/>
      <c r="Y2706" s="270"/>
      <c r="Z2706" s="270"/>
      <c r="AA2706" s="270"/>
    </row>
    <row r="2707" spans="3:27" x14ac:dyDescent="0.3">
      <c r="C2707" s="450"/>
      <c r="D2707" s="182"/>
      <c r="E2707" s="182"/>
      <c r="F2707" s="182"/>
      <c r="G2707" s="450" t="str">
        <f t="shared" si="133"/>
        <v>--</v>
      </c>
      <c r="H2707" s="182"/>
      <c r="I2707" s="892"/>
      <c r="J2707" s="288"/>
      <c r="K2707" s="182"/>
      <c r="L2707" s="181"/>
      <c r="M2707" s="181"/>
      <c r="N2707" s="892"/>
      <c r="O2707" s="892"/>
      <c r="P2707" s="258" t="s">
        <v>190</v>
      </c>
      <c r="Q2707" s="882">
        <v>0</v>
      </c>
      <c r="R2707" s="114"/>
      <c r="S2707" s="114"/>
      <c r="T2707" s="114"/>
      <c r="U2707" s="884"/>
      <c r="V2707" s="114"/>
      <c r="W2707" s="270"/>
      <c r="X2707" s="270"/>
      <c r="Y2707" s="270"/>
      <c r="Z2707" s="270"/>
      <c r="AA2707" s="270"/>
    </row>
    <row r="2708" spans="3:27" x14ac:dyDescent="0.3">
      <c r="C2708" s="450"/>
      <c r="D2708" s="182"/>
      <c r="E2708" s="182"/>
      <c r="F2708" s="182"/>
      <c r="G2708" s="450" t="str">
        <f t="shared" si="133"/>
        <v>--</v>
      </c>
      <c r="H2708" s="182"/>
      <c r="I2708" s="892"/>
      <c r="J2708" s="288"/>
      <c r="K2708" s="182"/>
      <c r="L2708" s="181"/>
      <c r="M2708" s="181"/>
      <c r="N2708" s="892"/>
      <c r="O2708" s="892"/>
      <c r="P2708" s="263" t="s">
        <v>46</v>
      </c>
      <c r="Q2708" s="897">
        <f>SUM(Q2702:Q2707)</f>
        <v>1</v>
      </c>
      <c r="R2708" s="899"/>
      <c r="S2708" s="899"/>
      <c r="T2708" s="899"/>
      <c r="U2708" s="900"/>
      <c r="V2708" s="114"/>
      <c r="W2708" s="270"/>
      <c r="X2708" s="270"/>
      <c r="Y2708" s="270"/>
      <c r="Z2708" s="270"/>
      <c r="AA2708" s="270"/>
    </row>
    <row r="2709" spans="3:27" x14ac:dyDescent="0.3">
      <c r="C2709" s="450"/>
      <c r="D2709" s="182"/>
      <c r="E2709" s="182"/>
      <c r="F2709" s="182"/>
      <c r="G2709" s="450" t="str">
        <f t="shared" si="133"/>
        <v>--</v>
      </c>
      <c r="H2709" s="182"/>
      <c r="I2709" s="892"/>
      <c r="J2709" s="288"/>
      <c r="K2709" s="182"/>
      <c r="L2709" s="181"/>
      <c r="M2709" s="181"/>
      <c r="N2709" s="892"/>
      <c r="O2709" s="892"/>
      <c r="P2709" s="262"/>
      <c r="Q2709" s="114"/>
      <c r="R2709" s="114"/>
      <c r="S2709" s="114"/>
      <c r="T2709" s="114"/>
      <c r="U2709" s="114"/>
      <c r="V2709" s="114"/>
      <c r="W2709" s="270"/>
      <c r="X2709" s="270"/>
      <c r="Y2709" s="270"/>
      <c r="Z2709" s="270"/>
      <c r="AA2709" s="270"/>
    </row>
    <row r="2710" spans="3:27" ht="15" thickBot="1" x14ac:dyDescent="0.35">
      <c r="C2710" s="450"/>
      <c r="D2710" s="182"/>
      <c r="E2710" s="182"/>
      <c r="F2710" s="182"/>
      <c r="G2710" s="450" t="str">
        <f t="shared" si="133"/>
        <v>--</v>
      </c>
      <c r="H2710" s="182"/>
      <c r="I2710" s="892"/>
      <c r="J2710" s="892"/>
      <c r="K2710" s="182"/>
      <c r="L2710" s="182"/>
      <c r="M2710" s="901" t="s">
        <v>155</v>
      </c>
      <c r="N2710" s="870" t="s">
        <v>188</v>
      </c>
      <c r="O2710" s="870"/>
      <c r="P2710" s="265" t="s">
        <v>33</v>
      </c>
      <c r="Q2710" s="871" t="s">
        <v>155</v>
      </c>
      <c r="R2710" s="872" t="s">
        <v>168</v>
      </c>
      <c r="S2710" s="872" t="s">
        <v>169</v>
      </c>
      <c r="T2710" s="872" t="s">
        <v>170</v>
      </c>
      <c r="U2710" s="872" t="s">
        <v>171</v>
      </c>
      <c r="V2710" s="902"/>
      <c r="W2710" s="902"/>
      <c r="X2710" s="874"/>
      <c r="Y2710" s="270"/>
      <c r="Z2710" s="270"/>
      <c r="AA2710" s="270"/>
    </row>
    <row r="2711" spans="3:27" ht="15" thickBot="1" x14ac:dyDescent="0.35">
      <c r="C2711" s="566" t="s">
        <v>106</v>
      </c>
      <c r="D2711" s="875" t="str">
        <f>VLOOKUP(C2711,'Airport Mapping'!$C$5:$D$39,2,FALSE)</f>
        <v xml:space="preserve"> </v>
      </c>
      <c r="E2711" s="567" t="s">
        <v>37</v>
      </c>
      <c r="F2711" s="567" t="s">
        <v>33</v>
      </c>
      <c r="G2711" s="450" t="str">
        <f t="shared" si="133"/>
        <v>Tenant A-Restrooms-Faucets</v>
      </c>
      <c r="H2711" s="567" t="s">
        <v>6</v>
      </c>
      <c r="I2711" s="877" t="s">
        <v>64</v>
      </c>
      <c r="J2711" s="878">
        <f>SUMIFS('Level of Efficiency Assumptions'!J:J,'Level of Efficiency Assumptions'!D:D,E2711,'Level of Efficiency Assumptions'!F:F,F2711,'Level of Efficiency Assumptions'!I:I,I2711)</f>
        <v>2</v>
      </c>
      <c r="K2711" s="383" t="s">
        <v>78</v>
      </c>
      <c r="L2711" s="253" t="s">
        <v>64</v>
      </c>
      <c r="M2711" s="879">
        <f>Q2711+Q2712</f>
        <v>0</v>
      </c>
      <c r="N2711" s="880">
        <f>IFERROR(M2711/M2714,"-")</f>
        <v>0</v>
      </c>
      <c r="O2711" s="881">
        <f>SUMIFS('Data Entry'!R:R,'Data Entry'!K:K,G2711)</f>
        <v>0</v>
      </c>
      <c r="P2711" s="266" t="s">
        <v>180</v>
      </c>
      <c r="Q2711" s="895">
        <v>0</v>
      </c>
      <c r="R2711" s="883"/>
      <c r="S2711" s="883"/>
      <c r="T2711" s="883"/>
      <c r="U2711" s="883"/>
      <c r="V2711" s="114" t="s">
        <v>182</v>
      </c>
      <c r="W2711" s="114"/>
      <c r="X2711" s="884"/>
      <c r="Y2711" s="270"/>
      <c r="Z2711" s="270"/>
      <c r="AA2711" s="270"/>
    </row>
    <row r="2712" spans="3:27" ht="15" thickBot="1" x14ac:dyDescent="0.35">
      <c r="C2712" s="494" t="s">
        <v>106</v>
      </c>
      <c r="D2712" s="577"/>
      <c r="E2712" s="577" t="s">
        <v>37</v>
      </c>
      <c r="F2712" s="577" t="s">
        <v>33</v>
      </c>
      <c r="G2712" s="450" t="str">
        <f t="shared" si="133"/>
        <v>Tenant A-Restrooms-Faucets</v>
      </c>
      <c r="H2712" s="577"/>
      <c r="I2712" s="887" t="s">
        <v>65</v>
      </c>
      <c r="J2712" s="878">
        <f>SUMIFS('Level of Efficiency Assumptions'!J:J,'Level of Efficiency Assumptions'!D:D,E2712,'Level of Efficiency Assumptions'!F:F,F2712,'Level of Efficiency Assumptions'!I:I,I2712)</f>
        <v>1</v>
      </c>
      <c r="K2712" s="383" t="s">
        <v>78</v>
      </c>
      <c r="L2712" s="255" t="s">
        <v>65</v>
      </c>
      <c r="M2712" s="879">
        <f>Q2713+Q2714</f>
        <v>1</v>
      </c>
      <c r="N2712" s="880">
        <f>IFERROR(M2712/M2714,"-")</f>
        <v>1</v>
      </c>
      <c r="O2712" s="881">
        <f>SUMIFS('Data Entry'!S:S,'Data Entry'!K:K,G2712)</f>
        <v>0</v>
      </c>
      <c r="P2712" s="266" t="s">
        <v>178</v>
      </c>
      <c r="Q2712" s="895">
        <v>0</v>
      </c>
      <c r="R2712" s="883"/>
      <c r="S2712" s="883"/>
      <c r="T2712" s="883"/>
      <c r="U2712" s="883"/>
      <c r="V2712" s="114" t="s">
        <v>184</v>
      </c>
      <c r="W2712" s="114"/>
      <c r="X2712" s="884"/>
      <c r="Y2712" s="270"/>
      <c r="Z2712" s="270"/>
      <c r="AA2712" s="270"/>
    </row>
    <row r="2713" spans="3:27" ht="15" thickBot="1" x14ac:dyDescent="0.35">
      <c r="C2713" s="501" t="s">
        <v>106</v>
      </c>
      <c r="D2713" s="116"/>
      <c r="E2713" s="116" t="s">
        <v>37</v>
      </c>
      <c r="F2713" s="116" t="s">
        <v>33</v>
      </c>
      <c r="G2713" s="450" t="str">
        <f t="shared" si="133"/>
        <v>Tenant A-Restrooms-Faucets</v>
      </c>
      <c r="H2713" s="116"/>
      <c r="I2713" s="889" t="s">
        <v>66</v>
      </c>
      <c r="J2713" s="890">
        <f>SUMIFS('Level of Efficiency Assumptions'!J:J,'Level of Efficiency Assumptions'!D:D,E2713,'Level of Efficiency Assumptions'!F:F,F2713,'Level of Efficiency Assumptions'!I:I,I2713)</f>
        <v>0.5</v>
      </c>
      <c r="K2713" s="383" t="s">
        <v>78</v>
      </c>
      <c r="L2713" s="257" t="s">
        <v>66</v>
      </c>
      <c r="M2713" s="879">
        <f>Q2715</f>
        <v>0</v>
      </c>
      <c r="N2713" s="880">
        <f>IFERROR(M2713/M2714,"-")</f>
        <v>0</v>
      </c>
      <c r="O2713" s="881">
        <f>SUMIFS('Data Entry'!T:T,'Data Entry'!K:K,G2713)</f>
        <v>0</v>
      </c>
      <c r="P2713" s="267" t="s">
        <v>176</v>
      </c>
      <c r="Q2713" s="895">
        <v>1</v>
      </c>
      <c r="R2713" s="883"/>
      <c r="S2713" s="883"/>
      <c r="T2713" s="883"/>
      <c r="U2713" s="883"/>
      <c r="V2713" s="114" t="s">
        <v>185</v>
      </c>
      <c r="W2713" s="114"/>
      <c r="X2713" s="884"/>
      <c r="Y2713" s="270"/>
      <c r="Z2713" s="270"/>
      <c r="AA2713" s="270"/>
    </row>
    <row r="2714" spans="3:27" x14ac:dyDescent="0.3">
      <c r="C2714" s="450"/>
      <c r="D2714" s="182"/>
      <c r="E2714" s="182"/>
      <c r="F2714" s="182"/>
      <c r="G2714" s="450" t="str">
        <f t="shared" si="133"/>
        <v>--</v>
      </c>
      <c r="H2714" s="182"/>
      <c r="I2714" s="440"/>
      <c r="J2714" s="892"/>
      <c r="K2714" s="259"/>
      <c r="L2714" s="259" t="s">
        <v>46</v>
      </c>
      <c r="M2714" s="893">
        <f>SUM(M2711:M2713)</f>
        <v>1</v>
      </c>
      <c r="N2714" s="894"/>
      <c r="O2714" s="894">
        <f>SUM(O2711:O2713)</f>
        <v>0</v>
      </c>
      <c r="P2714" s="256" t="s">
        <v>173</v>
      </c>
      <c r="Q2714" s="895">
        <v>0</v>
      </c>
      <c r="R2714" s="883"/>
      <c r="S2714" s="883"/>
      <c r="T2714" s="883"/>
      <c r="U2714" s="883"/>
      <c r="V2714" s="114" t="s">
        <v>186</v>
      </c>
      <c r="W2714" s="114"/>
      <c r="X2714" s="884"/>
      <c r="Y2714" s="270"/>
      <c r="Z2714" s="270"/>
      <c r="AA2714" s="270"/>
    </row>
    <row r="2715" spans="3:27" x14ac:dyDescent="0.3">
      <c r="C2715" s="450"/>
      <c r="D2715" s="182"/>
      <c r="E2715" s="182"/>
      <c r="F2715" s="182"/>
      <c r="G2715" s="450" t="str">
        <f t="shared" si="133"/>
        <v>--</v>
      </c>
      <c r="H2715" s="182"/>
      <c r="I2715" s="892"/>
      <c r="J2715" s="288"/>
      <c r="K2715" s="182"/>
      <c r="L2715" s="114"/>
      <c r="M2715" s="114"/>
      <c r="N2715" s="905"/>
      <c r="O2715" s="905"/>
      <c r="P2715" s="258" t="s">
        <v>172</v>
      </c>
      <c r="Q2715" s="895">
        <v>0</v>
      </c>
      <c r="R2715" s="883"/>
      <c r="S2715" s="883"/>
      <c r="T2715" s="883"/>
      <c r="U2715" s="883"/>
      <c r="V2715" s="114"/>
      <c r="W2715" s="114"/>
      <c r="X2715" s="884"/>
      <c r="Y2715" s="270"/>
      <c r="Z2715" s="270"/>
      <c r="AA2715" s="270"/>
    </row>
    <row r="2716" spans="3:27" x14ac:dyDescent="0.3">
      <c r="C2716" s="450"/>
      <c r="D2716" s="182"/>
      <c r="E2716" s="182"/>
      <c r="F2716" s="182"/>
      <c r="G2716" s="450" t="str">
        <f t="shared" ref="G2716:G2779" si="138">C2716&amp;"-"&amp;E2716&amp;"-"&amp;F2716</f>
        <v>--</v>
      </c>
      <c r="H2716" s="182"/>
      <c r="I2716" s="892"/>
      <c r="J2716" s="288"/>
      <c r="K2716" s="182"/>
      <c r="L2716" s="181"/>
      <c r="M2716" s="181"/>
      <c r="N2716" s="892"/>
      <c r="O2716" s="892"/>
      <c r="P2716" s="263" t="s">
        <v>46</v>
      </c>
      <c r="Q2716" s="897">
        <f>SUM(Q2710:Q2715)</f>
        <v>1</v>
      </c>
      <c r="R2716" s="899"/>
      <c r="S2716" s="899"/>
      <c r="T2716" s="899"/>
      <c r="U2716" s="899"/>
      <c r="V2716" s="899"/>
      <c r="W2716" s="899"/>
      <c r="X2716" s="900"/>
      <c r="Y2716" s="270"/>
      <c r="Z2716" s="270"/>
      <c r="AA2716" s="270"/>
    </row>
    <row r="2717" spans="3:27" x14ac:dyDescent="0.3">
      <c r="C2717" s="450"/>
      <c r="D2717" s="182"/>
      <c r="E2717" s="182"/>
      <c r="F2717" s="182"/>
      <c r="G2717" s="450" t="str">
        <f t="shared" si="138"/>
        <v>--</v>
      </c>
      <c r="H2717" s="182"/>
      <c r="I2717" s="892"/>
      <c r="J2717" s="288"/>
      <c r="K2717" s="182"/>
      <c r="L2717" s="181"/>
      <c r="M2717" s="181"/>
      <c r="N2717" s="892"/>
      <c r="O2717" s="892"/>
      <c r="P2717" s="262"/>
      <c r="Q2717" s="114"/>
      <c r="R2717" s="114"/>
      <c r="S2717" s="114"/>
      <c r="T2717" s="114"/>
      <c r="U2717" s="114"/>
      <c r="V2717" s="114"/>
      <c r="W2717" s="270"/>
      <c r="X2717" s="270"/>
      <c r="Y2717" s="270"/>
      <c r="Z2717" s="270"/>
      <c r="AA2717" s="270"/>
    </row>
    <row r="2718" spans="3:27" ht="15" thickBot="1" x14ac:dyDescent="0.35">
      <c r="C2718" s="450"/>
      <c r="D2718" s="182"/>
      <c r="E2718" s="182"/>
      <c r="F2718" s="182"/>
      <c r="G2718" s="450" t="str">
        <f t="shared" si="138"/>
        <v>--</v>
      </c>
      <c r="H2718" s="182"/>
      <c r="I2718" s="892"/>
      <c r="J2718" s="892"/>
      <c r="K2718" s="182"/>
      <c r="L2718" s="182"/>
      <c r="M2718" s="901" t="s">
        <v>155</v>
      </c>
      <c r="N2718" s="870" t="s">
        <v>188</v>
      </c>
      <c r="O2718" s="870"/>
      <c r="P2718" s="265" t="s">
        <v>33</v>
      </c>
      <c r="Q2718" s="871" t="s">
        <v>155</v>
      </c>
      <c r="R2718" s="872" t="s">
        <v>168</v>
      </c>
      <c r="S2718" s="872" t="s">
        <v>169</v>
      </c>
      <c r="T2718" s="872" t="s">
        <v>170</v>
      </c>
      <c r="U2718" s="872" t="s">
        <v>171</v>
      </c>
      <c r="V2718" s="902"/>
      <c r="W2718" s="902"/>
      <c r="X2718" s="874"/>
      <c r="Y2718" s="270"/>
      <c r="Z2718" s="270"/>
      <c r="AA2718" s="270"/>
    </row>
    <row r="2719" spans="3:27" ht="15" thickBot="1" x14ac:dyDescent="0.35">
      <c r="C2719" s="566" t="s">
        <v>106</v>
      </c>
      <c r="D2719" s="875" t="str">
        <f>VLOOKUP(C2719,'Airport Mapping'!$C$5:$D$39,2,FALSE)</f>
        <v xml:space="preserve"> </v>
      </c>
      <c r="E2719" s="567" t="s">
        <v>5</v>
      </c>
      <c r="F2719" s="567" t="s">
        <v>33</v>
      </c>
      <c r="G2719" s="450" t="str">
        <f t="shared" si="138"/>
        <v>Tenant A-Break rooms-Faucets</v>
      </c>
      <c r="H2719" s="567" t="s">
        <v>6</v>
      </c>
      <c r="I2719" s="877" t="s">
        <v>64</v>
      </c>
      <c r="J2719" s="878">
        <f>SUMIFS('Level of Efficiency Assumptions'!J:J,'Level of Efficiency Assumptions'!D:D,E2719,'Level of Efficiency Assumptions'!F:F,F2719,'Level of Efficiency Assumptions'!I:I,I2719)</f>
        <v>2</v>
      </c>
      <c r="K2719" s="383" t="s">
        <v>78</v>
      </c>
      <c r="L2719" s="253" t="s">
        <v>64</v>
      </c>
      <c r="M2719" s="879">
        <f>Q2719+Q2720</f>
        <v>0</v>
      </c>
      <c r="N2719" s="880">
        <f>IFERROR(M2719/M2722,"-")</f>
        <v>0</v>
      </c>
      <c r="O2719" s="881">
        <f>SUMIFS('Data Entry'!R:R,'Data Entry'!K:K,G2719)</f>
        <v>0</v>
      </c>
      <c r="P2719" s="266" t="s">
        <v>180</v>
      </c>
      <c r="Q2719" s="895">
        <v>0</v>
      </c>
      <c r="R2719" s="883"/>
      <c r="S2719" s="883"/>
      <c r="T2719" s="883"/>
      <c r="U2719" s="883"/>
      <c r="V2719" s="114" t="s">
        <v>182</v>
      </c>
      <c r="W2719" s="114"/>
      <c r="X2719" s="884"/>
      <c r="Y2719" s="270"/>
      <c r="Z2719" s="270"/>
      <c r="AA2719" s="270"/>
    </row>
    <row r="2720" spans="3:27" ht="15" thickBot="1" x14ac:dyDescent="0.35">
      <c r="C2720" s="494" t="s">
        <v>106</v>
      </c>
      <c r="D2720" s="577"/>
      <c r="E2720" s="577" t="s">
        <v>5</v>
      </c>
      <c r="F2720" s="577" t="s">
        <v>33</v>
      </c>
      <c r="G2720" s="450" t="str">
        <f t="shared" si="138"/>
        <v>Tenant A-Break rooms-Faucets</v>
      </c>
      <c r="H2720" s="577"/>
      <c r="I2720" s="887" t="s">
        <v>65</v>
      </c>
      <c r="J2720" s="878">
        <f>SUMIFS('Level of Efficiency Assumptions'!J:J,'Level of Efficiency Assumptions'!D:D,E2720,'Level of Efficiency Assumptions'!F:F,F2720,'Level of Efficiency Assumptions'!I:I,I2720)</f>
        <v>1</v>
      </c>
      <c r="K2720" s="383" t="s">
        <v>78</v>
      </c>
      <c r="L2720" s="255" t="s">
        <v>65</v>
      </c>
      <c r="M2720" s="879">
        <f>Q2721+Q2722</f>
        <v>1</v>
      </c>
      <c r="N2720" s="880">
        <f>IFERROR(M2720/M2722,"-")</f>
        <v>1</v>
      </c>
      <c r="O2720" s="881">
        <f>SUMIFS('Data Entry'!S:S,'Data Entry'!K:K,G2720)</f>
        <v>0</v>
      </c>
      <c r="P2720" s="266" t="s">
        <v>178</v>
      </c>
      <c r="Q2720" s="895">
        <v>0</v>
      </c>
      <c r="R2720" s="883"/>
      <c r="S2720" s="883"/>
      <c r="T2720" s="883"/>
      <c r="U2720" s="883"/>
      <c r="V2720" s="114" t="s">
        <v>184</v>
      </c>
      <c r="W2720" s="114"/>
      <c r="X2720" s="884"/>
      <c r="Y2720" s="270"/>
      <c r="Z2720" s="270"/>
      <c r="AA2720" s="270"/>
    </row>
    <row r="2721" spans="3:27" ht="15" thickBot="1" x14ac:dyDescent="0.35">
      <c r="C2721" s="501" t="s">
        <v>106</v>
      </c>
      <c r="D2721" s="116"/>
      <c r="E2721" s="116" t="s">
        <v>5</v>
      </c>
      <c r="F2721" s="116" t="s">
        <v>33</v>
      </c>
      <c r="G2721" s="450" t="str">
        <f t="shared" si="138"/>
        <v>Tenant A-Break rooms-Faucets</v>
      </c>
      <c r="H2721" s="116"/>
      <c r="I2721" s="889" t="s">
        <v>66</v>
      </c>
      <c r="J2721" s="890">
        <f>SUMIFS('Level of Efficiency Assumptions'!J:J,'Level of Efficiency Assumptions'!D:D,E2721,'Level of Efficiency Assumptions'!F:F,F2721,'Level of Efficiency Assumptions'!I:I,I2721)</f>
        <v>0.5</v>
      </c>
      <c r="K2721" s="383" t="s">
        <v>78</v>
      </c>
      <c r="L2721" s="257" t="s">
        <v>66</v>
      </c>
      <c r="M2721" s="879">
        <f>Q2723</f>
        <v>0</v>
      </c>
      <c r="N2721" s="880">
        <f>IFERROR(M2721/M2722,"-")</f>
        <v>0</v>
      </c>
      <c r="O2721" s="881">
        <f>SUMIFS('Data Entry'!T:T,'Data Entry'!K:K,G2721)</f>
        <v>0</v>
      </c>
      <c r="P2721" s="267" t="s">
        <v>176</v>
      </c>
      <c r="Q2721" s="895">
        <v>1</v>
      </c>
      <c r="R2721" s="883"/>
      <c r="S2721" s="883"/>
      <c r="T2721" s="883"/>
      <c r="U2721" s="883"/>
      <c r="V2721" s="114" t="s">
        <v>185</v>
      </c>
      <c r="W2721" s="114"/>
      <c r="X2721" s="884"/>
      <c r="Y2721" s="270"/>
      <c r="Z2721" s="270"/>
      <c r="AA2721" s="270"/>
    </row>
    <row r="2722" spans="3:27" x14ac:dyDescent="0.3">
      <c r="C2722" s="450"/>
      <c r="D2722" s="182"/>
      <c r="E2722" s="182"/>
      <c r="F2722" s="182"/>
      <c r="G2722" s="450" t="str">
        <f t="shared" si="138"/>
        <v>--</v>
      </c>
      <c r="H2722" s="182"/>
      <c r="I2722" s="440"/>
      <c r="J2722" s="892"/>
      <c r="K2722" s="259"/>
      <c r="L2722" s="259" t="s">
        <v>46</v>
      </c>
      <c r="M2722" s="893">
        <f>SUM(M2719:M2721)</f>
        <v>1</v>
      </c>
      <c r="N2722" s="894"/>
      <c r="O2722" s="894">
        <f>SUM(O2719:O2721)</f>
        <v>0</v>
      </c>
      <c r="P2722" s="256" t="s">
        <v>173</v>
      </c>
      <c r="Q2722" s="895">
        <v>0</v>
      </c>
      <c r="R2722" s="883"/>
      <c r="S2722" s="883"/>
      <c r="T2722" s="883"/>
      <c r="U2722" s="883"/>
      <c r="V2722" s="114" t="s">
        <v>186</v>
      </c>
      <c r="W2722" s="114"/>
      <c r="X2722" s="884"/>
      <c r="Y2722" s="270"/>
      <c r="Z2722" s="270"/>
      <c r="AA2722" s="270"/>
    </row>
    <row r="2723" spans="3:27" x14ac:dyDescent="0.3">
      <c r="C2723" s="450"/>
      <c r="D2723" s="182"/>
      <c r="E2723" s="182"/>
      <c r="F2723" s="182"/>
      <c r="G2723" s="450" t="str">
        <f t="shared" si="138"/>
        <v>--</v>
      </c>
      <c r="H2723" s="182"/>
      <c r="I2723" s="892"/>
      <c r="J2723" s="288"/>
      <c r="K2723" s="182"/>
      <c r="L2723" s="182"/>
      <c r="M2723" s="270"/>
      <c r="N2723" s="892"/>
      <c r="O2723" s="892"/>
      <c r="P2723" s="258" t="s">
        <v>172</v>
      </c>
      <c r="Q2723" s="895">
        <v>0</v>
      </c>
      <c r="R2723" s="883"/>
      <c r="S2723" s="883"/>
      <c r="T2723" s="883"/>
      <c r="U2723" s="883"/>
      <c r="V2723" s="114"/>
      <c r="W2723" s="114"/>
      <c r="X2723" s="884"/>
      <c r="Y2723" s="270"/>
      <c r="Z2723" s="270"/>
      <c r="AA2723" s="270"/>
    </row>
    <row r="2724" spans="3:27" x14ac:dyDescent="0.3">
      <c r="C2724" s="450"/>
      <c r="D2724" s="182"/>
      <c r="E2724" s="182"/>
      <c r="F2724" s="182"/>
      <c r="G2724" s="450" t="str">
        <f t="shared" si="138"/>
        <v>--</v>
      </c>
      <c r="H2724" s="182"/>
      <c r="I2724" s="892"/>
      <c r="J2724" s="288"/>
      <c r="K2724" s="182"/>
      <c r="L2724" s="182"/>
      <c r="M2724" s="270"/>
      <c r="N2724" s="892"/>
      <c r="O2724" s="892"/>
      <c r="P2724" s="263" t="s">
        <v>46</v>
      </c>
      <c r="Q2724" s="897">
        <f>SUM(Q2718:Q2723)</f>
        <v>1</v>
      </c>
      <c r="R2724" s="899"/>
      <c r="S2724" s="899"/>
      <c r="T2724" s="899"/>
      <c r="U2724" s="899"/>
      <c r="V2724" s="899"/>
      <c r="W2724" s="899"/>
      <c r="X2724" s="900"/>
      <c r="Y2724" s="270"/>
      <c r="Z2724" s="270"/>
      <c r="AA2724" s="270"/>
    </row>
    <row r="2725" spans="3:27" x14ac:dyDescent="0.3">
      <c r="C2725" s="450"/>
      <c r="D2725" s="182"/>
      <c r="E2725" s="182"/>
      <c r="F2725" s="182"/>
      <c r="G2725" s="450" t="str">
        <f t="shared" si="138"/>
        <v>--</v>
      </c>
      <c r="H2725" s="182"/>
      <c r="I2725" s="892"/>
      <c r="J2725" s="288"/>
      <c r="K2725" s="182"/>
      <c r="L2725" s="182"/>
      <c r="M2725" s="270"/>
      <c r="N2725" s="892"/>
      <c r="O2725" s="892"/>
      <c r="P2725" s="259"/>
      <c r="Q2725" s="114"/>
      <c r="R2725" s="114"/>
      <c r="S2725" s="114"/>
      <c r="T2725" s="114"/>
      <c r="U2725" s="114"/>
      <c r="V2725" s="114"/>
      <c r="W2725" s="270"/>
      <c r="X2725" s="270"/>
      <c r="Y2725" s="270"/>
      <c r="Z2725" s="270"/>
      <c r="AA2725" s="270"/>
    </row>
    <row r="2726" spans="3:27" ht="15" thickBot="1" x14ac:dyDescent="0.35">
      <c r="C2726" s="450"/>
      <c r="D2726" s="182"/>
      <c r="E2726" s="182"/>
      <c r="F2726" s="182"/>
      <c r="G2726" s="450" t="str">
        <f t="shared" si="138"/>
        <v>--</v>
      </c>
      <c r="H2726" s="182"/>
      <c r="I2726" s="892"/>
      <c r="J2726" s="892"/>
      <c r="K2726" s="182"/>
      <c r="L2726" s="182"/>
      <c r="M2726" s="901" t="s">
        <v>155</v>
      </c>
      <c r="N2726" s="870" t="s">
        <v>188</v>
      </c>
      <c r="O2726" s="870"/>
      <c r="P2726" s="265" t="s">
        <v>33</v>
      </c>
      <c r="Q2726" s="871" t="s">
        <v>155</v>
      </c>
      <c r="R2726" s="872" t="s">
        <v>168</v>
      </c>
      <c r="S2726" s="872" t="s">
        <v>169</v>
      </c>
      <c r="T2726" s="872" t="s">
        <v>170</v>
      </c>
      <c r="U2726" s="872" t="s">
        <v>171</v>
      </c>
      <c r="V2726" s="902"/>
      <c r="W2726" s="902"/>
      <c r="X2726" s="874"/>
      <c r="Y2726" s="270"/>
      <c r="Z2726" s="270"/>
      <c r="AA2726" s="270"/>
    </row>
    <row r="2727" spans="3:27" ht="15" thickBot="1" x14ac:dyDescent="0.35">
      <c r="C2727" s="566" t="s">
        <v>106</v>
      </c>
      <c r="D2727" s="875" t="str">
        <f>VLOOKUP(C2727,'Airport Mapping'!$C$5:$D$39,2,FALSE)</f>
        <v xml:space="preserve"> </v>
      </c>
      <c r="E2727" s="567" t="s">
        <v>391</v>
      </c>
      <c r="F2727" s="567" t="s">
        <v>114</v>
      </c>
      <c r="G2727" s="450" t="str">
        <f t="shared" si="138"/>
        <v>Tenant A-Flight kitchens-Kitchen faucets</v>
      </c>
      <c r="H2727" s="567" t="s">
        <v>118</v>
      </c>
      <c r="I2727" s="877" t="s">
        <v>64</v>
      </c>
      <c r="J2727" s="878">
        <f>SUMIFS('Level of Efficiency Assumptions'!J:J,'Level of Efficiency Assumptions'!D:D,E2727,'Level of Efficiency Assumptions'!F:F,F2727,'Level of Efficiency Assumptions'!I:I,I2727)</f>
        <v>2</v>
      </c>
      <c r="K2727" s="383" t="s">
        <v>78</v>
      </c>
      <c r="L2727" s="253" t="s">
        <v>64</v>
      </c>
      <c r="M2727" s="879">
        <f>Q2727+Q2728</f>
        <v>0</v>
      </c>
      <c r="N2727" s="880">
        <f>IFERROR(M2727/M2730,"-")</f>
        <v>0</v>
      </c>
      <c r="O2727" s="881">
        <f>SUMIFS('Data Entry'!R:R,'Data Entry'!K:K,G2727)</f>
        <v>0</v>
      </c>
      <c r="P2727" s="266" t="s">
        <v>180</v>
      </c>
      <c r="Q2727" s="895">
        <v>0</v>
      </c>
      <c r="R2727" s="883"/>
      <c r="S2727" s="883"/>
      <c r="T2727" s="883"/>
      <c r="U2727" s="883"/>
      <c r="V2727" s="114" t="s">
        <v>182</v>
      </c>
      <c r="W2727" s="114"/>
      <c r="X2727" s="884"/>
      <c r="Y2727" s="270"/>
      <c r="Z2727" s="270"/>
      <c r="AA2727" s="270"/>
    </row>
    <row r="2728" spans="3:27" ht="15" thickBot="1" x14ac:dyDescent="0.35">
      <c r="C2728" s="494" t="s">
        <v>106</v>
      </c>
      <c r="D2728" s="577"/>
      <c r="E2728" s="577" t="s">
        <v>391</v>
      </c>
      <c r="F2728" s="577" t="s">
        <v>114</v>
      </c>
      <c r="G2728" s="450" t="str">
        <f t="shared" si="138"/>
        <v>Tenant A-Flight kitchens-Kitchen faucets</v>
      </c>
      <c r="H2728" s="577"/>
      <c r="I2728" s="887" t="s">
        <v>65</v>
      </c>
      <c r="J2728" s="878">
        <f>SUMIFS('Level of Efficiency Assumptions'!J:J,'Level of Efficiency Assumptions'!D:D,E2728,'Level of Efficiency Assumptions'!F:F,F2728,'Level of Efficiency Assumptions'!I:I,I2728)</f>
        <v>1</v>
      </c>
      <c r="K2728" s="383" t="s">
        <v>78</v>
      </c>
      <c r="L2728" s="255" t="s">
        <v>65</v>
      </c>
      <c r="M2728" s="879">
        <f>Q2729+Q2730</f>
        <v>1</v>
      </c>
      <c r="N2728" s="880">
        <f>IFERROR(M2728/M2730,"-")</f>
        <v>1</v>
      </c>
      <c r="O2728" s="881">
        <f>SUMIFS('Data Entry'!S:S,'Data Entry'!K:K,G2728)</f>
        <v>0</v>
      </c>
      <c r="P2728" s="266" t="s">
        <v>178</v>
      </c>
      <c r="Q2728" s="895">
        <v>0</v>
      </c>
      <c r="R2728" s="883"/>
      <c r="S2728" s="883"/>
      <c r="T2728" s="883"/>
      <c r="U2728" s="883"/>
      <c r="V2728" s="114" t="s">
        <v>184</v>
      </c>
      <c r="W2728" s="114"/>
      <c r="X2728" s="884"/>
      <c r="Y2728" s="270"/>
      <c r="Z2728" s="270"/>
      <c r="AA2728" s="270"/>
    </row>
    <row r="2729" spans="3:27" ht="15" thickBot="1" x14ac:dyDescent="0.35">
      <c r="C2729" s="501" t="s">
        <v>106</v>
      </c>
      <c r="D2729" s="116"/>
      <c r="E2729" s="116" t="s">
        <v>391</v>
      </c>
      <c r="F2729" s="116" t="s">
        <v>114</v>
      </c>
      <c r="G2729" s="450" t="str">
        <f t="shared" si="138"/>
        <v>Tenant A-Flight kitchens-Kitchen faucets</v>
      </c>
      <c r="H2729" s="116"/>
      <c r="I2729" s="889" t="s">
        <v>66</v>
      </c>
      <c r="J2729" s="890">
        <f>SUMIFS('Level of Efficiency Assumptions'!J:J,'Level of Efficiency Assumptions'!D:D,E2729,'Level of Efficiency Assumptions'!F:F,F2729,'Level of Efficiency Assumptions'!I:I,I2729)</f>
        <v>0.5</v>
      </c>
      <c r="K2729" s="383" t="s">
        <v>78</v>
      </c>
      <c r="L2729" s="257" t="s">
        <v>66</v>
      </c>
      <c r="M2729" s="879">
        <f>Q2731</f>
        <v>0</v>
      </c>
      <c r="N2729" s="880">
        <f>IFERROR(M2729/M2730,"-")</f>
        <v>0</v>
      </c>
      <c r="O2729" s="881">
        <f>SUMIFS('Data Entry'!T:T,'Data Entry'!K:K,G2729)</f>
        <v>0</v>
      </c>
      <c r="P2729" s="267" t="s">
        <v>176</v>
      </c>
      <c r="Q2729" s="895">
        <v>1</v>
      </c>
      <c r="R2729" s="883"/>
      <c r="S2729" s="883"/>
      <c r="T2729" s="883"/>
      <c r="U2729" s="883"/>
      <c r="V2729" s="114" t="s">
        <v>185</v>
      </c>
      <c r="W2729" s="114"/>
      <c r="X2729" s="884"/>
      <c r="Y2729" s="270"/>
      <c r="Z2729" s="270"/>
      <c r="AA2729" s="270"/>
    </row>
    <row r="2730" spans="3:27" x14ac:dyDescent="0.3">
      <c r="C2730" s="450"/>
      <c r="D2730" s="182"/>
      <c r="E2730" s="182"/>
      <c r="F2730" s="182"/>
      <c r="G2730" s="450" t="str">
        <f t="shared" si="138"/>
        <v>--</v>
      </c>
      <c r="H2730" s="182"/>
      <c r="I2730" s="440"/>
      <c r="J2730" s="892"/>
      <c r="K2730" s="259"/>
      <c r="L2730" s="259" t="s">
        <v>46</v>
      </c>
      <c r="M2730" s="893">
        <f>SUM(M2727:M2729)</f>
        <v>1</v>
      </c>
      <c r="N2730" s="894"/>
      <c r="O2730" s="894">
        <f>SUM(O2727:O2729)</f>
        <v>0</v>
      </c>
      <c r="P2730" s="256" t="s">
        <v>173</v>
      </c>
      <c r="Q2730" s="895">
        <v>0</v>
      </c>
      <c r="R2730" s="883"/>
      <c r="S2730" s="883"/>
      <c r="T2730" s="883"/>
      <c r="U2730" s="883"/>
      <c r="V2730" s="114" t="s">
        <v>186</v>
      </c>
      <c r="W2730" s="114"/>
      <c r="X2730" s="884"/>
      <c r="Y2730" s="270"/>
      <c r="Z2730" s="270"/>
      <c r="AA2730" s="270"/>
    </row>
    <row r="2731" spans="3:27" x14ac:dyDescent="0.3">
      <c r="C2731" s="450"/>
      <c r="D2731" s="182"/>
      <c r="E2731" s="182"/>
      <c r="F2731" s="182"/>
      <c r="G2731" s="450" t="str">
        <f t="shared" si="138"/>
        <v>--</v>
      </c>
      <c r="H2731" s="182"/>
      <c r="I2731" s="892"/>
      <c r="J2731" s="288"/>
      <c r="K2731" s="182"/>
      <c r="L2731" s="182"/>
      <c r="M2731" s="270"/>
      <c r="N2731" s="892"/>
      <c r="O2731" s="892"/>
      <c r="P2731" s="258" t="s">
        <v>172</v>
      </c>
      <c r="Q2731" s="895">
        <v>0</v>
      </c>
      <c r="R2731" s="883"/>
      <c r="S2731" s="883"/>
      <c r="T2731" s="883"/>
      <c r="U2731" s="883"/>
      <c r="V2731" s="114"/>
      <c r="W2731" s="114"/>
      <c r="X2731" s="884"/>
      <c r="Y2731" s="270"/>
      <c r="Z2731" s="270"/>
      <c r="AA2731" s="270"/>
    </row>
    <row r="2732" spans="3:27" x14ac:dyDescent="0.3">
      <c r="C2732" s="450"/>
      <c r="D2732" s="182"/>
      <c r="E2732" s="182"/>
      <c r="F2732" s="182"/>
      <c r="G2732" s="450" t="str">
        <f t="shared" si="138"/>
        <v>--</v>
      </c>
      <c r="H2732" s="182"/>
      <c r="I2732" s="892"/>
      <c r="J2732" s="288"/>
      <c r="K2732" s="182"/>
      <c r="L2732" s="182"/>
      <c r="M2732" s="270"/>
      <c r="N2732" s="892"/>
      <c r="O2732" s="892"/>
      <c r="P2732" s="263" t="s">
        <v>46</v>
      </c>
      <c r="Q2732" s="897">
        <f>SUM(Q2726:Q2731)</f>
        <v>1</v>
      </c>
      <c r="R2732" s="899"/>
      <c r="S2732" s="899"/>
      <c r="T2732" s="899"/>
      <c r="U2732" s="899"/>
      <c r="V2732" s="899"/>
      <c r="W2732" s="899"/>
      <c r="X2732" s="900"/>
      <c r="Y2732" s="270"/>
      <c r="Z2732" s="270"/>
      <c r="AA2732" s="270"/>
    </row>
    <row r="2733" spans="3:27" x14ac:dyDescent="0.3">
      <c r="C2733" s="450"/>
      <c r="D2733" s="182"/>
      <c r="E2733" s="182"/>
      <c r="F2733" s="182"/>
      <c r="G2733" s="450" t="str">
        <f t="shared" si="138"/>
        <v>--</v>
      </c>
      <c r="H2733" s="182"/>
      <c r="I2733" s="892"/>
      <c r="J2733" s="288"/>
      <c r="K2733" s="182"/>
      <c r="L2733" s="182"/>
      <c r="M2733" s="270"/>
      <c r="N2733" s="892"/>
      <c r="O2733" s="892"/>
      <c r="P2733" s="270"/>
      <c r="Q2733" s="270"/>
      <c r="R2733" s="270"/>
      <c r="S2733" s="270"/>
      <c r="T2733" s="270"/>
      <c r="U2733" s="270"/>
      <c r="V2733" s="270"/>
      <c r="W2733" s="270"/>
      <c r="X2733" s="270"/>
      <c r="Y2733" s="270"/>
      <c r="Z2733" s="270"/>
      <c r="AA2733" s="270"/>
    </row>
    <row r="2734" spans="3:27" x14ac:dyDescent="0.3">
      <c r="C2734" s="450"/>
      <c r="D2734" s="182"/>
      <c r="E2734" s="182"/>
      <c r="F2734" s="182"/>
      <c r="G2734" s="450" t="str">
        <f t="shared" si="138"/>
        <v>--</v>
      </c>
      <c r="H2734" s="182"/>
      <c r="I2734" s="892"/>
      <c r="J2734" s="288"/>
      <c r="K2734" s="182"/>
      <c r="L2734" s="182"/>
      <c r="M2734" s="270"/>
      <c r="N2734" s="892"/>
      <c r="O2734" s="892"/>
      <c r="P2734" s="268" t="s">
        <v>196</v>
      </c>
      <c r="Q2734" s="906"/>
      <c r="R2734" s="902"/>
      <c r="S2734" s="902"/>
      <c r="T2734" s="902"/>
      <c r="U2734" s="902"/>
      <c r="V2734" s="902"/>
      <c r="W2734" s="902"/>
      <c r="X2734" s="902"/>
      <c r="Y2734" s="902"/>
      <c r="Z2734" s="902"/>
      <c r="AA2734" s="874"/>
    </row>
    <row r="2735" spans="3:27" ht="15" thickBot="1" x14ac:dyDescent="0.35">
      <c r="C2735" s="450"/>
      <c r="D2735" s="182"/>
      <c r="E2735" s="182"/>
      <c r="F2735" s="182"/>
      <c r="G2735" s="450" t="str">
        <f t="shared" si="138"/>
        <v>--</v>
      </c>
      <c r="H2735" s="182"/>
      <c r="I2735" s="892"/>
      <c r="J2735" s="892"/>
      <c r="K2735" s="182"/>
      <c r="L2735" s="182"/>
      <c r="M2735" s="901" t="s">
        <v>155</v>
      </c>
      <c r="N2735" s="870" t="s">
        <v>188</v>
      </c>
      <c r="O2735" s="870"/>
      <c r="P2735" s="271" t="s">
        <v>203</v>
      </c>
      <c r="Q2735" s="871" t="s">
        <v>155</v>
      </c>
      <c r="R2735" s="114"/>
      <c r="S2735" s="114"/>
      <c r="T2735" s="907" t="s">
        <v>156</v>
      </c>
      <c r="U2735" s="114"/>
      <c r="V2735" s="114"/>
      <c r="W2735" s="114"/>
      <c r="X2735" s="114"/>
      <c r="Y2735" s="114"/>
      <c r="Z2735" s="114"/>
      <c r="AA2735" s="884"/>
    </row>
    <row r="2736" spans="3:27" ht="15" thickBot="1" x14ac:dyDescent="0.35">
      <c r="C2736" s="566" t="s">
        <v>106</v>
      </c>
      <c r="D2736" s="875" t="str">
        <f>VLOOKUP(C2736,'Airport Mapping'!$C$5:$D$39,2,FALSE)</f>
        <v xml:space="preserve"> </v>
      </c>
      <c r="E2736" s="567" t="s">
        <v>391</v>
      </c>
      <c r="F2736" s="567" t="s">
        <v>41</v>
      </c>
      <c r="G2736" s="450" t="str">
        <f t="shared" si="138"/>
        <v>Tenant A-Flight kitchens-Dishwashers</v>
      </c>
      <c r="H2736" s="567" t="s">
        <v>118</v>
      </c>
      <c r="I2736" s="877" t="s">
        <v>64</v>
      </c>
      <c r="J2736" s="878">
        <f>SUMIFS('Level of Efficiency Assumptions'!J:J,'Level of Efficiency Assumptions'!D:D,E2736,'Level of Efficiency Assumptions'!F:F,F2736,'Level of Efficiency Assumptions'!I:I,I2736)</f>
        <v>4.5</v>
      </c>
      <c r="K2736" s="383" t="s">
        <v>203</v>
      </c>
      <c r="L2736" s="253" t="s">
        <v>64</v>
      </c>
      <c r="M2736" s="879">
        <f>SUM(Q2736:Q2738)</f>
        <v>0</v>
      </c>
      <c r="N2736" s="880">
        <f>IFERROR(M2736/M2739,"-")</f>
        <v>0</v>
      </c>
      <c r="O2736" s="881">
        <f>SUMIFS('Data Entry'!R:R,'Data Entry'!K:K,G2736)</f>
        <v>0</v>
      </c>
      <c r="P2736" s="266" t="s">
        <v>204</v>
      </c>
      <c r="Q2736" s="895">
        <v>0</v>
      </c>
      <c r="R2736" s="114"/>
      <c r="S2736" s="905" t="s">
        <v>200</v>
      </c>
      <c r="T2736" s="895">
        <v>1</v>
      </c>
      <c r="U2736" s="114"/>
      <c r="V2736" s="114" t="s">
        <v>218</v>
      </c>
      <c r="W2736" s="114"/>
      <c r="X2736" s="114"/>
      <c r="Y2736" s="114"/>
      <c r="Z2736" s="114"/>
      <c r="AA2736" s="884"/>
    </row>
    <row r="2737" spans="3:27" ht="15" thickBot="1" x14ac:dyDescent="0.35">
      <c r="C2737" s="494" t="s">
        <v>106</v>
      </c>
      <c r="D2737" s="577"/>
      <c r="E2737" s="577" t="s">
        <v>391</v>
      </c>
      <c r="F2737" s="577" t="s">
        <v>41</v>
      </c>
      <c r="G2737" s="450" t="str">
        <f t="shared" si="138"/>
        <v>Tenant A-Flight kitchens-Dishwashers</v>
      </c>
      <c r="H2737" s="577"/>
      <c r="I2737" s="887" t="s">
        <v>65</v>
      </c>
      <c r="J2737" s="878">
        <f>SUMIFS('Level of Efficiency Assumptions'!J:J,'Level of Efficiency Assumptions'!D:D,E2737,'Level of Efficiency Assumptions'!F:F,F2737,'Level of Efficiency Assumptions'!I:I,I2737)</f>
        <v>2.5</v>
      </c>
      <c r="K2737" s="383" t="s">
        <v>203</v>
      </c>
      <c r="L2737" s="255" t="s">
        <v>65</v>
      </c>
      <c r="M2737" s="879">
        <f>Q2739+Q2740</f>
        <v>1</v>
      </c>
      <c r="N2737" s="880">
        <f>IFERROR(M2737/M2739,"-")</f>
        <v>1</v>
      </c>
      <c r="O2737" s="881">
        <f>SUMIFS('Data Entry'!S:S,'Data Entry'!K:K,G2737)</f>
        <v>0</v>
      </c>
      <c r="P2737" s="272" t="s">
        <v>205</v>
      </c>
      <c r="Q2737" s="895">
        <v>0</v>
      </c>
      <c r="R2737" s="114"/>
      <c r="S2737" s="908" t="s">
        <v>201</v>
      </c>
      <c r="T2737" s="895">
        <v>1</v>
      </c>
      <c r="U2737" s="114"/>
      <c r="V2737" s="114"/>
      <c r="W2737" s="114"/>
      <c r="X2737" s="114"/>
      <c r="Y2737" s="114"/>
      <c r="Z2737" s="114"/>
      <c r="AA2737" s="884"/>
    </row>
    <row r="2738" spans="3:27" ht="15" thickBot="1" x14ac:dyDescent="0.35">
      <c r="C2738" s="501" t="s">
        <v>106</v>
      </c>
      <c r="D2738" s="116"/>
      <c r="E2738" s="116" t="s">
        <v>391</v>
      </c>
      <c r="F2738" s="116" t="s">
        <v>41</v>
      </c>
      <c r="G2738" s="450" t="str">
        <f t="shared" si="138"/>
        <v>Tenant A-Flight kitchens-Dishwashers</v>
      </c>
      <c r="H2738" s="116"/>
      <c r="I2738" s="889" t="s">
        <v>66</v>
      </c>
      <c r="J2738" s="890">
        <f>SUMIFS('Level of Efficiency Assumptions'!J:J,'Level of Efficiency Assumptions'!D:D,E2738,'Level of Efficiency Assumptions'!F:F,F2738,'Level of Efficiency Assumptions'!I:I,I2738)</f>
        <v>1</v>
      </c>
      <c r="K2738" s="383" t="s">
        <v>203</v>
      </c>
      <c r="L2738" s="257" t="s">
        <v>66</v>
      </c>
      <c r="M2738" s="879">
        <f>Q2741+Q2742</f>
        <v>0</v>
      </c>
      <c r="N2738" s="880">
        <f>IFERROR(M2738/M2739,"-")</f>
        <v>0</v>
      </c>
      <c r="O2738" s="881">
        <f>SUMIFS('Data Entry'!T:T,'Data Entry'!K:K,G2738)</f>
        <v>0</v>
      </c>
      <c r="P2738" s="272" t="s">
        <v>206</v>
      </c>
      <c r="Q2738" s="895">
        <v>0</v>
      </c>
      <c r="R2738" s="114"/>
      <c r="S2738" s="908" t="s">
        <v>202</v>
      </c>
      <c r="T2738" s="895">
        <v>1</v>
      </c>
      <c r="U2738" s="114"/>
      <c r="V2738" s="114"/>
      <c r="W2738" s="114"/>
      <c r="X2738" s="114"/>
      <c r="Y2738" s="114"/>
      <c r="Z2738" s="114"/>
      <c r="AA2738" s="884"/>
    </row>
    <row r="2739" spans="3:27" x14ac:dyDescent="0.3">
      <c r="C2739" s="450"/>
      <c r="D2739" s="182"/>
      <c r="E2739" s="182"/>
      <c r="F2739" s="182"/>
      <c r="G2739" s="450" t="str">
        <f t="shared" si="138"/>
        <v>--</v>
      </c>
      <c r="H2739" s="182"/>
      <c r="I2739" s="440"/>
      <c r="J2739" s="892"/>
      <c r="K2739" s="259"/>
      <c r="L2739" s="259" t="s">
        <v>46</v>
      </c>
      <c r="M2739" s="893">
        <f>SUM(M2736:M2738)</f>
        <v>1</v>
      </c>
      <c r="N2739" s="894"/>
      <c r="O2739" s="894">
        <f>SUM(O2736:O2738)</f>
        <v>0</v>
      </c>
      <c r="P2739" s="267" t="s">
        <v>207</v>
      </c>
      <c r="Q2739" s="895">
        <v>1</v>
      </c>
      <c r="R2739" s="114"/>
      <c r="S2739" s="908" t="s">
        <v>199</v>
      </c>
      <c r="T2739" s="895">
        <v>1</v>
      </c>
      <c r="U2739" s="114"/>
      <c r="V2739" s="114"/>
      <c r="W2739" s="114"/>
      <c r="X2739" s="114"/>
      <c r="Y2739" s="114"/>
      <c r="Z2739" s="114"/>
      <c r="AA2739" s="884"/>
    </row>
    <row r="2740" spans="3:27" x14ac:dyDescent="0.3">
      <c r="C2740" s="450"/>
      <c r="D2740" s="182"/>
      <c r="E2740" s="182"/>
      <c r="F2740" s="182"/>
      <c r="G2740" s="450" t="str">
        <f t="shared" si="138"/>
        <v>--</v>
      </c>
      <c r="H2740" s="182"/>
      <c r="I2740" s="892"/>
      <c r="J2740" s="288"/>
      <c r="K2740" s="182"/>
      <c r="L2740" s="182"/>
      <c r="M2740" s="270"/>
      <c r="N2740" s="892"/>
      <c r="O2740" s="892"/>
      <c r="P2740" s="267" t="s">
        <v>208</v>
      </c>
      <c r="Q2740" s="895">
        <v>0</v>
      </c>
      <c r="R2740" s="114"/>
      <c r="S2740" s="909" t="s">
        <v>198</v>
      </c>
      <c r="T2740" s="895">
        <v>1</v>
      </c>
      <c r="U2740" s="114"/>
      <c r="V2740" s="114"/>
      <c r="W2740" s="114"/>
      <c r="X2740" s="114"/>
      <c r="Y2740" s="114"/>
      <c r="Z2740" s="114"/>
      <c r="AA2740" s="884"/>
    </row>
    <row r="2741" spans="3:27" x14ac:dyDescent="0.3">
      <c r="C2741" s="450"/>
      <c r="D2741" s="182"/>
      <c r="E2741" s="182"/>
      <c r="F2741" s="182"/>
      <c r="G2741" s="450" t="str">
        <f t="shared" si="138"/>
        <v>--</v>
      </c>
      <c r="H2741" s="182"/>
      <c r="I2741" s="892"/>
      <c r="J2741" s="288"/>
      <c r="K2741" s="182"/>
      <c r="L2741" s="182"/>
      <c r="M2741" s="270"/>
      <c r="N2741" s="892"/>
      <c r="O2741" s="892"/>
      <c r="P2741" s="269" t="s">
        <v>209</v>
      </c>
      <c r="Q2741" s="895">
        <v>0</v>
      </c>
      <c r="R2741" s="114"/>
      <c r="S2741" s="905" t="s">
        <v>197</v>
      </c>
      <c r="T2741" s="895">
        <v>1</v>
      </c>
      <c r="U2741" s="114"/>
      <c r="V2741" s="114"/>
      <c r="W2741" s="114"/>
      <c r="X2741" s="114"/>
      <c r="Y2741" s="114"/>
      <c r="Z2741" s="114"/>
      <c r="AA2741" s="884"/>
    </row>
    <row r="2742" spans="3:27" x14ac:dyDescent="0.3">
      <c r="C2742" s="450"/>
      <c r="D2742" s="182"/>
      <c r="E2742" s="182"/>
      <c r="F2742" s="182"/>
      <c r="G2742" s="450" t="str">
        <f t="shared" si="138"/>
        <v>--</v>
      </c>
      <c r="H2742" s="182"/>
      <c r="I2742" s="892"/>
      <c r="J2742" s="288"/>
      <c r="K2742" s="182"/>
      <c r="L2742" s="182"/>
      <c r="M2742" s="270"/>
      <c r="N2742" s="892"/>
      <c r="O2742" s="892"/>
      <c r="P2742" s="269" t="s">
        <v>210</v>
      </c>
      <c r="Q2742" s="895">
        <v>0</v>
      </c>
      <c r="R2742" s="114"/>
      <c r="S2742" s="114" t="s">
        <v>216</v>
      </c>
      <c r="T2742" s="910">
        <f>(T2736*55)+(T2737*45)+(T2738*35)+(T2739*25)+(T2740*15)+(T2741*5)</f>
        <v>180</v>
      </c>
      <c r="U2742" s="1393" t="s">
        <v>217</v>
      </c>
      <c r="V2742" s="1393"/>
      <c r="W2742" s="1393"/>
      <c r="X2742" s="114"/>
      <c r="Y2742" s="114"/>
      <c r="Z2742" s="114"/>
      <c r="AA2742" s="884"/>
    </row>
    <row r="2743" spans="3:27" x14ac:dyDescent="0.3">
      <c r="C2743" s="450"/>
      <c r="D2743" s="182"/>
      <c r="E2743" s="182"/>
      <c r="F2743" s="182"/>
      <c r="G2743" s="450" t="str">
        <f t="shared" si="138"/>
        <v>--</v>
      </c>
      <c r="H2743" s="182"/>
      <c r="I2743" s="892"/>
      <c r="J2743" s="288"/>
      <c r="K2743" s="182"/>
      <c r="L2743" s="182"/>
      <c r="M2743" s="270"/>
      <c r="N2743" s="892"/>
      <c r="O2743" s="892"/>
      <c r="P2743" s="263" t="s">
        <v>46</v>
      </c>
      <c r="Q2743" s="897">
        <f>SUM(Q2736:Q2742)</f>
        <v>1</v>
      </c>
      <c r="R2743" s="899"/>
      <c r="S2743" s="899"/>
      <c r="T2743" s="899"/>
      <c r="U2743" s="1394"/>
      <c r="V2743" s="1394"/>
      <c r="W2743" s="1394"/>
      <c r="X2743" s="899"/>
      <c r="Y2743" s="899"/>
      <c r="Z2743" s="899"/>
      <c r="AA2743" s="900"/>
    </row>
    <row r="2744" spans="3:27" x14ac:dyDescent="0.3">
      <c r="C2744" s="450"/>
      <c r="D2744" s="182"/>
      <c r="E2744" s="182"/>
      <c r="F2744" s="182"/>
      <c r="G2744" s="450" t="str">
        <f t="shared" si="138"/>
        <v>--</v>
      </c>
      <c r="H2744" s="182"/>
      <c r="I2744" s="892"/>
      <c r="J2744" s="288"/>
      <c r="K2744" s="182"/>
      <c r="L2744" s="182"/>
      <c r="M2744" s="270"/>
      <c r="N2744" s="892"/>
      <c r="O2744" s="892"/>
      <c r="P2744" s="114"/>
      <c r="Q2744" s="114"/>
      <c r="R2744" s="114"/>
      <c r="S2744" s="114"/>
      <c r="T2744" s="114"/>
      <c r="U2744" s="114"/>
      <c r="V2744" s="114"/>
      <c r="W2744" s="114"/>
      <c r="X2744" s="270"/>
      <c r="Y2744" s="270"/>
      <c r="Z2744" s="270"/>
      <c r="AA2744" s="270"/>
    </row>
    <row r="2745" spans="3:27" x14ac:dyDescent="0.3">
      <c r="C2745" s="450"/>
      <c r="D2745" s="182"/>
      <c r="E2745" s="182"/>
      <c r="F2745" s="182"/>
      <c r="G2745" s="450" t="str">
        <f t="shared" si="138"/>
        <v>--</v>
      </c>
      <c r="H2745" s="182"/>
      <c r="I2745" s="892"/>
      <c r="J2745" s="288"/>
      <c r="K2745" s="182"/>
      <c r="L2745" s="182"/>
      <c r="M2745" s="270"/>
      <c r="N2745" s="892"/>
      <c r="O2745" s="892"/>
      <c r="P2745" s="268" t="s">
        <v>174</v>
      </c>
      <c r="Q2745" s="911"/>
      <c r="R2745" s="872"/>
      <c r="S2745" s="874"/>
      <c r="T2745" s="270"/>
      <c r="U2745" s="270"/>
      <c r="V2745" s="270"/>
      <c r="W2745" s="270"/>
      <c r="X2745" s="270"/>
      <c r="Y2745" s="270"/>
      <c r="Z2745" s="270"/>
      <c r="AA2745" s="270"/>
    </row>
    <row r="2746" spans="3:27" ht="15" thickBot="1" x14ac:dyDescent="0.35">
      <c r="C2746" s="450"/>
      <c r="D2746" s="182"/>
      <c r="E2746" s="182"/>
      <c r="F2746" s="182"/>
      <c r="G2746" s="450" t="str">
        <f t="shared" si="138"/>
        <v>--</v>
      </c>
      <c r="H2746" s="182"/>
      <c r="I2746" s="892"/>
      <c r="J2746" s="892"/>
      <c r="K2746" s="182"/>
      <c r="L2746" s="182"/>
      <c r="M2746" s="901" t="s">
        <v>155</v>
      </c>
      <c r="N2746" s="870" t="s">
        <v>188</v>
      </c>
      <c r="O2746" s="870"/>
      <c r="P2746" s="273" t="s">
        <v>220</v>
      </c>
      <c r="Q2746" s="871" t="s">
        <v>155</v>
      </c>
      <c r="R2746" s="114"/>
      <c r="S2746" s="884"/>
      <c r="T2746" s="270"/>
      <c r="U2746" s="270"/>
      <c r="V2746" s="270"/>
      <c r="W2746" s="270"/>
      <c r="X2746" s="270"/>
      <c r="Y2746" s="270"/>
      <c r="Z2746" s="270"/>
      <c r="AA2746" s="270"/>
    </row>
    <row r="2747" spans="3:27" ht="15" thickBot="1" x14ac:dyDescent="0.35">
      <c r="C2747" s="566" t="s">
        <v>106</v>
      </c>
      <c r="D2747" s="875" t="str">
        <f>VLOOKUP(C2747,'Airport Mapping'!$C$5:$D$39,2,FALSE)</f>
        <v xml:space="preserve"> </v>
      </c>
      <c r="E2747" s="567" t="s">
        <v>391</v>
      </c>
      <c r="F2747" s="567" t="s">
        <v>20</v>
      </c>
      <c r="G2747" s="450" t="str">
        <f t="shared" si="138"/>
        <v>Tenant A-Flight kitchens-Ice machines</v>
      </c>
      <c r="H2747" s="567" t="s">
        <v>118</v>
      </c>
      <c r="I2747" s="877" t="s">
        <v>64</v>
      </c>
      <c r="J2747" s="878">
        <f>SUMIFS('Level of Efficiency Assumptions'!J:J,'Level of Efficiency Assumptions'!D:D,E2747,'Level of Efficiency Assumptions'!F:F,F2747,'Level of Efficiency Assumptions'!I:I,I2747)</f>
        <v>1.5</v>
      </c>
      <c r="K2747" s="383" t="s">
        <v>220</v>
      </c>
      <c r="L2747" s="253" t="s">
        <v>64</v>
      </c>
      <c r="M2747" s="879">
        <f>SUM(Q2747:Q2749)</f>
        <v>0</v>
      </c>
      <c r="N2747" s="880">
        <f>IFERROR(M2747/M2750,"-")</f>
        <v>0</v>
      </c>
      <c r="O2747" s="881">
        <f>SUMIFS('Data Entry'!R:R,'Data Entry'!K:K,G2747)</f>
        <v>0</v>
      </c>
      <c r="P2747" s="266" t="s">
        <v>204</v>
      </c>
      <c r="Q2747" s="895">
        <v>0</v>
      </c>
      <c r="R2747" s="114"/>
      <c r="S2747" s="884"/>
      <c r="T2747" s="270"/>
      <c r="U2747" s="270"/>
      <c r="V2747" s="270"/>
      <c r="W2747" s="912"/>
      <c r="X2747" s="270"/>
      <c r="Y2747" s="270"/>
      <c r="Z2747" s="270"/>
      <c r="AA2747" s="270"/>
    </row>
    <row r="2748" spans="3:27" ht="15" thickBot="1" x14ac:dyDescent="0.35">
      <c r="C2748" s="494" t="s">
        <v>106</v>
      </c>
      <c r="D2748" s="577"/>
      <c r="E2748" s="577" t="s">
        <v>391</v>
      </c>
      <c r="F2748" s="577" t="s">
        <v>20</v>
      </c>
      <c r="G2748" s="450" t="str">
        <f t="shared" si="138"/>
        <v>Tenant A-Flight kitchens-Ice machines</v>
      </c>
      <c r="H2748" s="577"/>
      <c r="I2748" s="887" t="s">
        <v>65</v>
      </c>
      <c r="J2748" s="878">
        <f>SUMIFS('Level of Efficiency Assumptions'!J:J,'Level of Efficiency Assumptions'!D:D,E2748,'Level of Efficiency Assumptions'!F:F,F2748,'Level of Efficiency Assumptions'!I:I,I2748)</f>
        <v>0.25</v>
      </c>
      <c r="K2748" s="383" t="s">
        <v>220</v>
      </c>
      <c r="L2748" s="255" t="s">
        <v>65</v>
      </c>
      <c r="M2748" s="879">
        <f>Q2750+Q2751</f>
        <v>1</v>
      </c>
      <c r="N2748" s="880">
        <f>IFERROR(M2748/M2750,"-")</f>
        <v>1</v>
      </c>
      <c r="O2748" s="881">
        <f>SUMIFS('Data Entry'!S:S,'Data Entry'!K:K,G2748)</f>
        <v>0</v>
      </c>
      <c r="P2748" s="272" t="s">
        <v>205</v>
      </c>
      <c r="Q2748" s="895">
        <v>0</v>
      </c>
      <c r="R2748" s="114"/>
      <c r="S2748" s="884"/>
      <c r="T2748" s="270"/>
      <c r="U2748" s="270"/>
      <c r="V2748" s="270"/>
      <c r="W2748" s="912"/>
      <c r="X2748" s="270"/>
      <c r="Y2748" s="270"/>
      <c r="Z2748" s="270"/>
      <c r="AA2748" s="270"/>
    </row>
    <row r="2749" spans="3:27" ht="15" thickBot="1" x14ac:dyDescent="0.35">
      <c r="C2749" s="501" t="s">
        <v>106</v>
      </c>
      <c r="D2749" s="116"/>
      <c r="E2749" s="116" t="s">
        <v>391</v>
      </c>
      <c r="F2749" s="116" t="s">
        <v>20</v>
      </c>
      <c r="G2749" s="450" t="str">
        <f t="shared" si="138"/>
        <v>Tenant A-Flight kitchens-Ice machines</v>
      </c>
      <c r="H2749" s="116"/>
      <c r="I2749" s="889" t="s">
        <v>66</v>
      </c>
      <c r="J2749" s="890">
        <f>SUMIFS('Level of Efficiency Assumptions'!J:J,'Level of Efficiency Assumptions'!D:D,E2749,'Level of Efficiency Assumptions'!F:F,F2749,'Level of Efficiency Assumptions'!I:I,I2749)</f>
        <v>0.12</v>
      </c>
      <c r="K2749" s="383" t="s">
        <v>220</v>
      </c>
      <c r="L2749" s="257" t="s">
        <v>66</v>
      </c>
      <c r="M2749" s="879">
        <f>Q2752+Q2753</f>
        <v>0</v>
      </c>
      <c r="N2749" s="880">
        <f>IFERROR(M2749/M2750,"-")</f>
        <v>0</v>
      </c>
      <c r="O2749" s="881">
        <f>SUMIFS('Data Entry'!T:T,'Data Entry'!K:K,G2749)</f>
        <v>0</v>
      </c>
      <c r="P2749" s="272" t="s">
        <v>206</v>
      </c>
      <c r="Q2749" s="895">
        <v>0</v>
      </c>
      <c r="R2749" s="114"/>
      <c r="S2749" s="884"/>
      <c r="T2749" s="270"/>
      <c r="U2749" s="270"/>
      <c r="V2749" s="270"/>
      <c r="W2749" s="280"/>
      <c r="X2749" s="270"/>
      <c r="Y2749" s="270"/>
      <c r="Z2749" s="270"/>
      <c r="AA2749" s="270"/>
    </row>
    <row r="2750" spans="3:27" x14ac:dyDescent="0.3">
      <c r="C2750" s="450"/>
      <c r="D2750" s="182"/>
      <c r="E2750" s="182"/>
      <c r="F2750" s="182"/>
      <c r="G2750" s="450" t="str">
        <f t="shared" si="138"/>
        <v>--</v>
      </c>
      <c r="H2750" s="182"/>
      <c r="I2750" s="440"/>
      <c r="J2750" s="892"/>
      <c r="K2750" s="259"/>
      <c r="L2750" s="259" t="s">
        <v>46</v>
      </c>
      <c r="M2750" s="893">
        <f>SUM(M2747:M2749)</f>
        <v>1</v>
      </c>
      <c r="N2750" s="894"/>
      <c r="O2750" s="894">
        <f>SUM(O2747:O2749)</f>
        <v>0</v>
      </c>
      <c r="P2750" s="274" t="s">
        <v>228</v>
      </c>
      <c r="Q2750" s="895">
        <v>1</v>
      </c>
      <c r="R2750" s="114"/>
      <c r="S2750" s="884"/>
      <c r="T2750" s="270"/>
      <c r="U2750" s="270"/>
      <c r="V2750" s="270"/>
      <c r="W2750" s="270"/>
      <c r="X2750" s="270"/>
      <c r="Y2750" s="270"/>
      <c r="Z2750" s="270"/>
      <c r="AA2750" s="270"/>
    </row>
    <row r="2751" spans="3:27" x14ac:dyDescent="0.3">
      <c r="C2751" s="450"/>
      <c r="D2751" s="182"/>
      <c r="E2751" s="182"/>
      <c r="F2751" s="182"/>
      <c r="G2751" s="450" t="str">
        <f t="shared" si="138"/>
        <v>--</v>
      </c>
      <c r="H2751" s="182"/>
      <c r="I2751" s="892"/>
      <c r="J2751" s="288"/>
      <c r="K2751" s="182"/>
      <c r="L2751" s="182"/>
      <c r="M2751" s="270"/>
      <c r="N2751" s="892"/>
      <c r="O2751" s="892"/>
      <c r="P2751" s="274" t="s">
        <v>227</v>
      </c>
      <c r="Q2751" s="895">
        <v>0</v>
      </c>
      <c r="R2751" s="114"/>
      <c r="S2751" s="884"/>
      <c r="T2751" s="270"/>
      <c r="U2751" s="270"/>
      <c r="V2751" s="270"/>
      <c r="W2751" s="270"/>
      <c r="X2751" s="270"/>
      <c r="Y2751" s="270"/>
      <c r="Z2751" s="270"/>
      <c r="AA2751" s="270"/>
    </row>
    <row r="2752" spans="3:27" x14ac:dyDescent="0.3">
      <c r="C2752" s="450"/>
      <c r="D2752" s="182"/>
      <c r="E2752" s="182"/>
      <c r="F2752" s="182"/>
      <c r="G2752" s="450" t="str">
        <f t="shared" si="138"/>
        <v>--</v>
      </c>
      <c r="H2752" s="182"/>
      <c r="I2752" s="892"/>
      <c r="J2752" s="288"/>
      <c r="K2752" s="182"/>
      <c r="L2752" s="182"/>
      <c r="M2752" s="270"/>
      <c r="N2752" s="892"/>
      <c r="O2752" s="892"/>
      <c r="P2752" s="275" t="s">
        <v>226</v>
      </c>
      <c r="Q2752" s="895">
        <v>0</v>
      </c>
      <c r="R2752" s="114"/>
      <c r="S2752" s="884"/>
      <c r="T2752" s="270"/>
      <c r="U2752" s="270"/>
      <c r="V2752" s="270"/>
      <c r="W2752" s="270"/>
      <c r="X2752" s="270"/>
      <c r="Y2752" s="270"/>
      <c r="Z2752" s="270"/>
      <c r="AA2752" s="270"/>
    </row>
    <row r="2753" spans="3:27" x14ac:dyDescent="0.3">
      <c r="C2753" s="450"/>
      <c r="D2753" s="182"/>
      <c r="E2753" s="182"/>
      <c r="F2753" s="182"/>
      <c r="G2753" s="450" t="str">
        <f t="shared" si="138"/>
        <v>--</v>
      </c>
      <c r="H2753" s="182"/>
      <c r="I2753" s="892"/>
      <c r="J2753" s="288"/>
      <c r="K2753" s="182"/>
      <c r="L2753" s="182"/>
      <c r="M2753" s="270"/>
      <c r="N2753" s="892"/>
      <c r="O2753" s="892"/>
      <c r="P2753" s="269" t="s">
        <v>225</v>
      </c>
      <c r="Q2753" s="895">
        <v>0</v>
      </c>
      <c r="R2753" s="114"/>
      <c r="S2753" s="884"/>
      <c r="T2753" s="270"/>
      <c r="U2753" s="270"/>
      <c r="V2753" s="270"/>
      <c r="W2753" s="270"/>
      <c r="X2753" s="270"/>
      <c r="Y2753" s="270"/>
      <c r="Z2753" s="270"/>
      <c r="AA2753" s="270"/>
    </row>
    <row r="2754" spans="3:27" x14ac:dyDescent="0.3">
      <c r="C2754" s="450"/>
      <c r="D2754" s="182"/>
      <c r="E2754" s="182"/>
      <c r="F2754" s="182"/>
      <c r="G2754" s="450" t="str">
        <f t="shared" si="138"/>
        <v>--</v>
      </c>
      <c r="H2754" s="182"/>
      <c r="I2754" s="892"/>
      <c r="J2754" s="288"/>
      <c r="K2754" s="182"/>
      <c r="L2754" s="182"/>
      <c r="M2754" s="270"/>
      <c r="N2754" s="892"/>
      <c r="O2754" s="892"/>
      <c r="P2754" s="263" t="s">
        <v>46</v>
      </c>
      <c r="Q2754" s="897">
        <f>SUM(Q2747:Q2753)</f>
        <v>1</v>
      </c>
      <c r="R2754" s="899"/>
      <c r="S2754" s="900"/>
      <c r="T2754" s="270"/>
      <c r="U2754" s="270"/>
      <c r="V2754" s="270"/>
      <c r="W2754" s="270"/>
      <c r="X2754" s="270"/>
      <c r="Y2754" s="270"/>
      <c r="Z2754" s="270"/>
      <c r="AA2754" s="270"/>
    </row>
    <row r="2755" spans="3:27" x14ac:dyDescent="0.3">
      <c r="C2755" s="450"/>
      <c r="D2755" s="182"/>
      <c r="E2755" s="182"/>
      <c r="F2755" s="182"/>
      <c r="G2755" s="450" t="str">
        <f t="shared" si="138"/>
        <v>--</v>
      </c>
      <c r="H2755" s="182"/>
      <c r="I2755" s="892"/>
      <c r="J2755" s="288"/>
      <c r="K2755" s="182"/>
      <c r="L2755" s="182"/>
      <c r="M2755" s="270"/>
      <c r="N2755" s="892"/>
      <c r="O2755" s="892"/>
      <c r="P2755" s="270"/>
      <c r="Q2755" s="270"/>
      <c r="R2755" s="270"/>
      <c r="S2755" s="270"/>
      <c r="T2755" s="270"/>
      <c r="U2755" s="270"/>
      <c r="V2755" s="270"/>
      <c r="W2755" s="270"/>
      <c r="X2755" s="270"/>
      <c r="Y2755" s="270"/>
      <c r="Z2755" s="270"/>
      <c r="AA2755" s="270"/>
    </row>
    <row r="2756" spans="3:27" ht="15" thickBot="1" x14ac:dyDescent="0.35">
      <c r="C2756" s="450"/>
      <c r="D2756" s="182"/>
      <c r="E2756" s="182"/>
      <c r="F2756" s="182"/>
      <c r="G2756" s="450" t="str">
        <f t="shared" si="138"/>
        <v>--</v>
      </c>
      <c r="H2756" s="182"/>
      <c r="I2756" s="892"/>
      <c r="J2756" s="892"/>
      <c r="K2756" s="182"/>
      <c r="L2756" s="182"/>
      <c r="M2756" s="901" t="s">
        <v>155</v>
      </c>
      <c r="N2756" s="870" t="s">
        <v>188</v>
      </c>
      <c r="O2756" s="870"/>
      <c r="P2756" s="285" t="s">
        <v>27</v>
      </c>
      <c r="Q2756" s="871" t="s">
        <v>155</v>
      </c>
      <c r="R2756" s="902"/>
      <c r="S2756" s="874"/>
      <c r="T2756" s="270"/>
      <c r="U2756" s="270"/>
      <c r="V2756" s="270"/>
      <c r="W2756" s="270"/>
      <c r="X2756" s="270"/>
      <c r="Y2756" s="270"/>
      <c r="Z2756" s="270"/>
      <c r="AA2756" s="270"/>
    </row>
    <row r="2757" spans="3:27" ht="15" thickBot="1" x14ac:dyDescent="0.35">
      <c r="C2757" s="566" t="s">
        <v>106</v>
      </c>
      <c r="D2757" s="875" t="str">
        <f>VLOOKUP(C2757,'Airport Mapping'!$C$5:$D$39,2,FALSE)</f>
        <v xml:space="preserve"> </v>
      </c>
      <c r="E2757" s="567" t="s">
        <v>44</v>
      </c>
      <c r="F2757" s="567" t="s">
        <v>27</v>
      </c>
      <c r="G2757" s="450" t="str">
        <f t="shared" si="138"/>
        <v xml:space="preserve">Tenant A-Aircraft-Aircraft cleaning </v>
      </c>
      <c r="H2757" s="567" t="s">
        <v>10</v>
      </c>
      <c r="I2757" s="877" t="s">
        <v>64</v>
      </c>
      <c r="J2757" s="878">
        <f>SUMIFS('Level of Efficiency Assumptions'!J:J,'Level of Efficiency Assumptions'!D:D,E2757,'Level of Efficiency Assumptions'!F:F,F2757,'Level of Efficiency Assumptions'!I:I,I2757)</f>
        <v>10</v>
      </c>
      <c r="K2757" s="383" t="s">
        <v>588</v>
      </c>
      <c r="L2757" s="253" t="s">
        <v>64</v>
      </c>
      <c r="M2757" s="879">
        <f>SUM(Q2757:Q2758)</f>
        <v>0</v>
      </c>
      <c r="N2757" s="880">
        <f>IFERROR(M2757/M2760,"-")</f>
        <v>0</v>
      </c>
      <c r="O2757" s="881">
        <f>SUMIFS('Data Entry'!R:R,'Data Entry'!K:K,G2757)</f>
        <v>0</v>
      </c>
      <c r="P2757" s="272"/>
      <c r="Q2757" s="895">
        <v>0</v>
      </c>
      <c r="R2757" s="114"/>
      <c r="S2757" s="884"/>
      <c r="T2757" s="270"/>
      <c r="U2757" s="270"/>
      <c r="V2757" s="270"/>
      <c r="W2757" s="270"/>
      <c r="X2757" s="270"/>
      <c r="Y2757" s="270"/>
      <c r="Z2757" s="270"/>
      <c r="AA2757" s="270"/>
    </row>
    <row r="2758" spans="3:27" ht="15" thickBot="1" x14ac:dyDescent="0.35">
      <c r="C2758" s="494" t="s">
        <v>106</v>
      </c>
      <c r="D2758" s="577"/>
      <c r="E2758" s="577" t="s">
        <v>44</v>
      </c>
      <c r="F2758" s="577" t="s">
        <v>27</v>
      </c>
      <c r="G2758" s="450" t="str">
        <f t="shared" si="138"/>
        <v xml:space="preserve">Tenant A-Aircraft-Aircraft cleaning </v>
      </c>
      <c r="H2758" s="577"/>
      <c r="I2758" s="887" t="s">
        <v>65</v>
      </c>
      <c r="J2758" s="878">
        <f>SUMIFS('Level of Efficiency Assumptions'!J:J,'Level of Efficiency Assumptions'!D:D,E2758,'Level of Efficiency Assumptions'!F:F,F2758,'Level of Efficiency Assumptions'!I:I,I2758)</f>
        <v>7.5</v>
      </c>
      <c r="K2758" s="383" t="s">
        <v>588</v>
      </c>
      <c r="L2758" s="255" t="s">
        <v>65</v>
      </c>
      <c r="M2758" s="879">
        <f>Q2759+Q2760</f>
        <v>1</v>
      </c>
      <c r="N2758" s="880">
        <f>IFERROR(M2758/M2760,"-")</f>
        <v>1</v>
      </c>
      <c r="O2758" s="881">
        <f>SUMIFS('Data Entry'!S:S,'Data Entry'!K:K,G2758)</f>
        <v>0</v>
      </c>
      <c r="P2758" s="272"/>
      <c r="Q2758" s="895">
        <v>0</v>
      </c>
      <c r="R2758" s="114"/>
      <c r="S2758" s="884"/>
      <c r="T2758" s="270"/>
      <c r="U2758" s="270"/>
      <c r="V2758" s="270"/>
      <c r="W2758" s="270"/>
      <c r="X2758" s="270"/>
      <c r="Y2758" s="270"/>
      <c r="Z2758" s="270"/>
      <c r="AA2758" s="270"/>
    </row>
    <row r="2759" spans="3:27" ht="15" thickBot="1" x14ac:dyDescent="0.35">
      <c r="C2759" s="501" t="s">
        <v>106</v>
      </c>
      <c r="D2759" s="116"/>
      <c r="E2759" s="116" t="s">
        <v>44</v>
      </c>
      <c r="F2759" s="116" t="s">
        <v>27</v>
      </c>
      <c r="G2759" s="450" t="str">
        <f t="shared" si="138"/>
        <v xml:space="preserve">Tenant A-Aircraft-Aircraft cleaning </v>
      </c>
      <c r="H2759" s="116"/>
      <c r="I2759" s="889" t="s">
        <v>66</v>
      </c>
      <c r="J2759" s="890">
        <f>SUMIFS('Level of Efficiency Assumptions'!J:J,'Level of Efficiency Assumptions'!D:D,E2759,'Level of Efficiency Assumptions'!F:F,F2759,'Level of Efficiency Assumptions'!I:I,I2759)</f>
        <v>5</v>
      </c>
      <c r="K2759" s="383" t="s">
        <v>588</v>
      </c>
      <c r="L2759" s="257" t="s">
        <v>66</v>
      </c>
      <c r="M2759" s="879">
        <f>Q2761+Q2762</f>
        <v>0</v>
      </c>
      <c r="N2759" s="880">
        <f>IFERROR(M2759/M2760,"-")</f>
        <v>0</v>
      </c>
      <c r="O2759" s="881">
        <f>SUMIFS('Data Entry'!T:T,'Data Entry'!K:K,G2759)</f>
        <v>0</v>
      </c>
      <c r="P2759" s="274"/>
      <c r="Q2759" s="895">
        <v>1</v>
      </c>
      <c r="R2759" s="114"/>
      <c r="S2759" s="884"/>
      <c r="T2759" s="270"/>
      <c r="U2759" s="270"/>
      <c r="V2759" s="270"/>
      <c r="W2759" s="270"/>
      <c r="X2759" s="270"/>
      <c r="Y2759" s="270"/>
      <c r="Z2759" s="270"/>
      <c r="AA2759" s="270"/>
    </row>
    <row r="2760" spans="3:27" x14ac:dyDescent="0.3">
      <c r="C2760" s="450"/>
      <c r="D2760" s="182"/>
      <c r="E2760" s="182"/>
      <c r="F2760" s="182"/>
      <c r="G2760" s="450" t="str">
        <f t="shared" si="138"/>
        <v>--</v>
      </c>
      <c r="H2760" s="182"/>
      <c r="I2760" s="440"/>
      <c r="J2760" s="892"/>
      <c r="K2760" s="259"/>
      <c r="L2760" s="259" t="s">
        <v>46</v>
      </c>
      <c r="M2760" s="893">
        <f>SUM(M2757:M2759)</f>
        <v>1</v>
      </c>
      <c r="N2760" s="894"/>
      <c r="O2760" s="894">
        <f>SUM(O2757:O2759)</f>
        <v>0</v>
      </c>
      <c r="P2760" s="274"/>
      <c r="Q2760" s="895">
        <v>0</v>
      </c>
      <c r="R2760" s="114"/>
      <c r="S2760" s="884"/>
      <c r="T2760" s="270"/>
      <c r="U2760" s="270"/>
      <c r="V2760" s="270"/>
      <c r="W2760" s="270"/>
      <c r="X2760" s="270"/>
      <c r="Y2760" s="270"/>
      <c r="Z2760" s="270"/>
      <c r="AA2760" s="270"/>
    </row>
    <row r="2761" spans="3:27" x14ac:dyDescent="0.3">
      <c r="C2761" s="450"/>
      <c r="D2761" s="182"/>
      <c r="E2761" s="182"/>
      <c r="F2761" s="182"/>
      <c r="G2761" s="450" t="str">
        <f t="shared" si="138"/>
        <v>--</v>
      </c>
      <c r="H2761" s="182"/>
      <c r="I2761" s="892"/>
      <c r="J2761" s="288"/>
      <c r="K2761" s="182"/>
      <c r="L2761" s="182"/>
      <c r="M2761" s="270"/>
      <c r="N2761" s="892"/>
      <c r="O2761" s="892"/>
      <c r="P2761" s="275"/>
      <c r="Q2761" s="895">
        <v>0</v>
      </c>
      <c r="R2761" s="114"/>
      <c r="S2761" s="884"/>
      <c r="T2761" s="270"/>
      <c r="U2761" s="270"/>
      <c r="V2761" s="270"/>
      <c r="W2761" s="270"/>
      <c r="X2761" s="270"/>
      <c r="Y2761" s="270"/>
      <c r="Z2761" s="270"/>
      <c r="AA2761" s="270"/>
    </row>
    <row r="2762" spans="3:27" x14ac:dyDescent="0.3">
      <c r="C2762" s="450"/>
      <c r="D2762" s="182"/>
      <c r="E2762" s="182"/>
      <c r="F2762" s="182"/>
      <c r="G2762" s="450" t="str">
        <f t="shared" si="138"/>
        <v>--</v>
      </c>
      <c r="H2762" s="182"/>
      <c r="I2762" s="892"/>
      <c r="J2762" s="288"/>
      <c r="K2762" s="182"/>
      <c r="L2762" s="182"/>
      <c r="M2762" s="270"/>
      <c r="N2762" s="892"/>
      <c r="O2762" s="892"/>
      <c r="P2762" s="269"/>
      <c r="Q2762" s="895">
        <v>0</v>
      </c>
      <c r="R2762" s="114"/>
      <c r="S2762" s="884"/>
      <c r="T2762" s="270"/>
      <c r="U2762" s="270"/>
      <c r="V2762" s="270"/>
      <c r="W2762" s="270"/>
      <c r="X2762" s="270"/>
      <c r="Y2762" s="270"/>
      <c r="Z2762" s="270"/>
      <c r="AA2762" s="270"/>
    </row>
    <row r="2763" spans="3:27" x14ac:dyDescent="0.3">
      <c r="C2763" s="450"/>
      <c r="D2763" s="182"/>
      <c r="E2763" s="182"/>
      <c r="F2763" s="182"/>
      <c r="G2763" s="450" t="str">
        <f t="shared" si="138"/>
        <v>--</v>
      </c>
      <c r="H2763" s="182"/>
      <c r="I2763" s="892"/>
      <c r="J2763" s="288"/>
      <c r="K2763" s="182"/>
      <c r="L2763" s="182"/>
      <c r="M2763" s="270"/>
      <c r="N2763" s="892"/>
      <c r="O2763" s="892"/>
      <c r="P2763" s="263" t="s">
        <v>46</v>
      </c>
      <c r="Q2763" s="897">
        <f>SUM(Q2757:Q2762)</f>
        <v>1</v>
      </c>
      <c r="R2763" s="899"/>
      <c r="S2763" s="900"/>
      <c r="T2763" s="270"/>
      <c r="U2763" s="270"/>
      <c r="V2763" s="270"/>
      <c r="W2763" s="270"/>
      <c r="X2763" s="270"/>
      <c r="Y2763" s="270"/>
      <c r="Z2763" s="270"/>
      <c r="AA2763" s="270"/>
    </row>
    <row r="2764" spans="3:27" x14ac:dyDescent="0.3">
      <c r="C2764" s="450"/>
      <c r="D2764" s="182"/>
      <c r="E2764" s="182"/>
      <c r="F2764" s="182"/>
      <c r="G2764" s="450" t="str">
        <f t="shared" si="138"/>
        <v>--</v>
      </c>
      <c r="H2764" s="182"/>
      <c r="I2764" s="892"/>
      <c r="J2764" s="288"/>
      <c r="K2764" s="182"/>
      <c r="L2764" s="182"/>
      <c r="M2764" s="270"/>
      <c r="N2764" s="892"/>
      <c r="O2764" s="892"/>
      <c r="P2764" s="270"/>
      <c r="Q2764" s="270"/>
      <c r="R2764" s="270"/>
      <c r="S2764" s="270"/>
      <c r="T2764" s="270"/>
      <c r="U2764" s="270"/>
      <c r="V2764" s="270"/>
      <c r="W2764" s="270"/>
      <c r="X2764" s="270"/>
      <c r="Y2764" s="270"/>
      <c r="Z2764" s="270"/>
      <c r="AA2764" s="270"/>
    </row>
    <row r="2765" spans="3:27" ht="15" thickBot="1" x14ac:dyDescent="0.35">
      <c r="C2765" s="450"/>
      <c r="D2765" s="182"/>
      <c r="E2765" s="182"/>
      <c r="F2765" s="182"/>
      <c r="G2765" s="450" t="str">
        <f t="shared" si="138"/>
        <v>--</v>
      </c>
      <c r="H2765" s="182"/>
      <c r="I2765" s="892"/>
      <c r="J2765" s="892"/>
      <c r="K2765" s="182"/>
      <c r="L2765" s="182"/>
      <c r="M2765" s="901" t="s">
        <v>155</v>
      </c>
      <c r="N2765" s="870" t="s">
        <v>188</v>
      </c>
      <c r="O2765" s="870"/>
      <c r="P2765" s="285" t="s">
        <v>28</v>
      </c>
      <c r="Q2765" s="871" t="s">
        <v>155</v>
      </c>
      <c r="R2765" s="902"/>
      <c r="S2765" s="874"/>
      <c r="T2765" s="270"/>
      <c r="U2765" s="270"/>
      <c r="V2765" s="270"/>
      <c r="W2765" s="270"/>
      <c r="X2765" s="270"/>
      <c r="Y2765" s="270"/>
      <c r="Z2765" s="270"/>
      <c r="AA2765" s="270"/>
    </row>
    <row r="2766" spans="3:27" ht="15" thickBot="1" x14ac:dyDescent="0.35">
      <c r="C2766" s="566" t="s">
        <v>106</v>
      </c>
      <c r="D2766" s="875" t="str">
        <f>VLOOKUP(C2766,'Airport Mapping'!$C$5:$D$39,2,FALSE)</f>
        <v xml:space="preserve"> </v>
      </c>
      <c r="E2766" s="567" t="s">
        <v>44</v>
      </c>
      <c r="F2766" s="567" t="s">
        <v>28</v>
      </c>
      <c r="G2766" s="450" t="str">
        <f t="shared" si="138"/>
        <v>Tenant A-Aircraft-Onboard aircraft water</v>
      </c>
      <c r="H2766" s="567" t="s">
        <v>10</v>
      </c>
      <c r="I2766" s="877" t="s">
        <v>64</v>
      </c>
      <c r="J2766" s="878">
        <f>SUMIFS('Level of Efficiency Assumptions'!J:J,'Level of Efficiency Assumptions'!D:D,E2766,'Level of Efficiency Assumptions'!F:F,F2766,'Level of Efficiency Assumptions'!I:I,I2766)</f>
        <v>10</v>
      </c>
      <c r="K2766" s="383" t="s">
        <v>588</v>
      </c>
      <c r="L2766" s="253" t="s">
        <v>64</v>
      </c>
      <c r="M2766" s="879">
        <f>SUM(Q2766:Q2767)</f>
        <v>0</v>
      </c>
      <c r="N2766" s="880">
        <f>IFERROR(M2766/M2769,"-")</f>
        <v>0</v>
      </c>
      <c r="O2766" s="881">
        <f>SUMIFS('Data Entry'!R:R,'Data Entry'!K:K,G2766)</f>
        <v>0</v>
      </c>
      <c r="P2766" s="272"/>
      <c r="Q2766" s="895">
        <v>0</v>
      </c>
      <c r="R2766" s="114"/>
      <c r="S2766" s="884"/>
      <c r="T2766" s="270"/>
      <c r="U2766" s="270"/>
      <c r="V2766" s="270"/>
      <c r="W2766" s="270"/>
      <c r="X2766" s="270"/>
      <c r="Y2766" s="270"/>
      <c r="Z2766" s="270"/>
      <c r="AA2766" s="270"/>
    </row>
    <row r="2767" spans="3:27" ht="15" thickBot="1" x14ac:dyDescent="0.35">
      <c r="C2767" s="494" t="s">
        <v>106</v>
      </c>
      <c r="D2767" s="577"/>
      <c r="E2767" s="577" t="s">
        <v>44</v>
      </c>
      <c r="F2767" s="577" t="s">
        <v>28</v>
      </c>
      <c r="G2767" s="450" t="str">
        <f t="shared" si="138"/>
        <v>Tenant A-Aircraft-Onboard aircraft water</v>
      </c>
      <c r="H2767" s="577"/>
      <c r="I2767" s="887" t="s">
        <v>65</v>
      </c>
      <c r="J2767" s="878">
        <f>SUMIFS('Level of Efficiency Assumptions'!J:J,'Level of Efficiency Assumptions'!D:D,E2767,'Level of Efficiency Assumptions'!F:F,F2767,'Level of Efficiency Assumptions'!I:I,I2767)</f>
        <v>7.5</v>
      </c>
      <c r="K2767" s="383" t="s">
        <v>588</v>
      </c>
      <c r="L2767" s="255" t="s">
        <v>65</v>
      </c>
      <c r="M2767" s="879">
        <f>Q2768+Q2769</f>
        <v>1</v>
      </c>
      <c r="N2767" s="880">
        <f>IFERROR(M2767/M2769,"-")</f>
        <v>1</v>
      </c>
      <c r="O2767" s="881">
        <f>SUMIFS('Data Entry'!S:S,'Data Entry'!K:K,G2767)</f>
        <v>0</v>
      </c>
      <c r="P2767" s="272"/>
      <c r="Q2767" s="895">
        <v>0</v>
      </c>
      <c r="R2767" s="114"/>
      <c r="S2767" s="884"/>
      <c r="T2767" s="270"/>
      <c r="U2767" s="270"/>
      <c r="V2767" s="270"/>
      <c r="W2767" s="270"/>
      <c r="X2767" s="270"/>
      <c r="Y2767" s="270"/>
      <c r="Z2767" s="270"/>
      <c r="AA2767" s="270"/>
    </row>
    <row r="2768" spans="3:27" ht="15" thickBot="1" x14ac:dyDescent="0.35">
      <c r="C2768" s="501" t="s">
        <v>106</v>
      </c>
      <c r="D2768" s="116"/>
      <c r="E2768" s="116" t="s">
        <v>44</v>
      </c>
      <c r="F2768" s="116" t="s">
        <v>28</v>
      </c>
      <c r="G2768" s="450" t="str">
        <f t="shared" si="138"/>
        <v>Tenant A-Aircraft-Onboard aircraft water</v>
      </c>
      <c r="H2768" s="116"/>
      <c r="I2768" s="889" t="s">
        <v>66</v>
      </c>
      <c r="J2768" s="890">
        <f>SUMIFS('Level of Efficiency Assumptions'!J:J,'Level of Efficiency Assumptions'!D:D,E2768,'Level of Efficiency Assumptions'!F:F,F2768,'Level of Efficiency Assumptions'!I:I,I2768)</f>
        <v>5</v>
      </c>
      <c r="K2768" s="383" t="s">
        <v>588</v>
      </c>
      <c r="L2768" s="257" t="s">
        <v>66</v>
      </c>
      <c r="M2768" s="879">
        <f>Q2770+Q2771</f>
        <v>0</v>
      </c>
      <c r="N2768" s="880">
        <f>IFERROR(M2768/M2769,"-")</f>
        <v>0</v>
      </c>
      <c r="O2768" s="881">
        <f>SUMIFS('Data Entry'!T:T,'Data Entry'!K:K,G2768)</f>
        <v>0</v>
      </c>
      <c r="P2768" s="274"/>
      <c r="Q2768" s="895">
        <v>1</v>
      </c>
      <c r="R2768" s="114"/>
      <c r="S2768" s="884"/>
      <c r="T2768" s="270"/>
      <c r="U2768" s="270"/>
      <c r="V2768" s="270"/>
      <c r="W2768" s="270"/>
      <c r="X2768" s="270"/>
      <c r="Y2768" s="270"/>
      <c r="Z2768" s="270"/>
      <c r="AA2768" s="270"/>
    </row>
    <row r="2769" spans="3:31" x14ac:dyDescent="0.3">
      <c r="C2769" s="450"/>
      <c r="D2769" s="182"/>
      <c r="E2769" s="182"/>
      <c r="F2769" s="182"/>
      <c r="G2769" s="450" t="str">
        <f t="shared" si="138"/>
        <v>--</v>
      </c>
      <c r="H2769" s="182"/>
      <c r="I2769" s="440"/>
      <c r="J2769" s="892"/>
      <c r="K2769" s="259"/>
      <c r="L2769" s="259" t="s">
        <v>46</v>
      </c>
      <c r="M2769" s="893">
        <f>SUM(M2766:M2768)</f>
        <v>1</v>
      </c>
      <c r="N2769" s="894"/>
      <c r="O2769" s="894">
        <f>SUM(O2766:O2768)</f>
        <v>0</v>
      </c>
      <c r="P2769" s="274"/>
      <c r="Q2769" s="895">
        <v>0</v>
      </c>
      <c r="R2769" s="114"/>
      <c r="S2769" s="884"/>
      <c r="T2769" s="270"/>
      <c r="U2769" s="270"/>
      <c r="V2769" s="270"/>
      <c r="W2769" s="270"/>
      <c r="X2769" s="270"/>
      <c r="Y2769" s="270"/>
      <c r="Z2769" s="270"/>
      <c r="AA2769" s="270"/>
    </row>
    <row r="2770" spans="3:31" x14ac:dyDescent="0.3">
      <c r="C2770" s="450"/>
      <c r="D2770" s="182"/>
      <c r="E2770" s="182"/>
      <c r="F2770" s="182"/>
      <c r="G2770" s="450" t="str">
        <f t="shared" si="138"/>
        <v>--</v>
      </c>
      <c r="H2770" s="182"/>
      <c r="I2770" s="892"/>
      <c r="J2770" s="288"/>
      <c r="K2770" s="182"/>
      <c r="L2770" s="182"/>
      <c r="M2770" s="270"/>
      <c r="N2770" s="892"/>
      <c r="O2770" s="892"/>
      <c r="P2770" s="275"/>
      <c r="Q2770" s="895">
        <v>0</v>
      </c>
      <c r="R2770" s="114"/>
      <c r="S2770" s="884"/>
      <c r="T2770" s="270"/>
      <c r="U2770" s="270"/>
      <c r="V2770" s="270"/>
      <c r="W2770" s="270"/>
      <c r="X2770" s="270"/>
      <c r="Y2770" s="270"/>
      <c r="Z2770" s="270"/>
      <c r="AA2770" s="270"/>
    </row>
    <row r="2771" spans="3:31" x14ac:dyDescent="0.3">
      <c r="C2771" s="450"/>
      <c r="D2771" s="182"/>
      <c r="E2771" s="182"/>
      <c r="F2771" s="182"/>
      <c r="G2771" s="450" t="str">
        <f t="shared" si="138"/>
        <v>--</v>
      </c>
      <c r="H2771" s="182"/>
      <c r="I2771" s="892"/>
      <c r="J2771" s="288"/>
      <c r="K2771" s="182"/>
      <c r="L2771" s="182"/>
      <c r="M2771" s="270"/>
      <c r="N2771" s="892"/>
      <c r="O2771" s="892"/>
      <c r="P2771" s="269"/>
      <c r="Q2771" s="895">
        <v>0</v>
      </c>
      <c r="R2771" s="114"/>
      <c r="S2771" s="884"/>
      <c r="T2771" s="270"/>
      <c r="U2771" s="270"/>
      <c r="V2771" s="270"/>
      <c r="W2771" s="270"/>
      <c r="X2771" s="270"/>
      <c r="Y2771" s="270"/>
      <c r="Z2771" s="270"/>
      <c r="AA2771" s="270"/>
    </row>
    <row r="2772" spans="3:31" x14ac:dyDescent="0.3">
      <c r="C2772" s="450"/>
      <c r="D2772" s="182"/>
      <c r="E2772" s="182"/>
      <c r="F2772" s="182"/>
      <c r="G2772" s="450" t="str">
        <f t="shared" si="138"/>
        <v>--</v>
      </c>
      <c r="H2772" s="182"/>
      <c r="I2772" s="892"/>
      <c r="J2772" s="288"/>
      <c r="K2772" s="182"/>
      <c r="L2772" s="182"/>
      <c r="M2772" s="270"/>
      <c r="N2772" s="892"/>
      <c r="O2772" s="892"/>
      <c r="P2772" s="263" t="s">
        <v>46</v>
      </c>
      <c r="Q2772" s="897">
        <f>SUM(Q2766:Q2771)</f>
        <v>1</v>
      </c>
      <c r="R2772" s="899"/>
      <c r="S2772" s="900"/>
      <c r="T2772" s="270"/>
      <c r="U2772" s="270"/>
      <c r="V2772" s="270"/>
      <c r="W2772" s="270"/>
      <c r="X2772" s="270"/>
      <c r="Y2772" s="270"/>
      <c r="Z2772" s="270"/>
      <c r="AA2772" s="270"/>
    </row>
    <row r="2773" spans="3:31" x14ac:dyDescent="0.3">
      <c r="C2773" s="450"/>
      <c r="D2773" s="182"/>
      <c r="E2773" s="182"/>
      <c r="F2773" s="182"/>
      <c r="G2773" s="450" t="str">
        <f t="shared" si="138"/>
        <v>--</v>
      </c>
      <c r="H2773" s="182"/>
      <c r="I2773" s="892"/>
      <c r="J2773" s="288"/>
      <c r="K2773" s="182"/>
      <c r="L2773" s="182"/>
      <c r="M2773" s="270"/>
      <c r="N2773" s="892"/>
      <c r="O2773" s="892"/>
      <c r="P2773" s="270"/>
      <c r="Q2773" s="270"/>
      <c r="R2773" s="270"/>
      <c r="S2773" s="270"/>
      <c r="T2773" s="270"/>
      <c r="U2773" s="270"/>
      <c r="V2773" s="270"/>
      <c r="W2773" s="270"/>
      <c r="X2773" s="270"/>
      <c r="Y2773" s="270"/>
      <c r="Z2773" s="270"/>
      <c r="AA2773" s="270"/>
    </row>
    <row r="2774" spans="3:31" ht="15" thickBot="1" x14ac:dyDescent="0.35">
      <c r="C2774" s="450"/>
      <c r="D2774" s="182"/>
      <c r="E2774" s="182"/>
      <c r="F2774" s="182"/>
      <c r="G2774" s="450" t="str">
        <f t="shared" si="138"/>
        <v>--</v>
      </c>
      <c r="H2774" s="182"/>
      <c r="I2774" s="892"/>
      <c r="J2774" s="892"/>
      <c r="K2774" s="182"/>
      <c r="L2774" s="182"/>
      <c r="M2774" s="901" t="s">
        <v>155</v>
      </c>
      <c r="N2774" s="870" t="s">
        <v>188</v>
      </c>
      <c r="O2774" s="870"/>
      <c r="P2774" s="276" t="s">
        <v>29</v>
      </c>
      <c r="Q2774" s="871" t="s">
        <v>155</v>
      </c>
      <c r="R2774" s="902"/>
      <c r="S2774" s="874"/>
      <c r="T2774" s="270"/>
      <c r="U2774" s="270"/>
      <c r="V2774" s="270"/>
      <c r="W2774" s="270"/>
      <c r="X2774" s="270"/>
      <c r="Y2774" s="270"/>
      <c r="Z2774" s="270"/>
      <c r="AA2774" s="270"/>
    </row>
    <row r="2775" spans="3:31" s="45" customFormat="1" ht="15" thickBot="1" x14ac:dyDescent="0.35">
      <c r="C2775" s="566" t="s">
        <v>106</v>
      </c>
      <c r="D2775" s="875" t="str">
        <f>VLOOKUP(C2775,'Airport Mapping'!$C$5:$D$39,2,FALSE)</f>
        <v xml:space="preserve"> </v>
      </c>
      <c r="E2775" s="567" t="s">
        <v>44</v>
      </c>
      <c r="F2775" s="567" t="s">
        <v>29</v>
      </c>
      <c r="G2775" s="450" t="str">
        <f t="shared" si="138"/>
        <v>Tenant A-Aircraft-Deicing</v>
      </c>
      <c r="H2775" s="567" t="s">
        <v>10</v>
      </c>
      <c r="I2775" s="877" t="s">
        <v>64</v>
      </c>
      <c r="J2775" s="878">
        <f>SUMIFS('Level of Efficiency Assumptions'!J:J,'Level of Efficiency Assumptions'!D:D,E2775,'Level of Efficiency Assumptions'!F:F,F2775,'Level of Efficiency Assumptions'!I:I,I2775)</f>
        <v>20</v>
      </c>
      <c r="K2775" s="383" t="s">
        <v>588</v>
      </c>
      <c r="L2775" s="253" t="s">
        <v>64</v>
      </c>
      <c r="M2775" s="879">
        <f>SUM(Q2775:Q2776)</f>
        <v>0</v>
      </c>
      <c r="N2775" s="880">
        <f>IFERROR(M2775/M2778,"-")</f>
        <v>0</v>
      </c>
      <c r="O2775" s="881">
        <f>SUMIFS('Data Entry'!R:R,'Data Entry'!K:K,G2775)</f>
        <v>0</v>
      </c>
      <c r="P2775" s="272"/>
      <c r="Q2775" s="895">
        <v>0</v>
      </c>
      <c r="R2775" s="114"/>
      <c r="S2775" s="884"/>
      <c r="T2775" s="270"/>
      <c r="U2775" s="270"/>
      <c r="V2775" s="270"/>
      <c r="W2775" s="270"/>
      <c r="X2775" s="270"/>
      <c r="Y2775" s="270"/>
      <c r="Z2775" s="270"/>
      <c r="AA2775" s="114"/>
      <c r="AB2775" s="85"/>
      <c r="AC2775" s="85"/>
      <c r="AD2775" s="85"/>
      <c r="AE2775" s="85"/>
    </row>
    <row r="2776" spans="3:31" s="45" customFormat="1" ht="15" thickBot="1" x14ac:dyDescent="0.35">
      <c r="C2776" s="494" t="s">
        <v>106</v>
      </c>
      <c r="D2776" s="577"/>
      <c r="E2776" s="577" t="s">
        <v>44</v>
      </c>
      <c r="F2776" s="577" t="s">
        <v>29</v>
      </c>
      <c r="G2776" s="450" t="str">
        <f t="shared" si="138"/>
        <v>Tenant A-Aircraft-Deicing</v>
      </c>
      <c r="H2776" s="577"/>
      <c r="I2776" s="887" t="s">
        <v>65</v>
      </c>
      <c r="J2776" s="878">
        <f>SUMIFS('Level of Efficiency Assumptions'!J:J,'Level of Efficiency Assumptions'!D:D,E2776,'Level of Efficiency Assumptions'!F:F,F2776,'Level of Efficiency Assumptions'!I:I,I2776)</f>
        <v>10</v>
      </c>
      <c r="K2776" s="383" t="s">
        <v>588</v>
      </c>
      <c r="L2776" s="255" t="s">
        <v>65</v>
      </c>
      <c r="M2776" s="879">
        <f>Q2777+Q2778</f>
        <v>1</v>
      </c>
      <c r="N2776" s="880">
        <f>IFERROR(M2776/M2778,"-")</f>
        <v>1</v>
      </c>
      <c r="O2776" s="881">
        <f>SUMIFS('Data Entry'!S:S,'Data Entry'!K:K,G2776)</f>
        <v>0</v>
      </c>
      <c r="P2776" s="272"/>
      <c r="Q2776" s="895">
        <v>0</v>
      </c>
      <c r="R2776" s="114"/>
      <c r="S2776" s="884"/>
      <c r="T2776" s="270"/>
      <c r="U2776" s="270"/>
      <c r="V2776" s="270"/>
      <c r="W2776" s="270"/>
      <c r="X2776" s="270"/>
      <c r="Y2776" s="270"/>
      <c r="Z2776" s="270"/>
      <c r="AA2776" s="114"/>
      <c r="AB2776" s="85"/>
      <c r="AC2776" s="85"/>
      <c r="AD2776" s="85"/>
      <c r="AE2776" s="85"/>
    </row>
    <row r="2777" spans="3:31" s="45" customFormat="1" ht="15" thickBot="1" x14ac:dyDescent="0.35">
      <c r="C2777" s="501" t="s">
        <v>106</v>
      </c>
      <c r="D2777" s="116"/>
      <c r="E2777" s="116" t="s">
        <v>44</v>
      </c>
      <c r="F2777" s="116" t="s">
        <v>29</v>
      </c>
      <c r="G2777" s="450" t="str">
        <f t="shared" si="138"/>
        <v>Tenant A-Aircraft-Deicing</v>
      </c>
      <c r="H2777" s="116"/>
      <c r="I2777" s="889" t="s">
        <v>66</v>
      </c>
      <c r="J2777" s="890">
        <f>SUMIFS('Level of Efficiency Assumptions'!J:J,'Level of Efficiency Assumptions'!D:D,E2777,'Level of Efficiency Assumptions'!F:F,F2777,'Level of Efficiency Assumptions'!I:I,I2777)</f>
        <v>5</v>
      </c>
      <c r="K2777" s="383" t="s">
        <v>588</v>
      </c>
      <c r="L2777" s="257" t="s">
        <v>66</v>
      </c>
      <c r="M2777" s="879">
        <f>Q2779+Q2780</f>
        <v>0</v>
      </c>
      <c r="N2777" s="880">
        <f>IFERROR(M2777/M2778,"-")</f>
        <v>0</v>
      </c>
      <c r="O2777" s="881">
        <f>SUMIFS('Data Entry'!T:T,'Data Entry'!K:K,G2777)</f>
        <v>0</v>
      </c>
      <c r="P2777" s="274"/>
      <c r="Q2777" s="895">
        <v>1</v>
      </c>
      <c r="R2777" s="114"/>
      <c r="S2777" s="884"/>
      <c r="T2777" s="270"/>
      <c r="U2777" s="270"/>
      <c r="V2777" s="270"/>
      <c r="W2777" s="270"/>
      <c r="X2777" s="270"/>
      <c r="Y2777" s="114"/>
      <c r="Z2777" s="114"/>
      <c r="AA2777" s="114"/>
      <c r="AB2777" s="85"/>
      <c r="AC2777" s="85"/>
      <c r="AD2777" s="85"/>
      <c r="AE2777" s="85"/>
    </row>
    <row r="2778" spans="3:31" s="45" customFormat="1" x14ac:dyDescent="0.3">
      <c r="C2778" s="450"/>
      <c r="D2778" s="182"/>
      <c r="E2778" s="182"/>
      <c r="F2778" s="182"/>
      <c r="G2778" s="450" t="str">
        <f t="shared" si="138"/>
        <v>--</v>
      </c>
      <c r="H2778" s="182"/>
      <c r="I2778" s="440"/>
      <c r="J2778" s="892"/>
      <c r="K2778" s="259"/>
      <c r="L2778" s="259" t="s">
        <v>46</v>
      </c>
      <c r="M2778" s="893">
        <f>SUM(M2775:M2777)</f>
        <v>1</v>
      </c>
      <c r="N2778" s="894"/>
      <c r="O2778" s="894">
        <f>SUM(O2775:O2777)</f>
        <v>0</v>
      </c>
      <c r="P2778" s="274"/>
      <c r="Q2778" s="895">
        <v>0</v>
      </c>
      <c r="R2778" s="114"/>
      <c r="S2778" s="884"/>
      <c r="T2778" s="270"/>
      <c r="U2778" s="270"/>
      <c r="V2778" s="270"/>
      <c r="W2778" s="270"/>
      <c r="X2778" s="270"/>
      <c r="Y2778" s="114"/>
      <c r="Z2778" s="114"/>
      <c r="AA2778" s="114"/>
      <c r="AB2778" s="85"/>
      <c r="AC2778" s="85"/>
      <c r="AD2778" s="85"/>
      <c r="AE2778" s="85"/>
    </row>
    <row r="2779" spans="3:31" x14ac:dyDescent="0.3">
      <c r="C2779" s="450"/>
      <c r="D2779" s="182"/>
      <c r="E2779" s="182"/>
      <c r="F2779" s="182"/>
      <c r="G2779" s="450" t="str">
        <f t="shared" si="138"/>
        <v>--</v>
      </c>
      <c r="H2779" s="182"/>
      <c r="I2779" s="892"/>
      <c r="J2779" s="288"/>
      <c r="K2779" s="182"/>
      <c r="L2779" s="182"/>
      <c r="M2779" s="270"/>
      <c r="N2779" s="892"/>
      <c r="O2779" s="892"/>
      <c r="P2779" s="275"/>
      <c r="Q2779" s="895">
        <v>0</v>
      </c>
      <c r="R2779" s="114"/>
      <c r="S2779" s="884"/>
      <c r="T2779" s="270"/>
      <c r="U2779" s="270"/>
      <c r="V2779" s="270"/>
      <c r="W2779" s="270"/>
      <c r="X2779" s="270"/>
      <c r="Y2779" s="114"/>
      <c r="Z2779" s="114"/>
      <c r="AA2779" s="270"/>
    </row>
    <row r="2780" spans="3:31" x14ac:dyDescent="0.3">
      <c r="C2780" s="450"/>
      <c r="D2780" s="182"/>
      <c r="E2780" s="182"/>
      <c r="F2780" s="182"/>
      <c r="G2780" s="450" t="str">
        <f t="shared" ref="G2780:G2840" si="139">C2780&amp;"-"&amp;E2780&amp;"-"&amp;F2780</f>
        <v>--</v>
      </c>
      <c r="H2780" s="182"/>
      <c r="I2780" s="892"/>
      <c r="J2780" s="288"/>
      <c r="K2780" s="182"/>
      <c r="L2780" s="182"/>
      <c r="M2780" s="270"/>
      <c r="N2780" s="892"/>
      <c r="O2780" s="892"/>
      <c r="P2780" s="269"/>
      <c r="Q2780" s="895">
        <v>0</v>
      </c>
      <c r="R2780" s="114"/>
      <c r="S2780" s="884"/>
      <c r="T2780" s="270"/>
      <c r="U2780" s="270"/>
      <c r="V2780" s="270"/>
      <c r="W2780" s="270"/>
      <c r="X2780" s="270"/>
      <c r="Y2780" s="114"/>
      <c r="Z2780" s="114"/>
      <c r="AA2780" s="270"/>
    </row>
    <row r="2781" spans="3:31" x14ac:dyDescent="0.3">
      <c r="C2781" s="450"/>
      <c r="D2781" s="182"/>
      <c r="E2781" s="182"/>
      <c r="F2781" s="182"/>
      <c r="G2781" s="450" t="str">
        <f t="shared" si="139"/>
        <v>--</v>
      </c>
      <c r="H2781" s="182"/>
      <c r="I2781" s="892"/>
      <c r="J2781" s="288"/>
      <c r="K2781" s="182"/>
      <c r="L2781" s="182"/>
      <c r="M2781" s="270"/>
      <c r="N2781" s="892"/>
      <c r="O2781" s="892"/>
      <c r="P2781" s="263" t="s">
        <v>46</v>
      </c>
      <c r="Q2781" s="897">
        <f>SUM(Q2775:Q2780)</f>
        <v>1</v>
      </c>
      <c r="R2781" s="899"/>
      <c r="S2781" s="900"/>
      <c r="T2781" s="270"/>
      <c r="U2781" s="270"/>
      <c r="V2781" s="270"/>
      <c r="W2781" s="270"/>
      <c r="X2781" s="270"/>
      <c r="Y2781" s="270"/>
      <c r="Z2781" s="270"/>
      <c r="AA2781" s="270"/>
    </row>
    <row r="2782" spans="3:31" x14ac:dyDescent="0.3">
      <c r="C2782" s="450"/>
      <c r="D2782" s="182"/>
      <c r="E2782" s="182"/>
      <c r="F2782" s="182"/>
      <c r="G2782" s="450" t="str">
        <f t="shared" si="139"/>
        <v>--</v>
      </c>
      <c r="H2782" s="182"/>
      <c r="I2782" s="892"/>
      <c r="J2782" s="288"/>
      <c r="K2782" s="182"/>
      <c r="L2782" s="182"/>
      <c r="M2782" s="270"/>
      <c r="N2782" s="892"/>
      <c r="O2782" s="892"/>
      <c r="P2782" s="270"/>
      <c r="Q2782" s="270"/>
      <c r="R2782" s="270"/>
      <c r="S2782" s="270"/>
      <c r="T2782" s="270"/>
      <c r="U2782" s="270"/>
      <c r="V2782" s="270"/>
      <c r="W2782" s="270"/>
      <c r="X2782" s="270"/>
      <c r="Y2782" s="270"/>
      <c r="Z2782" s="270"/>
      <c r="AA2782" s="270"/>
    </row>
    <row r="2783" spans="3:31" x14ac:dyDescent="0.3">
      <c r="C2783" s="450"/>
      <c r="D2783" s="182"/>
      <c r="E2783" s="182"/>
      <c r="F2783" s="182"/>
      <c r="G2783" s="450" t="str">
        <f t="shared" si="139"/>
        <v>--</v>
      </c>
      <c r="H2783" s="182"/>
      <c r="I2783" s="892"/>
      <c r="J2783" s="288"/>
      <c r="K2783" s="182"/>
      <c r="L2783" s="182"/>
      <c r="M2783" s="270"/>
      <c r="N2783" s="892"/>
      <c r="O2783" s="892"/>
      <c r="P2783" s="276" t="s">
        <v>42</v>
      </c>
      <c r="Q2783" s="902"/>
      <c r="R2783" s="902"/>
      <c r="S2783" s="902"/>
      <c r="T2783" s="271"/>
      <c r="U2783" s="114"/>
      <c r="V2783" s="114"/>
      <c r="W2783" s="270"/>
      <c r="X2783" s="270"/>
      <c r="Y2783" s="270"/>
      <c r="Z2783" s="270"/>
      <c r="AA2783" s="270"/>
    </row>
    <row r="2784" spans="3:31" ht="15" thickBot="1" x14ac:dyDescent="0.35">
      <c r="C2784" s="450"/>
      <c r="D2784" s="182"/>
      <c r="E2784" s="182"/>
      <c r="F2784" s="182"/>
      <c r="G2784" s="450" t="str">
        <f t="shared" si="139"/>
        <v>--</v>
      </c>
      <c r="H2784" s="182"/>
      <c r="I2784" s="892"/>
      <c r="J2784" s="892"/>
      <c r="K2784" s="182"/>
      <c r="L2784" s="182"/>
      <c r="M2784" s="901" t="s">
        <v>155</v>
      </c>
      <c r="N2784" s="870" t="s">
        <v>188</v>
      </c>
      <c r="O2784" s="870"/>
      <c r="P2784" s="277" t="s">
        <v>818</v>
      </c>
      <c r="Q2784" s="871" t="s">
        <v>155</v>
      </c>
      <c r="R2784" s="114"/>
      <c r="S2784" s="114"/>
      <c r="T2784" s="271"/>
      <c r="U2784" s="114"/>
      <c r="V2784" s="114"/>
      <c r="W2784" s="270"/>
      <c r="X2784" s="270"/>
      <c r="Y2784" s="270"/>
      <c r="Z2784" s="270"/>
      <c r="AA2784" s="270"/>
    </row>
    <row r="2785" spans="3:27" ht="15" thickBot="1" x14ac:dyDescent="0.35">
      <c r="C2785" s="566" t="s">
        <v>106</v>
      </c>
      <c r="D2785" s="875" t="str">
        <f>VLOOKUP(C2785,'Airport Mapping'!$C$5:$D$39,2,FALSE)</f>
        <v xml:space="preserve"> </v>
      </c>
      <c r="E2785" s="567" t="s">
        <v>39</v>
      </c>
      <c r="F2785" s="567" t="s">
        <v>42</v>
      </c>
      <c r="G2785" s="450" t="str">
        <f t="shared" si="139"/>
        <v>Tenant A-Landscaping-Outdoor irrigation</v>
      </c>
      <c r="H2785" s="567" t="s">
        <v>32</v>
      </c>
      <c r="I2785" s="877" t="s">
        <v>64</v>
      </c>
      <c r="J2785" s="878">
        <f>SUMIFS('Level of Efficiency Assumptions'!J:J,'Level of Efficiency Assumptions'!D:D,E2785,'Level of Efficiency Assumptions'!F:F,F2785,'Level of Efficiency Assumptions'!I:I,I2785)</f>
        <v>28.6</v>
      </c>
      <c r="K2785" s="383" t="s">
        <v>816</v>
      </c>
      <c r="L2785" s="253" t="s">
        <v>64</v>
      </c>
      <c r="M2785" s="879">
        <f>SUM(Q2785:Q2786)</f>
        <v>0</v>
      </c>
      <c r="N2785" s="880">
        <f>IFERROR(M2785/M2788,"-")</f>
        <v>0</v>
      </c>
      <c r="O2785" s="881">
        <f>SUMIFS('Data Entry'!R:R,'Data Entry'!K:K,G2785)</f>
        <v>0</v>
      </c>
      <c r="P2785" s="272" t="s">
        <v>237</v>
      </c>
      <c r="Q2785" s="895">
        <v>0</v>
      </c>
      <c r="R2785" s="114"/>
      <c r="S2785" s="114"/>
      <c r="T2785" s="271"/>
      <c r="U2785" s="114"/>
      <c r="V2785" s="114"/>
      <c r="W2785" s="270"/>
      <c r="X2785" s="270"/>
      <c r="Y2785" s="270"/>
      <c r="Z2785" s="270"/>
      <c r="AA2785" s="270"/>
    </row>
    <row r="2786" spans="3:27" ht="15" thickBot="1" x14ac:dyDescent="0.35">
      <c r="C2786" s="494" t="s">
        <v>106</v>
      </c>
      <c r="D2786" s="577"/>
      <c r="E2786" s="577" t="s">
        <v>39</v>
      </c>
      <c r="F2786" s="577" t="s">
        <v>42</v>
      </c>
      <c r="G2786" s="450" t="str">
        <f t="shared" si="139"/>
        <v>Tenant A-Landscaping-Outdoor irrigation</v>
      </c>
      <c r="H2786" s="577"/>
      <c r="I2786" s="887" t="s">
        <v>65</v>
      </c>
      <c r="J2786" s="878">
        <f>SUMIFS('Level of Efficiency Assumptions'!J:J,'Level of Efficiency Assumptions'!D:D,E2786,'Level of Efficiency Assumptions'!F:F,F2786,'Level of Efficiency Assumptions'!I:I,I2786)</f>
        <v>13.980821518350929</v>
      </c>
      <c r="K2786" s="383" t="s">
        <v>816</v>
      </c>
      <c r="L2786" s="255" t="s">
        <v>65</v>
      </c>
      <c r="M2786" s="879">
        <f>Q2787+Q2788</f>
        <v>1</v>
      </c>
      <c r="N2786" s="880">
        <f>IFERROR(M2786/M2788,"-")</f>
        <v>1</v>
      </c>
      <c r="O2786" s="881">
        <f>SUMIFS('Data Entry'!S:S,'Data Entry'!K:K,G2786)</f>
        <v>0</v>
      </c>
      <c r="P2786" s="272" t="s">
        <v>232</v>
      </c>
      <c r="Q2786" s="895">
        <v>0</v>
      </c>
      <c r="R2786" s="114"/>
      <c r="S2786" s="114"/>
      <c r="T2786" s="271"/>
      <c r="U2786" s="114"/>
      <c r="V2786" s="114"/>
      <c r="W2786" s="270"/>
      <c r="X2786" s="270"/>
      <c r="Y2786" s="270"/>
      <c r="Z2786" s="270"/>
      <c r="AA2786" s="270"/>
    </row>
    <row r="2787" spans="3:27" ht="15" thickBot="1" x14ac:dyDescent="0.35">
      <c r="C2787" s="501" t="s">
        <v>106</v>
      </c>
      <c r="D2787" s="116"/>
      <c r="E2787" s="116" t="s">
        <v>39</v>
      </c>
      <c r="F2787" s="116" t="s">
        <v>42</v>
      </c>
      <c r="G2787" s="450" t="str">
        <f t="shared" si="139"/>
        <v>Tenant A-Landscaping-Outdoor irrigation</v>
      </c>
      <c r="H2787" s="116"/>
      <c r="I2787" s="889" t="s">
        <v>66</v>
      </c>
      <c r="J2787" s="890">
        <f>SUMIFS('Level of Efficiency Assumptions'!J:J,'Level of Efficiency Assumptions'!D:D,E2787,'Level of Efficiency Assumptions'!F:F,F2787,'Level of Efficiency Assumptions'!I:I,I2787)</f>
        <v>0.59137254901960778</v>
      </c>
      <c r="K2787" s="383" t="s">
        <v>816</v>
      </c>
      <c r="L2787" s="257" t="s">
        <v>66</v>
      </c>
      <c r="M2787" s="879">
        <f>Q2789+Q2790</f>
        <v>0</v>
      </c>
      <c r="N2787" s="880">
        <f>IFERROR(M2787/M2788,"-")</f>
        <v>0</v>
      </c>
      <c r="O2787" s="881">
        <f>SUMIFS('Data Entry'!T:T,'Data Entry'!K:K,G2787)</f>
        <v>0</v>
      </c>
      <c r="P2787" s="274" t="s">
        <v>231</v>
      </c>
      <c r="Q2787" s="895">
        <v>1</v>
      </c>
      <c r="R2787" s="114"/>
      <c r="S2787" s="114"/>
      <c r="T2787" s="271"/>
      <c r="U2787" s="114"/>
      <c r="V2787" s="114"/>
      <c r="W2787" s="270"/>
      <c r="X2787" s="270"/>
      <c r="Y2787" s="270"/>
      <c r="Z2787" s="270"/>
      <c r="AA2787" s="270"/>
    </row>
    <row r="2788" spans="3:27" x14ac:dyDescent="0.3">
      <c r="C2788" s="450"/>
      <c r="D2788" s="182"/>
      <c r="E2788" s="182"/>
      <c r="F2788" s="182"/>
      <c r="G2788" s="450" t="str">
        <f t="shared" si="139"/>
        <v>--</v>
      </c>
      <c r="H2788" s="182"/>
      <c r="I2788" s="440"/>
      <c r="J2788" s="892"/>
      <c r="K2788" s="259"/>
      <c r="L2788" s="259" t="s">
        <v>46</v>
      </c>
      <c r="M2788" s="893">
        <f>SUM(M2785:M2787)</f>
        <v>1</v>
      </c>
      <c r="N2788" s="894"/>
      <c r="O2788" s="894">
        <f>SUM(O2785:O2787)</f>
        <v>0</v>
      </c>
      <c r="P2788" s="274" t="s">
        <v>230</v>
      </c>
      <c r="Q2788" s="895">
        <v>0</v>
      </c>
      <c r="R2788" s="114"/>
      <c r="S2788" s="114"/>
      <c r="T2788" s="271"/>
      <c r="U2788" s="114"/>
      <c r="V2788" s="114"/>
      <c r="W2788" s="270"/>
      <c r="X2788" s="270"/>
      <c r="Y2788" s="270"/>
      <c r="Z2788" s="270"/>
      <c r="AA2788" s="270"/>
    </row>
    <row r="2789" spans="3:27" x14ac:dyDescent="0.3">
      <c r="C2789" s="450"/>
      <c r="D2789" s="182"/>
      <c r="E2789" s="182"/>
      <c r="F2789" s="182"/>
      <c r="G2789" s="450" t="str">
        <f t="shared" si="139"/>
        <v>--</v>
      </c>
      <c r="H2789" s="182"/>
      <c r="I2789" s="892"/>
      <c r="J2789" s="288"/>
      <c r="K2789" s="182"/>
      <c r="L2789" s="182"/>
      <c r="M2789" s="270"/>
      <c r="N2789" s="892"/>
      <c r="O2789" s="892"/>
      <c r="P2789" s="275" t="s">
        <v>229</v>
      </c>
      <c r="Q2789" s="895">
        <v>0</v>
      </c>
      <c r="R2789" s="114"/>
      <c r="S2789" s="114"/>
      <c r="T2789" s="271"/>
      <c r="U2789" s="114"/>
      <c r="V2789" s="114"/>
      <c r="W2789" s="270"/>
      <c r="X2789" s="270"/>
      <c r="Y2789" s="270"/>
      <c r="Z2789" s="270"/>
      <c r="AA2789" s="270"/>
    </row>
    <row r="2790" spans="3:27" x14ac:dyDescent="0.3">
      <c r="C2790" s="450"/>
      <c r="D2790" s="182"/>
      <c r="E2790" s="182"/>
      <c r="F2790" s="182"/>
      <c r="G2790" s="450" t="str">
        <f t="shared" si="139"/>
        <v>--</v>
      </c>
      <c r="H2790" s="182"/>
      <c r="I2790" s="892"/>
      <c r="J2790" s="288"/>
      <c r="K2790" s="182"/>
      <c r="L2790" s="182"/>
      <c r="M2790" s="270"/>
      <c r="N2790" s="892"/>
      <c r="O2790" s="892"/>
      <c r="P2790" s="269" t="s">
        <v>225</v>
      </c>
      <c r="Q2790" s="895">
        <v>0</v>
      </c>
      <c r="R2790" s="114"/>
      <c r="S2790" s="114"/>
      <c r="T2790" s="271"/>
      <c r="U2790" s="114"/>
      <c r="V2790" s="114"/>
      <c r="W2790" s="270"/>
      <c r="X2790" s="270"/>
      <c r="Y2790" s="270"/>
      <c r="Z2790" s="270"/>
      <c r="AA2790" s="270"/>
    </row>
    <row r="2791" spans="3:27" x14ac:dyDescent="0.3">
      <c r="C2791" s="450"/>
      <c r="D2791" s="182"/>
      <c r="E2791" s="182"/>
      <c r="F2791" s="182"/>
      <c r="G2791" s="450" t="str">
        <f t="shared" si="139"/>
        <v>--</v>
      </c>
      <c r="H2791" s="182"/>
      <c r="I2791" s="892"/>
      <c r="J2791" s="288"/>
      <c r="K2791" s="182"/>
      <c r="L2791" s="182"/>
      <c r="M2791" s="270"/>
      <c r="N2791" s="892"/>
      <c r="O2791" s="892"/>
      <c r="P2791" s="263" t="s">
        <v>46</v>
      </c>
      <c r="Q2791" s="897">
        <f>SUM(Q2785:Q2790)</f>
        <v>1</v>
      </c>
      <c r="R2791" s="899"/>
      <c r="S2791" s="899"/>
      <c r="T2791" s="271"/>
      <c r="U2791" s="114"/>
      <c r="V2791" s="114"/>
      <c r="W2791" s="270"/>
      <c r="X2791" s="270"/>
      <c r="Y2791" s="270"/>
      <c r="Z2791" s="270"/>
      <c r="AA2791" s="270"/>
    </row>
    <row r="2792" spans="3:27" x14ac:dyDescent="0.3">
      <c r="C2792" s="450"/>
      <c r="D2792" s="182"/>
      <c r="E2792" s="182"/>
      <c r="F2792" s="182"/>
      <c r="G2792" s="450" t="str">
        <f t="shared" si="139"/>
        <v>--</v>
      </c>
      <c r="H2792" s="182"/>
      <c r="I2792" s="892"/>
      <c r="J2792" s="288"/>
      <c r="K2792" s="182"/>
      <c r="L2792" s="182"/>
      <c r="M2792" s="270"/>
      <c r="N2792" s="892"/>
      <c r="O2792" s="892"/>
      <c r="P2792" s="270"/>
      <c r="Q2792" s="270"/>
      <c r="R2792" s="270"/>
      <c r="S2792" s="270"/>
      <c r="T2792" s="270"/>
      <c r="U2792" s="270"/>
      <c r="V2792" s="270"/>
      <c r="W2792" s="270"/>
      <c r="X2792" s="270"/>
      <c r="Y2792" s="270"/>
      <c r="Z2792" s="270"/>
      <c r="AA2792" s="270"/>
    </row>
    <row r="2793" spans="3:27" ht="15" thickBot="1" x14ac:dyDescent="0.35">
      <c r="C2793" s="450"/>
      <c r="D2793" s="182"/>
      <c r="E2793" s="182"/>
      <c r="F2793" s="182"/>
      <c r="G2793" s="450" t="str">
        <f t="shared" si="139"/>
        <v>--</v>
      </c>
      <c r="H2793" s="182"/>
      <c r="I2793" s="892"/>
      <c r="J2793" s="892"/>
      <c r="K2793" s="182"/>
      <c r="L2793" s="182"/>
      <c r="M2793" s="901" t="s">
        <v>155</v>
      </c>
      <c r="N2793" s="870" t="s">
        <v>188</v>
      </c>
      <c r="O2793" s="870"/>
      <c r="P2793" s="276" t="s">
        <v>111</v>
      </c>
      <c r="Q2793" s="871" t="s">
        <v>155</v>
      </c>
      <c r="R2793" s="902"/>
      <c r="S2793" s="874"/>
      <c r="T2793" s="270"/>
      <c r="U2793" s="270"/>
      <c r="V2793" s="270"/>
      <c r="W2793" s="270"/>
      <c r="X2793" s="270"/>
      <c r="Y2793" s="270"/>
      <c r="Z2793" s="270"/>
      <c r="AA2793" s="270"/>
    </row>
    <row r="2794" spans="3:27" ht="15" thickBot="1" x14ac:dyDescent="0.35">
      <c r="C2794" s="566" t="s">
        <v>106</v>
      </c>
      <c r="D2794" s="875" t="str">
        <f>VLOOKUP(C2794,'Airport Mapping'!$C$5:$D$39,2,FALSE)</f>
        <v xml:space="preserve"> </v>
      </c>
      <c r="E2794" s="567" t="s">
        <v>43</v>
      </c>
      <c r="F2794" s="567" t="s">
        <v>111</v>
      </c>
      <c r="G2794" s="450" t="str">
        <f t="shared" si="139"/>
        <v>Tenant A-Maintenance-Boiler</v>
      </c>
      <c r="H2794" s="567" t="s">
        <v>424</v>
      </c>
      <c r="I2794" s="877" t="s">
        <v>64</v>
      </c>
      <c r="J2794" s="878">
        <f>SUMIFS('Level of Efficiency Assumptions'!J:J,'Level of Efficiency Assumptions'!D:D,E2794,'Level of Efficiency Assumptions'!F:F,F2794,'Level of Efficiency Assumptions'!I:I,I2794)</f>
        <v>100</v>
      </c>
      <c r="K2794" s="383" t="s">
        <v>585</v>
      </c>
      <c r="L2794" s="253" t="s">
        <v>64</v>
      </c>
      <c r="M2794" s="879">
        <f>SUM(Q2794:Q2795)</f>
        <v>0</v>
      </c>
      <c r="N2794" s="880">
        <f>IFERROR(M2794/M2797,"-")</f>
        <v>0</v>
      </c>
      <c r="O2794" s="881">
        <f>SUMIFS('Data Entry'!R:R,'Data Entry'!K:K,G2794)</f>
        <v>0</v>
      </c>
      <c r="P2794" s="272"/>
      <c r="Q2794" s="895">
        <v>0</v>
      </c>
      <c r="R2794" s="114"/>
      <c r="S2794" s="884"/>
      <c r="T2794" s="270"/>
      <c r="U2794" s="270"/>
      <c r="V2794" s="270"/>
      <c r="W2794" s="270"/>
      <c r="X2794" s="270"/>
      <c r="Y2794" s="270"/>
      <c r="Z2794" s="270"/>
      <c r="AA2794" s="270"/>
    </row>
    <row r="2795" spans="3:27" ht="15" thickBot="1" x14ac:dyDescent="0.35">
      <c r="C2795" s="494" t="s">
        <v>106</v>
      </c>
      <c r="D2795" s="577"/>
      <c r="E2795" s="577" t="s">
        <v>43</v>
      </c>
      <c r="F2795" s="577" t="s">
        <v>111</v>
      </c>
      <c r="G2795" s="450" t="str">
        <f t="shared" si="139"/>
        <v>Tenant A-Maintenance-Boiler</v>
      </c>
      <c r="H2795" s="577"/>
      <c r="I2795" s="887" t="s">
        <v>65</v>
      </c>
      <c r="J2795" s="878">
        <f>SUMIFS('Level of Efficiency Assumptions'!J:J,'Level of Efficiency Assumptions'!D:D,E2795,'Level of Efficiency Assumptions'!F:F,F2795,'Level of Efficiency Assumptions'!I:I,I2795)</f>
        <v>75</v>
      </c>
      <c r="K2795" s="383" t="s">
        <v>585</v>
      </c>
      <c r="L2795" s="255" t="s">
        <v>65</v>
      </c>
      <c r="M2795" s="879">
        <f>Q2796+Q2797</f>
        <v>1</v>
      </c>
      <c r="N2795" s="880">
        <f>IFERROR(M2795/M2797,"-")</f>
        <v>1</v>
      </c>
      <c r="O2795" s="881">
        <f>SUMIFS('Data Entry'!S:S,'Data Entry'!K:K,G2795)</f>
        <v>0</v>
      </c>
      <c r="P2795" s="272"/>
      <c r="Q2795" s="895">
        <v>0</v>
      </c>
      <c r="R2795" s="114"/>
      <c r="S2795" s="884"/>
      <c r="T2795" s="270"/>
      <c r="U2795" s="270"/>
      <c r="V2795" s="270"/>
      <c r="W2795" s="270"/>
      <c r="X2795" s="270"/>
      <c r="Y2795" s="270"/>
      <c r="Z2795" s="270"/>
      <c r="AA2795" s="270"/>
    </row>
    <row r="2796" spans="3:27" ht="15" thickBot="1" x14ac:dyDescent="0.35">
      <c r="C2796" s="501" t="s">
        <v>106</v>
      </c>
      <c r="D2796" s="116"/>
      <c r="E2796" s="116" t="s">
        <v>43</v>
      </c>
      <c r="F2796" s="116" t="s">
        <v>111</v>
      </c>
      <c r="G2796" s="450" t="str">
        <f t="shared" si="139"/>
        <v>Tenant A-Maintenance-Boiler</v>
      </c>
      <c r="H2796" s="116"/>
      <c r="I2796" s="889" t="s">
        <v>66</v>
      </c>
      <c r="J2796" s="890">
        <f>SUMIFS('Level of Efficiency Assumptions'!J:J,'Level of Efficiency Assumptions'!D:D,E2796,'Level of Efficiency Assumptions'!F:F,F2796,'Level of Efficiency Assumptions'!I:I,I2796)</f>
        <v>50</v>
      </c>
      <c r="K2796" s="383" t="s">
        <v>585</v>
      </c>
      <c r="L2796" s="257" t="s">
        <v>66</v>
      </c>
      <c r="M2796" s="879">
        <f>Q2798+Q2799</f>
        <v>0</v>
      </c>
      <c r="N2796" s="880">
        <f>IFERROR(M2796/M2797,"-")</f>
        <v>0</v>
      </c>
      <c r="O2796" s="881">
        <f>SUMIFS('Data Entry'!T:T,'Data Entry'!K:K,G2796)</f>
        <v>0</v>
      </c>
      <c r="P2796" s="274"/>
      <c r="Q2796" s="895">
        <v>1</v>
      </c>
      <c r="R2796" s="114"/>
      <c r="S2796" s="884"/>
      <c r="T2796" s="270"/>
      <c r="U2796" s="270"/>
      <c r="V2796" s="270"/>
      <c r="W2796" s="270"/>
      <c r="X2796" s="270"/>
      <c r="Y2796" s="270"/>
      <c r="Z2796" s="270"/>
      <c r="AA2796" s="270"/>
    </row>
    <row r="2797" spans="3:27" x14ac:dyDescent="0.3">
      <c r="C2797" s="450"/>
      <c r="D2797" s="182"/>
      <c r="E2797" s="182"/>
      <c r="F2797" s="182"/>
      <c r="G2797" s="450" t="str">
        <f t="shared" si="139"/>
        <v>--</v>
      </c>
      <c r="H2797" s="182"/>
      <c r="I2797" s="440"/>
      <c r="J2797" s="892"/>
      <c r="K2797" s="259"/>
      <c r="L2797" s="259" t="s">
        <v>46</v>
      </c>
      <c r="M2797" s="893">
        <f>SUM(M2794:M2796)</f>
        <v>1</v>
      </c>
      <c r="N2797" s="894"/>
      <c r="O2797" s="894">
        <f>SUM(O2794:O2796)</f>
        <v>0</v>
      </c>
      <c r="P2797" s="274"/>
      <c r="Q2797" s="895">
        <v>0</v>
      </c>
      <c r="R2797" s="114"/>
      <c r="S2797" s="884"/>
      <c r="T2797" s="270"/>
      <c r="U2797" s="270"/>
      <c r="V2797" s="270"/>
      <c r="W2797" s="270"/>
      <c r="X2797" s="270"/>
      <c r="Y2797" s="270"/>
      <c r="Z2797" s="270"/>
      <c r="AA2797" s="270"/>
    </row>
    <row r="2798" spans="3:27" x14ac:dyDescent="0.3">
      <c r="C2798" s="450"/>
      <c r="D2798" s="182"/>
      <c r="E2798" s="182"/>
      <c r="F2798" s="182"/>
      <c r="G2798" s="450" t="str">
        <f t="shared" si="139"/>
        <v>--</v>
      </c>
      <c r="H2798" s="182"/>
      <c r="I2798" s="892"/>
      <c r="J2798" s="288"/>
      <c r="K2798" s="182"/>
      <c r="L2798" s="182"/>
      <c r="M2798" s="270"/>
      <c r="N2798" s="892"/>
      <c r="O2798" s="892"/>
      <c r="P2798" s="275"/>
      <c r="Q2798" s="895">
        <v>0</v>
      </c>
      <c r="R2798" s="114"/>
      <c r="S2798" s="884"/>
      <c r="T2798" s="270"/>
      <c r="U2798" s="270"/>
      <c r="V2798" s="270"/>
      <c r="W2798" s="270"/>
      <c r="X2798" s="270"/>
      <c r="Y2798" s="270"/>
      <c r="Z2798" s="270"/>
      <c r="AA2798" s="270"/>
    </row>
    <row r="2799" spans="3:27" x14ac:dyDescent="0.3">
      <c r="C2799" s="450"/>
      <c r="D2799" s="182"/>
      <c r="E2799" s="182"/>
      <c r="F2799" s="182"/>
      <c r="G2799" s="450" t="str">
        <f t="shared" si="139"/>
        <v>--</v>
      </c>
      <c r="H2799" s="182"/>
      <c r="I2799" s="892"/>
      <c r="J2799" s="288"/>
      <c r="K2799" s="182"/>
      <c r="L2799" s="182"/>
      <c r="M2799" s="270"/>
      <c r="N2799" s="892"/>
      <c r="O2799" s="892"/>
      <c r="P2799" s="269"/>
      <c r="Q2799" s="895">
        <v>0</v>
      </c>
      <c r="R2799" s="114"/>
      <c r="S2799" s="884"/>
      <c r="T2799" s="270"/>
      <c r="U2799" s="270"/>
      <c r="V2799" s="270"/>
      <c r="W2799" s="270"/>
      <c r="X2799" s="270"/>
      <c r="Y2799" s="270"/>
      <c r="Z2799" s="270"/>
      <c r="AA2799" s="270"/>
    </row>
    <row r="2800" spans="3:27" x14ac:dyDescent="0.3">
      <c r="C2800" s="450"/>
      <c r="D2800" s="182"/>
      <c r="E2800" s="182"/>
      <c r="F2800" s="182"/>
      <c r="G2800" s="450" t="str">
        <f t="shared" si="139"/>
        <v>--</v>
      </c>
      <c r="H2800" s="182"/>
      <c r="I2800" s="892"/>
      <c r="J2800" s="288"/>
      <c r="K2800" s="182"/>
      <c r="L2800" s="182"/>
      <c r="M2800" s="270"/>
      <c r="N2800" s="892"/>
      <c r="O2800" s="892"/>
      <c r="P2800" s="263" t="s">
        <v>46</v>
      </c>
      <c r="Q2800" s="897">
        <f>SUM(Q2794:Q2799)</f>
        <v>1</v>
      </c>
      <c r="R2800" s="899"/>
      <c r="S2800" s="900"/>
      <c r="T2800" s="270"/>
      <c r="U2800" s="270"/>
      <c r="V2800" s="270"/>
      <c r="W2800" s="270"/>
      <c r="X2800" s="270"/>
      <c r="Y2800" s="270"/>
      <c r="Z2800" s="270"/>
      <c r="AA2800" s="270"/>
    </row>
    <row r="2801" spans="3:27" x14ac:dyDescent="0.3">
      <c r="C2801" s="225"/>
      <c r="D2801" s="288"/>
      <c r="E2801" s="288"/>
      <c r="F2801" s="288"/>
      <c r="G2801" s="450" t="str">
        <f t="shared" si="139"/>
        <v>--</v>
      </c>
      <c r="H2801" s="182"/>
      <c r="I2801" s="892"/>
      <c r="J2801" s="288"/>
      <c r="K2801" s="182"/>
      <c r="L2801" s="182"/>
      <c r="M2801" s="270"/>
      <c r="N2801" s="892"/>
      <c r="O2801" s="892"/>
      <c r="P2801" s="259"/>
      <c r="Q2801" s="114"/>
      <c r="R2801" s="270"/>
      <c r="S2801" s="270"/>
      <c r="T2801" s="270"/>
      <c r="U2801" s="270"/>
      <c r="V2801" s="270"/>
      <c r="W2801" s="270"/>
      <c r="X2801" s="270"/>
      <c r="Y2801" s="270"/>
      <c r="Z2801" s="270"/>
      <c r="AA2801" s="270"/>
    </row>
    <row r="2802" spans="3:27" ht="15" thickBot="1" x14ac:dyDescent="0.35">
      <c r="C2802" s="450"/>
      <c r="D2802" s="182"/>
      <c r="E2802" s="182"/>
      <c r="F2802" s="182"/>
      <c r="G2802" s="450" t="str">
        <f t="shared" si="139"/>
        <v>--</v>
      </c>
      <c r="H2802" s="182"/>
      <c r="I2802" s="892"/>
      <c r="J2802" s="892"/>
      <c r="K2802" s="182"/>
      <c r="L2802" s="182"/>
      <c r="M2802" s="901" t="s">
        <v>155</v>
      </c>
      <c r="N2802" s="870" t="s">
        <v>188</v>
      </c>
      <c r="O2802" s="870"/>
      <c r="P2802" s="276" t="s">
        <v>9</v>
      </c>
      <c r="Q2802" s="871" t="s">
        <v>155</v>
      </c>
      <c r="R2802" s="902"/>
      <c r="S2802" s="874"/>
      <c r="T2802" s="270"/>
      <c r="U2802" s="270"/>
      <c r="V2802" s="270"/>
      <c r="W2802" s="270"/>
      <c r="X2802" s="270"/>
      <c r="Y2802" s="270"/>
      <c r="Z2802" s="270"/>
      <c r="AA2802" s="270"/>
    </row>
    <row r="2803" spans="3:27" ht="15" thickBot="1" x14ac:dyDescent="0.35">
      <c r="C2803" s="566" t="s">
        <v>106</v>
      </c>
      <c r="D2803" s="875" t="str">
        <f>VLOOKUP(C2803,'Airport Mapping'!$C$5:$D$39,2,FALSE)</f>
        <v xml:space="preserve"> </v>
      </c>
      <c r="E2803" s="567" t="s">
        <v>43</v>
      </c>
      <c r="F2803" s="567" t="s">
        <v>25</v>
      </c>
      <c r="G2803" s="450" t="str">
        <f t="shared" si="139"/>
        <v>Tenant A-Maintenance-Fleet vehicle washing</v>
      </c>
      <c r="H2803" s="567" t="s">
        <v>10</v>
      </c>
      <c r="I2803" s="877" t="s">
        <v>64</v>
      </c>
      <c r="J2803" s="878">
        <f>SUMIFS('Level of Efficiency Assumptions'!J:J,'Level of Efficiency Assumptions'!D:D,E2803,'Level of Efficiency Assumptions'!F:F,F2803,'Level of Efficiency Assumptions'!I:I,I2803)</f>
        <v>10</v>
      </c>
      <c r="K2803" s="383" t="s">
        <v>588</v>
      </c>
      <c r="L2803" s="253" t="s">
        <v>64</v>
      </c>
      <c r="M2803" s="879">
        <f>SUM(Q2803:Q2804)</f>
        <v>0</v>
      </c>
      <c r="N2803" s="880">
        <f>IFERROR(M2803/M2806,"-")</f>
        <v>0</v>
      </c>
      <c r="O2803" s="881">
        <f>SUMIFS('Data Entry'!R:R,'Data Entry'!K:K,G2803)</f>
        <v>0</v>
      </c>
      <c r="P2803" s="272"/>
      <c r="Q2803" s="895">
        <v>0</v>
      </c>
      <c r="R2803" s="114"/>
      <c r="S2803" s="884"/>
      <c r="T2803" s="270"/>
      <c r="U2803" s="270"/>
      <c r="V2803" s="270"/>
      <c r="W2803" s="270"/>
      <c r="X2803" s="270"/>
      <c r="Y2803" s="270"/>
      <c r="Z2803" s="270"/>
      <c r="AA2803" s="270"/>
    </row>
    <row r="2804" spans="3:27" ht="15" thickBot="1" x14ac:dyDescent="0.35">
      <c r="C2804" s="494" t="s">
        <v>106</v>
      </c>
      <c r="D2804" s="577"/>
      <c r="E2804" s="577" t="s">
        <v>43</v>
      </c>
      <c r="F2804" s="577" t="s">
        <v>25</v>
      </c>
      <c r="G2804" s="450" t="str">
        <f t="shared" si="139"/>
        <v>Tenant A-Maintenance-Fleet vehicle washing</v>
      </c>
      <c r="H2804" s="577"/>
      <c r="I2804" s="887" t="s">
        <v>65</v>
      </c>
      <c r="J2804" s="878">
        <f>SUMIFS('Level of Efficiency Assumptions'!J:J,'Level of Efficiency Assumptions'!D:D,E2804,'Level of Efficiency Assumptions'!F:F,F2804,'Level of Efficiency Assumptions'!I:I,I2804)</f>
        <v>7.5</v>
      </c>
      <c r="K2804" s="383" t="s">
        <v>588</v>
      </c>
      <c r="L2804" s="255" t="s">
        <v>65</v>
      </c>
      <c r="M2804" s="879">
        <f>Q2805+Q2806</f>
        <v>1</v>
      </c>
      <c r="N2804" s="880">
        <f>IFERROR(M2804/M2806,"-")</f>
        <v>1</v>
      </c>
      <c r="O2804" s="881">
        <f>SUMIFS('Data Entry'!S:S,'Data Entry'!K:K,G2804)</f>
        <v>0</v>
      </c>
      <c r="P2804" s="272"/>
      <c r="Q2804" s="895">
        <v>0</v>
      </c>
      <c r="R2804" s="114"/>
      <c r="S2804" s="884"/>
      <c r="T2804" s="270"/>
      <c r="U2804" s="270"/>
      <c r="V2804" s="270"/>
      <c r="W2804" s="270"/>
      <c r="X2804" s="270"/>
      <c r="Y2804" s="270"/>
      <c r="Z2804" s="270"/>
      <c r="AA2804" s="270"/>
    </row>
    <row r="2805" spans="3:27" ht="15" thickBot="1" x14ac:dyDescent="0.35">
      <c r="C2805" s="501" t="s">
        <v>106</v>
      </c>
      <c r="D2805" s="116"/>
      <c r="E2805" s="116" t="s">
        <v>43</v>
      </c>
      <c r="F2805" s="116" t="s">
        <v>25</v>
      </c>
      <c r="G2805" s="450" t="str">
        <f t="shared" si="139"/>
        <v>Tenant A-Maintenance-Fleet vehicle washing</v>
      </c>
      <c r="H2805" s="116"/>
      <c r="I2805" s="889" t="s">
        <v>66</v>
      </c>
      <c r="J2805" s="890">
        <f>SUMIFS('Level of Efficiency Assumptions'!J:J,'Level of Efficiency Assumptions'!D:D,E2805,'Level of Efficiency Assumptions'!F:F,F2805,'Level of Efficiency Assumptions'!I:I,I2805)</f>
        <v>5</v>
      </c>
      <c r="K2805" s="383" t="s">
        <v>588</v>
      </c>
      <c r="L2805" s="257" t="s">
        <v>66</v>
      </c>
      <c r="M2805" s="879">
        <f>Q2807+Q2808</f>
        <v>0</v>
      </c>
      <c r="N2805" s="880">
        <f>IFERROR(M2805/M2806,"-")</f>
        <v>0</v>
      </c>
      <c r="O2805" s="881">
        <f>SUMIFS('Data Entry'!T:T,'Data Entry'!K:K,G2805)</f>
        <v>0</v>
      </c>
      <c r="P2805" s="274"/>
      <c r="Q2805" s="895">
        <v>1</v>
      </c>
      <c r="R2805" s="114"/>
      <c r="S2805" s="884"/>
      <c r="T2805" s="270"/>
      <c r="U2805" s="270"/>
      <c r="V2805" s="270"/>
      <c r="W2805" s="270"/>
      <c r="X2805" s="270"/>
      <c r="Y2805" s="270"/>
      <c r="Z2805" s="270"/>
      <c r="AA2805" s="270"/>
    </row>
    <row r="2806" spans="3:27" x14ac:dyDescent="0.3">
      <c r="C2806" s="450"/>
      <c r="D2806" s="182"/>
      <c r="E2806" s="182"/>
      <c r="F2806" s="182"/>
      <c r="G2806" s="450" t="str">
        <f t="shared" si="139"/>
        <v>--</v>
      </c>
      <c r="H2806" s="182"/>
      <c r="I2806" s="440"/>
      <c r="J2806" s="892"/>
      <c r="K2806" s="259"/>
      <c r="L2806" s="259" t="s">
        <v>46</v>
      </c>
      <c r="M2806" s="893">
        <f>SUM(M2803:M2805)</f>
        <v>1</v>
      </c>
      <c r="N2806" s="894"/>
      <c r="O2806" s="894">
        <f>SUM(O2803:O2805)</f>
        <v>0</v>
      </c>
      <c r="P2806" s="274"/>
      <c r="Q2806" s="895">
        <v>0</v>
      </c>
      <c r="R2806" s="114"/>
      <c r="S2806" s="884"/>
      <c r="T2806" s="270"/>
      <c r="U2806" s="270"/>
      <c r="V2806" s="270"/>
      <c r="W2806" s="270"/>
      <c r="X2806" s="270"/>
      <c r="Y2806" s="270"/>
      <c r="Z2806" s="270"/>
      <c r="AA2806" s="270"/>
    </row>
    <row r="2807" spans="3:27" x14ac:dyDescent="0.3">
      <c r="C2807" s="450"/>
      <c r="D2807" s="182"/>
      <c r="E2807" s="182"/>
      <c r="F2807" s="182"/>
      <c r="G2807" s="450" t="str">
        <f t="shared" si="139"/>
        <v>--</v>
      </c>
      <c r="H2807" s="182"/>
      <c r="I2807" s="892"/>
      <c r="J2807" s="288"/>
      <c r="K2807" s="182"/>
      <c r="L2807" s="182"/>
      <c r="M2807" s="270"/>
      <c r="N2807" s="892"/>
      <c r="O2807" s="892"/>
      <c r="P2807" s="275"/>
      <c r="Q2807" s="895">
        <v>0</v>
      </c>
      <c r="R2807" s="114"/>
      <c r="S2807" s="884"/>
      <c r="T2807" s="270"/>
      <c r="U2807" s="270"/>
      <c r="V2807" s="270"/>
      <c r="W2807" s="270"/>
      <c r="X2807" s="270"/>
      <c r="Y2807" s="270"/>
      <c r="Z2807" s="270"/>
      <c r="AA2807" s="270"/>
    </row>
    <row r="2808" spans="3:27" x14ac:dyDescent="0.3">
      <c r="C2808" s="450"/>
      <c r="D2808" s="182"/>
      <c r="E2808" s="182"/>
      <c r="F2808" s="182"/>
      <c r="G2808" s="450" t="str">
        <f t="shared" si="139"/>
        <v>--</v>
      </c>
      <c r="H2808" s="182"/>
      <c r="I2808" s="892"/>
      <c r="J2808" s="288"/>
      <c r="K2808" s="182"/>
      <c r="L2808" s="182"/>
      <c r="M2808" s="270"/>
      <c r="N2808" s="892"/>
      <c r="O2808" s="892"/>
      <c r="P2808" s="269"/>
      <c r="Q2808" s="895">
        <v>0</v>
      </c>
      <c r="R2808" s="114"/>
      <c r="S2808" s="884"/>
      <c r="T2808" s="270"/>
      <c r="U2808" s="270"/>
      <c r="V2808" s="270"/>
      <c r="W2808" s="270"/>
      <c r="X2808" s="270"/>
      <c r="Y2808" s="270"/>
      <c r="Z2808" s="270"/>
      <c r="AA2808" s="270"/>
    </row>
    <row r="2809" spans="3:27" x14ac:dyDescent="0.3">
      <c r="C2809" s="450"/>
      <c r="D2809" s="182"/>
      <c r="E2809" s="182"/>
      <c r="F2809" s="182"/>
      <c r="G2809" s="450" t="str">
        <f t="shared" si="139"/>
        <v>--</v>
      </c>
      <c r="H2809" s="182"/>
      <c r="I2809" s="892"/>
      <c r="J2809" s="288"/>
      <c r="K2809" s="182"/>
      <c r="L2809" s="182"/>
      <c r="M2809" s="270"/>
      <c r="N2809" s="892"/>
      <c r="O2809" s="892"/>
      <c r="P2809" s="263" t="s">
        <v>46</v>
      </c>
      <c r="Q2809" s="897">
        <f>SUM(Q2803:Q2808)</f>
        <v>1</v>
      </c>
      <c r="R2809" s="899"/>
      <c r="S2809" s="900"/>
      <c r="T2809" s="270"/>
      <c r="U2809" s="270"/>
      <c r="V2809" s="270"/>
      <c r="W2809" s="270"/>
      <c r="X2809" s="270"/>
      <c r="Y2809" s="270"/>
      <c r="Z2809" s="270"/>
      <c r="AA2809" s="270"/>
    </row>
    <row r="2810" spans="3:27" x14ac:dyDescent="0.3">
      <c r="C2810" s="450"/>
      <c r="D2810" s="182"/>
      <c r="E2810" s="182"/>
      <c r="F2810" s="182"/>
      <c r="G2810" s="450" t="str">
        <f t="shared" si="139"/>
        <v>--</v>
      </c>
      <c r="H2810" s="182"/>
      <c r="I2810" s="892"/>
      <c r="J2810" s="288"/>
      <c r="K2810" s="182"/>
      <c r="L2810" s="182"/>
      <c r="M2810" s="270"/>
      <c r="N2810" s="892"/>
      <c r="O2810" s="892"/>
      <c r="P2810" s="259"/>
      <c r="Q2810" s="114"/>
      <c r="R2810" s="114"/>
      <c r="S2810" s="114"/>
      <c r="T2810" s="270"/>
      <c r="U2810" s="270"/>
      <c r="V2810" s="270"/>
      <c r="W2810" s="270"/>
      <c r="X2810" s="270"/>
      <c r="Y2810" s="270"/>
      <c r="Z2810" s="270"/>
      <c r="AA2810" s="270"/>
    </row>
    <row r="2811" spans="3:27" ht="15" thickBot="1" x14ac:dyDescent="0.35">
      <c r="C2811" s="450"/>
      <c r="D2811" s="182"/>
      <c r="E2811" s="182"/>
      <c r="F2811" s="182"/>
      <c r="G2811" s="450" t="str">
        <f t="shared" si="139"/>
        <v>--</v>
      </c>
      <c r="H2811" s="182"/>
      <c r="I2811" s="892"/>
      <c r="J2811" s="892"/>
      <c r="K2811" s="182"/>
      <c r="L2811" s="182"/>
      <c r="M2811" s="901" t="s">
        <v>155</v>
      </c>
      <c r="N2811" s="870" t="s">
        <v>188</v>
      </c>
      <c r="O2811" s="870"/>
      <c r="P2811" s="276" t="s">
        <v>426</v>
      </c>
      <c r="Q2811" s="871" t="s">
        <v>155</v>
      </c>
      <c r="R2811" s="902"/>
      <c r="S2811" s="874"/>
      <c r="T2811" s="270"/>
      <c r="U2811" s="270"/>
      <c r="V2811" s="270"/>
      <c r="W2811" s="270"/>
      <c r="X2811" s="270"/>
      <c r="Y2811" s="270"/>
      <c r="Z2811" s="270"/>
      <c r="AA2811" s="270"/>
    </row>
    <row r="2812" spans="3:27" ht="15" thickBot="1" x14ac:dyDescent="0.35">
      <c r="C2812" s="566" t="s">
        <v>106</v>
      </c>
      <c r="D2812" s="875" t="str">
        <f>VLOOKUP(C2812,'Airport Mapping'!$C$5:$D$39,2,FALSE)</f>
        <v xml:space="preserve"> </v>
      </c>
      <c r="E2812" s="567" t="s">
        <v>43</v>
      </c>
      <c r="F2812" s="567" t="s">
        <v>426</v>
      </c>
      <c r="G2812" s="450" t="str">
        <f t="shared" si="139"/>
        <v>Tenant A-Maintenance-Pavement cleaning</v>
      </c>
      <c r="H2812" s="567" t="s">
        <v>10</v>
      </c>
      <c r="I2812" s="877" t="s">
        <v>64</v>
      </c>
      <c r="J2812" s="878">
        <f>SUMIFS('Level of Efficiency Assumptions'!J:J,'Level of Efficiency Assumptions'!D:D,E2812,'Level of Efficiency Assumptions'!F:F,F2812,'Level of Efficiency Assumptions'!I:I,I2812)</f>
        <v>10</v>
      </c>
      <c r="K2812" s="383" t="s">
        <v>588</v>
      </c>
      <c r="L2812" s="253" t="s">
        <v>64</v>
      </c>
      <c r="M2812" s="879">
        <f>SUM(Q2812:Q2813)</f>
        <v>0</v>
      </c>
      <c r="N2812" s="880">
        <f>IFERROR(M2812/M2815,"-")</f>
        <v>0</v>
      </c>
      <c r="O2812" s="881">
        <f>SUMIFS('Data Entry'!R:R,'Data Entry'!K:K,G2812)</f>
        <v>0</v>
      </c>
      <c r="P2812" s="272"/>
      <c r="Q2812" s="895">
        <v>0</v>
      </c>
      <c r="R2812" s="114"/>
      <c r="S2812" s="884"/>
      <c r="T2812" s="270"/>
      <c r="U2812" s="270"/>
      <c r="V2812" s="270"/>
      <c r="W2812" s="270"/>
      <c r="X2812" s="270"/>
      <c r="Y2812" s="270"/>
      <c r="Z2812" s="270"/>
      <c r="AA2812" s="270"/>
    </row>
    <row r="2813" spans="3:27" ht="15" thickBot="1" x14ac:dyDescent="0.35">
      <c r="C2813" s="494" t="s">
        <v>106</v>
      </c>
      <c r="D2813" s="577"/>
      <c r="E2813" s="577" t="s">
        <v>43</v>
      </c>
      <c r="F2813" s="577" t="s">
        <v>426</v>
      </c>
      <c r="G2813" s="450" t="str">
        <f t="shared" si="139"/>
        <v>Tenant A-Maintenance-Pavement cleaning</v>
      </c>
      <c r="H2813" s="577"/>
      <c r="I2813" s="887" t="s">
        <v>65</v>
      </c>
      <c r="J2813" s="878">
        <f>SUMIFS('Level of Efficiency Assumptions'!J:J,'Level of Efficiency Assumptions'!D:D,E2813,'Level of Efficiency Assumptions'!F:F,F2813,'Level of Efficiency Assumptions'!I:I,I2813)</f>
        <v>7.5</v>
      </c>
      <c r="K2813" s="383" t="s">
        <v>588</v>
      </c>
      <c r="L2813" s="255" t="s">
        <v>65</v>
      </c>
      <c r="M2813" s="879">
        <f>Q2814+Q2815</f>
        <v>1</v>
      </c>
      <c r="N2813" s="880">
        <f>IFERROR(M2813/M2815,"-")</f>
        <v>1</v>
      </c>
      <c r="O2813" s="881">
        <f>SUMIFS('Data Entry'!S:S,'Data Entry'!K:K,G2813)</f>
        <v>0</v>
      </c>
      <c r="P2813" s="272"/>
      <c r="Q2813" s="895">
        <v>0</v>
      </c>
      <c r="R2813" s="114"/>
      <c r="S2813" s="884"/>
      <c r="T2813" s="270"/>
      <c r="U2813" s="270"/>
      <c r="V2813" s="270"/>
      <c r="W2813" s="270"/>
      <c r="X2813" s="270"/>
      <c r="Y2813" s="270"/>
      <c r="Z2813" s="270"/>
      <c r="AA2813" s="270"/>
    </row>
    <row r="2814" spans="3:27" ht="15" thickBot="1" x14ac:dyDescent="0.35">
      <c r="C2814" s="501" t="s">
        <v>106</v>
      </c>
      <c r="D2814" s="116"/>
      <c r="E2814" s="116" t="s">
        <v>43</v>
      </c>
      <c r="F2814" s="116" t="s">
        <v>426</v>
      </c>
      <c r="G2814" s="450" t="str">
        <f t="shared" si="139"/>
        <v>Tenant A-Maintenance-Pavement cleaning</v>
      </c>
      <c r="H2814" s="116"/>
      <c r="I2814" s="889" t="s">
        <v>66</v>
      </c>
      <c r="J2814" s="890">
        <f>SUMIFS('Level of Efficiency Assumptions'!J:J,'Level of Efficiency Assumptions'!D:D,E2814,'Level of Efficiency Assumptions'!F:F,F2814,'Level of Efficiency Assumptions'!I:I,I2814)</f>
        <v>5</v>
      </c>
      <c r="K2814" s="383" t="s">
        <v>588</v>
      </c>
      <c r="L2814" s="257" t="s">
        <v>66</v>
      </c>
      <c r="M2814" s="879">
        <f>Q2816+Q2817</f>
        <v>0</v>
      </c>
      <c r="N2814" s="880">
        <f>IFERROR(M2814/M2815,"-")</f>
        <v>0</v>
      </c>
      <c r="O2814" s="881">
        <f>SUMIFS('Data Entry'!T:T,'Data Entry'!K:K,G2814)</f>
        <v>0</v>
      </c>
      <c r="P2814" s="274"/>
      <c r="Q2814" s="895">
        <v>1</v>
      </c>
      <c r="R2814" s="114"/>
      <c r="S2814" s="884"/>
      <c r="T2814" s="270"/>
      <c r="U2814" s="270"/>
      <c r="V2814" s="270"/>
      <c r="W2814" s="270"/>
      <c r="X2814" s="270"/>
      <c r="Y2814" s="270"/>
      <c r="Z2814" s="270"/>
      <c r="AA2814" s="270"/>
    </row>
    <row r="2815" spans="3:27" x14ac:dyDescent="0.3">
      <c r="C2815" s="450"/>
      <c r="D2815" s="182"/>
      <c r="E2815" s="182"/>
      <c r="F2815" s="182"/>
      <c r="G2815" s="450" t="str">
        <f t="shared" si="139"/>
        <v>--</v>
      </c>
      <c r="H2815" s="182"/>
      <c r="I2815" s="440"/>
      <c r="J2815" s="892"/>
      <c r="K2815" s="259"/>
      <c r="L2815" s="259" t="s">
        <v>46</v>
      </c>
      <c r="M2815" s="893">
        <f>SUM(M2812:M2814)</f>
        <v>1</v>
      </c>
      <c r="N2815" s="894"/>
      <c r="O2815" s="894">
        <f>SUM(O2812:O2814)</f>
        <v>0</v>
      </c>
      <c r="P2815" s="274"/>
      <c r="Q2815" s="895">
        <v>0</v>
      </c>
      <c r="R2815" s="114"/>
      <c r="S2815" s="884"/>
      <c r="T2815" s="270"/>
      <c r="U2815" s="270"/>
      <c r="V2815" s="270"/>
      <c r="W2815" s="270"/>
      <c r="X2815" s="270"/>
      <c r="Y2815" s="270"/>
      <c r="Z2815" s="270"/>
      <c r="AA2815" s="270"/>
    </row>
    <row r="2816" spans="3:27" x14ac:dyDescent="0.3">
      <c r="C2816" s="450"/>
      <c r="D2816" s="182"/>
      <c r="E2816" s="182"/>
      <c r="F2816" s="182"/>
      <c r="G2816" s="450" t="str">
        <f t="shared" si="139"/>
        <v>--</v>
      </c>
      <c r="H2816" s="182"/>
      <c r="I2816" s="892"/>
      <c r="J2816" s="288"/>
      <c r="K2816" s="182"/>
      <c r="L2816" s="182"/>
      <c r="M2816" s="270"/>
      <c r="N2816" s="892"/>
      <c r="O2816" s="892"/>
      <c r="P2816" s="275"/>
      <c r="Q2816" s="895">
        <v>0</v>
      </c>
      <c r="R2816" s="114"/>
      <c r="S2816" s="884"/>
      <c r="T2816" s="270"/>
      <c r="U2816" s="270"/>
      <c r="V2816" s="270"/>
      <c r="W2816" s="270"/>
      <c r="X2816" s="270"/>
      <c r="Y2816" s="270"/>
      <c r="Z2816" s="270"/>
      <c r="AA2816" s="270"/>
    </row>
    <row r="2817" spans="3:27" x14ac:dyDescent="0.3">
      <c r="C2817" s="450"/>
      <c r="D2817" s="182"/>
      <c r="E2817" s="182"/>
      <c r="F2817" s="182"/>
      <c r="G2817" s="450" t="str">
        <f t="shared" si="139"/>
        <v>--</v>
      </c>
      <c r="H2817" s="182"/>
      <c r="I2817" s="892"/>
      <c r="J2817" s="288"/>
      <c r="K2817" s="182"/>
      <c r="L2817" s="182"/>
      <c r="M2817" s="270"/>
      <c r="N2817" s="892"/>
      <c r="O2817" s="892"/>
      <c r="P2817" s="269"/>
      <c r="Q2817" s="895">
        <v>0</v>
      </c>
      <c r="R2817" s="114"/>
      <c r="S2817" s="884"/>
      <c r="T2817" s="270"/>
      <c r="U2817" s="270"/>
      <c r="V2817" s="270"/>
      <c r="W2817" s="270"/>
      <c r="X2817" s="270"/>
      <c r="Y2817" s="270"/>
      <c r="Z2817" s="270"/>
      <c r="AA2817" s="270"/>
    </row>
    <row r="2818" spans="3:27" x14ac:dyDescent="0.3">
      <c r="C2818" s="450"/>
      <c r="D2818" s="182"/>
      <c r="E2818" s="182"/>
      <c r="F2818" s="182"/>
      <c r="G2818" s="450" t="str">
        <f t="shared" si="139"/>
        <v>--</v>
      </c>
      <c r="H2818" s="182"/>
      <c r="I2818" s="892"/>
      <c r="J2818" s="288"/>
      <c r="K2818" s="182"/>
      <c r="L2818" s="182"/>
      <c r="M2818" s="270"/>
      <c r="N2818" s="892"/>
      <c r="O2818" s="892"/>
      <c r="P2818" s="263" t="s">
        <v>46</v>
      </c>
      <c r="Q2818" s="897">
        <f>SUM(Q2812:Q2817)</f>
        <v>1</v>
      </c>
      <c r="R2818" s="899"/>
      <c r="S2818" s="900"/>
      <c r="T2818" s="270"/>
      <c r="U2818" s="270"/>
      <c r="V2818" s="270"/>
      <c r="W2818" s="270"/>
      <c r="X2818" s="270"/>
      <c r="Y2818" s="270"/>
      <c r="Z2818" s="270"/>
      <c r="AA2818" s="270"/>
    </row>
    <row r="2819" spans="3:27" x14ac:dyDescent="0.3">
      <c r="C2819" s="450"/>
      <c r="D2819" s="182"/>
      <c r="E2819" s="182"/>
      <c r="F2819" s="182"/>
      <c r="G2819" s="450" t="str">
        <f t="shared" si="139"/>
        <v>--</v>
      </c>
      <c r="H2819" s="182"/>
      <c r="I2819" s="892"/>
      <c r="J2819" s="288"/>
      <c r="K2819" s="182"/>
      <c r="L2819" s="270"/>
      <c r="M2819" s="270"/>
      <c r="N2819" s="923"/>
      <c r="O2819" s="923"/>
      <c r="P2819" s="270"/>
      <c r="Q2819" s="270"/>
      <c r="R2819" s="270"/>
      <c r="S2819" s="270"/>
      <c r="T2819" s="270"/>
      <c r="U2819" s="270"/>
      <c r="V2819" s="270"/>
      <c r="W2819" s="270"/>
      <c r="X2819" s="270"/>
      <c r="Y2819" s="270"/>
      <c r="Z2819" s="270"/>
      <c r="AA2819" s="270"/>
    </row>
    <row r="2820" spans="3:27" ht="15" thickBot="1" x14ac:dyDescent="0.35">
      <c r="C2820" s="450"/>
      <c r="D2820" s="182"/>
      <c r="E2820" s="182"/>
      <c r="F2820" s="182"/>
      <c r="G2820" s="450" t="str">
        <f t="shared" si="139"/>
        <v>--</v>
      </c>
      <c r="H2820" s="182"/>
      <c r="I2820" s="892"/>
      <c r="J2820" s="892"/>
      <c r="K2820" s="182"/>
      <c r="L2820" s="182"/>
      <c r="M2820" s="901" t="s">
        <v>155</v>
      </c>
      <c r="N2820" s="870" t="s">
        <v>188</v>
      </c>
      <c r="O2820" s="870"/>
      <c r="P2820" s="276" t="s">
        <v>52</v>
      </c>
      <c r="Q2820" s="871" t="s">
        <v>155</v>
      </c>
      <c r="R2820" s="902"/>
      <c r="S2820" s="874"/>
      <c r="T2820" s="270"/>
      <c r="U2820" s="270"/>
      <c r="V2820" s="270"/>
      <c r="W2820" s="270"/>
      <c r="X2820" s="270"/>
      <c r="Y2820" s="270"/>
      <c r="Z2820" s="270"/>
      <c r="AA2820" s="270"/>
    </row>
    <row r="2821" spans="3:27" ht="15" thickBot="1" x14ac:dyDescent="0.35">
      <c r="C2821" s="566" t="s">
        <v>106</v>
      </c>
      <c r="D2821" s="875" t="str">
        <f>VLOOKUP(C2821,'Airport Mapping'!$C$5:$D$39,2,FALSE)</f>
        <v xml:space="preserve"> </v>
      </c>
      <c r="E2821" s="567" t="s">
        <v>8</v>
      </c>
      <c r="F2821" s="567" t="s">
        <v>52</v>
      </c>
      <c r="G2821" s="450" t="str">
        <f t="shared" si="139"/>
        <v>Tenant A-Other-Other 1</v>
      </c>
      <c r="H2821" s="567" t="s">
        <v>362</v>
      </c>
      <c r="I2821" s="877" t="s">
        <v>64</v>
      </c>
      <c r="J2821" s="878">
        <f>SUMIFS('Level of Efficiency Assumptions'!J:J,'Level of Efficiency Assumptions'!D:D,E2821,'Level of Efficiency Assumptions'!F:F,F2821,'Level of Efficiency Assumptions'!I:I,I2821)</f>
        <v>10</v>
      </c>
      <c r="K2821" s="383" t="s">
        <v>588</v>
      </c>
      <c r="L2821" s="253" t="s">
        <v>64</v>
      </c>
      <c r="M2821" s="879">
        <f>SUM(Q2821:Q2821)</f>
        <v>0</v>
      </c>
      <c r="N2821" s="880">
        <f>IFERROR(M2821/M2824,"-")</f>
        <v>0</v>
      </c>
      <c r="O2821" s="881">
        <f>SUMIFS('Data Entry'!R:R,'Data Entry'!K:K,G2821)</f>
        <v>0</v>
      </c>
      <c r="P2821" s="272" t="s">
        <v>129</v>
      </c>
      <c r="Q2821" s="895">
        <v>0</v>
      </c>
      <c r="R2821" s="114"/>
      <c r="S2821" s="884"/>
      <c r="T2821" s="270"/>
      <c r="U2821" s="270"/>
      <c r="V2821" s="270"/>
      <c r="W2821" s="270"/>
      <c r="X2821" s="270"/>
      <c r="Y2821" s="270"/>
      <c r="Z2821" s="270"/>
      <c r="AA2821" s="270"/>
    </row>
    <row r="2822" spans="3:27" ht="15" thickBot="1" x14ac:dyDescent="0.35">
      <c r="C2822" s="494" t="s">
        <v>106</v>
      </c>
      <c r="D2822" s="577"/>
      <c r="E2822" s="577" t="s">
        <v>8</v>
      </c>
      <c r="F2822" s="577" t="s">
        <v>52</v>
      </c>
      <c r="G2822" s="450" t="str">
        <f t="shared" si="139"/>
        <v>Tenant A-Other-Other 1</v>
      </c>
      <c r="H2822" s="577"/>
      <c r="I2822" s="887" t="s">
        <v>65</v>
      </c>
      <c r="J2822" s="878">
        <f>SUMIFS('Level of Efficiency Assumptions'!J:J,'Level of Efficiency Assumptions'!D:D,E2822,'Level of Efficiency Assumptions'!F:F,F2822,'Level of Efficiency Assumptions'!I:I,I2822)</f>
        <v>7.5</v>
      </c>
      <c r="K2822" s="383" t="s">
        <v>588</v>
      </c>
      <c r="L2822" s="255" t="s">
        <v>65</v>
      </c>
      <c r="M2822" s="879">
        <f t="shared" ref="M2822:M2823" si="140">SUM(Q2822:Q2822)</f>
        <v>1</v>
      </c>
      <c r="N2822" s="880">
        <f>IFERROR(M2822/M2824,"-")</f>
        <v>1</v>
      </c>
      <c r="O2822" s="881">
        <f>SUMIFS('Data Entry'!S:S,'Data Entry'!K:K,G2822)</f>
        <v>0</v>
      </c>
      <c r="P2822" s="274" t="s">
        <v>233</v>
      </c>
      <c r="Q2822" s="895">
        <v>1</v>
      </c>
      <c r="R2822" s="114"/>
      <c r="S2822" s="884"/>
      <c r="T2822" s="270"/>
      <c r="U2822" s="270"/>
      <c r="V2822" s="270"/>
      <c r="W2822" s="270"/>
      <c r="X2822" s="270"/>
      <c r="Y2822" s="270"/>
      <c r="Z2822" s="270"/>
      <c r="AA2822" s="270"/>
    </row>
    <row r="2823" spans="3:27" ht="15" thickBot="1" x14ac:dyDescent="0.35">
      <c r="C2823" s="501" t="s">
        <v>106</v>
      </c>
      <c r="D2823" s="116"/>
      <c r="E2823" s="116" t="s">
        <v>8</v>
      </c>
      <c r="F2823" s="116" t="s">
        <v>52</v>
      </c>
      <c r="G2823" s="450" t="str">
        <f t="shared" si="139"/>
        <v>Tenant A-Other-Other 1</v>
      </c>
      <c r="H2823" s="116"/>
      <c r="I2823" s="889" t="s">
        <v>66</v>
      </c>
      <c r="J2823" s="890">
        <f>SUMIFS('Level of Efficiency Assumptions'!J:J,'Level of Efficiency Assumptions'!D:D,E2823,'Level of Efficiency Assumptions'!F:F,F2823,'Level of Efficiency Assumptions'!I:I,I2823)</f>
        <v>5</v>
      </c>
      <c r="K2823" s="383" t="s">
        <v>588</v>
      </c>
      <c r="L2823" s="257" t="s">
        <v>66</v>
      </c>
      <c r="M2823" s="879">
        <f t="shared" si="140"/>
        <v>0</v>
      </c>
      <c r="N2823" s="880">
        <f>IFERROR(M2823/M2824,"-")</f>
        <v>0</v>
      </c>
      <c r="O2823" s="881">
        <f>SUMIFS('Data Entry'!T:T,'Data Entry'!K:K,G2823)</f>
        <v>0</v>
      </c>
      <c r="P2823" s="269" t="s">
        <v>234</v>
      </c>
      <c r="Q2823" s="895">
        <v>0</v>
      </c>
      <c r="R2823" s="114"/>
      <c r="S2823" s="884"/>
      <c r="T2823" s="270"/>
      <c r="U2823" s="270"/>
      <c r="V2823" s="270"/>
      <c r="W2823" s="270"/>
      <c r="X2823" s="270"/>
      <c r="Y2823" s="270"/>
      <c r="Z2823" s="270"/>
      <c r="AA2823" s="270"/>
    </row>
    <row r="2824" spans="3:27" x14ac:dyDescent="0.3">
      <c r="C2824" s="450"/>
      <c r="D2824" s="182"/>
      <c r="E2824" s="182"/>
      <c r="F2824" s="182"/>
      <c r="G2824" s="450" t="str">
        <f t="shared" si="139"/>
        <v>--</v>
      </c>
      <c r="H2824" s="182"/>
      <c r="I2824" s="440"/>
      <c r="J2824" s="892"/>
      <c r="K2824" s="259"/>
      <c r="L2824" s="259" t="s">
        <v>46</v>
      </c>
      <c r="M2824" s="893">
        <f>SUM(M2821:M2823)</f>
        <v>1</v>
      </c>
      <c r="N2824" s="894"/>
      <c r="O2824" s="894">
        <f>SUM(O2821:O2823)</f>
        <v>0</v>
      </c>
      <c r="P2824" s="263" t="s">
        <v>46</v>
      </c>
      <c r="Q2824" s="897">
        <f>SUM(Q2821:Q2823)</f>
        <v>1</v>
      </c>
      <c r="R2824" s="899"/>
      <c r="S2824" s="900"/>
      <c r="T2824" s="270"/>
      <c r="U2824" s="270"/>
      <c r="V2824" s="270"/>
      <c r="W2824" s="270"/>
      <c r="X2824" s="270"/>
      <c r="Y2824" s="270"/>
      <c r="Z2824" s="270"/>
      <c r="AA2824" s="270"/>
    </row>
    <row r="2825" spans="3:27" x14ac:dyDescent="0.3">
      <c r="C2825" s="450"/>
      <c r="D2825" s="182"/>
      <c r="E2825" s="182"/>
      <c r="F2825" s="182"/>
      <c r="G2825" s="450" t="str">
        <f t="shared" si="139"/>
        <v>--</v>
      </c>
      <c r="H2825" s="182"/>
      <c r="I2825" s="892"/>
      <c r="J2825" s="288"/>
      <c r="K2825" s="182"/>
      <c r="L2825" s="182"/>
      <c r="M2825" s="270"/>
      <c r="N2825" s="892"/>
      <c r="O2825" s="892"/>
      <c r="P2825" s="270"/>
      <c r="Q2825" s="270"/>
      <c r="R2825" s="270"/>
      <c r="S2825" s="270"/>
      <c r="T2825" s="270"/>
      <c r="U2825" s="270"/>
      <c r="V2825" s="270"/>
      <c r="W2825" s="270"/>
      <c r="X2825" s="270"/>
      <c r="Y2825" s="270"/>
      <c r="Z2825" s="270"/>
      <c r="AA2825" s="270"/>
    </row>
    <row r="2826" spans="3:27" ht="15" thickBot="1" x14ac:dyDescent="0.35">
      <c r="C2826" s="450"/>
      <c r="D2826" s="182"/>
      <c r="E2826" s="182"/>
      <c r="F2826" s="182"/>
      <c r="G2826" s="450" t="str">
        <f t="shared" si="139"/>
        <v>--</v>
      </c>
      <c r="H2826" s="182"/>
      <c r="I2826" s="892"/>
      <c r="J2826" s="892"/>
      <c r="K2826" s="182"/>
      <c r="L2826" s="182"/>
      <c r="M2826" s="901" t="s">
        <v>155</v>
      </c>
      <c r="N2826" s="870" t="s">
        <v>188</v>
      </c>
      <c r="O2826" s="870"/>
      <c r="P2826" s="276" t="s">
        <v>53</v>
      </c>
      <c r="Q2826" s="871" t="s">
        <v>155</v>
      </c>
      <c r="R2826" s="902"/>
      <c r="S2826" s="874"/>
      <c r="T2826" s="270"/>
      <c r="U2826" s="270"/>
      <c r="V2826" s="270"/>
      <c r="W2826" s="270"/>
      <c r="X2826" s="270"/>
      <c r="Y2826" s="270"/>
      <c r="Z2826" s="270"/>
      <c r="AA2826" s="270"/>
    </row>
    <row r="2827" spans="3:27" ht="15" thickBot="1" x14ac:dyDescent="0.35">
      <c r="C2827" s="566" t="s">
        <v>106</v>
      </c>
      <c r="D2827" s="875" t="str">
        <f>VLOOKUP(C2827,'Airport Mapping'!$C$5:$D$39,2,FALSE)</f>
        <v xml:space="preserve"> </v>
      </c>
      <c r="E2827" s="567" t="s">
        <v>8</v>
      </c>
      <c r="F2827" s="567" t="s">
        <v>53</v>
      </c>
      <c r="G2827" s="450" t="str">
        <f t="shared" si="139"/>
        <v>Tenant A-Other-Other 2</v>
      </c>
      <c r="H2827" s="567" t="s">
        <v>363</v>
      </c>
      <c r="I2827" s="877" t="s">
        <v>64</v>
      </c>
      <c r="J2827" s="878">
        <f>SUMIFS('Level of Efficiency Assumptions'!J:J,'Level of Efficiency Assumptions'!D:D,E2827,'Level of Efficiency Assumptions'!F:F,F2827,'Level of Efficiency Assumptions'!I:I,I2827)</f>
        <v>10</v>
      </c>
      <c r="K2827" s="383" t="s">
        <v>588</v>
      </c>
      <c r="L2827" s="253" t="s">
        <v>64</v>
      </c>
      <c r="M2827" s="879">
        <f>SUM(Q2827:Q2827)</f>
        <v>0</v>
      </c>
      <c r="N2827" s="880">
        <f>IFERROR(M2827/M2830,"-")</f>
        <v>0</v>
      </c>
      <c r="O2827" s="881">
        <f>SUMIFS('Data Entry'!R:R,'Data Entry'!K:K,G2827)</f>
        <v>0</v>
      </c>
      <c r="P2827" s="272" t="s">
        <v>129</v>
      </c>
      <c r="Q2827" s="895">
        <v>0</v>
      </c>
      <c r="R2827" s="114"/>
      <c r="S2827" s="884"/>
      <c r="T2827" s="270"/>
      <c r="U2827" s="270"/>
      <c r="V2827" s="270"/>
      <c r="W2827" s="270"/>
      <c r="X2827" s="270"/>
      <c r="Y2827" s="270"/>
      <c r="Z2827" s="270"/>
      <c r="AA2827" s="270"/>
    </row>
    <row r="2828" spans="3:27" ht="15" thickBot="1" x14ac:dyDescent="0.35">
      <c r="C2828" s="494" t="s">
        <v>106</v>
      </c>
      <c r="D2828" s="577"/>
      <c r="E2828" s="577" t="s">
        <v>8</v>
      </c>
      <c r="F2828" s="577" t="s">
        <v>53</v>
      </c>
      <c r="G2828" s="450" t="str">
        <f t="shared" si="139"/>
        <v>Tenant A-Other-Other 2</v>
      </c>
      <c r="H2828" s="577"/>
      <c r="I2828" s="887" t="s">
        <v>65</v>
      </c>
      <c r="J2828" s="878">
        <f>SUMIFS('Level of Efficiency Assumptions'!J:J,'Level of Efficiency Assumptions'!D:D,E2828,'Level of Efficiency Assumptions'!F:F,F2828,'Level of Efficiency Assumptions'!I:I,I2828)</f>
        <v>7.5</v>
      </c>
      <c r="K2828" s="383" t="s">
        <v>588</v>
      </c>
      <c r="L2828" s="255" t="s">
        <v>65</v>
      </c>
      <c r="M2828" s="879">
        <f t="shared" ref="M2828:M2829" si="141">SUM(Q2828:Q2828)</f>
        <v>1</v>
      </c>
      <c r="N2828" s="880">
        <f>IFERROR(M2828/M2830,"-")</f>
        <v>1</v>
      </c>
      <c r="O2828" s="881">
        <f>SUMIFS('Data Entry'!S:S,'Data Entry'!K:K,G2828)</f>
        <v>0</v>
      </c>
      <c r="P2828" s="274" t="s">
        <v>233</v>
      </c>
      <c r="Q2828" s="895">
        <v>1</v>
      </c>
      <c r="R2828" s="114"/>
      <c r="S2828" s="884"/>
      <c r="T2828" s="270"/>
      <c r="U2828" s="270"/>
      <c r="V2828" s="270"/>
      <c r="W2828" s="270"/>
      <c r="X2828" s="270"/>
      <c r="Y2828" s="270"/>
      <c r="Z2828" s="270"/>
      <c r="AA2828" s="270"/>
    </row>
    <row r="2829" spans="3:27" ht="15" thickBot="1" x14ac:dyDescent="0.35">
      <c r="C2829" s="501" t="s">
        <v>106</v>
      </c>
      <c r="D2829" s="116"/>
      <c r="E2829" s="116" t="s">
        <v>8</v>
      </c>
      <c r="F2829" s="116" t="s">
        <v>53</v>
      </c>
      <c r="G2829" s="450" t="str">
        <f t="shared" si="139"/>
        <v>Tenant A-Other-Other 2</v>
      </c>
      <c r="H2829" s="116"/>
      <c r="I2829" s="889" t="s">
        <v>66</v>
      </c>
      <c r="J2829" s="890">
        <f>SUMIFS('Level of Efficiency Assumptions'!J:J,'Level of Efficiency Assumptions'!D:D,E2829,'Level of Efficiency Assumptions'!F:F,F2829,'Level of Efficiency Assumptions'!I:I,I2829)</f>
        <v>5</v>
      </c>
      <c r="K2829" s="383" t="s">
        <v>588</v>
      </c>
      <c r="L2829" s="257" t="s">
        <v>66</v>
      </c>
      <c r="M2829" s="879">
        <f t="shared" si="141"/>
        <v>0</v>
      </c>
      <c r="N2829" s="880">
        <f>IFERROR(M2829/M2830,"-")</f>
        <v>0</v>
      </c>
      <c r="O2829" s="881">
        <f>SUMIFS('Data Entry'!T:T,'Data Entry'!K:K,G2829)</f>
        <v>0</v>
      </c>
      <c r="P2829" s="269" t="s">
        <v>234</v>
      </c>
      <c r="Q2829" s="895">
        <v>0</v>
      </c>
      <c r="R2829" s="114"/>
      <c r="S2829" s="884"/>
      <c r="T2829" s="270"/>
      <c r="U2829" s="270"/>
      <c r="V2829" s="270"/>
      <c r="W2829" s="270"/>
      <c r="X2829" s="270"/>
      <c r="Y2829" s="270"/>
      <c r="Z2829" s="270"/>
      <c r="AA2829" s="270"/>
    </row>
    <row r="2830" spans="3:27" x14ac:dyDescent="0.3">
      <c r="C2830" s="450"/>
      <c r="D2830" s="182"/>
      <c r="E2830" s="182"/>
      <c r="F2830" s="182"/>
      <c r="G2830" s="450" t="str">
        <f t="shared" si="139"/>
        <v>--</v>
      </c>
      <c r="H2830" s="182"/>
      <c r="I2830" s="440"/>
      <c r="J2830" s="892"/>
      <c r="K2830" s="259"/>
      <c r="L2830" s="259" t="s">
        <v>46</v>
      </c>
      <c r="M2830" s="893">
        <f>SUM(M2827:M2829)</f>
        <v>1</v>
      </c>
      <c r="N2830" s="894"/>
      <c r="O2830" s="894">
        <f>SUM(O2827:O2829)</f>
        <v>0</v>
      </c>
      <c r="P2830" s="263" t="s">
        <v>46</v>
      </c>
      <c r="Q2830" s="897">
        <f>SUM(Q2827:Q2829)</f>
        <v>1</v>
      </c>
      <c r="R2830" s="899"/>
      <c r="S2830" s="900"/>
      <c r="T2830" s="270"/>
      <c r="U2830" s="270"/>
      <c r="V2830" s="270"/>
      <c r="W2830" s="270"/>
      <c r="X2830" s="270"/>
      <c r="Y2830" s="270"/>
      <c r="Z2830" s="270"/>
      <c r="AA2830" s="270"/>
    </row>
    <row r="2831" spans="3:27" x14ac:dyDescent="0.3">
      <c r="C2831" s="450"/>
      <c r="D2831" s="182"/>
      <c r="E2831" s="182"/>
      <c r="F2831" s="182"/>
      <c r="G2831" s="450" t="str">
        <f t="shared" si="139"/>
        <v>--</v>
      </c>
      <c r="H2831" s="182"/>
      <c r="I2831" s="892"/>
      <c r="J2831" s="288"/>
      <c r="K2831" s="182"/>
      <c r="L2831" s="182"/>
      <c r="M2831" s="270"/>
      <c r="N2831" s="892"/>
      <c r="O2831" s="892"/>
      <c r="P2831" s="270"/>
      <c r="Q2831" s="270"/>
      <c r="R2831" s="270"/>
      <c r="S2831" s="270"/>
      <c r="T2831" s="270"/>
      <c r="U2831" s="270"/>
      <c r="V2831" s="270"/>
      <c r="W2831" s="270"/>
      <c r="X2831" s="270"/>
      <c r="Y2831" s="270"/>
      <c r="Z2831" s="270"/>
      <c r="AA2831" s="270"/>
    </row>
    <row r="2832" spans="3:27" ht="15" thickBot="1" x14ac:dyDescent="0.35">
      <c r="C2832" s="450"/>
      <c r="D2832" s="182"/>
      <c r="E2832" s="182"/>
      <c r="F2832" s="182"/>
      <c r="G2832" s="450" t="str">
        <f t="shared" si="139"/>
        <v>--</v>
      </c>
      <c r="H2832" s="182"/>
      <c r="I2832" s="892"/>
      <c r="J2832" s="892"/>
      <c r="K2832" s="182"/>
      <c r="L2832" s="182"/>
      <c r="M2832" s="901" t="s">
        <v>155</v>
      </c>
      <c r="N2832" s="870" t="s">
        <v>188</v>
      </c>
      <c r="O2832" s="870"/>
      <c r="P2832" s="276" t="s">
        <v>54</v>
      </c>
      <c r="Q2832" s="871" t="s">
        <v>155</v>
      </c>
      <c r="R2832" s="902"/>
      <c r="S2832" s="874"/>
      <c r="T2832" s="270"/>
      <c r="U2832" s="270"/>
      <c r="V2832" s="270"/>
      <c r="W2832" s="270"/>
      <c r="X2832" s="270"/>
      <c r="Y2832" s="270"/>
      <c r="Z2832" s="270"/>
      <c r="AA2832" s="270"/>
    </row>
    <row r="2833" spans="3:27" ht="15" thickBot="1" x14ac:dyDescent="0.35">
      <c r="C2833" s="566" t="s">
        <v>106</v>
      </c>
      <c r="D2833" s="875" t="str">
        <f>VLOOKUP(C2833,'Airport Mapping'!$C$5:$D$39,2,FALSE)</f>
        <v xml:space="preserve"> </v>
      </c>
      <c r="E2833" s="567" t="s">
        <v>8</v>
      </c>
      <c r="F2833" s="567" t="s">
        <v>54</v>
      </c>
      <c r="G2833" s="450" t="str">
        <f t="shared" si="139"/>
        <v>Tenant A-Other-Other 3</v>
      </c>
      <c r="H2833" s="567" t="s">
        <v>364</v>
      </c>
      <c r="I2833" s="877" t="s">
        <v>64</v>
      </c>
      <c r="J2833" s="878">
        <f>SUMIFS('Level of Efficiency Assumptions'!J:J,'Level of Efficiency Assumptions'!D:D,E2833,'Level of Efficiency Assumptions'!F:F,F2833,'Level of Efficiency Assumptions'!I:I,I2833)</f>
        <v>10</v>
      </c>
      <c r="K2833" s="383" t="s">
        <v>588</v>
      </c>
      <c r="L2833" s="253" t="s">
        <v>64</v>
      </c>
      <c r="M2833" s="879">
        <f>SUM(Q2833:Q2833)</f>
        <v>0</v>
      </c>
      <c r="N2833" s="880">
        <f>IFERROR(M2833/M2836,"-")</f>
        <v>0</v>
      </c>
      <c r="O2833" s="881">
        <f>SUMIFS('Data Entry'!R:R,'Data Entry'!K:K,G2833)</f>
        <v>0</v>
      </c>
      <c r="P2833" s="272" t="s">
        <v>129</v>
      </c>
      <c r="Q2833" s="895">
        <v>0</v>
      </c>
      <c r="R2833" s="114"/>
      <c r="S2833" s="884"/>
      <c r="T2833" s="270"/>
      <c r="U2833" s="270"/>
      <c r="V2833" s="270"/>
      <c r="W2833" s="270"/>
      <c r="X2833" s="270"/>
      <c r="Y2833" s="270"/>
      <c r="Z2833" s="270"/>
      <c r="AA2833" s="270"/>
    </row>
    <row r="2834" spans="3:27" ht="15" thickBot="1" x14ac:dyDescent="0.35">
      <c r="C2834" s="494" t="s">
        <v>106</v>
      </c>
      <c r="D2834" s="577"/>
      <c r="E2834" s="577" t="s">
        <v>8</v>
      </c>
      <c r="F2834" s="577" t="s">
        <v>54</v>
      </c>
      <c r="G2834" s="450" t="str">
        <f t="shared" si="139"/>
        <v>Tenant A-Other-Other 3</v>
      </c>
      <c r="H2834" s="577"/>
      <c r="I2834" s="887" t="s">
        <v>65</v>
      </c>
      <c r="J2834" s="878">
        <f>SUMIFS('Level of Efficiency Assumptions'!J:J,'Level of Efficiency Assumptions'!D:D,E2834,'Level of Efficiency Assumptions'!F:F,F2834,'Level of Efficiency Assumptions'!I:I,I2834)</f>
        <v>7.5</v>
      </c>
      <c r="K2834" s="383" t="s">
        <v>588</v>
      </c>
      <c r="L2834" s="255" t="s">
        <v>65</v>
      </c>
      <c r="M2834" s="879">
        <f t="shared" ref="M2834:M2835" si="142">SUM(Q2834:Q2834)</f>
        <v>1</v>
      </c>
      <c r="N2834" s="880">
        <f>IFERROR(M2834/M2836,"-")</f>
        <v>1</v>
      </c>
      <c r="O2834" s="881">
        <f>SUMIFS('Data Entry'!S:S,'Data Entry'!K:K,G2834)</f>
        <v>0</v>
      </c>
      <c r="P2834" s="274" t="s">
        <v>233</v>
      </c>
      <c r="Q2834" s="895">
        <v>1</v>
      </c>
      <c r="R2834" s="114"/>
      <c r="S2834" s="884"/>
      <c r="T2834" s="270"/>
      <c r="U2834" s="270"/>
      <c r="V2834" s="270"/>
      <c r="W2834" s="270"/>
      <c r="X2834" s="270"/>
      <c r="Y2834" s="270"/>
      <c r="Z2834" s="270"/>
      <c r="AA2834" s="270"/>
    </row>
    <row r="2835" spans="3:27" ht="15" thickBot="1" x14ac:dyDescent="0.35">
      <c r="C2835" s="501" t="s">
        <v>106</v>
      </c>
      <c r="D2835" s="116"/>
      <c r="E2835" s="116" t="s">
        <v>8</v>
      </c>
      <c r="F2835" s="116" t="s">
        <v>54</v>
      </c>
      <c r="G2835" s="450" t="str">
        <f t="shared" si="139"/>
        <v>Tenant A-Other-Other 3</v>
      </c>
      <c r="H2835" s="116"/>
      <c r="I2835" s="889" t="s">
        <v>66</v>
      </c>
      <c r="J2835" s="890">
        <f>SUMIFS('Level of Efficiency Assumptions'!J:J,'Level of Efficiency Assumptions'!D:D,E2835,'Level of Efficiency Assumptions'!F:F,F2835,'Level of Efficiency Assumptions'!I:I,I2835)</f>
        <v>5</v>
      </c>
      <c r="K2835" s="383" t="s">
        <v>588</v>
      </c>
      <c r="L2835" s="257" t="s">
        <v>66</v>
      </c>
      <c r="M2835" s="879">
        <f t="shared" si="142"/>
        <v>0</v>
      </c>
      <c r="N2835" s="880">
        <f>IFERROR(M2835/M2836,"-")</f>
        <v>0</v>
      </c>
      <c r="O2835" s="881">
        <f>SUMIFS('Data Entry'!T:T,'Data Entry'!K:K,G2835)</f>
        <v>0</v>
      </c>
      <c r="P2835" s="269" t="s">
        <v>234</v>
      </c>
      <c r="Q2835" s="895">
        <v>0</v>
      </c>
      <c r="R2835" s="114"/>
      <c r="S2835" s="884"/>
      <c r="T2835" s="270"/>
      <c r="U2835" s="270"/>
      <c r="V2835" s="270"/>
      <c r="W2835" s="270"/>
      <c r="X2835" s="270"/>
      <c r="Y2835" s="270"/>
      <c r="Z2835" s="270"/>
      <c r="AA2835" s="270"/>
    </row>
    <row r="2836" spans="3:27" x14ac:dyDescent="0.3">
      <c r="C2836" s="450"/>
      <c r="D2836" s="182"/>
      <c r="E2836" s="182"/>
      <c r="F2836" s="182"/>
      <c r="G2836" s="450" t="str">
        <f t="shared" si="139"/>
        <v>--</v>
      </c>
      <c r="H2836" s="182"/>
      <c r="I2836" s="440"/>
      <c r="J2836" s="892"/>
      <c r="K2836" s="259"/>
      <c r="L2836" s="259" t="s">
        <v>46</v>
      </c>
      <c r="M2836" s="893">
        <f>SUM(M2833:M2835)</f>
        <v>1</v>
      </c>
      <c r="N2836" s="894"/>
      <c r="O2836" s="894">
        <f>SUM(O2833:O2835)</f>
        <v>0</v>
      </c>
      <c r="P2836" s="263" t="s">
        <v>46</v>
      </c>
      <c r="Q2836" s="897">
        <f>SUM(Q2833:Q2835)</f>
        <v>1</v>
      </c>
      <c r="R2836" s="899"/>
      <c r="S2836" s="900"/>
      <c r="T2836" s="270"/>
      <c r="U2836" s="270"/>
      <c r="V2836" s="270"/>
      <c r="W2836" s="270"/>
      <c r="X2836" s="270"/>
      <c r="Y2836" s="270"/>
      <c r="Z2836" s="270"/>
      <c r="AA2836" s="270"/>
    </row>
    <row r="2837" spans="3:27" ht="15" thickBot="1" x14ac:dyDescent="0.35">
      <c r="C2837" s="451"/>
      <c r="D2837" s="184"/>
      <c r="E2837" s="184"/>
      <c r="F2837" s="184"/>
      <c r="G2837" s="450" t="str">
        <f t="shared" si="139"/>
        <v>--</v>
      </c>
      <c r="H2837" s="184"/>
      <c r="I2837" s="281"/>
      <c r="J2837" s="281"/>
      <c r="K2837" s="184"/>
      <c r="L2837" s="184"/>
      <c r="M2837" s="278"/>
      <c r="N2837" s="281"/>
      <c r="O2837" s="281"/>
      <c r="P2837" s="278"/>
      <c r="Q2837" s="278"/>
      <c r="R2837" s="278"/>
      <c r="S2837" s="278"/>
      <c r="T2837" s="278"/>
      <c r="U2837" s="278"/>
      <c r="V2837" s="270"/>
      <c r="W2837" s="270"/>
      <c r="X2837" s="270"/>
      <c r="Y2837" s="270"/>
      <c r="Z2837" s="270"/>
      <c r="AA2837" s="270"/>
    </row>
    <row r="2838" spans="3:27" x14ac:dyDescent="0.3">
      <c r="C2838" s="450"/>
      <c r="D2838" s="182"/>
      <c r="E2838" s="182"/>
      <c r="F2838" s="182"/>
      <c r="G2838" s="450" t="str">
        <f t="shared" si="139"/>
        <v>--</v>
      </c>
      <c r="H2838" s="182"/>
      <c r="I2838" s="892"/>
      <c r="J2838" s="892"/>
      <c r="K2838" s="182"/>
      <c r="L2838" s="182"/>
      <c r="M2838" s="270"/>
      <c r="N2838" s="892"/>
      <c r="O2838" s="892"/>
      <c r="P2838" s="270"/>
      <c r="Q2838" s="270"/>
      <c r="R2838" s="270"/>
      <c r="S2838" s="270"/>
      <c r="T2838" s="270"/>
      <c r="U2838" s="270"/>
      <c r="V2838" s="270"/>
      <c r="W2838" s="270"/>
      <c r="X2838" s="270"/>
      <c r="Y2838" s="270"/>
      <c r="Z2838" s="270"/>
      <c r="AA2838" s="270"/>
    </row>
    <row r="2839" spans="3:27" ht="15" thickBot="1" x14ac:dyDescent="0.35">
      <c r="C2839" s="450"/>
      <c r="D2839" s="182"/>
      <c r="E2839" s="182"/>
      <c r="F2839" s="182"/>
      <c r="G2839" s="450" t="str">
        <f t="shared" si="139"/>
        <v>--</v>
      </c>
      <c r="H2839" s="182"/>
      <c r="I2839" s="892"/>
      <c r="J2839" s="892"/>
      <c r="K2839" s="182"/>
      <c r="L2839" s="182"/>
      <c r="M2839" s="901" t="s">
        <v>155</v>
      </c>
      <c r="N2839" s="870" t="s">
        <v>188</v>
      </c>
      <c r="O2839" s="870"/>
      <c r="P2839" s="252" t="s">
        <v>158</v>
      </c>
      <c r="Q2839" s="871" t="s">
        <v>155</v>
      </c>
      <c r="R2839" s="872" t="s">
        <v>168</v>
      </c>
      <c r="S2839" s="872" t="s">
        <v>169</v>
      </c>
      <c r="T2839" s="873"/>
      <c r="U2839" s="874"/>
      <c r="V2839" s="270"/>
      <c r="W2839" s="270"/>
      <c r="X2839" s="270"/>
      <c r="Y2839" s="114"/>
      <c r="Z2839" s="270"/>
      <c r="AA2839" s="270"/>
    </row>
    <row r="2840" spans="3:27" ht="15" thickBot="1" x14ac:dyDescent="0.35">
      <c r="C2840" s="566" t="s">
        <v>107</v>
      </c>
      <c r="D2840" s="875" t="str">
        <f>VLOOKUP(C2840,'Airport Mapping'!$C$5:$D$39,2,FALSE)</f>
        <v xml:space="preserve"> </v>
      </c>
      <c r="E2840" s="567" t="s">
        <v>37</v>
      </c>
      <c r="F2840" s="567" t="s">
        <v>2</v>
      </c>
      <c r="G2840" s="450" t="str">
        <f t="shared" si="139"/>
        <v>Tenant B-Restrooms-Toilets</v>
      </c>
      <c r="H2840" s="567" t="s">
        <v>6</v>
      </c>
      <c r="I2840" s="877" t="s">
        <v>64</v>
      </c>
      <c r="J2840" s="878">
        <f>SUMIFS('Level of Efficiency Assumptions'!J:J,'Level of Efficiency Assumptions'!D:D,E2840,'Level of Efficiency Assumptions'!F:F,F2840,'Level of Efficiency Assumptions'!I:I,I2840)</f>
        <v>3.5</v>
      </c>
      <c r="K2840" s="383" t="s">
        <v>68</v>
      </c>
      <c r="L2840" s="253" t="s">
        <v>64</v>
      </c>
      <c r="M2840" s="879">
        <f>Q2840+Q2846</f>
        <v>0</v>
      </c>
      <c r="N2840" s="880">
        <f>IFERROR(M2840/M2843,"-")</f>
        <v>0</v>
      </c>
      <c r="O2840" s="881">
        <f>SUMIFS('Data Entry'!R:R,'Data Entry'!K:K,G2840)</f>
        <v>0</v>
      </c>
      <c r="P2840" s="254" t="s">
        <v>159</v>
      </c>
      <c r="Q2840" s="882">
        <v>0</v>
      </c>
      <c r="R2840" s="883"/>
      <c r="S2840" s="883"/>
      <c r="T2840" s="114" t="s">
        <v>182</v>
      </c>
      <c r="U2840" s="884"/>
      <c r="V2840" s="270"/>
      <c r="W2840" s="270"/>
      <c r="X2840" s="270"/>
      <c r="Y2840" s="114"/>
      <c r="Z2840" s="270"/>
      <c r="AA2840" s="270"/>
    </row>
    <row r="2841" spans="3:27" ht="15" thickBot="1" x14ac:dyDescent="0.35">
      <c r="C2841" s="494" t="s">
        <v>107</v>
      </c>
      <c r="D2841" s="577"/>
      <c r="E2841" s="577" t="s">
        <v>37</v>
      </c>
      <c r="F2841" s="577" t="s">
        <v>2</v>
      </c>
      <c r="G2841" s="450" t="str">
        <f t="shared" ref="G2841:G2904" si="143">C2841&amp;"-"&amp;E2841&amp;"-"&amp;F2841</f>
        <v>Tenant B-Restrooms-Toilets</v>
      </c>
      <c r="H2841" s="577"/>
      <c r="I2841" s="887" t="s">
        <v>65</v>
      </c>
      <c r="J2841" s="878">
        <f>SUMIFS('Level of Efficiency Assumptions'!J:J,'Level of Efficiency Assumptions'!D:D,E2841,'Level of Efficiency Assumptions'!F:F,F2841,'Level of Efficiency Assumptions'!I:I,I2841)</f>
        <v>1.6</v>
      </c>
      <c r="K2841" s="383" t="s">
        <v>68</v>
      </c>
      <c r="L2841" s="255" t="s">
        <v>65</v>
      </c>
      <c r="M2841" s="879">
        <f>Q2841+Q2844+Q2847</f>
        <v>1</v>
      </c>
      <c r="N2841" s="880">
        <f>IFERROR(M2841/M2843,"-")</f>
        <v>1</v>
      </c>
      <c r="O2841" s="881">
        <f>SUMIFS('Data Entry'!S:S,'Data Entry'!K:K,G2841)</f>
        <v>0</v>
      </c>
      <c r="P2841" s="256" t="s">
        <v>161</v>
      </c>
      <c r="Q2841" s="882">
        <v>1</v>
      </c>
      <c r="R2841" s="883"/>
      <c r="S2841" s="883"/>
      <c r="T2841" s="114" t="s">
        <v>184</v>
      </c>
      <c r="U2841" s="884"/>
      <c r="V2841" s="270"/>
      <c r="W2841" s="270"/>
      <c r="X2841" s="270"/>
      <c r="Y2841" s="114"/>
      <c r="Z2841" s="270"/>
      <c r="AA2841" s="270"/>
    </row>
    <row r="2842" spans="3:27" ht="15" thickBot="1" x14ac:dyDescent="0.35">
      <c r="C2842" s="501" t="s">
        <v>107</v>
      </c>
      <c r="D2842" s="116"/>
      <c r="E2842" s="116" t="s">
        <v>37</v>
      </c>
      <c r="F2842" s="116" t="s">
        <v>2</v>
      </c>
      <c r="G2842" s="450" t="str">
        <f t="shared" si="143"/>
        <v>Tenant B-Restrooms-Toilets</v>
      </c>
      <c r="H2842" s="116"/>
      <c r="I2842" s="889" t="s">
        <v>66</v>
      </c>
      <c r="J2842" s="890">
        <f>SUMIFS('Level of Efficiency Assumptions'!J:J,'Level of Efficiency Assumptions'!D:D,E2842,'Level of Efficiency Assumptions'!F:F,F2842,'Level of Efficiency Assumptions'!I:I,I2842)</f>
        <v>1.28</v>
      </c>
      <c r="K2842" s="383" t="s">
        <v>68</v>
      </c>
      <c r="L2842" s="257" t="s">
        <v>66</v>
      </c>
      <c r="M2842" s="879">
        <f>Q2842+Q2843+Q2845+Q2848+Q2849</f>
        <v>0</v>
      </c>
      <c r="N2842" s="880">
        <f>IFERROR(M2842/M2843,"-")</f>
        <v>0</v>
      </c>
      <c r="O2842" s="881">
        <f>SUMIFS('Data Entry'!T:T,'Data Entry'!K:K,G2842)</f>
        <v>0</v>
      </c>
      <c r="P2842" s="258" t="s">
        <v>163</v>
      </c>
      <c r="Q2842" s="882">
        <v>0</v>
      </c>
      <c r="R2842" s="883"/>
      <c r="S2842" s="883"/>
      <c r="T2842" s="891"/>
      <c r="U2842" s="884"/>
      <c r="V2842" s="270"/>
      <c r="W2842" s="270"/>
      <c r="X2842" s="270"/>
      <c r="Y2842" s="114"/>
      <c r="Z2842" s="270"/>
      <c r="AA2842" s="270"/>
    </row>
    <row r="2843" spans="3:27" x14ac:dyDescent="0.3">
      <c r="C2843" s="450"/>
      <c r="D2843" s="182"/>
      <c r="E2843" s="182"/>
      <c r="F2843" s="182"/>
      <c r="G2843" s="450" t="str">
        <f t="shared" si="143"/>
        <v>--</v>
      </c>
      <c r="H2843" s="182"/>
      <c r="I2843" s="440"/>
      <c r="J2843" s="892"/>
      <c r="K2843" s="259"/>
      <c r="L2843" s="259" t="s">
        <v>46</v>
      </c>
      <c r="M2843" s="893">
        <f>SUM(M2840:M2842)</f>
        <v>1</v>
      </c>
      <c r="N2843" s="894"/>
      <c r="O2843" s="894">
        <f>SUM(O2840:O2842)</f>
        <v>0</v>
      </c>
      <c r="P2843" s="258" t="s">
        <v>165</v>
      </c>
      <c r="Q2843" s="882">
        <v>0</v>
      </c>
      <c r="R2843" s="883"/>
      <c r="S2843" s="883"/>
      <c r="T2843" s="891"/>
      <c r="U2843" s="884"/>
      <c r="V2843" s="270"/>
      <c r="W2843" s="270"/>
      <c r="X2843" s="270"/>
      <c r="Y2843" s="114"/>
      <c r="Z2843" s="270"/>
      <c r="AA2843" s="270"/>
    </row>
    <row r="2844" spans="3:27" ht="15" thickBot="1" x14ac:dyDescent="0.35">
      <c r="C2844" s="450"/>
      <c r="D2844" s="182"/>
      <c r="E2844" s="182"/>
      <c r="F2844" s="182"/>
      <c r="G2844" s="450" t="str">
        <f t="shared" si="143"/>
        <v>--</v>
      </c>
      <c r="H2844" s="182"/>
      <c r="I2844" s="892"/>
      <c r="J2844" s="288"/>
      <c r="K2844" s="182"/>
      <c r="L2844" s="181"/>
      <c r="M2844" s="181"/>
      <c r="N2844" s="892"/>
      <c r="O2844" s="892"/>
      <c r="P2844" s="256" t="s">
        <v>166</v>
      </c>
      <c r="Q2844" s="895">
        <v>0</v>
      </c>
      <c r="R2844" s="883"/>
      <c r="S2844" s="883"/>
      <c r="T2844" s="891"/>
      <c r="U2844" s="896"/>
      <c r="V2844" s="891"/>
      <c r="W2844" s="270"/>
      <c r="X2844" s="270"/>
      <c r="Y2844" s="114"/>
      <c r="Z2844" s="270"/>
      <c r="AA2844" s="270"/>
    </row>
    <row r="2845" spans="3:27" x14ac:dyDescent="0.3">
      <c r="C2845" s="450"/>
      <c r="D2845" s="182"/>
      <c r="E2845" s="182"/>
      <c r="F2845" s="182"/>
      <c r="G2845" s="450" t="str">
        <f t="shared" si="143"/>
        <v>--</v>
      </c>
      <c r="H2845" s="182"/>
      <c r="I2845" s="892"/>
      <c r="J2845" s="288"/>
      <c r="K2845" s="182"/>
      <c r="L2845" s="1384" t="s">
        <v>377</v>
      </c>
      <c r="M2845" s="1385"/>
      <c r="N2845" s="1385"/>
      <c r="O2845" s="1386"/>
      <c r="P2845" s="258" t="s">
        <v>167</v>
      </c>
      <c r="Q2845" s="895">
        <v>0</v>
      </c>
      <c r="R2845" s="883"/>
      <c r="S2845" s="883"/>
      <c r="T2845" s="891"/>
      <c r="U2845" s="896"/>
      <c r="V2845" s="891"/>
      <c r="W2845" s="270"/>
      <c r="X2845" s="270"/>
      <c r="Y2845" s="270"/>
      <c r="Z2845" s="270"/>
      <c r="AA2845" s="270"/>
    </row>
    <row r="2846" spans="3:27" x14ac:dyDescent="0.3">
      <c r="C2846" s="450"/>
      <c r="D2846" s="182"/>
      <c r="E2846" s="182"/>
      <c r="F2846" s="182"/>
      <c r="G2846" s="450" t="str">
        <f t="shared" si="143"/>
        <v>--</v>
      </c>
      <c r="H2846" s="182"/>
      <c r="I2846" s="892"/>
      <c r="J2846" s="288"/>
      <c r="K2846" s="182"/>
      <c r="L2846" s="1387"/>
      <c r="M2846" s="1388"/>
      <c r="N2846" s="1388"/>
      <c r="O2846" s="1389"/>
      <c r="P2846" s="254" t="s">
        <v>160</v>
      </c>
      <c r="Q2846" s="895">
        <v>0</v>
      </c>
      <c r="R2846" s="891"/>
      <c r="S2846" s="891"/>
      <c r="T2846" s="891"/>
      <c r="U2846" s="896"/>
      <c r="V2846" s="891"/>
      <c r="W2846" s="270"/>
      <c r="X2846" s="270"/>
      <c r="Y2846" s="270"/>
      <c r="Z2846" s="270"/>
      <c r="AA2846" s="270"/>
    </row>
    <row r="2847" spans="3:27" x14ac:dyDescent="0.3">
      <c r="C2847" s="450"/>
      <c r="D2847" s="182"/>
      <c r="E2847" s="182"/>
      <c r="F2847" s="182"/>
      <c r="G2847" s="450" t="str">
        <f t="shared" si="143"/>
        <v>--</v>
      </c>
      <c r="H2847" s="182"/>
      <c r="I2847" s="892"/>
      <c r="J2847" s="288"/>
      <c r="K2847" s="182"/>
      <c r="L2847" s="1387"/>
      <c r="M2847" s="1388"/>
      <c r="N2847" s="1388"/>
      <c r="O2847" s="1389"/>
      <c r="P2847" s="256" t="s">
        <v>162</v>
      </c>
      <c r="Q2847" s="895">
        <v>0</v>
      </c>
      <c r="R2847" s="891"/>
      <c r="S2847" s="891"/>
      <c r="T2847" s="891"/>
      <c r="U2847" s="896"/>
      <c r="V2847" s="891"/>
      <c r="W2847" s="270"/>
      <c r="X2847" s="270"/>
      <c r="Y2847" s="270"/>
      <c r="Z2847" s="270"/>
      <c r="AA2847" s="270"/>
    </row>
    <row r="2848" spans="3:27" ht="15" thickBot="1" x14ac:dyDescent="0.35">
      <c r="C2848" s="450"/>
      <c r="D2848" s="182"/>
      <c r="E2848" s="182"/>
      <c r="F2848" s="182"/>
      <c r="G2848" s="450" t="str">
        <f t="shared" si="143"/>
        <v>--</v>
      </c>
      <c r="H2848" s="182"/>
      <c r="I2848" s="892"/>
      <c r="J2848" s="288"/>
      <c r="K2848" s="182"/>
      <c r="L2848" s="1390"/>
      <c r="M2848" s="1391"/>
      <c r="N2848" s="1391"/>
      <c r="O2848" s="1392"/>
      <c r="P2848" s="258" t="s">
        <v>164</v>
      </c>
      <c r="Q2848" s="895">
        <v>0</v>
      </c>
      <c r="R2848" s="114"/>
      <c r="S2848" s="891"/>
      <c r="T2848" s="114"/>
      <c r="U2848" s="884"/>
      <c r="V2848" s="114"/>
      <c r="W2848" s="270"/>
      <c r="X2848" s="270"/>
      <c r="Y2848" s="270"/>
      <c r="Z2848" s="270"/>
      <c r="AA2848" s="270"/>
    </row>
    <row r="2849" spans="3:27" x14ac:dyDescent="0.3">
      <c r="C2849" s="450"/>
      <c r="D2849" s="182"/>
      <c r="E2849" s="182"/>
      <c r="F2849" s="182"/>
      <c r="G2849" s="450" t="str">
        <f t="shared" si="143"/>
        <v>--</v>
      </c>
      <c r="H2849" s="182"/>
      <c r="I2849" s="892"/>
      <c r="J2849" s="288"/>
      <c r="K2849" s="182"/>
      <c r="L2849" s="181"/>
      <c r="M2849" s="181"/>
      <c r="N2849" s="892"/>
      <c r="O2849" s="892"/>
      <c r="P2849" s="258" t="s">
        <v>187</v>
      </c>
      <c r="Q2849" s="895">
        <v>0</v>
      </c>
      <c r="R2849" s="114"/>
      <c r="S2849" s="891"/>
      <c r="T2849" s="114"/>
      <c r="U2849" s="884"/>
      <c r="V2849" s="114"/>
      <c r="W2849" s="270"/>
      <c r="X2849" s="270"/>
      <c r="Y2849" s="270"/>
      <c r="Z2849" s="270"/>
      <c r="AA2849" s="270"/>
    </row>
    <row r="2850" spans="3:27" x14ac:dyDescent="0.3">
      <c r="C2850" s="450"/>
      <c r="D2850" s="182"/>
      <c r="E2850" s="182"/>
      <c r="F2850" s="182"/>
      <c r="G2850" s="450" t="str">
        <f t="shared" si="143"/>
        <v>--</v>
      </c>
      <c r="H2850" s="182"/>
      <c r="I2850" s="892"/>
      <c r="J2850" s="288"/>
      <c r="K2850" s="182"/>
      <c r="L2850" s="181"/>
      <c r="M2850" s="181"/>
      <c r="N2850" s="892"/>
      <c r="O2850" s="892"/>
      <c r="P2850" s="263" t="s">
        <v>46</v>
      </c>
      <c r="Q2850" s="897">
        <f>SUM(Q2840:Q2849)</f>
        <v>1</v>
      </c>
      <c r="R2850" s="898"/>
      <c r="S2850" s="898"/>
      <c r="T2850" s="899"/>
      <c r="U2850" s="900"/>
      <c r="V2850" s="114"/>
      <c r="W2850" s="270"/>
      <c r="X2850" s="270"/>
      <c r="Y2850" s="270"/>
      <c r="Z2850" s="270"/>
      <c r="AA2850" s="270"/>
    </row>
    <row r="2851" spans="3:27" x14ac:dyDescent="0.3">
      <c r="C2851" s="450"/>
      <c r="D2851" s="182"/>
      <c r="E2851" s="182"/>
      <c r="F2851" s="182"/>
      <c r="G2851" s="450" t="str">
        <f t="shared" si="143"/>
        <v>--</v>
      </c>
      <c r="H2851" s="182"/>
      <c r="I2851" s="892"/>
      <c r="J2851" s="288"/>
      <c r="K2851" s="182"/>
      <c r="L2851" s="181"/>
      <c r="M2851" s="181"/>
      <c r="N2851" s="892"/>
      <c r="O2851" s="892"/>
      <c r="P2851" s="114"/>
      <c r="Q2851" s="114"/>
      <c r="R2851" s="891"/>
      <c r="S2851" s="891"/>
      <c r="T2851" s="114"/>
      <c r="U2851" s="114"/>
      <c r="V2851" s="114"/>
      <c r="W2851" s="270"/>
      <c r="X2851" s="270"/>
      <c r="Y2851" s="270"/>
      <c r="Z2851" s="270"/>
      <c r="AA2851" s="270"/>
    </row>
    <row r="2852" spans="3:27" ht="15" thickBot="1" x14ac:dyDescent="0.35">
      <c r="C2852" s="450"/>
      <c r="D2852" s="182"/>
      <c r="E2852" s="182"/>
      <c r="F2852" s="182"/>
      <c r="G2852" s="450" t="str">
        <f t="shared" si="143"/>
        <v>--</v>
      </c>
      <c r="H2852" s="182"/>
      <c r="I2852" s="892"/>
      <c r="J2852" s="892"/>
      <c r="K2852" s="182"/>
      <c r="L2852" s="182"/>
      <c r="M2852" s="901" t="s">
        <v>155</v>
      </c>
      <c r="N2852" s="870" t="s">
        <v>188</v>
      </c>
      <c r="O2852" s="870"/>
      <c r="P2852" s="252" t="s">
        <v>175</v>
      </c>
      <c r="Q2852" s="871" t="s">
        <v>155</v>
      </c>
      <c r="R2852" s="872" t="s">
        <v>168</v>
      </c>
      <c r="S2852" s="872" t="s">
        <v>169</v>
      </c>
      <c r="T2852" s="902"/>
      <c r="U2852" s="903"/>
      <c r="V2852" s="270"/>
      <c r="W2852" s="270"/>
      <c r="X2852" s="270"/>
      <c r="Y2852" s="270"/>
      <c r="Z2852" s="270"/>
      <c r="AA2852" s="270"/>
    </row>
    <row r="2853" spans="3:27" ht="15" thickBot="1" x14ac:dyDescent="0.35">
      <c r="C2853" s="566" t="s">
        <v>107</v>
      </c>
      <c r="D2853" s="875" t="str">
        <f>VLOOKUP(C2853,'Airport Mapping'!$C$5:$D$39,2,FALSE)</f>
        <v xml:space="preserve"> </v>
      </c>
      <c r="E2853" s="567" t="s">
        <v>37</v>
      </c>
      <c r="F2853" s="567" t="s">
        <v>4</v>
      </c>
      <c r="G2853" s="450" t="str">
        <f t="shared" si="143"/>
        <v>Tenant B-Restrooms-Urinals</v>
      </c>
      <c r="H2853" s="567" t="s">
        <v>6</v>
      </c>
      <c r="I2853" s="877" t="s">
        <v>64</v>
      </c>
      <c r="J2853" s="878">
        <f>SUMIFS('Level of Efficiency Assumptions'!J:J,'Level of Efficiency Assumptions'!D:D,E2853,'Level of Efficiency Assumptions'!F:F,F2853,'Level of Efficiency Assumptions'!I:I,I2853)</f>
        <v>2</v>
      </c>
      <c r="K2853" s="383" t="s">
        <v>68</v>
      </c>
      <c r="L2853" s="253" t="s">
        <v>64</v>
      </c>
      <c r="M2853" s="879">
        <f>Q2853+Q2854</f>
        <v>0</v>
      </c>
      <c r="N2853" s="880">
        <f>IFERROR(M2853/M2856,"-")</f>
        <v>0</v>
      </c>
      <c r="O2853" s="881">
        <f>SUMIFS('Data Entry'!R:R,'Data Entry'!K:K,G2853)</f>
        <v>0</v>
      </c>
      <c r="P2853" s="254" t="s">
        <v>177</v>
      </c>
      <c r="Q2853" s="882">
        <v>0</v>
      </c>
      <c r="R2853" s="883"/>
      <c r="S2853" s="883"/>
      <c r="T2853" s="114"/>
      <c r="U2853" s="904"/>
      <c r="V2853" s="270"/>
      <c r="W2853" s="270"/>
      <c r="X2853" s="270"/>
      <c r="Y2853" s="270"/>
      <c r="Z2853" s="270"/>
      <c r="AA2853" s="270"/>
    </row>
    <row r="2854" spans="3:27" ht="15" thickBot="1" x14ac:dyDescent="0.35">
      <c r="C2854" s="494" t="s">
        <v>107</v>
      </c>
      <c r="D2854" s="577"/>
      <c r="E2854" s="577" t="s">
        <v>37</v>
      </c>
      <c r="F2854" s="577" t="s">
        <v>4</v>
      </c>
      <c r="G2854" s="450" t="str">
        <f t="shared" si="143"/>
        <v>Tenant B-Restrooms-Urinals</v>
      </c>
      <c r="H2854" s="577"/>
      <c r="I2854" s="887" t="s">
        <v>65</v>
      </c>
      <c r="J2854" s="878">
        <f>SUMIFS('Level of Efficiency Assumptions'!J:J,'Level of Efficiency Assumptions'!D:D,E2854,'Level of Efficiency Assumptions'!F:F,F2854,'Level of Efficiency Assumptions'!I:I,I2854)</f>
        <v>1</v>
      </c>
      <c r="K2854" s="383" t="s">
        <v>68</v>
      </c>
      <c r="L2854" s="255" t="s">
        <v>65</v>
      </c>
      <c r="M2854" s="879">
        <f>Q2855+Q2856</f>
        <v>1</v>
      </c>
      <c r="N2854" s="880">
        <f>IFERROR(M2854/M2856,"-")</f>
        <v>1</v>
      </c>
      <c r="O2854" s="881">
        <f>SUMIFS('Data Entry'!S:S,'Data Entry'!K:K,G2854)</f>
        <v>0</v>
      </c>
      <c r="P2854" s="254" t="s">
        <v>179</v>
      </c>
      <c r="Q2854" s="882">
        <v>0</v>
      </c>
      <c r="R2854" s="883"/>
      <c r="S2854" s="883"/>
      <c r="T2854" s="114"/>
      <c r="U2854" s="904"/>
      <c r="V2854" s="270"/>
      <c r="W2854" s="270"/>
      <c r="X2854" s="270"/>
      <c r="Y2854" s="270"/>
      <c r="Z2854" s="270"/>
      <c r="AA2854" s="270"/>
    </row>
    <row r="2855" spans="3:27" ht="15" thickBot="1" x14ac:dyDescent="0.35">
      <c r="C2855" s="501" t="s">
        <v>107</v>
      </c>
      <c r="D2855" s="116"/>
      <c r="E2855" s="116" t="s">
        <v>37</v>
      </c>
      <c r="F2855" s="116" t="s">
        <v>4</v>
      </c>
      <c r="G2855" s="450" t="str">
        <f t="shared" si="143"/>
        <v>Tenant B-Restrooms-Urinals</v>
      </c>
      <c r="H2855" s="116"/>
      <c r="I2855" s="889" t="s">
        <v>66</v>
      </c>
      <c r="J2855" s="890">
        <f>SUMIFS('Level of Efficiency Assumptions'!J:J,'Level of Efficiency Assumptions'!D:D,E2855,'Level of Efficiency Assumptions'!F:F,F2855,'Level of Efficiency Assumptions'!I:I,I2855)</f>
        <v>0.125</v>
      </c>
      <c r="K2855" s="383" t="s">
        <v>68</v>
      </c>
      <c r="L2855" s="257" t="s">
        <v>66</v>
      </c>
      <c r="M2855" s="879">
        <f>Q2857+Q2858</f>
        <v>0</v>
      </c>
      <c r="N2855" s="880">
        <f>IFERROR(M2855/M2856,"-")</f>
        <v>0</v>
      </c>
      <c r="O2855" s="881">
        <f>SUMIFS('Data Entry'!T:T,'Data Entry'!K:K,G2855)</f>
        <v>0</v>
      </c>
      <c r="P2855" s="256" t="s">
        <v>189</v>
      </c>
      <c r="Q2855" s="882">
        <v>0</v>
      </c>
      <c r="R2855" s="883"/>
      <c r="S2855" s="883"/>
      <c r="T2855" s="114"/>
      <c r="U2855" s="904"/>
      <c r="V2855" s="270"/>
      <c r="W2855" s="270"/>
      <c r="X2855" s="270"/>
      <c r="Y2855" s="270"/>
      <c r="Z2855" s="270"/>
      <c r="AA2855" s="270"/>
    </row>
    <row r="2856" spans="3:27" x14ac:dyDescent="0.3">
      <c r="C2856" s="450"/>
      <c r="D2856" s="182"/>
      <c r="E2856" s="182"/>
      <c r="F2856" s="182"/>
      <c r="G2856" s="450" t="str">
        <f t="shared" si="143"/>
        <v>--</v>
      </c>
      <c r="H2856" s="182"/>
      <c r="I2856" s="440"/>
      <c r="J2856" s="892"/>
      <c r="K2856" s="259"/>
      <c r="L2856" s="259" t="s">
        <v>46</v>
      </c>
      <c r="M2856" s="893">
        <f>SUM(M2853:M2855)</f>
        <v>1</v>
      </c>
      <c r="N2856" s="894"/>
      <c r="O2856" s="894">
        <f>SUM(O2853:O2855)</f>
        <v>0</v>
      </c>
      <c r="P2856" s="256" t="s">
        <v>181</v>
      </c>
      <c r="Q2856" s="882">
        <v>1</v>
      </c>
      <c r="R2856" s="883"/>
      <c r="S2856" s="883"/>
      <c r="T2856" s="114"/>
      <c r="U2856" s="264"/>
      <c r="V2856" s="270"/>
      <c r="W2856" s="270"/>
      <c r="X2856" s="270"/>
      <c r="Y2856" s="270"/>
      <c r="Z2856" s="270"/>
      <c r="AA2856" s="270"/>
    </row>
    <row r="2857" spans="3:27" x14ac:dyDescent="0.3">
      <c r="C2857" s="450"/>
      <c r="D2857" s="182"/>
      <c r="E2857" s="182"/>
      <c r="F2857" s="182"/>
      <c r="G2857" s="450" t="str">
        <f t="shared" si="143"/>
        <v>--</v>
      </c>
      <c r="H2857" s="182"/>
      <c r="I2857" s="892"/>
      <c r="J2857" s="288"/>
      <c r="K2857" s="182"/>
      <c r="L2857" s="181"/>
      <c r="M2857" s="181"/>
      <c r="N2857" s="892"/>
      <c r="O2857" s="892"/>
      <c r="P2857" s="258" t="s">
        <v>183</v>
      </c>
      <c r="Q2857" s="882">
        <v>0</v>
      </c>
      <c r="R2857" s="883"/>
      <c r="S2857" s="883"/>
      <c r="T2857" s="114"/>
      <c r="U2857" s="884"/>
      <c r="V2857" s="114"/>
      <c r="W2857" s="270"/>
      <c r="X2857" s="270"/>
      <c r="Y2857" s="270"/>
      <c r="Z2857" s="270"/>
      <c r="AA2857" s="270"/>
    </row>
    <row r="2858" spans="3:27" x14ac:dyDescent="0.3">
      <c r="C2858" s="450"/>
      <c r="D2858" s="182"/>
      <c r="E2858" s="182"/>
      <c r="F2858" s="182"/>
      <c r="G2858" s="450" t="str">
        <f t="shared" si="143"/>
        <v>--</v>
      </c>
      <c r="H2858" s="182"/>
      <c r="I2858" s="892"/>
      <c r="J2858" s="288"/>
      <c r="K2858" s="182"/>
      <c r="L2858" s="181"/>
      <c r="M2858" s="181"/>
      <c r="N2858" s="892"/>
      <c r="O2858" s="892"/>
      <c r="P2858" s="258" t="s">
        <v>190</v>
      </c>
      <c r="Q2858" s="882">
        <v>0</v>
      </c>
      <c r="R2858" s="114"/>
      <c r="S2858" s="114"/>
      <c r="T2858" s="114"/>
      <c r="U2858" s="884"/>
      <c r="V2858" s="114"/>
      <c r="W2858" s="270"/>
      <c r="X2858" s="270"/>
      <c r="Y2858" s="270"/>
      <c r="Z2858" s="270"/>
      <c r="AA2858" s="270"/>
    </row>
    <row r="2859" spans="3:27" x14ac:dyDescent="0.3">
      <c r="C2859" s="450"/>
      <c r="D2859" s="182"/>
      <c r="E2859" s="182"/>
      <c r="F2859" s="182"/>
      <c r="G2859" s="450" t="str">
        <f t="shared" si="143"/>
        <v>--</v>
      </c>
      <c r="H2859" s="182"/>
      <c r="I2859" s="892"/>
      <c r="J2859" s="288"/>
      <c r="K2859" s="182"/>
      <c r="L2859" s="181"/>
      <c r="M2859" s="181"/>
      <c r="N2859" s="892"/>
      <c r="O2859" s="892"/>
      <c r="P2859" s="263" t="s">
        <v>46</v>
      </c>
      <c r="Q2859" s="897">
        <f>SUM(Q2853:Q2858)</f>
        <v>1</v>
      </c>
      <c r="R2859" s="899"/>
      <c r="S2859" s="899"/>
      <c r="T2859" s="899"/>
      <c r="U2859" s="900"/>
      <c r="V2859" s="114"/>
      <c r="W2859" s="270"/>
      <c r="X2859" s="270"/>
      <c r="Y2859" s="270"/>
      <c r="Z2859" s="270"/>
      <c r="AA2859" s="270"/>
    </row>
    <row r="2860" spans="3:27" x14ac:dyDescent="0.3">
      <c r="C2860" s="450"/>
      <c r="D2860" s="182"/>
      <c r="E2860" s="182"/>
      <c r="F2860" s="182"/>
      <c r="G2860" s="450" t="str">
        <f t="shared" si="143"/>
        <v>--</v>
      </c>
      <c r="H2860" s="182"/>
      <c r="I2860" s="892"/>
      <c r="J2860" s="288"/>
      <c r="K2860" s="182"/>
      <c r="L2860" s="181"/>
      <c r="M2860" s="181"/>
      <c r="N2860" s="892"/>
      <c r="O2860" s="892"/>
      <c r="P2860" s="262"/>
      <c r="Q2860" s="114"/>
      <c r="R2860" s="114"/>
      <c r="S2860" s="114"/>
      <c r="T2860" s="114"/>
      <c r="U2860" s="114"/>
      <c r="V2860" s="114"/>
      <c r="W2860" s="270"/>
      <c r="X2860" s="270"/>
      <c r="Y2860" s="270"/>
      <c r="Z2860" s="270"/>
      <c r="AA2860" s="270"/>
    </row>
    <row r="2861" spans="3:27" ht="15" thickBot="1" x14ac:dyDescent="0.35">
      <c r="C2861" s="450"/>
      <c r="D2861" s="182"/>
      <c r="E2861" s="182"/>
      <c r="F2861" s="182"/>
      <c r="G2861" s="450" t="str">
        <f t="shared" si="143"/>
        <v>--</v>
      </c>
      <c r="H2861" s="182"/>
      <c r="I2861" s="892"/>
      <c r="J2861" s="892"/>
      <c r="K2861" s="182"/>
      <c r="L2861" s="182"/>
      <c r="M2861" s="901" t="s">
        <v>155</v>
      </c>
      <c r="N2861" s="870" t="s">
        <v>188</v>
      </c>
      <c r="O2861" s="870"/>
      <c r="P2861" s="265" t="s">
        <v>33</v>
      </c>
      <c r="Q2861" s="871" t="s">
        <v>155</v>
      </c>
      <c r="R2861" s="872" t="s">
        <v>168</v>
      </c>
      <c r="S2861" s="872" t="s">
        <v>169</v>
      </c>
      <c r="T2861" s="872" t="s">
        <v>170</v>
      </c>
      <c r="U2861" s="872" t="s">
        <v>171</v>
      </c>
      <c r="V2861" s="902"/>
      <c r="W2861" s="902"/>
      <c r="X2861" s="874"/>
      <c r="Y2861" s="270"/>
      <c r="Z2861" s="270"/>
      <c r="AA2861" s="270"/>
    </row>
    <row r="2862" spans="3:27" ht="15" thickBot="1" x14ac:dyDescent="0.35">
      <c r="C2862" s="566" t="s">
        <v>107</v>
      </c>
      <c r="D2862" s="875" t="str">
        <f>VLOOKUP(C2862,'Airport Mapping'!$C$5:$D$39,2,FALSE)</f>
        <v xml:space="preserve"> </v>
      </c>
      <c r="E2862" s="567" t="s">
        <v>37</v>
      </c>
      <c r="F2862" s="567" t="s">
        <v>33</v>
      </c>
      <c r="G2862" s="450" t="str">
        <f t="shared" si="143"/>
        <v>Tenant B-Restrooms-Faucets</v>
      </c>
      <c r="H2862" s="567" t="s">
        <v>6</v>
      </c>
      <c r="I2862" s="877" t="s">
        <v>64</v>
      </c>
      <c r="J2862" s="878">
        <f>SUMIFS('Level of Efficiency Assumptions'!J:J,'Level of Efficiency Assumptions'!D:D,E2862,'Level of Efficiency Assumptions'!F:F,F2862,'Level of Efficiency Assumptions'!I:I,I2862)</f>
        <v>2</v>
      </c>
      <c r="K2862" s="383" t="s">
        <v>78</v>
      </c>
      <c r="L2862" s="253" t="s">
        <v>64</v>
      </c>
      <c r="M2862" s="879">
        <f>Q2862+Q2863</f>
        <v>0</v>
      </c>
      <c r="N2862" s="880">
        <f>IFERROR(M2862/M2865,"-")</f>
        <v>0</v>
      </c>
      <c r="O2862" s="881">
        <f>SUMIFS('Data Entry'!R:R,'Data Entry'!K:K,G2862)</f>
        <v>0</v>
      </c>
      <c r="P2862" s="266" t="s">
        <v>180</v>
      </c>
      <c r="Q2862" s="895">
        <v>0</v>
      </c>
      <c r="R2862" s="883"/>
      <c r="S2862" s="883"/>
      <c r="T2862" s="883"/>
      <c r="U2862" s="883"/>
      <c r="V2862" s="114" t="s">
        <v>182</v>
      </c>
      <c r="W2862" s="114"/>
      <c r="X2862" s="884"/>
      <c r="Y2862" s="270"/>
      <c r="Z2862" s="270"/>
      <c r="AA2862" s="270"/>
    </row>
    <row r="2863" spans="3:27" ht="15" thickBot="1" x14ac:dyDescent="0.35">
      <c r="C2863" s="494" t="s">
        <v>107</v>
      </c>
      <c r="D2863" s="577"/>
      <c r="E2863" s="577" t="s">
        <v>37</v>
      </c>
      <c r="F2863" s="577" t="s">
        <v>33</v>
      </c>
      <c r="G2863" s="450" t="str">
        <f t="shared" si="143"/>
        <v>Tenant B-Restrooms-Faucets</v>
      </c>
      <c r="H2863" s="577"/>
      <c r="I2863" s="887" t="s">
        <v>65</v>
      </c>
      <c r="J2863" s="878">
        <f>SUMIFS('Level of Efficiency Assumptions'!J:J,'Level of Efficiency Assumptions'!D:D,E2863,'Level of Efficiency Assumptions'!F:F,F2863,'Level of Efficiency Assumptions'!I:I,I2863)</f>
        <v>1</v>
      </c>
      <c r="K2863" s="383" t="s">
        <v>78</v>
      </c>
      <c r="L2863" s="255" t="s">
        <v>65</v>
      </c>
      <c r="M2863" s="879">
        <f>Q2864+Q2865</f>
        <v>1</v>
      </c>
      <c r="N2863" s="880">
        <f>IFERROR(M2863/M2865,"-")</f>
        <v>1</v>
      </c>
      <c r="O2863" s="881">
        <f>SUMIFS('Data Entry'!S:S,'Data Entry'!K:K,G2863)</f>
        <v>0</v>
      </c>
      <c r="P2863" s="266" t="s">
        <v>178</v>
      </c>
      <c r="Q2863" s="895">
        <v>0</v>
      </c>
      <c r="R2863" s="883"/>
      <c r="S2863" s="883"/>
      <c r="T2863" s="883"/>
      <c r="U2863" s="883"/>
      <c r="V2863" s="114" t="s">
        <v>184</v>
      </c>
      <c r="W2863" s="114"/>
      <c r="X2863" s="884"/>
      <c r="Y2863" s="270"/>
      <c r="Z2863" s="270"/>
      <c r="AA2863" s="270"/>
    </row>
    <row r="2864" spans="3:27" ht="15" thickBot="1" x14ac:dyDescent="0.35">
      <c r="C2864" s="501" t="s">
        <v>107</v>
      </c>
      <c r="D2864" s="116"/>
      <c r="E2864" s="116" t="s">
        <v>37</v>
      </c>
      <c r="F2864" s="116" t="s">
        <v>33</v>
      </c>
      <c r="G2864" s="450" t="str">
        <f t="shared" si="143"/>
        <v>Tenant B-Restrooms-Faucets</v>
      </c>
      <c r="H2864" s="116"/>
      <c r="I2864" s="889" t="s">
        <v>66</v>
      </c>
      <c r="J2864" s="890">
        <f>SUMIFS('Level of Efficiency Assumptions'!J:J,'Level of Efficiency Assumptions'!D:D,E2864,'Level of Efficiency Assumptions'!F:F,F2864,'Level of Efficiency Assumptions'!I:I,I2864)</f>
        <v>0.5</v>
      </c>
      <c r="K2864" s="383" t="s">
        <v>78</v>
      </c>
      <c r="L2864" s="257" t="s">
        <v>66</v>
      </c>
      <c r="M2864" s="879">
        <f>Q2866</f>
        <v>0</v>
      </c>
      <c r="N2864" s="880">
        <f>IFERROR(M2864/M2865,"-")</f>
        <v>0</v>
      </c>
      <c r="O2864" s="881">
        <f>SUMIFS('Data Entry'!T:T,'Data Entry'!K:K,G2864)</f>
        <v>0</v>
      </c>
      <c r="P2864" s="267" t="s">
        <v>176</v>
      </c>
      <c r="Q2864" s="895">
        <v>1</v>
      </c>
      <c r="R2864" s="883"/>
      <c r="S2864" s="883"/>
      <c r="T2864" s="883"/>
      <c r="U2864" s="883"/>
      <c r="V2864" s="114" t="s">
        <v>185</v>
      </c>
      <c r="W2864" s="114"/>
      <c r="X2864" s="884"/>
      <c r="Y2864" s="270"/>
      <c r="Z2864" s="270"/>
      <c r="AA2864" s="270"/>
    </row>
    <row r="2865" spans="3:27" x14ac:dyDescent="0.3">
      <c r="C2865" s="450"/>
      <c r="D2865" s="182"/>
      <c r="E2865" s="182"/>
      <c r="F2865" s="182"/>
      <c r="G2865" s="450" t="str">
        <f t="shared" si="143"/>
        <v>--</v>
      </c>
      <c r="H2865" s="182"/>
      <c r="I2865" s="440"/>
      <c r="J2865" s="892"/>
      <c r="K2865" s="259"/>
      <c r="L2865" s="259" t="s">
        <v>46</v>
      </c>
      <c r="M2865" s="893">
        <f>SUM(M2862:M2864)</f>
        <v>1</v>
      </c>
      <c r="N2865" s="894"/>
      <c r="O2865" s="894">
        <f>SUM(O2862:O2864)</f>
        <v>0</v>
      </c>
      <c r="P2865" s="256" t="s">
        <v>173</v>
      </c>
      <c r="Q2865" s="895">
        <v>0</v>
      </c>
      <c r="R2865" s="883"/>
      <c r="S2865" s="883"/>
      <c r="T2865" s="883"/>
      <c r="U2865" s="883"/>
      <c r="V2865" s="114" t="s">
        <v>186</v>
      </c>
      <c r="W2865" s="114"/>
      <c r="X2865" s="884"/>
      <c r="Y2865" s="270"/>
      <c r="Z2865" s="270"/>
      <c r="AA2865" s="270"/>
    </row>
    <row r="2866" spans="3:27" x14ac:dyDescent="0.3">
      <c r="C2866" s="450"/>
      <c r="D2866" s="182"/>
      <c r="E2866" s="182"/>
      <c r="F2866" s="182"/>
      <c r="G2866" s="450" t="str">
        <f t="shared" si="143"/>
        <v>--</v>
      </c>
      <c r="H2866" s="182"/>
      <c r="I2866" s="892"/>
      <c r="J2866" s="288"/>
      <c r="K2866" s="182"/>
      <c r="L2866" s="181"/>
      <c r="M2866" s="181"/>
      <c r="N2866" s="892"/>
      <c r="O2866" s="892"/>
      <c r="P2866" s="258" t="s">
        <v>172</v>
      </c>
      <c r="Q2866" s="895">
        <v>0</v>
      </c>
      <c r="R2866" s="883"/>
      <c r="S2866" s="883"/>
      <c r="T2866" s="883"/>
      <c r="U2866" s="883"/>
      <c r="V2866" s="114"/>
      <c r="W2866" s="114"/>
      <c r="X2866" s="884"/>
      <c r="Y2866" s="270"/>
      <c r="Z2866" s="270"/>
      <c r="AA2866" s="270"/>
    </row>
    <row r="2867" spans="3:27" x14ac:dyDescent="0.3">
      <c r="C2867" s="450"/>
      <c r="D2867" s="182"/>
      <c r="E2867" s="182"/>
      <c r="F2867" s="182"/>
      <c r="G2867" s="450" t="str">
        <f t="shared" si="143"/>
        <v>--</v>
      </c>
      <c r="H2867" s="182"/>
      <c r="I2867" s="892"/>
      <c r="J2867" s="288"/>
      <c r="K2867" s="182"/>
      <c r="L2867" s="181"/>
      <c r="M2867" s="181"/>
      <c r="N2867" s="892"/>
      <c r="O2867" s="892"/>
      <c r="P2867" s="263" t="s">
        <v>46</v>
      </c>
      <c r="Q2867" s="897">
        <f>SUM(Q2861:Q2866)</f>
        <v>1</v>
      </c>
      <c r="R2867" s="899"/>
      <c r="S2867" s="899"/>
      <c r="T2867" s="899"/>
      <c r="U2867" s="899"/>
      <c r="V2867" s="899"/>
      <c r="W2867" s="899"/>
      <c r="X2867" s="900"/>
      <c r="Y2867" s="270"/>
      <c r="Z2867" s="270"/>
      <c r="AA2867" s="270"/>
    </row>
    <row r="2868" spans="3:27" x14ac:dyDescent="0.3">
      <c r="C2868" s="450"/>
      <c r="D2868" s="182"/>
      <c r="E2868" s="182"/>
      <c r="F2868" s="182"/>
      <c r="G2868" s="450" t="str">
        <f t="shared" si="143"/>
        <v>--</v>
      </c>
      <c r="H2868" s="182"/>
      <c r="I2868" s="892"/>
      <c r="J2868" s="288"/>
      <c r="K2868" s="182"/>
      <c r="L2868" s="181"/>
      <c r="M2868" s="181"/>
      <c r="N2868" s="892"/>
      <c r="O2868" s="892"/>
      <c r="P2868" s="262"/>
      <c r="Q2868" s="114"/>
      <c r="R2868" s="114"/>
      <c r="S2868" s="114"/>
      <c r="T2868" s="114"/>
      <c r="U2868" s="114"/>
      <c r="V2868" s="114"/>
      <c r="W2868" s="270"/>
      <c r="X2868" s="270"/>
      <c r="Y2868" s="270"/>
      <c r="Z2868" s="270"/>
      <c r="AA2868" s="270"/>
    </row>
    <row r="2869" spans="3:27" ht="15" thickBot="1" x14ac:dyDescent="0.35">
      <c r="C2869" s="450"/>
      <c r="D2869" s="182"/>
      <c r="E2869" s="182"/>
      <c r="F2869" s="182"/>
      <c r="G2869" s="450" t="str">
        <f t="shared" si="143"/>
        <v>--</v>
      </c>
      <c r="H2869" s="182"/>
      <c r="I2869" s="892"/>
      <c r="J2869" s="892"/>
      <c r="K2869" s="182"/>
      <c r="L2869" s="182"/>
      <c r="M2869" s="901" t="s">
        <v>155</v>
      </c>
      <c r="N2869" s="870" t="s">
        <v>188</v>
      </c>
      <c r="O2869" s="870"/>
      <c r="P2869" s="265" t="s">
        <v>33</v>
      </c>
      <c r="Q2869" s="871" t="s">
        <v>155</v>
      </c>
      <c r="R2869" s="872" t="s">
        <v>168</v>
      </c>
      <c r="S2869" s="872" t="s">
        <v>169</v>
      </c>
      <c r="T2869" s="872" t="s">
        <v>170</v>
      </c>
      <c r="U2869" s="872" t="s">
        <v>171</v>
      </c>
      <c r="V2869" s="902"/>
      <c r="W2869" s="902"/>
      <c r="X2869" s="874"/>
      <c r="Y2869" s="270"/>
      <c r="Z2869" s="270"/>
      <c r="AA2869" s="270"/>
    </row>
    <row r="2870" spans="3:27" ht="15" thickBot="1" x14ac:dyDescent="0.35">
      <c r="C2870" s="566" t="s">
        <v>107</v>
      </c>
      <c r="D2870" s="875" t="str">
        <f>VLOOKUP(C2870,'Airport Mapping'!$C$5:$D$39,2,FALSE)</f>
        <v xml:space="preserve"> </v>
      </c>
      <c r="E2870" s="567" t="s">
        <v>5</v>
      </c>
      <c r="F2870" s="567" t="s">
        <v>33</v>
      </c>
      <c r="G2870" s="450" t="str">
        <f t="shared" si="143"/>
        <v>Tenant B-Break rooms-Faucets</v>
      </c>
      <c r="H2870" s="567" t="s">
        <v>6</v>
      </c>
      <c r="I2870" s="877" t="s">
        <v>64</v>
      </c>
      <c r="J2870" s="878">
        <f>SUMIFS('Level of Efficiency Assumptions'!J:J,'Level of Efficiency Assumptions'!D:D,E2870,'Level of Efficiency Assumptions'!F:F,F2870,'Level of Efficiency Assumptions'!I:I,I2870)</f>
        <v>2</v>
      </c>
      <c r="K2870" s="383" t="s">
        <v>78</v>
      </c>
      <c r="L2870" s="253" t="s">
        <v>64</v>
      </c>
      <c r="M2870" s="879">
        <f>Q2870+Q2871</f>
        <v>0</v>
      </c>
      <c r="N2870" s="880">
        <f>IFERROR(M2870/M2873,"-")</f>
        <v>0</v>
      </c>
      <c r="O2870" s="881">
        <f>SUMIFS('Data Entry'!R:R,'Data Entry'!K:K,G2870)</f>
        <v>0</v>
      </c>
      <c r="P2870" s="266" t="s">
        <v>180</v>
      </c>
      <c r="Q2870" s="895">
        <v>0</v>
      </c>
      <c r="R2870" s="883"/>
      <c r="S2870" s="883"/>
      <c r="T2870" s="883"/>
      <c r="U2870" s="883"/>
      <c r="V2870" s="114" t="s">
        <v>182</v>
      </c>
      <c r="W2870" s="114"/>
      <c r="X2870" s="884"/>
      <c r="Y2870" s="270"/>
      <c r="Z2870" s="270"/>
      <c r="AA2870" s="270"/>
    </row>
    <row r="2871" spans="3:27" ht="15" thickBot="1" x14ac:dyDescent="0.35">
      <c r="C2871" s="494" t="s">
        <v>107</v>
      </c>
      <c r="D2871" s="577"/>
      <c r="E2871" s="577" t="s">
        <v>5</v>
      </c>
      <c r="F2871" s="577" t="s">
        <v>33</v>
      </c>
      <c r="G2871" s="450" t="str">
        <f t="shared" si="143"/>
        <v>Tenant B-Break rooms-Faucets</v>
      </c>
      <c r="H2871" s="577"/>
      <c r="I2871" s="887" t="s">
        <v>65</v>
      </c>
      <c r="J2871" s="878">
        <f>SUMIFS('Level of Efficiency Assumptions'!J:J,'Level of Efficiency Assumptions'!D:D,E2871,'Level of Efficiency Assumptions'!F:F,F2871,'Level of Efficiency Assumptions'!I:I,I2871)</f>
        <v>1</v>
      </c>
      <c r="K2871" s="383" t="s">
        <v>78</v>
      </c>
      <c r="L2871" s="255" t="s">
        <v>65</v>
      </c>
      <c r="M2871" s="879">
        <f>Q2872+Q2873</f>
        <v>1</v>
      </c>
      <c r="N2871" s="880">
        <f>IFERROR(M2871/M2873,"-")</f>
        <v>1</v>
      </c>
      <c r="O2871" s="881">
        <f>SUMIFS('Data Entry'!S:S,'Data Entry'!K:K,G2871)</f>
        <v>0</v>
      </c>
      <c r="P2871" s="266" t="s">
        <v>178</v>
      </c>
      <c r="Q2871" s="895">
        <v>0</v>
      </c>
      <c r="R2871" s="883"/>
      <c r="S2871" s="883"/>
      <c r="T2871" s="883"/>
      <c r="U2871" s="883"/>
      <c r="V2871" s="114" t="s">
        <v>184</v>
      </c>
      <c r="W2871" s="114"/>
      <c r="X2871" s="884"/>
      <c r="Y2871" s="270"/>
      <c r="Z2871" s="270"/>
      <c r="AA2871" s="270"/>
    </row>
    <row r="2872" spans="3:27" ht="15" thickBot="1" x14ac:dyDescent="0.35">
      <c r="C2872" s="501" t="s">
        <v>107</v>
      </c>
      <c r="D2872" s="116"/>
      <c r="E2872" s="116" t="s">
        <v>5</v>
      </c>
      <c r="F2872" s="116" t="s">
        <v>33</v>
      </c>
      <c r="G2872" s="450" t="str">
        <f t="shared" si="143"/>
        <v>Tenant B-Break rooms-Faucets</v>
      </c>
      <c r="H2872" s="116"/>
      <c r="I2872" s="889" t="s">
        <v>66</v>
      </c>
      <c r="J2872" s="890">
        <f>SUMIFS('Level of Efficiency Assumptions'!J:J,'Level of Efficiency Assumptions'!D:D,E2872,'Level of Efficiency Assumptions'!F:F,F2872,'Level of Efficiency Assumptions'!I:I,I2872)</f>
        <v>0.5</v>
      </c>
      <c r="K2872" s="383" t="s">
        <v>78</v>
      </c>
      <c r="L2872" s="257" t="s">
        <v>66</v>
      </c>
      <c r="M2872" s="879">
        <f>Q2874</f>
        <v>0</v>
      </c>
      <c r="N2872" s="880">
        <f>IFERROR(M2872/M2873,"-")</f>
        <v>0</v>
      </c>
      <c r="O2872" s="881">
        <f>SUMIFS('Data Entry'!T:T,'Data Entry'!K:K,G2872)</f>
        <v>0</v>
      </c>
      <c r="P2872" s="267" t="s">
        <v>176</v>
      </c>
      <c r="Q2872" s="895">
        <v>1</v>
      </c>
      <c r="R2872" s="883"/>
      <c r="S2872" s="883"/>
      <c r="T2872" s="883"/>
      <c r="U2872" s="883"/>
      <c r="V2872" s="114" t="s">
        <v>185</v>
      </c>
      <c r="W2872" s="114"/>
      <c r="X2872" s="884"/>
      <c r="Y2872" s="270"/>
      <c r="Z2872" s="270"/>
      <c r="AA2872" s="270"/>
    </row>
    <row r="2873" spans="3:27" x14ac:dyDescent="0.3">
      <c r="C2873" s="450"/>
      <c r="D2873" s="182"/>
      <c r="E2873" s="182"/>
      <c r="F2873" s="182"/>
      <c r="G2873" s="450" t="str">
        <f t="shared" si="143"/>
        <v>--</v>
      </c>
      <c r="H2873" s="182"/>
      <c r="I2873" s="440"/>
      <c r="J2873" s="892"/>
      <c r="K2873" s="259"/>
      <c r="L2873" s="259" t="s">
        <v>46</v>
      </c>
      <c r="M2873" s="893">
        <f>SUM(M2870:M2872)</f>
        <v>1</v>
      </c>
      <c r="N2873" s="894"/>
      <c r="O2873" s="894">
        <f>SUM(O2870:O2872)</f>
        <v>0</v>
      </c>
      <c r="P2873" s="256" t="s">
        <v>173</v>
      </c>
      <c r="Q2873" s="895">
        <v>0</v>
      </c>
      <c r="R2873" s="883"/>
      <c r="S2873" s="883"/>
      <c r="T2873" s="883"/>
      <c r="U2873" s="883"/>
      <c r="V2873" s="114" t="s">
        <v>186</v>
      </c>
      <c r="W2873" s="114"/>
      <c r="X2873" s="884"/>
      <c r="Y2873" s="270"/>
      <c r="Z2873" s="270"/>
      <c r="AA2873" s="270"/>
    </row>
    <row r="2874" spans="3:27" x14ac:dyDescent="0.3">
      <c r="C2874" s="450"/>
      <c r="D2874" s="182"/>
      <c r="E2874" s="182"/>
      <c r="F2874" s="182"/>
      <c r="G2874" s="450" t="str">
        <f t="shared" si="143"/>
        <v>--</v>
      </c>
      <c r="H2874" s="182"/>
      <c r="I2874" s="892"/>
      <c r="J2874" s="288"/>
      <c r="K2874" s="182"/>
      <c r="L2874" s="181"/>
      <c r="M2874" s="181"/>
      <c r="N2874" s="892"/>
      <c r="O2874" s="892"/>
      <c r="P2874" s="258" t="s">
        <v>172</v>
      </c>
      <c r="Q2874" s="895">
        <v>0</v>
      </c>
      <c r="R2874" s="883"/>
      <c r="S2874" s="883"/>
      <c r="T2874" s="883"/>
      <c r="U2874" s="883"/>
      <c r="V2874" s="114"/>
      <c r="W2874" s="114"/>
      <c r="X2874" s="884"/>
      <c r="Y2874" s="270"/>
      <c r="Z2874" s="270"/>
      <c r="AA2874" s="270"/>
    </row>
    <row r="2875" spans="3:27" x14ac:dyDescent="0.3">
      <c r="C2875" s="450"/>
      <c r="D2875" s="182"/>
      <c r="E2875" s="182"/>
      <c r="F2875" s="182"/>
      <c r="G2875" s="450" t="str">
        <f t="shared" si="143"/>
        <v>--</v>
      </c>
      <c r="H2875" s="182"/>
      <c r="I2875" s="892"/>
      <c r="J2875" s="288"/>
      <c r="K2875" s="182"/>
      <c r="L2875" s="182"/>
      <c r="M2875" s="270"/>
      <c r="N2875" s="892"/>
      <c r="O2875" s="892"/>
      <c r="P2875" s="263" t="s">
        <v>46</v>
      </c>
      <c r="Q2875" s="897">
        <f>SUM(Q2869:Q2874)</f>
        <v>1</v>
      </c>
      <c r="R2875" s="899"/>
      <c r="S2875" s="899"/>
      <c r="T2875" s="899"/>
      <c r="U2875" s="899"/>
      <c r="V2875" s="899"/>
      <c r="W2875" s="899"/>
      <c r="X2875" s="900"/>
      <c r="Y2875" s="270"/>
      <c r="Z2875" s="270"/>
      <c r="AA2875" s="270"/>
    </row>
    <row r="2876" spans="3:27" x14ac:dyDescent="0.3">
      <c r="C2876" s="450"/>
      <c r="D2876" s="182"/>
      <c r="E2876" s="182"/>
      <c r="F2876" s="182"/>
      <c r="G2876" s="450" t="str">
        <f t="shared" si="143"/>
        <v>--</v>
      </c>
      <c r="H2876" s="182"/>
      <c r="I2876" s="892"/>
      <c r="J2876" s="288"/>
      <c r="K2876" s="182"/>
      <c r="L2876" s="182"/>
      <c r="M2876" s="270"/>
      <c r="N2876" s="892"/>
      <c r="O2876" s="892"/>
      <c r="P2876" s="259"/>
      <c r="Q2876" s="114"/>
      <c r="R2876" s="114"/>
      <c r="S2876" s="114"/>
      <c r="T2876" s="114"/>
      <c r="U2876" s="114"/>
      <c r="V2876" s="114"/>
      <c r="W2876" s="270"/>
      <c r="X2876" s="270"/>
      <c r="Y2876" s="270"/>
      <c r="Z2876" s="270"/>
      <c r="AA2876" s="270"/>
    </row>
    <row r="2877" spans="3:27" ht="15" thickBot="1" x14ac:dyDescent="0.35">
      <c r="C2877" s="450"/>
      <c r="D2877" s="182"/>
      <c r="E2877" s="182"/>
      <c r="F2877" s="182"/>
      <c r="G2877" s="450" t="str">
        <f t="shared" si="143"/>
        <v>--</v>
      </c>
      <c r="H2877" s="182"/>
      <c r="I2877" s="892"/>
      <c r="J2877" s="892"/>
      <c r="K2877" s="182"/>
      <c r="L2877" s="182"/>
      <c r="M2877" s="901" t="s">
        <v>155</v>
      </c>
      <c r="N2877" s="870" t="s">
        <v>188</v>
      </c>
      <c r="O2877" s="870"/>
      <c r="P2877" s="265" t="s">
        <v>33</v>
      </c>
      <c r="Q2877" s="871" t="s">
        <v>155</v>
      </c>
      <c r="R2877" s="872" t="s">
        <v>168</v>
      </c>
      <c r="S2877" s="872" t="s">
        <v>169</v>
      </c>
      <c r="T2877" s="872" t="s">
        <v>170</v>
      </c>
      <c r="U2877" s="872" t="s">
        <v>171</v>
      </c>
      <c r="V2877" s="902"/>
      <c r="W2877" s="902"/>
      <c r="X2877" s="874"/>
      <c r="Y2877" s="270"/>
      <c r="Z2877" s="270"/>
      <c r="AA2877" s="270"/>
    </row>
    <row r="2878" spans="3:27" ht="15" thickBot="1" x14ac:dyDescent="0.35">
      <c r="C2878" s="566" t="s">
        <v>107</v>
      </c>
      <c r="D2878" s="875" t="str">
        <f>VLOOKUP(C2878,'Airport Mapping'!$C$5:$D$39,2,FALSE)</f>
        <v xml:space="preserve"> </v>
      </c>
      <c r="E2878" s="567" t="s">
        <v>391</v>
      </c>
      <c r="F2878" s="567" t="s">
        <v>114</v>
      </c>
      <c r="G2878" s="450" t="str">
        <f t="shared" si="143"/>
        <v>Tenant B-Flight kitchens-Kitchen faucets</v>
      </c>
      <c r="H2878" s="567" t="s">
        <v>118</v>
      </c>
      <c r="I2878" s="877" t="s">
        <v>64</v>
      </c>
      <c r="J2878" s="878">
        <f>SUMIFS('Level of Efficiency Assumptions'!J:J,'Level of Efficiency Assumptions'!D:D,E2878,'Level of Efficiency Assumptions'!F:F,F2878,'Level of Efficiency Assumptions'!I:I,I2878)</f>
        <v>2</v>
      </c>
      <c r="K2878" s="383" t="s">
        <v>78</v>
      </c>
      <c r="L2878" s="253" t="s">
        <v>64</v>
      </c>
      <c r="M2878" s="879">
        <f>Q2878+Q2879</f>
        <v>0</v>
      </c>
      <c r="N2878" s="880">
        <f>IFERROR(M2878/M2881,"-")</f>
        <v>0</v>
      </c>
      <c r="O2878" s="881">
        <f>SUMIFS('Data Entry'!R:R,'Data Entry'!K:K,G2878)</f>
        <v>0</v>
      </c>
      <c r="P2878" s="266" t="s">
        <v>180</v>
      </c>
      <c r="Q2878" s="895">
        <v>0</v>
      </c>
      <c r="R2878" s="883"/>
      <c r="S2878" s="883"/>
      <c r="T2878" s="883"/>
      <c r="U2878" s="883"/>
      <c r="V2878" s="114" t="s">
        <v>182</v>
      </c>
      <c r="W2878" s="114"/>
      <c r="X2878" s="884"/>
      <c r="Y2878" s="270"/>
      <c r="Z2878" s="270"/>
      <c r="AA2878" s="270"/>
    </row>
    <row r="2879" spans="3:27" ht="15" thickBot="1" x14ac:dyDescent="0.35">
      <c r="C2879" s="494" t="s">
        <v>107</v>
      </c>
      <c r="D2879" s="577"/>
      <c r="E2879" s="577" t="s">
        <v>391</v>
      </c>
      <c r="F2879" s="577" t="s">
        <v>114</v>
      </c>
      <c r="G2879" s="450" t="str">
        <f t="shared" si="143"/>
        <v>Tenant B-Flight kitchens-Kitchen faucets</v>
      </c>
      <c r="H2879" s="577"/>
      <c r="I2879" s="887" t="s">
        <v>65</v>
      </c>
      <c r="J2879" s="878">
        <f>SUMIFS('Level of Efficiency Assumptions'!J:J,'Level of Efficiency Assumptions'!D:D,E2879,'Level of Efficiency Assumptions'!F:F,F2879,'Level of Efficiency Assumptions'!I:I,I2879)</f>
        <v>1</v>
      </c>
      <c r="K2879" s="383" t="s">
        <v>78</v>
      </c>
      <c r="L2879" s="255" t="s">
        <v>65</v>
      </c>
      <c r="M2879" s="879">
        <f>Q2880+Q2881</f>
        <v>1</v>
      </c>
      <c r="N2879" s="880">
        <f>IFERROR(M2879/M2881,"-")</f>
        <v>1</v>
      </c>
      <c r="O2879" s="881">
        <f>SUMIFS('Data Entry'!S:S,'Data Entry'!K:K,G2879)</f>
        <v>0</v>
      </c>
      <c r="P2879" s="266" t="s">
        <v>178</v>
      </c>
      <c r="Q2879" s="895">
        <v>0</v>
      </c>
      <c r="R2879" s="883"/>
      <c r="S2879" s="883"/>
      <c r="T2879" s="883"/>
      <c r="U2879" s="883"/>
      <c r="V2879" s="114" t="s">
        <v>184</v>
      </c>
      <c r="W2879" s="114"/>
      <c r="X2879" s="884"/>
      <c r="Y2879" s="270"/>
      <c r="Z2879" s="270"/>
      <c r="AA2879" s="270"/>
    </row>
    <row r="2880" spans="3:27" ht="15" thickBot="1" x14ac:dyDescent="0.35">
      <c r="C2880" s="501" t="s">
        <v>107</v>
      </c>
      <c r="D2880" s="116"/>
      <c r="E2880" s="116" t="s">
        <v>391</v>
      </c>
      <c r="F2880" s="116" t="s">
        <v>114</v>
      </c>
      <c r="G2880" s="450" t="str">
        <f t="shared" si="143"/>
        <v>Tenant B-Flight kitchens-Kitchen faucets</v>
      </c>
      <c r="H2880" s="116"/>
      <c r="I2880" s="889" t="s">
        <v>66</v>
      </c>
      <c r="J2880" s="890">
        <f>SUMIFS('Level of Efficiency Assumptions'!J:J,'Level of Efficiency Assumptions'!D:D,E2880,'Level of Efficiency Assumptions'!F:F,F2880,'Level of Efficiency Assumptions'!I:I,I2880)</f>
        <v>0.5</v>
      </c>
      <c r="K2880" s="383" t="s">
        <v>78</v>
      </c>
      <c r="L2880" s="257" t="s">
        <v>66</v>
      </c>
      <c r="M2880" s="879">
        <f>Q2882</f>
        <v>0</v>
      </c>
      <c r="N2880" s="880">
        <f>IFERROR(M2880/M2881,"-")</f>
        <v>0</v>
      </c>
      <c r="O2880" s="881">
        <f>SUMIFS('Data Entry'!T:T,'Data Entry'!K:K,G2880)</f>
        <v>0</v>
      </c>
      <c r="P2880" s="267" t="s">
        <v>176</v>
      </c>
      <c r="Q2880" s="895">
        <v>1</v>
      </c>
      <c r="R2880" s="883"/>
      <c r="S2880" s="883"/>
      <c r="T2880" s="883"/>
      <c r="U2880" s="883"/>
      <c r="V2880" s="114" t="s">
        <v>185</v>
      </c>
      <c r="W2880" s="114"/>
      <c r="X2880" s="884"/>
      <c r="Y2880" s="270"/>
      <c r="Z2880" s="270"/>
      <c r="AA2880" s="270"/>
    </row>
    <row r="2881" spans="3:27" x14ac:dyDescent="0.3">
      <c r="C2881" s="450"/>
      <c r="D2881" s="182"/>
      <c r="E2881" s="182"/>
      <c r="F2881" s="182"/>
      <c r="G2881" s="450" t="str">
        <f t="shared" si="143"/>
        <v>--</v>
      </c>
      <c r="H2881" s="182"/>
      <c r="I2881" s="440"/>
      <c r="J2881" s="892"/>
      <c r="K2881" s="259"/>
      <c r="L2881" s="259" t="s">
        <v>46</v>
      </c>
      <c r="M2881" s="893">
        <f>SUM(M2878:M2880)</f>
        <v>1</v>
      </c>
      <c r="N2881" s="894"/>
      <c r="O2881" s="894">
        <f>SUM(O2878:O2880)</f>
        <v>0</v>
      </c>
      <c r="P2881" s="256" t="s">
        <v>173</v>
      </c>
      <c r="Q2881" s="895">
        <v>0</v>
      </c>
      <c r="R2881" s="883"/>
      <c r="S2881" s="883"/>
      <c r="T2881" s="883"/>
      <c r="U2881" s="883"/>
      <c r="V2881" s="114" t="s">
        <v>186</v>
      </c>
      <c r="W2881" s="114"/>
      <c r="X2881" s="884"/>
      <c r="Y2881" s="270"/>
      <c r="Z2881" s="270"/>
      <c r="AA2881" s="270"/>
    </row>
    <row r="2882" spans="3:27" x14ac:dyDescent="0.3">
      <c r="C2882" s="450"/>
      <c r="D2882" s="182"/>
      <c r="E2882" s="182"/>
      <c r="F2882" s="182"/>
      <c r="G2882" s="450" t="str">
        <f t="shared" si="143"/>
        <v>--</v>
      </c>
      <c r="H2882" s="182"/>
      <c r="I2882" s="892"/>
      <c r="J2882" s="288"/>
      <c r="K2882" s="182"/>
      <c r="L2882" s="181"/>
      <c r="M2882" s="181"/>
      <c r="N2882" s="892"/>
      <c r="O2882" s="892"/>
      <c r="P2882" s="258" t="s">
        <v>172</v>
      </c>
      <c r="Q2882" s="895">
        <v>0</v>
      </c>
      <c r="R2882" s="883"/>
      <c r="S2882" s="883"/>
      <c r="T2882" s="883"/>
      <c r="U2882" s="883"/>
      <c r="V2882" s="114"/>
      <c r="W2882" s="114"/>
      <c r="X2882" s="884"/>
      <c r="Y2882" s="270"/>
      <c r="Z2882" s="270"/>
      <c r="AA2882" s="270"/>
    </row>
    <row r="2883" spans="3:27" x14ac:dyDescent="0.3">
      <c r="C2883" s="450"/>
      <c r="D2883" s="182"/>
      <c r="E2883" s="182"/>
      <c r="F2883" s="182"/>
      <c r="G2883" s="450" t="str">
        <f t="shared" si="143"/>
        <v>--</v>
      </c>
      <c r="H2883" s="182"/>
      <c r="I2883" s="892"/>
      <c r="J2883" s="288"/>
      <c r="K2883" s="182"/>
      <c r="L2883" s="182"/>
      <c r="M2883" s="270"/>
      <c r="N2883" s="892"/>
      <c r="O2883" s="892"/>
      <c r="P2883" s="263" t="s">
        <v>46</v>
      </c>
      <c r="Q2883" s="897">
        <f>SUM(Q2877:Q2882)</f>
        <v>1</v>
      </c>
      <c r="R2883" s="899"/>
      <c r="S2883" s="899"/>
      <c r="T2883" s="899"/>
      <c r="U2883" s="899"/>
      <c r="V2883" s="899"/>
      <c r="W2883" s="899"/>
      <c r="X2883" s="900"/>
      <c r="Y2883" s="270"/>
      <c r="Z2883" s="270"/>
      <c r="AA2883" s="270"/>
    </row>
    <row r="2884" spans="3:27" x14ac:dyDescent="0.3">
      <c r="C2884" s="450"/>
      <c r="D2884" s="182"/>
      <c r="E2884" s="182"/>
      <c r="F2884" s="182"/>
      <c r="G2884" s="450" t="str">
        <f t="shared" si="143"/>
        <v>--</v>
      </c>
      <c r="H2884" s="182"/>
      <c r="I2884" s="892"/>
      <c r="J2884" s="288"/>
      <c r="K2884" s="182"/>
      <c r="L2884" s="182"/>
      <c r="M2884" s="270"/>
      <c r="N2884" s="892"/>
      <c r="O2884" s="892"/>
      <c r="P2884" s="270"/>
      <c r="Q2884" s="270"/>
      <c r="R2884" s="270"/>
      <c r="S2884" s="270"/>
      <c r="T2884" s="270"/>
      <c r="U2884" s="270"/>
      <c r="V2884" s="270"/>
      <c r="W2884" s="270"/>
      <c r="X2884" s="270"/>
      <c r="Y2884" s="270"/>
      <c r="Z2884" s="270"/>
      <c r="AA2884" s="270"/>
    </row>
    <row r="2885" spans="3:27" x14ac:dyDescent="0.3">
      <c r="C2885" s="450"/>
      <c r="D2885" s="182"/>
      <c r="E2885" s="182"/>
      <c r="F2885" s="182"/>
      <c r="G2885" s="450" t="str">
        <f t="shared" si="143"/>
        <v>--</v>
      </c>
      <c r="H2885" s="182"/>
      <c r="I2885" s="892"/>
      <c r="J2885" s="288"/>
      <c r="K2885" s="182"/>
      <c r="L2885" s="182"/>
      <c r="M2885" s="270"/>
      <c r="N2885" s="892"/>
      <c r="O2885" s="892"/>
      <c r="P2885" s="268" t="s">
        <v>196</v>
      </c>
      <c r="Q2885" s="906"/>
      <c r="R2885" s="902"/>
      <c r="S2885" s="902"/>
      <c r="T2885" s="902"/>
      <c r="U2885" s="902"/>
      <c r="V2885" s="902"/>
      <c r="W2885" s="902"/>
      <c r="X2885" s="902"/>
      <c r="Y2885" s="902"/>
      <c r="Z2885" s="902"/>
      <c r="AA2885" s="874"/>
    </row>
    <row r="2886" spans="3:27" ht="15" thickBot="1" x14ac:dyDescent="0.35">
      <c r="C2886" s="450"/>
      <c r="D2886" s="182"/>
      <c r="E2886" s="182"/>
      <c r="F2886" s="182"/>
      <c r="G2886" s="450" t="str">
        <f t="shared" si="143"/>
        <v>--</v>
      </c>
      <c r="H2886" s="182"/>
      <c r="I2886" s="892"/>
      <c r="J2886" s="892"/>
      <c r="K2886" s="182"/>
      <c r="L2886" s="182"/>
      <c r="M2886" s="901" t="s">
        <v>155</v>
      </c>
      <c r="N2886" s="870" t="s">
        <v>188</v>
      </c>
      <c r="O2886" s="870"/>
      <c r="P2886" s="271" t="s">
        <v>203</v>
      </c>
      <c r="Q2886" s="871" t="s">
        <v>155</v>
      </c>
      <c r="R2886" s="114"/>
      <c r="S2886" s="114"/>
      <c r="T2886" s="907" t="s">
        <v>156</v>
      </c>
      <c r="U2886" s="114"/>
      <c r="V2886" s="114"/>
      <c r="W2886" s="114"/>
      <c r="X2886" s="114"/>
      <c r="Y2886" s="114"/>
      <c r="Z2886" s="114"/>
      <c r="AA2886" s="884"/>
    </row>
    <row r="2887" spans="3:27" ht="15" thickBot="1" x14ac:dyDescent="0.35">
      <c r="C2887" s="566" t="s">
        <v>107</v>
      </c>
      <c r="D2887" s="875" t="str">
        <f>VLOOKUP(C2887,'Airport Mapping'!$C$5:$D$39,2,FALSE)</f>
        <v xml:space="preserve"> </v>
      </c>
      <c r="E2887" s="567" t="s">
        <v>391</v>
      </c>
      <c r="F2887" s="567" t="s">
        <v>41</v>
      </c>
      <c r="G2887" s="450" t="str">
        <f t="shared" si="143"/>
        <v>Tenant B-Flight kitchens-Dishwashers</v>
      </c>
      <c r="H2887" s="567" t="s">
        <v>118</v>
      </c>
      <c r="I2887" s="877" t="s">
        <v>64</v>
      </c>
      <c r="J2887" s="878">
        <f>SUMIFS('Level of Efficiency Assumptions'!J:J,'Level of Efficiency Assumptions'!D:D,E2887,'Level of Efficiency Assumptions'!F:F,F2887,'Level of Efficiency Assumptions'!I:I,I2887)</f>
        <v>4.5</v>
      </c>
      <c r="K2887" s="383" t="s">
        <v>203</v>
      </c>
      <c r="L2887" s="253" t="s">
        <v>64</v>
      </c>
      <c r="M2887" s="879">
        <f>SUM(Q2887:Q2889)</f>
        <v>0</v>
      </c>
      <c r="N2887" s="880">
        <f>IFERROR(M2887/M2890,"-")</f>
        <v>0</v>
      </c>
      <c r="O2887" s="881">
        <f>SUMIFS('Data Entry'!R:R,'Data Entry'!K:K,G2887)</f>
        <v>0</v>
      </c>
      <c r="P2887" s="266" t="s">
        <v>204</v>
      </c>
      <c r="Q2887" s="895">
        <v>0</v>
      </c>
      <c r="R2887" s="114"/>
      <c r="S2887" s="905" t="s">
        <v>200</v>
      </c>
      <c r="T2887" s="895">
        <v>1</v>
      </c>
      <c r="U2887" s="114"/>
      <c r="V2887" s="114" t="s">
        <v>218</v>
      </c>
      <c r="W2887" s="114"/>
      <c r="X2887" s="114"/>
      <c r="Y2887" s="114"/>
      <c r="Z2887" s="114"/>
      <c r="AA2887" s="884"/>
    </row>
    <row r="2888" spans="3:27" ht="15" thickBot="1" x14ac:dyDescent="0.35">
      <c r="C2888" s="494" t="s">
        <v>107</v>
      </c>
      <c r="D2888" s="577"/>
      <c r="E2888" s="577" t="s">
        <v>391</v>
      </c>
      <c r="F2888" s="577" t="s">
        <v>41</v>
      </c>
      <c r="G2888" s="450" t="str">
        <f t="shared" si="143"/>
        <v>Tenant B-Flight kitchens-Dishwashers</v>
      </c>
      <c r="H2888" s="577"/>
      <c r="I2888" s="887" t="s">
        <v>65</v>
      </c>
      <c r="J2888" s="878">
        <f>SUMIFS('Level of Efficiency Assumptions'!J:J,'Level of Efficiency Assumptions'!D:D,E2888,'Level of Efficiency Assumptions'!F:F,F2888,'Level of Efficiency Assumptions'!I:I,I2888)</f>
        <v>2.5</v>
      </c>
      <c r="K2888" s="383" t="s">
        <v>203</v>
      </c>
      <c r="L2888" s="255" t="s">
        <v>65</v>
      </c>
      <c r="M2888" s="879">
        <f>Q2890+Q2891</f>
        <v>1</v>
      </c>
      <c r="N2888" s="880">
        <f>IFERROR(M2888/M2890,"-")</f>
        <v>1</v>
      </c>
      <c r="O2888" s="881">
        <f>SUMIFS('Data Entry'!S:S,'Data Entry'!K:K,G2888)</f>
        <v>0</v>
      </c>
      <c r="P2888" s="272" t="s">
        <v>205</v>
      </c>
      <c r="Q2888" s="895">
        <v>0</v>
      </c>
      <c r="R2888" s="114"/>
      <c r="S2888" s="908" t="s">
        <v>201</v>
      </c>
      <c r="T2888" s="895">
        <v>1</v>
      </c>
      <c r="U2888" s="114"/>
      <c r="V2888" s="114"/>
      <c r="W2888" s="114"/>
      <c r="X2888" s="114"/>
      <c r="Y2888" s="114"/>
      <c r="Z2888" s="114"/>
      <c r="AA2888" s="884"/>
    </row>
    <row r="2889" spans="3:27" ht="15" thickBot="1" x14ac:dyDescent="0.35">
      <c r="C2889" s="501" t="s">
        <v>107</v>
      </c>
      <c r="D2889" s="116"/>
      <c r="E2889" s="116" t="s">
        <v>391</v>
      </c>
      <c r="F2889" s="116" t="s">
        <v>41</v>
      </c>
      <c r="G2889" s="450" t="str">
        <f t="shared" si="143"/>
        <v>Tenant B-Flight kitchens-Dishwashers</v>
      </c>
      <c r="H2889" s="116"/>
      <c r="I2889" s="889" t="s">
        <v>66</v>
      </c>
      <c r="J2889" s="890">
        <f>SUMIFS('Level of Efficiency Assumptions'!J:J,'Level of Efficiency Assumptions'!D:D,E2889,'Level of Efficiency Assumptions'!F:F,F2889,'Level of Efficiency Assumptions'!I:I,I2889)</f>
        <v>1</v>
      </c>
      <c r="K2889" s="383" t="s">
        <v>203</v>
      </c>
      <c r="L2889" s="257" t="s">
        <v>66</v>
      </c>
      <c r="M2889" s="879">
        <f>Q2892+Q2893</f>
        <v>0</v>
      </c>
      <c r="N2889" s="880">
        <f>IFERROR(M2889/M2890,"-")</f>
        <v>0</v>
      </c>
      <c r="O2889" s="881">
        <f>SUMIFS('Data Entry'!T:T,'Data Entry'!K:K,G2889)</f>
        <v>0</v>
      </c>
      <c r="P2889" s="272" t="s">
        <v>206</v>
      </c>
      <c r="Q2889" s="895">
        <v>0</v>
      </c>
      <c r="R2889" s="114"/>
      <c r="S2889" s="908" t="s">
        <v>202</v>
      </c>
      <c r="T2889" s="895">
        <v>1</v>
      </c>
      <c r="U2889" s="114"/>
      <c r="V2889" s="114"/>
      <c r="W2889" s="114"/>
      <c r="X2889" s="114"/>
      <c r="Y2889" s="114"/>
      <c r="Z2889" s="114"/>
      <c r="AA2889" s="884"/>
    </row>
    <row r="2890" spans="3:27" x14ac:dyDescent="0.3">
      <c r="C2890" s="450"/>
      <c r="D2890" s="182"/>
      <c r="E2890" s="182"/>
      <c r="F2890" s="182"/>
      <c r="G2890" s="450" t="str">
        <f t="shared" si="143"/>
        <v>--</v>
      </c>
      <c r="H2890" s="182"/>
      <c r="I2890" s="440"/>
      <c r="J2890" s="892"/>
      <c r="K2890" s="259"/>
      <c r="L2890" s="259" t="s">
        <v>46</v>
      </c>
      <c r="M2890" s="893">
        <f>SUM(M2887:M2889)</f>
        <v>1</v>
      </c>
      <c r="N2890" s="894"/>
      <c r="O2890" s="894">
        <f>SUM(O2887:O2889)</f>
        <v>0</v>
      </c>
      <c r="P2890" s="267" t="s">
        <v>207</v>
      </c>
      <c r="Q2890" s="895">
        <v>1</v>
      </c>
      <c r="R2890" s="114"/>
      <c r="S2890" s="908" t="s">
        <v>199</v>
      </c>
      <c r="T2890" s="895">
        <v>1</v>
      </c>
      <c r="U2890" s="114"/>
      <c r="V2890" s="114"/>
      <c r="W2890" s="114"/>
      <c r="X2890" s="114"/>
      <c r="Y2890" s="114"/>
      <c r="Z2890" s="114"/>
      <c r="AA2890" s="884"/>
    </row>
    <row r="2891" spans="3:27" x14ac:dyDescent="0.3">
      <c r="C2891" s="450"/>
      <c r="D2891" s="182"/>
      <c r="E2891" s="182"/>
      <c r="F2891" s="182"/>
      <c r="G2891" s="450" t="str">
        <f t="shared" si="143"/>
        <v>--</v>
      </c>
      <c r="H2891" s="182"/>
      <c r="I2891" s="892"/>
      <c r="J2891" s="288"/>
      <c r="K2891" s="182"/>
      <c r="L2891" s="181"/>
      <c r="M2891" s="181"/>
      <c r="N2891" s="892"/>
      <c r="O2891" s="892"/>
      <c r="P2891" s="267" t="s">
        <v>208</v>
      </c>
      <c r="Q2891" s="895">
        <v>0</v>
      </c>
      <c r="R2891" s="114"/>
      <c r="S2891" s="909" t="s">
        <v>198</v>
      </c>
      <c r="T2891" s="895">
        <v>1</v>
      </c>
      <c r="U2891" s="114"/>
      <c r="V2891" s="114"/>
      <c r="W2891" s="114"/>
      <c r="X2891" s="114"/>
      <c r="Y2891" s="114"/>
      <c r="Z2891" s="114"/>
      <c r="AA2891" s="884"/>
    </row>
    <row r="2892" spans="3:27" x14ac:dyDescent="0.3">
      <c r="C2892" s="450"/>
      <c r="D2892" s="182"/>
      <c r="E2892" s="182"/>
      <c r="F2892" s="182"/>
      <c r="G2892" s="450" t="str">
        <f t="shared" si="143"/>
        <v>--</v>
      </c>
      <c r="H2892" s="182"/>
      <c r="I2892" s="892"/>
      <c r="J2892" s="288"/>
      <c r="K2892" s="182"/>
      <c r="L2892" s="182"/>
      <c r="M2892" s="270"/>
      <c r="N2892" s="892"/>
      <c r="O2892" s="892"/>
      <c r="P2892" s="269" t="s">
        <v>209</v>
      </c>
      <c r="Q2892" s="895">
        <v>0</v>
      </c>
      <c r="R2892" s="114"/>
      <c r="S2892" s="905" t="s">
        <v>197</v>
      </c>
      <c r="T2892" s="895">
        <v>1</v>
      </c>
      <c r="U2892" s="114"/>
      <c r="V2892" s="114"/>
      <c r="W2892" s="114"/>
      <c r="X2892" s="114"/>
      <c r="Y2892" s="114"/>
      <c r="Z2892" s="114"/>
      <c r="AA2892" s="884"/>
    </row>
    <row r="2893" spans="3:27" x14ac:dyDescent="0.3">
      <c r="C2893" s="450"/>
      <c r="D2893" s="182"/>
      <c r="E2893" s="182"/>
      <c r="F2893" s="182"/>
      <c r="G2893" s="450" t="str">
        <f t="shared" si="143"/>
        <v>--</v>
      </c>
      <c r="H2893" s="182"/>
      <c r="I2893" s="892"/>
      <c r="J2893" s="288"/>
      <c r="K2893" s="182"/>
      <c r="L2893" s="182"/>
      <c r="M2893" s="270"/>
      <c r="N2893" s="892"/>
      <c r="O2893" s="892"/>
      <c r="P2893" s="269" t="s">
        <v>210</v>
      </c>
      <c r="Q2893" s="895">
        <v>0</v>
      </c>
      <c r="R2893" s="114"/>
      <c r="S2893" s="114" t="s">
        <v>216</v>
      </c>
      <c r="T2893" s="910">
        <f>(T2887*55)+(T2888*45)+(T2889*35)+(T2890*25)+(T2891*15)+(T2892*5)</f>
        <v>180</v>
      </c>
      <c r="U2893" s="1393" t="s">
        <v>217</v>
      </c>
      <c r="V2893" s="1393"/>
      <c r="W2893" s="1393"/>
      <c r="X2893" s="114"/>
      <c r="Y2893" s="114"/>
      <c r="Z2893" s="114"/>
      <c r="AA2893" s="884"/>
    </row>
    <row r="2894" spans="3:27" x14ac:dyDescent="0.3">
      <c r="C2894" s="450"/>
      <c r="D2894" s="182"/>
      <c r="E2894" s="182"/>
      <c r="F2894" s="182"/>
      <c r="G2894" s="450" t="str">
        <f t="shared" si="143"/>
        <v>--</v>
      </c>
      <c r="H2894" s="182"/>
      <c r="I2894" s="892"/>
      <c r="J2894" s="288"/>
      <c r="K2894" s="182"/>
      <c r="L2894" s="182"/>
      <c r="M2894" s="270"/>
      <c r="N2894" s="892"/>
      <c r="O2894" s="892"/>
      <c r="P2894" s="263" t="s">
        <v>46</v>
      </c>
      <c r="Q2894" s="897">
        <f>SUM(Q2887:Q2893)</f>
        <v>1</v>
      </c>
      <c r="R2894" s="899"/>
      <c r="S2894" s="899"/>
      <c r="T2894" s="899"/>
      <c r="U2894" s="1394"/>
      <c r="V2894" s="1394"/>
      <c r="W2894" s="1394"/>
      <c r="X2894" s="899"/>
      <c r="Y2894" s="899"/>
      <c r="Z2894" s="899"/>
      <c r="AA2894" s="900"/>
    </row>
    <row r="2895" spans="3:27" x14ac:dyDescent="0.3">
      <c r="C2895" s="450"/>
      <c r="D2895" s="182"/>
      <c r="E2895" s="182"/>
      <c r="F2895" s="182"/>
      <c r="G2895" s="450" t="str">
        <f t="shared" si="143"/>
        <v>--</v>
      </c>
      <c r="H2895" s="182"/>
      <c r="I2895" s="892"/>
      <c r="J2895" s="288"/>
      <c r="K2895" s="182"/>
      <c r="L2895" s="182"/>
      <c r="M2895" s="270"/>
      <c r="N2895" s="892"/>
      <c r="O2895" s="892"/>
      <c r="P2895" s="114"/>
      <c r="Q2895" s="114"/>
      <c r="R2895" s="114"/>
      <c r="S2895" s="114"/>
      <c r="T2895" s="114"/>
      <c r="U2895" s="114"/>
      <c r="V2895" s="114"/>
      <c r="W2895" s="114"/>
      <c r="X2895" s="270"/>
      <c r="Y2895" s="270"/>
      <c r="Z2895" s="270"/>
      <c r="AA2895" s="270"/>
    </row>
    <row r="2896" spans="3:27" x14ac:dyDescent="0.3">
      <c r="C2896" s="450"/>
      <c r="D2896" s="182"/>
      <c r="E2896" s="182"/>
      <c r="F2896" s="182"/>
      <c r="G2896" s="450" t="str">
        <f t="shared" si="143"/>
        <v>--</v>
      </c>
      <c r="H2896" s="182"/>
      <c r="I2896" s="892"/>
      <c r="J2896" s="288"/>
      <c r="K2896" s="182"/>
      <c r="L2896" s="182"/>
      <c r="M2896" s="270"/>
      <c r="N2896" s="892"/>
      <c r="O2896" s="892"/>
      <c r="P2896" s="268" t="s">
        <v>174</v>
      </c>
      <c r="Q2896" s="911"/>
      <c r="R2896" s="872"/>
      <c r="S2896" s="874"/>
      <c r="T2896" s="270"/>
      <c r="U2896" s="270"/>
      <c r="V2896" s="270"/>
      <c r="W2896" s="270"/>
      <c r="X2896" s="270"/>
      <c r="Y2896" s="270"/>
      <c r="Z2896" s="270"/>
      <c r="AA2896" s="270"/>
    </row>
    <row r="2897" spans="3:27" ht="15" thickBot="1" x14ac:dyDescent="0.35">
      <c r="C2897" s="450"/>
      <c r="D2897" s="182"/>
      <c r="E2897" s="182"/>
      <c r="F2897" s="182"/>
      <c r="G2897" s="450" t="str">
        <f t="shared" si="143"/>
        <v>--</v>
      </c>
      <c r="H2897" s="182"/>
      <c r="I2897" s="892"/>
      <c r="J2897" s="892"/>
      <c r="K2897" s="182"/>
      <c r="L2897" s="182"/>
      <c r="M2897" s="901" t="s">
        <v>155</v>
      </c>
      <c r="N2897" s="870" t="s">
        <v>188</v>
      </c>
      <c r="O2897" s="870"/>
      <c r="P2897" s="273" t="s">
        <v>220</v>
      </c>
      <c r="Q2897" s="871" t="s">
        <v>155</v>
      </c>
      <c r="R2897" s="114"/>
      <c r="S2897" s="884"/>
      <c r="T2897" s="270"/>
      <c r="U2897" s="270"/>
      <c r="V2897" s="270"/>
      <c r="W2897" s="270"/>
      <c r="X2897" s="270"/>
      <c r="Y2897" s="270"/>
      <c r="Z2897" s="270"/>
      <c r="AA2897" s="270"/>
    </row>
    <row r="2898" spans="3:27" ht="15" thickBot="1" x14ac:dyDescent="0.35">
      <c r="C2898" s="566" t="s">
        <v>107</v>
      </c>
      <c r="D2898" s="875" t="str">
        <f>VLOOKUP(C2898,'Airport Mapping'!$C$5:$D$39,2,FALSE)</f>
        <v xml:space="preserve"> </v>
      </c>
      <c r="E2898" s="567" t="s">
        <v>391</v>
      </c>
      <c r="F2898" s="567" t="s">
        <v>20</v>
      </c>
      <c r="G2898" s="450" t="str">
        <f t="shared" si="143"/>
        <v>Tenant B-Flight kitchens-Ice machines</v>
      </c>
      <c r="H2898" s="567" t="s">
        <v>118</v>
      </c>
      <c r="I2898" s="877" t="s">
        <v>64</v>
      </c>
      <c r="J2898" s="878">
        <f>SUMIFS('Level of Efficiency Assumptions'!J:J,'Level of Efficiency Assumptions'!D:D,E2898,'Level of Efficiency Assumptions'!F:F,F2898,'Level of Efficiency Assumptions'!I:I,I2898)</f>
        <v>1.5</v>
      </c>
      <c r="K2898" s="383" t="s">
        <v>220</v>
      </c>
      <c r="L2898" s="253" t="s">
        <v>64</v>
      </c>
      <c r="M2898" s="879">
        <f>SUM(Q2898:Q2900)</f>
        <v>0</v>
      </c>
      <c r="N2898" s="880">
        <f>IFERROR(M2898/M2901,"-")</f>
        <v>0</v>
      </c>
      <c r="O2898" s="881">
        <f>SUMIFS('Data Entry'!R:R,'Data Entry'!K:K,G2898)</f>
        <v>0</v>
      </c>
      <c r="P2898" s="266" t="s">
        <v>204</v>
      </c>
      <c r="Q2898" s="895">
        <v>0</v>
      </c>
      <c r="R2898" s="114"/>
      <c r="S2898" s="884"/>
      <c r="T2898" s="270"/>
      <c r="U2898" s="270"/>
      <c r="V2898" s="270"/>
      <c r="W2898" s="912"/>
      <c r="X2898" s="270"/>
      <c r="Y2898" s="270"/>
      <c r="Z2898" s="270"/>
      <c r="AA2898" s="270"/>
    </row>
    <row r="2899" spans="3:27" ht="15" thickBot="1" x14ac:dyDescent="0.35">
      <c r="C2899" s="494" t="s">
        <v>107</v>
      </c>
      <c r="D2899" s="577"/>
      <c r="E2899" s="577" t="s">
        <v>391</v>
      </c>
      <c r="F2899" s="577" t="s">
        <v>20</v>
      </c>
      <c r="G2899" s="450" t="str">
        <f t="shared" si="143"/>
        <v>Tenant B-Flight kitchens-Ice machines</v>
      </c>
      <c r="H2899" s="577"/>
      <c r="I2899" s="887" t="s">
        <v>65</v>
      </c>
      <c r="J2899" s="878">
        <f>SUMIFS('Level of Efficiency Assumptions'!J:J,'Level of Efficiency Assumptions'!D:D,E2899,'Level of Efficiency Assumptions'!F:F,F2899,'Level of Efficiency Assumptions'!I:I,I2899)</f>
        <v>0.25</v>
      </c>
      <c r="K2899" s="383" t="s">
        <v>220</v>
      </c>
      <c r="L2899" s="255" t="s">
        <v>65</v>
      </c>
      <c r="M2899" s="879">
        <f>Q2901+Q2902</f>
        <v>1</v>
      </c>
      <c r="N2899" s="880">
        <f>IFERROR(M2899/M2901,"-")</f>
        <v>1</v>
      </c>
      <c r="O2899" s="881">
        <f>SUMIFS('Data Entry'!S:S,'Data Entry'!K:K,G2899)</f>
        <v>0</v>
      </c>
      <c r="P2899" s="272" t="s">
        <v>205</v>
      </c>
      <c r="Q2899" s="895">
        <v>0</v>
      </c>
      <c r="R2899" s="114"/>
      <c r="S2899" s="884"/>
      <c r="T2899" s="270"/>
      <c r="U2899" s="270"/>
      <c r="V2899" s="270"/>
      <c r="W2899" s="912"/>
      <c r="X2899" s="270"/>
      <c r="Y2899" s="270"/>
      <c r="Z2899" s="270"/>
      <c r="AA2899" s="270"/>
    </row>
    <row r="2900" spans="3:27" ht="15" thickBot="1" x14ac:dyDescent="0.35">
      <c r="C2900" s="501" t="s">
        <v>107</v>
      </c>
      <c r="D2900" s="116"/>
      <c r="E2900" s="116" t="s">
        <v>391</v>
      </c>
      <c r="F2900" s="116" t="s">
        <v>20</v>
      </c>
      <c r="G2900" s="450" t="str">
        <f t="shared" si="143"/>
        <v>Tenant B-Flight kitchens-Ice machines</v>
      </c>
      <c r="H2900" s="116"/>
      <c r="I2900" s="889" t="s">
        <v>66</v>
      </c>
      <c r="J2900" s="890">
        <f>SUMIFS('Level of Efficiency Assumptions'!J:J,'Level of Efficiency Assumptions'!D:D,E2900,'Level of Efficiency Assumptions'!F:F,F2900,'Level of Efficiency Assumptions'!I:I,I2900)</f>
        <v>0.12</v>
      </c>
      <c r="K2900" s="383" t="s">
        <v>220</v>
      </c>
      <c r="L2900" s="257" t="s">
        <v>66</v>
      </c>
      <c r="M2900" s="879">
        <f>Q2903+Q2904</f>
        <v>0</v>
      </c>
      <c r="N2900" s="880">
        <f>IFERROR(M2900/M2901,"-")</f>
        <v>0</v>
      </c>
      <c r="O2900" s="881">
        <f>SUMIFS('Data Entry'!T:T,'Data Entry'!K:K,G2900)</f>
        <v>0</v>
      </c>
      <c r="P2900" s="272" t="s">
        <v>206</v>
      </c>
      <c r="Q2900" s="895">
        <v>0</v>
      </c>
      <c r="R2900" s="114"/>
      <c r="S2900" s="884"/>
      <c r="T2900" s="270"/>
      <c r="U2900" s="270"/>
      <c r="V2900" s="270"/>
      <c r="W2900" s="280"/>
      <c r="X2900" s="270"/>
      <c r="Y2900" s="270"/>
      <c r="Z2900" s="270"/>
      <c r="AA2900" s="270"/>
    </row>
    <row r="2901" spans="3:27" x14ac:dyDescent="0.3">
      <c r="C2901" s="450"/>
      <c r="D2901" s="182"/>
      <c r="E2901" s="182"/>
      <c r="F2901" s="182"/>
      <c r="G2901" s="450" t="str">
        <f t="shared" si="143"/>
        <v>--</v>
      </c>
      <c r="H2901" s="182"/>
      <c r="I2901" s="440"/>
      <c r="J2901" s="892"/>
      <c r="K2901" s="259"/>
      <c r="L2901" s="259" t="s">
        <v>46</v>
      </c>
      <c r="M2901" s="893">
        <f>SUM(M2898:M2900)</f>
        <v>1</v>
      </c>
      <c r="N2901" s="894"/>
      <c r="O2901" s="894">
        <f>SUM(O2898:O2900)</f>
        <v>0</v>
      </c>
      <c r="P2901" s="274" t="s">
        <v>228</v>
      </c>
      <c r="Q2901" s="895">
        <v>1</v>
      </c>
      <c r="R2901" s="114"/>
      <c r="S2901" s="884"/>
      <c r="T2901" s="270"/>
      <c r="U2901" s="270"/>
      <c r="V2901" s="270"/>
      <c r="W2901" s="270"/>
      <c r="X2901" s="270"/>
      <c r="Y2901" s="270"/>
      <c r="Z2901" s="270"/>
      <c r="AA2901" s="270"/>
    </row>
    <row r="2902" spans="3:27" x14ac:dyDescent="0.3">
      <c r="C2902" s="450"/>
      <c r="D2902" s="182"/>
      <c r="E2902" s="182"/>
      <c r="F2902" s="182"/>
      <c r="G2902" s="450" t="str">
        <f t="shared" si="143"/>
        <v>--</v>
      </c>
      <c r="H2902" s="182"/>
      <c r="I2902" s="892"/>
      <c r="J2902" s="288"/>
      <c r="K2902" s="182"/>
      <c r="L2902" s="181"/>
      <c r="M2902" s="181"/>
      <c r="N2902" s="892"/>
      <c r="O2902" s="892"/>
      <c r="P2902" s="274" t="s">
        <v>227</v>
      </c>
      <c r="Q2902" s="895">
        <v>0</v>
      </c>
      <c r="R2902" s="114"/>
      <c r="S2902" s="884"/>
      <c r="T2902" s="270"/>
      <c r="U2902" s="270"/>
      <c r="V2902" s="270"/>
      <c r="W2902" s="270"/>
      <c r="X2902" s="270"/>
      <c r="Y2902" s="270"/>
      <c r="Z2902" s="270"/>
      <c r="AA2902" s="270"/>
    </row>
    <row r="2903" spans="3:27" x14ac:dyDescent="0.3">
      <c r="C2903" s="450"/>
      <c r="D2903" s="182"/>
      <c r="E2903" s="182"/>
      <c r="F2903" s="182"/>
      <c r="G2903" s="450" t="str">
        <f t="shared" si="143"/>
        <v>--</v>
      </c>
      <c r="H2903" s="182"/>
      <c r="I2903" s="892"/>
      <c r="J2903" s="288"/>
      <c r="K2903" s="182"/>
      <c r="L2903" s="182"/>
      <c r="M2903" s="270"/>
      <c r="N2903" s="892"/>
      <c r="O2903" s="892"/>
      <c r="P2903" s="275" t="s">
        <v>226</v>
      </c>
      <c r="Q2903" s="895">
        <v>0</v>
      </c>
      <c r="R2903" s="114"/>
      <c r="S2903" s="884"/>
      <c r="T2903" s="270"/>
      <c r="U2903" s="270"/>
      <c r="V2903" s="270"/>
      <c r="W2903" s="270"/>
      <c r="X2903" s="270"/>
      <c r="Y2903" s="270"/>
      <c r="Z2903" s="270"/>
      <c r="AA2903" s="270"/>
    </row>
    <row r="2904" spans="3:27" x14ac:dyDescent="0.3">
      <c r="C2904" s="450"/>
      <c r="D2904" s="182"/>
      <c r="E2904" s="182"/>
      <c r="F2904" s="182"/>
      <c r="G2904" s="450" t="str">
        <f t="shared" si="143"/>
        <v>--</v>
      </c>
      <c r="H2904" s="182"/>
      <c r="I2904" s="892"/>
      <c r="J2904" s="288"/>
      <c r="K2904" s="182"/>
      <c r="L2904" s="182"/>
      <c r="M2904" s="270"/>
      <c r="N2904" s="892"/>
      <c r="O2904" s="892"/>
      <c r="P2904" s="269" t="s">
        <v>225</v>
      </c>
      <c r="Q2904" s="895">
        <v>0</v>
      </c>
      <c r="R2904" s="114"/>
      <c r="S2904" s="884"/>
      <c r="T2904" s="270"/>
      <c r="U2904" s="270"/>
      <c r="V2904" s="270"/>
      <c r="W2904" s="270"/>
      <c r="X2904" s="270"/>
      <c r="Y2904" s="270"/>
      <c r="Z2904" s="270"/>
      <c r="AA2904" s="270"/>
    </row>
    <row r="2905" spans="3:27" x14ac:dyDescent="0.3">
      <c r="C2905" s="450"/>
      <c r="D2905" s="182"/>
      <c r="E2905" s="182"/>
      <c r="F2905" s="182"/>
      <c r="G2905" s="450" t="str">
        <f t="shared" ref="G2905:G2968" si="144">C2905&amp;"-"&amp;E2905&amp;"-"&amp;F2905</f>
        <v>--</v>
      </c>
      <c r="H2905" s="182"/>
      <c r="I2905" s="892"/>
      <c r="J2905" s="288"/>
      <c r="K2905" s="182"/>
      <c r="L2905" s="182"/>
      <c r="M2905" s="270"/>
      <c r="N2905" s="892"/>
      <c r="O2905" s="892"/>
      <c r="P2905" s="263" t="s">
        <v>46</v>
      </c>
      <c r="Q2905" s="897">
        <f>SUM(Q2898:Q2904)</f>
        <v>1</v>
      </c>
      <c r="R2905" s="899"/>
      <c r="S2905" s="900"/>
      <c r="T2905" s="270"/>
      <c r="U2905" s="270"/>
      <c r="V2905" s="270"/>
      <c r="W2905" s="270"/>
      <c r="X2905" s="270"/>
      <c r="Y2905" s="270"/>
      <c r="Z2905" s="270"/>
      <c r="AA2905" s="270"/>
    </row>
    <row r="2906" spans="3:27" x14ac:dyDescent="0.3">
      <c r="C2906" s="450"/>
      <c r="D2906" s="182"/>
      <c r="E2906" s="182"/>
      <c r="F2906" s="182"/>
      <c r="G2906" s="450" t="str">
        <f t="shared" si="144"/>
        <v>--</v>
      </c>
      <c r="H2906" s="182"/>
      <c r="I2906" s="892"/>
      <c r="J2906" s="288"/>
      <c r="K2906" s="182"/>
      <c r="L2906" s="182"/>
      <c r="M2906" s="270"/>
      <c r="N2906" s="892"/>
      <c r="O2906" s="892"/>
      <c r="P2906" s="270"/>
      <c r="Q2906" s="270"/>
      <c r="R2906" s="270"/>
      <c r="S2906" s="270"/>
      <c r="T2906" s="270"/>
      <c r="U2906" s="270"/>
      <c r="V2906" s="270"/>
      <c r="W2906" s="270"/>
      <c r="X2906" s="270"/>
      <c r="Y2906" s="270"/>
      <c r="Z2906" s="270"/>
      <c r="AA2906" s="270"/>
    </row>
    <row r="2907" spans="3:27" ht="15" thickBot="1" x14ac:dyDescent="0.35">
      <c r="C2907" s="450"/>
      <c r="D2907" s="182"/>
      <c r="E2907" s="182"/>
      <c r="F2907" s="182"/>
      <c r="G2907" s="450" t="str">
        <f t="shared" si="144"/>
        <v>--</v>
      </c>
      <c r="H2907" s="182"/>
      <c r="I2907" s="892"/>
      <c r="J2907" s="892"/>
      <c r="K2907" s="182"/>
      <c r="L2907" s="182"/>
      <c r="M2907" s="901" t="s">
        <v>155</v>
      </c>
      <c r="N2907" s="870" t="s">
        <v>188</v>
      </c>
      <c r="O2907" s="870"/>
      <c r="P2907" s="285" t="s">
        <v>27</v>
      </c>
      <c r="Q2907" s="871" t="s">
        <v>155</v>
      </c>
      <c r="R2907" s="902"/>
      <c r="S2907" s="874"/>
      <c r="T2907" s="270"/>
      <c r="U2907" s="270"/>
      <c r="V2907" s="270"/>
      <c r="W2907" s="270"/>
      <c r="X2907" s="270"/>
      <c r="Y2907" s="270"/>
      <c r="Z2907" s="270"/>
      <c r="AA2907" s="270"/>
    </row>
    <row r="2908" spans="3:27" ht="15" thickBot="1" x14ac:dyDescent="0.35">
      <c r="C2908" s="566" t="s">
        <v>107</v>
      </c>
      <c r="D2908" s="875" t="str">
        <f>VLOOKUP(C2908,'Airport Mapping'!$C$5:$D$39,2,FALSE)</f>
        <v xml:space="preserve"> </v>
      </c>
      <c r="E2908" s="567" t="s">
        <v>44</v>
      </c>
      <c r="F2908" s="567" t="s">
        <v>27</v>
      </c>
      <c r="G2908" s="450" t="str">
        <f t="shared" si="144"/>
        <v xml:space="preserve">Tenant B-Aircraft-Aircraft cleaning </v>
      </c>
      <c r="H2908" s="567" t="s">
        <v>10</v>
      </c>
      <c r="I2908" s="877" t="s">
        <v>64</v>
      </c>
      <c r="J2908" s="878">
        <f>SUMIFS('Level of Efficiency Assumptions'!J:J,'Level of Efficiency Assumptions'!D:D,E2908,'Level of Efficiency Assumptions'!F:F,F2908,'Level of Efficiency Assumptions'!I:I,I2908)</f>
        <v>10</v>
      </c>
      <c r="K2908" s="383" t="s">
        <v>588</v>
      </c>
      <c r="L2908" s="253" t="s">
        <v>64</v>
      </c>
      <c r="M2908" s="879">
        <f>SUM(Q2908:Q2909)</f>
        <v>0</v>
      </c>
      <c r="N2908" s="880">
        <f>IFERROR(M2908/M2911,"-")</f>
        <v>0</v>
      </c>
      <c r="O2908" s="881">
        <f>SUMIFS('Data Entry'!R:R,'Data Entry'!K:K,G2908)</f>
        <v>0</v>
      </c>
      <c r="P2908" s="272"/>
      <c r="Q2908" s="895">
        <v>0</v>
      </c>
      <c r="R2908" s="114"/>
      <c r="S2908" s="884"/>
      <c r="T2908" s="270"/>
      <c r="U2908" s="270"/>
      <c r="V2908" s="270"/>
      <c r="W2908" s="270"/>
      <c r="X2908" s="270"/>
      <c r="Y2908" s="270"/>
      <c r="Z2908" s="270"/>
      <c r="AA2908" s="270"/>
    </row>
    <row r="2909" spans="3:27" ht="15" thickBot="1" x14ac:dyDescent="0.35">
      <c r="C2909" s="494" t="s">
        <v>107</v>
      </c>
      <c r="D2909" s="577"/>
      <c r="E2909" s="577" t="s">
        <v>44</v>
      </c>
      <c r="F2909" s="577" t="s">
        <v>27</v>
      </c>
      <c r="G2909" s="450" t="str">
        <f t="shared" si="144"/>
        <v xml:space="preserve">Tenant B-Aircraft-Aircraft cleaning </v>
      </c>
      <c r="H2909" s="577"/>
      <c r="I2909" s="887" t="s">
        <v>65</v>
      </c>
      <c r="J2909" s="878">
        <f>SUMIFS('Level of Efficiency Assumptions'!J:J,'Level of Efficiency Assumptions'!D:D,E2909,'Level of Efficiency Assumptions'!F:F,F2909,'Level of Efficiency Assumptions'!I:I,I2909)</f>
        <v>7.5</v>
      </c>
      <c r="K2909" s="383" t="s">
        <v>588</v>
      </c>
      <c r="L2909" s="255" t="s">
        <v>65</v>
      </c>
      <c r="M2909" s="879">
        <f>Q2910+Q2911</f>
        <v>1</v>
      </c>
      <c r="N2909" s="880">
        <f>IFERROR(M2909/M2911,"-")</f>
        <v>1</v>
      </c>
      <c r="O2909" s="881">
        <f>SUMIFS('Data Entry'!S:S,'Data Entry'!K:K,G2909)</f>
        <v>0</v>
      </c>
      <c r="P2909" s="272"/>
      <c r="Q2909" s="895">
        <v>0</v>
      </c>
      <c r="R2909" s="114"/>
      <c r="S2909" s="884"/>
      <c r="T2909" s="270"/>
      <c r="U2909" s="270"/>
      <c r="V2909" s="270"/>
      <c r="W2909" s="270"/>
      <c r="X2909" s="270"/>
      <c r="Y2909" s="270"/>
      <c r="Z2909" s="270"/>
      <c r="AA2909" s="270"/>
    </row>
    <row r="2910" spans="3:27" ht="15" thickBot="1" x14ac:dyDescent="0.35">
      <c r="C2910" s="501" t="s">
        <v>107</v>
      </c>
      <c r="D2910" s="116"/>
      <c r="E2910" s="116" t="s">
        <v>44</v>
      </c>
      <c r="F2910" s="116" t="s">
        <v>27</v>
      </c>
      <c r="G2910" s="450" t="str">
        <f t="shared" si="144"/>
        <v xml:space="preserve">Tenant B-Aircraft-Aircraft cleaning </v>
      </c>
      <c r="H2910" s="116"/>
      <c r="I2910" s="889" t="s">
        <v>66</v>
      </c>
      <c r="J2910" s="890">
        <f>SUMIFS('Level of Efficiency Assumptions'!J:J,'Level of Efficiency Assumptions'!D:D,E2910,'Level of Efficiency Assumptions'!F:F,F2910,'Level of Efficiency Assumptions'!I:I,I2910)</f>
        <v>5</v>
      </c>
      <c r="K2910" s="383" t="s">
        <v>588</v>
      </c>
      <c r="L2910" s="257" t="s">
        <v>66</v>
      </c>
      <c r="M2910" s="879">
        <f>Q2912+Q2913</f>
        <v>0</v>
      </c>
      <c r="N2910" s="880">
        <f>IFERROR(M2910/M2911,"-")</f>
        <v>0</v>
      </c>
      <c r="O2910" s="881">
        <f>SUMIFS('Data Entry'!T:T,'Data Entry'!K:K,G2910)</f>
        <v>0</v>
      </c>
      <c r="P2910" s="274"/>
      <c r="Q2910" s="895">
        <v>1</v>
      </c>
      <c r="R2910" s="114"/>
      <c r="S2910" s="884"/>
      <c r="T2910" s="270"/>
      <c r="U2910" s="270"/>
      <c r="V2910" s="270"/>
      <c r="W2910" s="270"/>
      <c r="X2910" s="270"/>
      <c r="Y2910" s="270"/>
      <c r="Z2910" s="270"/>
      <c r="AA2910" s="270"/>
    </row>
    <row r="2911" spans="3:27" x14ac:dyDescent="0.3">
      <c r="C2911" s="450"/>
      <c r="D2911" s="182"/>
      <c r="E2911" s="182"/>
      <c r="F2911" s="182"/>
      <c r="G2911" s="450" t="str">
        <f t="shared" si="144"/>
        <v>--</v>
      </c>
      <c r="H2911" s="182"/>
      <c r="I2911" s="440"/>
      <c r="J2911" s="892"/>
      <c r="K2911" s="259"/>
      <c r="L2911" s="259" t="s">
        <v>46</v>
      </c>
      <c r="M2911" s="893">
        <f>SUM(M2908:M2910)</f>
        <v>1</v>
      </c>
      <c r="N2911" s="894"/>
      <c r="O2911" s="894">
        <f>SUM(O2908:O2910)</f>
        <v>0</v>
      </c>
      <c r="P2911" s="274"/>
      <c r="Q2911" s="895">
        <v>0</v>
      </c>
      <c r="R2911" s="114"/>
      <c r="S2911" s="884"/>
      <c r="T2911" s="270"/>
      <c r="U2911" s="270"/>
      <c r="V2911" s="270"/>
      <c r="W2911" s="270"/>
      <c r="X2911" s="270"/>
      <c r="Y2911" s="270"/>
      <c r="Z2911" s="270"/>
      <c r="AA2911" s="270"/>
    </row>
    <row r="2912" spans="3:27" x14ac:dyDescent="0.3">
      <c r="C2912" s="450"/>
      <c r="D2912" s="182"/>
      <c r="E2912" s="182"/>
      <c r="F2912" s="182"/>
      <c r="G2912" s="450" t="str">
        <f t="shared" si="144"/>
        <v>--</v>
      </c>
      <c r="H2912" s="182"/>
      <c r="I2912" s="892"/>
      <c r="J2912" s="288"/>
      <c r="K2912" s="182"/>
      <c r="L2912" s="181"/>
      <c r="M2912" s="181"/>
      <c r="N2912" s="892"/>
      <c r="O2912" s="892"/>
      <c r="P2912" s="275"/>
      <c r="Q2912" s="895">
        <v>0</v>
      </c>
      <c r="R2912" s="114"/>
      <c r="S2912" s="884"/>
      <c r="T2912" s="270"/>
      <c r="U2912" s="270"/>
      <c r="V2912" s="270"/>
      <c r="W2912" s="270"/>
      <c r="X2912" s="270"/>
      <c r="Y2912" s="270"/>
      <c r="Z2912" s="270"/>
      <c r="AA2912" s="270"/>
    </row>
    <row r="2913" spans="3:31" x14ac:dyDescent="0.3">
      <c r="C2913" s="450"/>
      <c r="D2913" s="182"/>
      <c r="E2913" s="182"/>
      <c r="F2913" s="182"/>
      <c r="G2913" s="450" t="str">
        <f t="shared" si="144"/>
        <v>--</v>
      </c>
      <c r="H2913" s="182"/>
      <c r="I2913" s="892"/>
      <c r="J2913" s="288"/>
      <c r="K2913" s="182"/>
      <c r="L2913" s="182"/>
      <c r="M2913" s="270"/>
      <c r="N2913" s="892"/>
      <c r="O2913" s="892"/>
      <c r="P2913" s="269"/>
      <c r="Q2913" s="895">
        <v>0</v>
      </c>
      <c r="R2913" s="114"/>
      <c r="S2913" s="884"/>
      <c r="T2913" s="270"/>
      <c r="U2913" s="270"/>
      <c r="V2913" s="270"/>
      <c r="W2913" s="270"/>
      <c r="X2913" s="270"/>
      <c r="Y2913" s="270"/>
      <c r="Z2913" s="270"/>
      <c r="AA2913" s="270"/>
    </row>
    <row r="2914" spans="3:31" s="45" customFormat="1" x14ac:dyDescent="0.3">
      <c r="C2914" s="450"/>
      <c r="D2914" s="182"/>
      <c r="E2914" s="182"/>
      <c r="F2914" s="182"/>
      <c r="G2914" s="450" t="str">
        <f t="shared" si="144"/>
        <v>--</v>
      </c>
      <c r="H2914" s="182"/>
      <c r="I2914" s="892"/>
      <c r="J2914" s="288"/>
      <c r="K2914" s="182"/>
      <c r="L2914" s="182"/>
      <c r="M2914" s="270"/>
      <c r="N2914" s="892"/>
      <c r="O2914" s="892"/>
      <c r="P2914" s="263" t="s">
        <v>46</v>
      </c>
      <c r="Q2914" s="897">
        <f>SUM(Q2908:Q2913)</f>
        <v>1</v>
      </c>
      <c r="R2914" s="899"/>
      <c r="S2914" s="900"/>
      <c r="T2914" s="270"/>
      <c r="U2914" s="270"/>
      <c r="V2914" s="270"/>
      <c r="W2914" s="270"/>
      <c r="X2914" s="270"/>
      <c r="Y2914" s="270"/>
      <c r="Z2914" s="270"/>
      <c r="AA2914" s="270"/>
      <c r="AB2914" s="125"/>
      <c r="AC2914" s="85"/>
      <c r="AD2914" s="85"/>
      <c r="AE2914" s="85"/>
    </row>
    <row r="2915" spans="3:31" s="45" customFormat="1" x14ac:dyDescent="0.3">
      <c r="C2915" s="450"/>
      <c r="D2915" s="182"/>
      <c r="E2915" s="182"/>
      <c r="F2915" s="182"/>
      <c r="G2915" s="450" t="str">
        <f t="shared" si="144"/>
        <v>--</v>
      </c>
      <c r="H2915" s="182"/>
      <c r="I2915" s="892"/>
      <c r="J2915" s="288"/>
      <c r="K2915" s="182"/>
      <c r="L2915" s="182"/>
      <c r="M2915" s="270"/>
      <c r="N2915" s="892"/>
      <c r="O2915" s="892"/>
      <c r="P2915" s="270"/>
      <c r="Q2915" s="270"/>
      <c r="R2915" s="270"/>
      <c r="S2915" s="270"/>
      <c r="T2915" s="270"/>
      <c r="U2915" s="270"/>
      <c r="V2915" s="270"/>
      <c r="W2915" s="270"/>
      <c r="X2915" s="270"/>
      <c r="Y2915" s="270"/>
      <c r="Z2915" s="270"/>
      <c r="AA2915" s="270"/>
      <c r="AB2915" s="125"/>
      <c r="AC2915" s="85"/>
      <c r="AD2915" s="85"/>
      <c r="AE2915" s="85"/>
    </row>
    <row r="2916" spans="3:31" s="45" customFormat="1" ht="15" thickBot="1" x14ac:dyDescent="0.35">
      <c r="C2916" s="450"/>
      <c r="D2916" s="182"/>
      <c r="E2916" s="182"/>
      <c r="F2916" s="182"/>
      <c r="G2916" s="450" t="str">
        <f t="shared" si="144"/>
        <v>--</v>
      </c>
      <c r="H2916" s="182"/>
      <c r="I2916" s="892"/>
      <c r="J2916" s="892"/>
      <c r="K2916" s="182"/>
      <c r="L2916" s="182"/>
      <c r="M2916" s="901" t="s">
        <v>155</v>
      </c>
      <c r="N2916" s="870" t="s">
        <v>188</v>
      </c>
      <c r="O2916" s="870"/>
      <c r="P2916" s="285" t="s">
        <v>28</v>
      </c>
      <c r="Q2916" s="871" t="s">
        <v>155</v>
      </c>
      <c r="R2916" s="902"/>
      <c r="S2916" s="874"/>
      <c r="T2916" s="270"/>
      <c r="U2916" s="270"/>
      <c r="V2916" s="270"/>
      <c r="W2916" s="270"/>
      <c r="X2916" s="270"/>
      <c r="Y2916" s="270"/>
      <c r="Z2916" s="270"/>
      <c r="AA2916" s="270"/>
      <c r="AB2916" s="125"/>
      <c r="AC2916" s="85"/>
      <c r="AD2916" s="85"/>
      <c r="AE2916" s="85"/>
    </row>
    <row r="2917" spans="3:31" s="45" customFormat="1" ht="15" thickBot="1" x14ac:dyDescent="0.35">
      <c r="C2917" s="566" t="s">
        <v>107</v>
      </c>
      <c r="D2917" s="875" t="str">
        <f>VLOOKUP(C2917,'Airport Mapping'!$C$5:$D$39,2,FALSE)</f>
        <v xml:space="preserve"> </v>
      </c>
      <c r="E2917" s="567" t="s">
        <v>44</v>
      </c>
      <c r="F2917" s="567" t="s">
        <v>28</v>
      </c>
      <c r="G2917" s="450" t="str">
        <f t="shared" si="144"/>
        <v>Tenant B-Aircraft-Onboard aircraft water</v>
      </c>
      <c r="H2917" s="567" t="s">
        <v>10</v>
      </c>
      <c r="I2917" s="877" t="s">
        <v>64</v>
      </c>
      <c r="J2917" s="878">
        <f>SUMIFS('Level of Efficiency Assumptions'!J:J,'Level of Efficiency Assumptions'!D:D,E2917,'Level of Efficiency Assumptions'!F:F,F2917,'Level of Efficiency Assumptions'!I:I,I2917)</f>
        <v>10</v>
      </c>
      <c r="K2917" s="383" t="s">
        <v>588</v>
      </c>
      <c r="L2917" s="253" t="s">
        <v>64</v>
      </c>
      <c r="M2917" s="879">
        <f>SUM(Q2917:Q2918)</f>
        <v>0</v>
      </c>
      <c r="N2917" s="880">
        <f>IFERROR(M2917/M2920,"-")</f>
        <v>0</v>
      </c>
      <c r="O2917" s="881">
        <f>SUMIFS('Data Entry'!R:R,'Data Entry'!K:K,G2917)</f>
        <v>0</v>
      </c>
      <c r="P2917" s="272"/>
      <c r="Q2917" s="895">
        <v>0</v>
      </c>
      <c r="R2917" s="114"/>
      <c r="S2917" s="884"/>
      <c r="T2917" s="270"/>
      <c r="U2917" s="270"/>
      <c r="V2917" s="270"/>
      <c r="W2917" s="270"/>
      <c r="X2917" s="270"/>
      <c r="Y2917" s="270"/>
      <c r="Z2917" s="270"/>
      <c r="AA2917" s="270"/>
      <c r="AB2917" s="125"/>
      <c r="AC2917" s="85"/>
      <c r="AD2917" s="85"/>
      <c r="AE2917" s="85"/>
    </row>
    <row r="2918" spans="3:31" ht="15" thickBot="1" x14ac:dyDescent="0.35">
      <c r="C2918" s="494" t="s">
        <v>107</v>
      </c>
      <c r="D2918" s="577"/>
      <c r="E2918" s="577" t="s">
        <v>44</v>
      </c>
      <c r="F2918" s="577" t="s">
        <v>28</v>
      </c>
      <c r="G2918" s="450" t="str">
        <f t="shared" si="144"/>
        <v>Tenant B-Aircraft-Onboard aircraft water</v>
      </c>
      <c r="H2918" s="577"/>
      <c r="I2918" s="887" t="s">
        <v>65</v>
      </c>
      <c r="J2918" s="878">
        <f>SUMIFS('Level of Efficiency Assumptions'!J:J,'Level of Efficiency Assumptions'!D:D,E2918,'Level of Efficiency Assumptions'!F:F,F2918,'Level of Efficiency Assumptions'!I:I,I2918)</f>
        <v>7.5</v>
      </c>
      <c r="K2918" s="383" t="s">
        <v>588</v>
      </c>
      <c r="L2918" s="255" t="s">
        <v>65</v>
      </c>
      <c r="M2918" s="879">
        <f>Q2919+Q2920</f>
        <v>1</v>
      </c>
      <c r="N2918" s="880">
        <f>IFERROR(M2918/M2920,"-")</f>
        <v>1</v>
      </c>
      <c r="O2918" s="881">
        <f>SUMIFS('Data Entry'!S:S,'Data Entry'!K:K,G2918)</f>
        <v>0</v>
      </c>
      <c r="P2918" s="272"/>
      <c r="Q2918" s="895">
        <v>0</v>
      </c>
      <c r="R2918" s="114"/>
      <c r="S2918" s="884"/>
      <c r="T2918" s="270"/>
      <c r="U2918" s="270"/>
      <c r="V2918" s="270"/>
      <c r="W2918" s="270"/>
      <c r="X2918" s="270"/>
      <c r="Y2918" s="270"/>
      <c r="Z2918" s="270"/>
      <c r="AA2918" s="270"/>
    </row>
    <row r="2919" spans="3:31" ht="15" thickBot="1" x14ac:dyDescent="0.35">
      <c r="C2919" s="501" t="s">
        <v>107</v>
      </c>
      <c r="D2919" s="116"/>
      <c r="E2919" s="116" t="s">
        <v>44</v>
      </c>
      <c r="F2919" s="116" t="s">
        <v>28</v>
      </c>
      <c r="G2919" s="450" t="str">
        <f t="shared" si="144"/>
        <v>Tenant B-Aircraft-Onboard aircraft water</v>
      </c>
      <c r="H2919" s="116"/>
      <c r="I2919" s="889" t="s">
        <v>66</v>
      </c>
      <c r="J2919" s="890">
        <f>SUMIFS('Level of Efficiency Assumptions'!J:J,'Level of Efficiency Assumptions'!D:D,E2919,'Level of Efficiency Assumptions'!F:F,F2919,'Level of Efficiency Assumptions'!I:I,I2919)</f>
        <v>5</v>
      </c>
      <c r="K2919" s="383" t="s">
        <v>588</v>
      </c>
      <c r="L2919" s="257" t="s">
        <v>66</v>
      </c>
      <c r="M2919" s="879">
        <f>Q2921+Q2922</f>
        <v>0</v>
      </c>
      <c r="N2919" s="880">
        <f>IFERROR(M2919/M2920,"-")</f>
        <v>0</v>
      </c>
      <c r="O2919" s="881">
        <f>SUMIFS('Data Entry'!T:T,'Data Entry'!K:K,G2919)</f>
        <v>0</v>
      </c>
      <c r="P2919" s="274"/>
      <c r="Q2919" s="895">
        <v>1</v>
      </c>
      <c r="R2919" s="114"/>
      <c r="S2919" s="884"/>
      <c r="T2919" s="270"/>
      <c r="U2919" s="270"/>
      <c r="V2919" s="270"/>
      <c r="W2919" s="270"/>
      <c r="X2919" s="270"/>
      <c r="Y2919" s="270"/>
      <c r="Z2919" s="270"/>
      <c r="AA2919" s="270"/>
    </row>
    <row r="2920" spans="3:31" x14ac:dyDescent="0.3">
      <c r="C2920" s="450"/>
      <c r="D2920" s="182"/>
      <c r="E2920" s="182"/>
      <c r="F2920" s="182"/>
      <c r="G2920" s="450" t="str">
        <f t="shared" si="144"/>
        <v>--</v>
      </c>
      <c r="H2920" s="182"/>
      <c r="I2920" s="440"/>
      <c r="J2920" s="892"/>
      <c r="K2920" s="259"/>
      <c r="L2920" s="259" t="s">
        <v>46</v>
      </c>
      <c r="M2920" s="893">
        <f>SUM(M2917:M2919)</f>
        <v>1</v>
      </c>
      <c r="N2920" s="894"/>
      <c r="O2920" s="894">
        <f>SUM(O2917:O2919)</f>
        <v>0</v>
      </c>
      <c r="P2920" s="274"/>
      <c r="Q2920" s="895">
        <v>0</v>
      </c>
      <c r="R2920" s="114"/>
      <c r="S2920" s="884"/>
      <c r="T2920" s="270"/>
      <c r="U2920" s="270"/>
      <c r="V2920" s="270"/>
      <c r="W2920" s="270"/>
      <c r="X2920" s="270"/>
      <c r="Y2920" s="270"/>
      <c r="Z2920" s="270"/>
      <c r="AA2920" s="270"/>
    </row>
    <row r="2921" spans="3:31" x14ac:dyDescent="0.3">
      <c r="C2921" s="450"/>
      <c r="D2921" s="182"/>
      <c r="E2921" s="182"/>
      <c r="F2921" s="182"/>
      <c r="G2921" s="450" t="str">
        <f t="shared" si="144"/>
        <v>--</v>
      </c>
      <c r="H2921" s="182"/>
      <c r="I2921" s="892"/>
      <c r="J2921" s="288"/>
      <c r="K2921" s="182"/>
      <c r="L2921" s="181"/>
      <c r="M2921" s="181"/>
      <c r="N2921" s="892"/>
      <c r="O2921" s="892"/>
      <c r="P2921" s="275"/>
      <c r="Q2921" s="895">
        <v>0</v>
      </c>
      <c r="R2921" s="114"/>
      <c r="S2921" s="884"/>
      <c r="T2921" s="270"/>
      <c r="U2921" s="270"/>
      <c r="V2921" s="270"/>
      <c r="W2921" s="270"/>
      <c r="X2921" s="270"/>
      <c r="Y2921" s="270"/>
      <c r="Z2921" s="270"/>
      <c r="AA2921" s="270"/>
    </row>
    <row r="2922" spans="3:31" x14ac:dyDescent="0.3">
      <c r="C2922" s="450"/>
      <c r="D2922" s="182"/>
      <c r="E2922" s="182"/>
      <c r="F2922" s="182"/>
      <c r="G2922" s="450" t="str">
        <f t="shared" si="144"/>
        <v>--</v>
      </c>
      <c r="H2922" s="182"/>
      <c r="I2922" s="892"/>
      <c r="J2922" s="288"/>
      <c r="K2922" s="182"/>
      <c r="L2922" s="182"/>
      <c r="M2922" s="270"/>
      <c r="N2922" s="892"/>
      <c r="O2922" s="892"/>
      <c r="P2922" s="269"/>
      <c r="Q2922" s="895">
        <v>0</v>
      </c>
      <c r="R2922" s="114"/>
      <c r="S2922" s="884"/>
      <c r="T2922" s="270"/>
      <c r="U2922" s="270"/>
      <c r="V2922" s="270"/>
      <c r="W2922" s="270"/>
      <c r="X2922" s="270"/>
      <c r="Y2922" s="270"/>
      <c r="Z2922" s="270"/>
      <c r="AA2922" s="270"/>
    </row>
    <row r="2923" spans="3:31" x14ac:dyDescent="0.3">
      <c r="C2923" s="450"/>
      <c r="D2923" s="182"/>
      <c r="E2923" s="182"/>
      <c r="F2923" s="182"/>
      <c r="G2923" s="450" t="str">
        <f t="shared" si="144"/>
        <v>--</v>
      </c>
      <c r="H2923" s="182"/>
      <c r="I2923" s="892"/>
      <c r="J2923" s="288"/>
      <c r="K2923" s="182"/>
      <c r="L2923" s="182"/>
      <c r="M2923" s="270"/>
      <c r="N2923" s="892"/>
      <c r="O2923" s="892"/>
      <c r="P2923" s="263" t="s">
        <v>46</v>
      </c>
      <c r="Q2923" s="897">
        <f>SUM(Q2917:Q2922)</f>
        <v>1</v>
      </c>
      <c r="R2923" s="899"/>
      <c r="S2923" s="900"/>
      <c r="T2923" s="270"/>
      <c r="U2923" s="270"/>
      <c r="V2923" s="270"/>
      <c r="W2923" s="270"/>
      <c r="X2923" s="270"/>
      <c r="Y2923" s="270"/>
      <c r="Z2923" s="270"/>
      <c r="AA2923" s="270"/>
    </row>
    <row r="2924" spans="3:31" x14ac:dyDescent="0.3">
      <c r="C2924" s="450"/>
      <c r="D2924" s="182"/>
      <c r="E2924" s="182"/>
      <c r="F2924" s="182"/>
      <c r="G2924" s="450" t="str">
        <f t="shared" si="144"/>
        <v>--</v>
      </c>
      <c r="H2924" s="182"/>
      <c r="I2924" s="892"/>
      <c r="J2924" s="288"/>
      <c r="K2924" s="182"/>
      <c r="L2924" s="182"/>
      <c r="M2924" s="270"/>
      <c r="N2924" s="892"/>
      <c r="O2924" s="892"/>
      <c r="P2924" s="270"/>
      <c r="Q2924" s="270"/>
      <c r="R2924" s="270"/>
      <c r="S2924" s="270"/>
      <c r="T2924" s="270"/>
      <c r="U2924" s="270"/>
      <c r="V2924" s="270"/>
      <c r="W2924" s="270"/>
      <c r="X2924" s="270"/>
      <c r="Y2924" s="270"/>
      <c r="Z2924" s="270"/>
      <c r="AA2924" s="270"/>
    </row>
    <row r="2925" spans="3:31" ht="15" thickBot="1" x14ac:dyDescent="0.35">
      <c r="C2925" s="450"/>
      <c r="D2925" s="182"/>
      <c r="E2925" s="182"/>
      <c r="F2925" s="182"/>
      <c r="G2925" s="450" t="str">
        <f t="shared" si="144"/>
        <v>--</v>
      </c>
      <c r="H2925" s="182"/>
      <c r="I2925" s="892"/>
      <c r="J2925" s="892"/>
      <c r="K2925" s="182"/>
      <c r="L2925" s="182"/>
      <c r="M2925" s="901" t="s">
        <v>155</v>
      </c>
      <c r="N2925" s="870" t="s">
        <v>188</v>
      </c>
      <c r="O2925" s="870"/>
      <c r="P2925" s="276" t="s">
        <v>29</v>
      </c>
      <c r="Q2925" s="871" t="s">
        <v>155</v>
      </c>
      <c r="R2925" s="902"/>
      <c r="S2925" s="874"/>
      <c r="T2925" s="270"/>
      <c r="U2925" s="270"/>
      <c r="V2925" s="270"/>
      <c r="W2925" s="270"/>
      <c r="X2925" s="270"/>
      <c r="Y2925" s="270"/>
      <c r="Z2925" s="270"/>
      <c r="AA2925" s="270"/>
    </row>
    <row r="2926" spans="3:31" ht="15" thickBot="1" x14ac:dyDescent="0.35">
      <c r="C2926" s="566" t="s">
        <v>107</v>
      </c>
      <c r="D2926" s="875" t="str">
        <f>VLOOKUP(C2926,'Airport Mapping'!$C$5:$D$39,2,FALSE)</f>
        <v xml:space="preserve"> </v>
      </c>
      <c r="E2926" s="567" t="s">
        <v>44</v>
      </c>
      <c r="F2926" s="567" t="s">
        <v>29</v>
      </c>
      <c r="G2926" s="450" t="str">
        <f t="shared" si="144"/>
        <v>Tenant B-Aircraft-Deicing</v>
      </c>
      <c r="H2926" s="567" t="s">
        <v>10</v>
      </c>
      <c r="I2926" s="877" t="s">
        <v>64</v>
      </c>
      <c r="J2926" s="878">
        <f>SUMIFS('Level of Efficiency Assumptions'!J:J,'Level of Efficiency Assumptions'!D:D,E2926,'Level of Efficiency Assumptions'!F:F,F2926,'Level of Efficiency Assumptions'!I:I,I2926)</f>
        <v>20</v>
      </c>
      <c r="K2926" s="383" t="s">
        <v>588</v>
      </c>
      <c r="L2926" s="253" t="s">
        <v>64</v>
      </c>
      <c r="M2926" s="879">
        <f>SUM(Q2926:Q2927)</f>
        <v>0</v>
      </c>
      <c r="N2926" s="880">
        <f>IFERROR(M2926/M2929,"-")</f>
        <v>0</v>
      </c>
      <c r="O2926" s="881">
        <f>SUMIFS('Data Entry'!R:R,'Data Entry'!K:K,G2926)</f>
        <v>0</v>
      </c>
      <c r="P2926" s="272"/>
      <c r="Q2926" s="895">
        <v>0</v>
      </c>
      <c r="R2926" s="114"/>
      <c r="S2926" s="884"/>
      <c r="T2926" s="270"/>
      <c r="U2926" s="270"/>
      <c r="V2926" s="270"/>
      <c r="W2926" s="270"/>
      <c r="X2926" s="270"/>
      <c r="Y2926" s="270"/>
      <c r="Z2926" s="270"/>
      <c r="AA2926" s="114"/>
      <c r="AB2926" s="85"/>
    </row>
    <row r="2927" spans="3:31" ht="15" thickBot="1" x14ac:dyDescent="0.35">
      <c r="C2927" s="494" t="s">
        <v>107</v>
      </c>
      <c r="D2927" s="577"/>
      <c r="E2927" s="577" t="s">
        <v>44</v>
      </c>
      <c r="F2927" s="577" t="s">
        <v>29</v>
      </c>
      <c r="G2927" s="450" t="str">
        <f t="shared" si="144"/>
        <v>Tenant B-Aircraft-Deicing</v>
      </c>
      <c r="H2927" s="577"/>
      <c r="I2927" s="887" t="s">
        <v>65</v>
      </c>
      <c r="J2927" s="878">
        <f>SUMIFS('Level of Efficiency Assumptions'!J:J,'Level of Efficiency Assumptions'!D:D,E2927,'Level of Efficiency Assumptions'!F:F,F2927,'Level of Efficiency Assumptions'!I:I,I2927)</f>
        <v>10</v>
      </c>
      <c r="K2927" s="383" t="s">
        <v>588</v>
      </c>
      <c r="L2927" s="255" t="s">
        <v>65</v>
      </c>
      <c r="M2927" s="879">
        <f>Q2928+Q2929</f>
        <v>1</v>
      </c>
      <c r="N2927" s="880">
        <f>IFERROR(M2927/M2929,"-")</f>
        <v>1</v>
      </c>
      <c r="O2927" s="881">
        <f>SUMIFS('Data Entry'!S:S,'Data Entry'!K:K,G2927)</f>
        <v>0</v>
      </c>
      <c r="P2927" s="272"/>
      <c r="Q2927" s="895">
        <v>0</v>
      </c>
      <c r="R2927" s="114"/>
      <c r="S2927" s="884"/>
      <c r="T2927" s="270"/>
      <c r="U2927" s="270"/>
      <c r="V2927" s="270"/>
      <c r="W2927" s="270"/>
      <c r="X2927" s="270"/>
      <c r="Y2927" s="270"/>
      <c r="Z2927" s="270"/>
      <c r="AA2927" s="114"/>
      <c r="AB2927" s="85"/>
    </row>
    <row r="2928" spans="3:31" ht="15" thickBot="1" x14ac:dyDescent="0.35">
      <c r="C2928" s="501" t="s">
        <v>107</v>
      </c>
      <c r="D2928" s="116"/>
      <c r="E2928" s="116" t="s">
        <v>44</v>
      </c>
      <c r="F2928" s="116" t="s">
        <v>29</v>
      </c>
      <c r="G2928" s="450" t="str">
        <f t="shared" si="144"/>
        <v>Tenant B-Aircraft-Deicing</v>
      </c>
      <c r="H2928" s="116"/>
      <c r="I2928" s="889" t="s">
        <v>66</v>
      </c>
      <c r="J2928" s="890">
        <f>SUMIFS('Level of Efficiency Assumptions'!J:J,'Level of Efficiency Assumptions'!D:D,E2928,'Level of Efficiency Assumptions'!F:F,F2928,'Level of Efficiency Assumptions'!I:I,I2928)</f>
        <v>5</v>
      </c>
      <c r="K2928" s="383" t="s">
        <v>588</v>
      </c>
      <c r="L2928" s="257" t="s">
        <v>66</v>
      </c>
      <c r="M2928" s="879">
        <f>Q2930+Q2931</f>
        <v>0</v>
      </c>
      <c r="N2928" s="880">
        <f>IFERROR(M2928/M2929,"-")</f>
        <v>0</v>
      </c>
      <c r="O2928" s="881">
        <f>SUMIFS('Data Entry'!T:T,'Data Entry'!K:K,G2928)</f>
        <v>0</v>
      </c>
      <c r="P2928" s="274"/>
      <c r="Q2928" s="895">
        <v>1</v>
      </c>
      <c r="R2928" s="114"/>
      <c r="S2928" s="884"/>
      <c r="T2928" s="270"/>
      <c r="U2928" s="270"/>
      <c r="V2928" s="270"/>
      <c r="W2928" s="270"/>
      <c r="X2928" s="270"/>
      <c r="Y2928" s="114"/>
      <c r="Z2928" s="114"/>
      <c r="AA2928" s="114"/>
      <c r="AB2928" s="85"/>
    </row>
    <row r="2929" spans="3:28" x14ac:dyDescent="0.3">
      <c r="C2929" s="450"/>
      <c r="D2929" s="182"/>
      <c r="E2929" s="182"/>
      <c r="F2929" s="182"/>
      <c r="G2929" s="450" t="str">
        <f t="shared" si="144"/>
        <v>--</v>
      </c>
      <c r="H2929" s="182"/>
      <c r="I2929" s="440"/>
      <c r="J2929" s="892"/>
      <c r="K2929" s="259"/>
      <c r="L2929" s="259" t="s">
        <v>46</v>
      </c>
      <c r="M2929" s="893">
        <f>SUM(M2926:M2928)</f>
        <v>1</v>
      </c>
      <c r="N2929" s="894"/>
      <c r="O2929" s="894">
        <f>SUM(O2926:O2928)</f>
        <v>0</v>
      </c>
      <c r="P2929" s="274"/>
      <c r="Q2929" s="895">
        <v>0</v>
      </c>
      <c r="R2929" s="114"/>
      <c r="S2929" s="884"/>
      <c r="T2929" s="270"/>
      <c r="U2929" s="270"/>
      <c r="V2929" s="270"/>
      <c r="W2929" s="270"/>
      <c r="X2929" s="270"/>
      <c r="Y2929" s="114"/>
      <c r="Z2929" s="114"/>
      <c r="AA2929" s="114"/>
      <c r="AB2929" s="85"/>
    </row>
    <row r="2930" spans="3:28" x14ac:dyDescent="0.3">
      <c r="C2930" s="450"/>
      <c r="D2930" s="182"/>
      <c r="E2930" s="182"/>
      <c r="F2930" s="182"/>
      <c r="G2930" s="450" t="str">
        <f t="shared" si="144"/>
        <v>--</v>
      </c>
      <c r="H2930" s="182"/>
      <c r="I2930" s="892"/>
      <c r="J2930" s="288"/>
      <c r="K2930" s="182"/>
      <c r="L2930" s="181"/>
      <c r="M2930" s="181"/>
      <c r="N2930" s="892"/>
      <c r="O2930" s="892"/>
      <c r="P2930" s="275"/>
      <c r="Q2930" s="895">
        <v>0</v>
      </c>
      <c r="R2930" s="114"/>
      <c r="S2930" s="884"/>
      <c r="T2930" s="270"/>
      <c r="U2930" s="270"/>
      <c r="V2930" s="270"/>
      <c r="W2930" s="270"/>
      <c r="X2930" s="270"/>
      <c r="Y2930" s="114"/>
      <c r="Z2930" s="114"/>
      <c r="AA2930" s="270"/>
    </row>
    <row r="2931" spans="3:28" x14ac:dyDescent="0.3">
      <c r="C2931" s="450"/>
      <c r="D2931" s="182"/>
      <c r="E2931" s="182"/>
      <c r="F2931" s="182"/>
      <c r="G2931" s="450" t="str">
        <f t="shared" si="144"/>
        <v>--</v>
      </c>
      <c r="H2931" s="182"/>
      <c r="I2931" s="892"/>
      <c r="J2931" s="288"/>
      <c r="K2931" s="182"/>
      <c r="L2931" s="182"/>
      <c r="M2931" s="270"/>
      <c r="N2931" s="892"/>
      <c r="O2931" s="892"/>
      <c r="P2931" s="269"/>
      <c r="Q2931" s="895">
        <v>0</v>
      </c>
      <c r="R2931" s="114"/>
      <c r="S2931" s="884"/>
      <c r="T2931" s="270"/>
      <c r="U2931" s="270"/>
      <c r="V2931" s="270"/>
      <c r="W2931" s="270"/>
      <c r="X2931" s="270"/>
      <c r="Y2931" s="114"/>
      <c r="Z2931" s="114"/>
      <c r="AA2931" s="270"/>
    </row>
    <row r="2932" spans="3:28" x14ac:dyDescent="0.3">
      <c r="C2932" s="450"/>
      <c r="D2932" s="182"/>
      <c r="E2932" s="182"/>
      <c r="F2932" s="182"/>
      <c r="G2932" s="450" t="str">
        <f t="shared" si="144"/>
        <v>--</v>
      </c>
      <c r="H2932" s="182"/>
      <c r="I2932" s="892"/>
      <c r="J2932" s="288"/>
      <c r="K2932" s="182"/>
      <c r="L2932" s="182"/>
      <c r="M2932" s="270"/>
      <c r="N2932" s="892"/>
      <c r="O2932" s="892"/>
      <c r="P2932" s="263" t="s">
        <v>46</v>
      </c>
      <c r="Q2932" s="897">
        <f>SUM(Q2926:Q2931)</f>
        <v>1</v>
      </c>
      <c r="R2932" s="899"/>
      <c r="S2932" s="900"/>
      <c r="T2932" s="270"/>
      <c r="U2932" s="270"/>
      <c r="V2932" s="270"/>
      <c r="W2932" s="270"/>
      <c r="X2932" s="270"/>
      <c r="Y2932" s="270"/>
      <c r="Z2932" s="270"/>
      <c r="AA2932" s="270"/>
    </row>
    <row r="2933" spans="3:28" x14ac:dyDescent="0.3">
      <c r="C2933" s="450"/>
      <c r="D2933" s="182"/>
      <c r="E2933" s="182"/>
      <c r="F2933" s="182"/>
      <c r="G2933" s="450" t="str">
        <f t="shared" si="144"/>
        <v>--</v>
      </c>
      <c r="H2933" s="182"/>
      <c r="I2933" s="892"/>
      <c r="J2933" s="288"/>
      <c r="K2933" s="182"/>
      <c r="L2933" s="182"/>
      <c r="M2933" s="270"/>
      <c r="N2933" s="892"/>
      <c r="O2933" s="892"/>
      <c r="P2933" s="270"/>
      <c r="Q2933" s="270"/>
      <c r="R2933" s="270"/>
      <c r="S2933" s="270"/>
      <c r="T2933" s="270"/>
      <c r="U2933" s="270"/>
      <c r="V2933" s="270"/>
      <c r="W2933" s="270"/>
      <c r="X2933" s="270"/>
      <c r="Y2933" s="270"/>
      <c r="Z2933" s="270"/>
      <c r="AA2933" s="270"/>
    </row>
    <row r="2934" spans="3:28" x14ac:dyDescent="0.3">
      <c r="C2934" s="450"/>
      <c r="D2934" s="182"/>
      <c r="E2934" s="182"/>
      <c r="F2934" s="182"/>
      <c r="G2934" s="450" t="str">
        <f t="shared" si="144"/>
        <v>--</v>
      </c>
      <c r="H2934" s="182"/>
      <c r="I2934" s="892"/>
      <c r="J2934" s="288"/>
      <c r="K2934" s="182"/>
      <c r="L2934" s="182"/>
      <c r="M2934" s="270"/>
      <c r="N2934" s="892"/>
      <c r="O2934" s="892"/>
      <c r="P2934" s="276" t="s">
        <v>42</v>
      </c>
      <c r="Q2934" s="902"/>
      <c r="R2934" s="902"/>
      <c r="S2934" s="902"/>
      <c r="T2934" s="271"/>
      <c r="U2934" s="114"/>
      <c r="V2934" s="114"/>
      <c r="W2934" s="270"/>
      <c r="X2934" s="270"/>
      <c r="Y2934" s="270"/>
      <c r="Z2934" s="270"/>
      <c r="AA2934" s="270"/>
    </row>
    <row r="2935" spans="3:28" ht="15" thickBot="1" x14ac:dyDescent="0.35">
      <c r="C2935" s="450"/>
      <c r="D2935" s="182"/>
      <c r="E2935" s="182"/>
      <c r="F2935" s="182"/>
      <c r="G2935" s="450" t="str">
        <f t="shared" si="144"/>
        <v>--</v>
      </c>
      <c r="H2935" s="182"/>
      <c r="I2935" s="892"/>
      <c r="J2935" s="892"/>
      <c r="K2935" s="182"/>
      <c r="L2935" s="182"/>
      <c r="M2935" s="901" t="s">
        <v>155</v>
      </c>
      <c r="N2935" s="870" t="s">
        <v>188</v>
      </c>
      <c r="O2935" s="870"/>
      <c r="P2935" s="277" t="s">
        <v>818</v>
      </c>
      <c r="Q2935" s="871" t="s">
        <v>155</v>
      </c>
      <c r="R2935" s="114"/>
      <c r="S2935" s="114"/>
      <c r="T2935" s="271"/>
      <c r="U2935" s="114"/>
      <c r="V2935" s="114"/>
      <c r="W2935" s="270"/>
      <c r="X2935" s="270"/>
      <c r="Y2935" s="270"/>
      <c r="Z2935" s="270"/>
      <c r="AA2935" s="270"/>
    </row>
    <row r="2936" spans="3:28" ht="15" thickBot="1" x14ac:dyDescent="0.35">
      <c r="C2936" s="566" t="s">
        <v>107</v>
      </c>
      <c r="D2936" s="875" t="str">
        <f>VLOOKUP(C2936,'Airport Mapping'!$C$5:$D$39,2,FALSE)</f>
        <v xml:space="preserve"> </v>
      </c>
      <c r="E2936" s="567" t="s">
        <v>39</v>
      </c>
      <c r="F2936" s="567" t="s">
        <v>42</v>
      </c>
      <c r="G2936" s="450" t="str">
        <f t="shared" si="144"/>
        <v>Tenant B-Landscaping-Outdoor irrigation</v>
      </c>
      <c r="H2936" s="567" t="s">
        <v>32</v>
      </c>
      <c r="I2936" s="877" t="s">
        <v>64</v>
      </c>
      <c r="J2936" s="878">
        <f>SUMIFS('Level of Efficiency Assumptions'!J:J,'Level of Efficiency Assumptions'!D:D,E2936,'Level of Efficiency Assumptions'!F:F,F2936,'Level of Efficiency Assumptions'!I:I,I2936)</f>
        <v>28.6</v>
      </c>
      <c r="K2936" s="383" t="s">
        <v>816</v>
      </c>
      <c r="L2936" s="253" t="s">
        <v>64</v>
      </c>
      <c r="M2936" s="879">
        <f>SUM(Q2936:Q2937)</f>
        <v>0</v>
      </c>
      <c r="N2936" s="880">
        <f>IFERROR(M2936/M2939,"-")</f>
        <v>0</v>
      </c>
      <c r="O2936" s="881">
        <f>SUMIFS('Data Entry'!R:R,'Data Entry'!K:K,G2936)</f>
        <v>0</v>
      </c>
      <c r="P2936" s="272" t="s">
        <v>237</v>
      </c>
      <c r="Q2936" s="895">
        <v>0</v>
      </c>
      <c r="R2936" s="114"/>
      <c r="S2936" s="114"/>
      <c r="T2936" s="271"/>
      <c r="U2936" s="114"/>
      <c r="V2936" s="114"/>
      <c r="W2936" s="270"/>
      <c r="X2936" s="270"/>
      <c r="Y2936" s="270"/>
      <c r="Z2936" s="270"/>
      <c r="AA2936" s="270"/>
    </row>
    <row r="2937" spans="3:28" ht="15" thickBot="1" x14ac:dyDescent="0.35">
      <c r="C2937" s="494" t="s">
        <v>107</v>
      </c>
      <c r="D2937" s="577"/>
      <c r="E2937" s="577" t="s">
        <v>39</v>
      </c>
      <c r="F2937" s="577" t="s">
        <v>42</v>
      </c>
      <c r="G2937" s="450" t="str">
        <f t="shared" si="144"/>
        <v>Tenant B-Landscaping-Outdoor irrigation</v>
      </c>
      <c r="H2937" s="577"/>
      <c r="I2937" s="887" t="s">
        <v>65</v>
      </c>
      <c r="J2937" s="878">
        <f>SUMIFS('Level of Efficiency Assumptions'!J:J,'Level of Efficiency Assumptions'!D:D,E2937,'Level of Efficiency Assumptions'!F:F,F2937,'Level of Efficiency Assumptions'!I:I,I2937)</f>
        <v>13.980821518350929</v>
      </c>
      <c r="K2937" s="383" t="s">
        <v>816</v>
      </c>
      <c r="L2937" s="255" t="s">
        <v>65</v>
      </c>
      <c r="M2937" s="879">
        <f>Q2938+Q2939</f>
        <v>1</v>
      </c>
      <c r="N2937" s="880">
        <f>IFERROR(M2937/M2939,"-")</f>
        <v>1</v>
      </c>
      <c r="O2937" s="881">
        <f>SUMIFS('Data Entry'!S:S,'Data Entry'!K:K,G2937)</f>
        <v>0</v>
      </c>
      <c r="P2937" s="272" t="s">
        <v>232</v>
      </c>
      <c r="Q2937" s="895">
        <v>0</v>
      </c>
      <c r="R2937" s="114"/>
      <c r="S2937" s="114"/>
      <c r="T2937" s="271"/>
      <c r="U2937" s="114"/>
      <c r="V2937" s="114"/>
      <c r="W2937" s="270"/>
      <c r="X2937" s="270"/>
      <c r="Y2937" s="270"/>
      <c r="Z2937" s="270"/>
      <c r="AA2937" s="270"/>
    </row>
    <row r="2938" spans="3:28" ht="15" thickBot="1" x14ac:dyDescent="0.35">
      <c r="C2938" s="501" t="s">
        <v>107</v>
      </c>
      <c r="D2938" s="116"/>
      <c r="E2938" s="116" t="s">
        <v>39</v>
      </c>
      <c r="F2938" s="116" t="s">
        <v>42</v>
      </c>
      <c r="G2938" s="450" t="str">
        <f t="shared" si="144"/>
        <v>Tenant B-Landscaping-Outdoor irrigation</v>
      </c>
      <c r="H2938" s="116"/>
      <c r="I2938" s="889" t="s">
        <v>66</v>
      </c>
      <c r="J2938" s="890">
        <f>SUMIFS('Level of Efficiency Assumptions'!J:J,'Level of Efficiency Assumptions'!D:D,E2938,'Level of Efficiency Assumptions'!F:F,F2938,'Level of Efficiency Assumptions'!I:I,I2938)</f>
        <v>0.59137254901960778</v>
      </c>
      <c r="K2938" s="383" t="s">
        <v>816</v>
      </c>
      <c r="L2938" s="257" t="s">
        <v>66</v>
      </c>
      <c r="M2938" s="879">
        <f>Q2940+Q2941</f>
        <v>0</v>
      </c>
      <c r="N2938" s="880">
        <f>IFERROR(M2938/M2939,"-")</f>
        <v>0</v>
      </c>
      <c r="O2938" s="881">
        <f>SUMIFS('Data Entry'!T:T,'Data Entry'!K:K,G2938)</f>
        <v>0</v>
      </c>
      <c r="P2938" s="274" t="s">
        <v>231</v>
      </c>
      <c r="Q2938" s="895">
        <v>1</v>
      </c>
      <c r="R2938" s="114"/>
      <c r="S2938" s="114"/>
      <c r="T2938" s="271"/>
      <c r="U2938" s="114"/>
      <c r="V2938" s="114"/>
      <c r="W2938" s="270"/>
      <c r="X2938" s="270"/>
      <c r="Y2938" s="270"/>
      <c r="Z2938" s="270"/>
      <c r="AA2938" s="270"/>
    </row>
    <row r="2939" spans="3:28" x14ac:dyDescent="0.3">
      <c r="C2939" s="450"/>
      <c r="D2939" s="182"/>
      <c r="E2939" s="182"/>
      <c r="F2939" s="182"/>
      <c r="G2939" s="450" t="str">
        <f t="shared" si="144"/>
        <v>--</v>
      </c>
      <c r="H2939" s="182"/>
      <c r="I2939" s="440"/>
      <c r="J2939" s="892"/>
      <c r="K2939" s="259"/>
      <c r="L2939" s="259" t="s">
        <v>46</v>
      </c>
      <c r="M2939" s="893">
        <f>SUM(M2936:M2938)</f>
        <v>1</v>
      </c>
      <c r="N2939" s="894"/>
      <c r="O2939" s="894">
        <f>SUM(O2936:O2938)</f>
        <v>0</v>
      </c>
      <c r="P2939" s="274" t="s">
        <v>230</v>
      </c>
      <c r="Q2939" s="895">
        <v>0</v>
      </c>
      <c r="R2939" s="114"/>
      <c r="S2939" s="114"/>
      <c r="T2939" s="271"/>
      <c r="U2939" s="114"/>
      <c r="V2939" s="114"/>
      <c r="W2939" s="270"/>
      <c r="X2939" s="270"/>
      <c r="Y2939" s="270"/>
      <c r="Z2939" s="270"/>
      <c r="AA2939" s="270"/>
    </row>
    <row r="2940" spans="3:28" x14ac:dyDescent="0.3">
      <c r="C2940" s="450"/>
      <c r="D2940" s="182"/>
      <c r="E2940" s="182"/>
      <c r="F2940" s="182"/>
      <c r="G2940" s="450" t="str">
        <f t="shared" si="144"/>
        <v>--</v>
      </c>
      <c r="H2940" s="182"/>
      <c r="I2940" s="892"/>
      <c r="J2940" s="288"/>
      <c r="K2940" s="182"/>
      <c r="L2940" s="181"/>
      <c r="M2940" s="181"/>
      <c r="N2940" s="892"/>
      <c r="O2940" s="892"/>
      <c r="P2940" s="275" t="s">
        <v>229</v>
      </c>
      <c r="Q2940" s="895">
        <v>0</v>
      </c>
      <c r="R2940" s="114"/>
      <c r="S2940" s="114"/>
      <c r="T2940" s="271"/>
      <c r="U2940" s="114"/>
      <c r="V2940" s="114"/>
      <c r="W2940" s="270"/>
      <c r="X2940" s="270"/>
      <c r="Y2940" s="270"/>
      <c r="Z2940" s="270"/>
      <c r="AA2940" s="270"/>
    </row>
    <row r="2941" spans="3:28" x14ac:dyDescent="0.3">
      <c r="C2941" s="450"/>
      <c r="D2941" s="182"/>
      <c r="E2941" s="182"/>
      <c r="F2941" s="182"/>
      <c r="G2941" s="450" t="str">
        <f t="shared" si="144"/>
        <v>--</v>
      </c>
      <c r="H2941" s="182"/>
      <c r="I2941" s="892"/>
      <c r="J2941" s="288"/>
      <c r="K2941" s="182"/>
      <c r="L2941" s="182"/>
      <c r="M2941" s="270"/>
      <c r="N2941" s="892"/>
      <c r="O2941" s="892"/>
      <c r="P2941" s="269" t="s">
        <v>225</v>
      </c>
      <c r="Q2941" s="895">
        <v>0</v>
      </c>
      <c r="R2941" s="114"/>
      <c r="S2941" s="114"/>
      <c r="T2941" s="271"/>
      <c r="U2941" s="114"/>
      <c r="V2941" s="114"/>
      <c r="W2941" s="270"/>
      <c r="X2941" s="270"/>
      <c r="Y2941" s="270"/>
      <c r="Z2941" s="270"/>
      <c r="AA2941" s="270"/>
    </row>
    <row r="2942" spans="3:28" x14ac:dyDescent="0.3">
      <c r="C2942" s="450"/>
      <c r="D2942" s="182"/>
      <c r="E2942" s="182"/>
      <c r="F2942" s="182"/>
      <c r="G2942" s="450" t="str">
        <f t="shared" si="144"/>
        <v>--</v>
      </c>
      <c r="H2942" s="182"/>
      <c r="I2942" s="892"/>
      <c r="J2942" s="288"/>
      <c r="K2942" s="182"/>
      <c r="L2942" s="182"/>
      <c r="M2942" s="270"/>
      <c r="N2942" s="892"/>
      <c r="O2942" s="892"/>
      <c r="P2942" s="263" t="s">
        <v>46</v>
      </c>
      <c r="Q2942" s="897">
        <f>SUM(Q2936:Q2941)</f>
        <v>1</v>
      </c>
      <c r="R2942" s="899"/>
      <c r="S2942" s="899"/>
      <c r="T2942" s="271"/>
      <c r="U2942" s="114"/>
      <c r="V2942" s="114"/>
      <c r="W2942" s="270"/>
      <c r="X2942" s="270"/>
      <c r="Y2942" s="270"/>
      <c r="Z2942" s="270"/>
      <c r="AA2942" s="270"/>
    </row>
    <row r="2943" spans="3:28" x14ac:dyDescent="0.3">
      <c r="C2943" s="450"/>
      <c r="D2943" s="182"/>
      <c r="E2943" s="182"/>
      <c r="F2943" s="182"/>
      <c r="G2943" s="450" t="str">
        <f t="shared" si="144"/>
        <v>--</v>
      </c>
      <c r="H2943" s="182"/>
      <c r="I2943" s="892"/>
      <c r="J2943" s="288"/>
      <c r="K2943" s="182"/>
      <c r="L2943" s="182"/>
      <c r="M2943" s="270"/>
      <c r="N2943" s="892"/>
      <c r="O2943" s="892"/>
      <c r="P2943" s="270"/>
      <c r="Q2943" s="270"/>
      <c r="R2943" s="270"/>
      <c r="S2943" s="270"/>
      <c r="T2943" s="270"/>
      <c r="U2943" s="270"/>
      <c r="V2943" s="270"/>
      <c r="W2943" s="270"/>
      <c r="X2943" s="270"/>
      <c r="Y2943" s="270"/>
      <c r="Z2943" s="270"/>
      <c r="AA2943" s="270"/>
    </row>
    <row r="2944" spans="3:28" ht="15" thickBot="1" x14ac:dyDescent="0.35">
      <c r="C2944" s="450"/>
      <c r="D2944" s="182"/>
      <c r="E2944" s="182"/>
      <c r="F2944" s="182"/>
      <c r="G2944" s="450" t="str">
        <f t="shared" si="144"/>
        <v>--</v>
      </c>
      <c r="H2944" s="182"/>
      <c r="I2944" s="892"/>
      <c r="J2944" s="892"/>
      <c r="K2944" s="182"/>
      <c r="L2944" s="182"/>
      <c r="M2944" s="901" t="s">
        <v>155</v>
      </c>
      <c r="N2944" s="870" t="s">
        <v>188</v>
      </c>
      <c r="O2944" s="870"/>
      <c r="P2944" s="276" t="s">
        <v>111</v>
      </c>
      <c r="Q2944" s="871" t="s">
        <v>155</v>
      </c>
      <c r="R2944" s="902"/>
      <c r="S2944" s="874"/>
      <c r="T2944" s="270"/>
      <c r="U2944" s="270"/>
      <c r="V2944" s="270"/>
      <c r="W2944" s="270"/>
      <c r="X2944" s="270"/>
      <c r="Y2944" s="270"/>
      <c r="Z2944" s="270"/>
      <c r="AA2944" s="270"/>
    </row>
    <row r="2945" spans="3:27" ht="15" thickBot="1" x14ac:dyDescent="0.35">
      <c r="C2945" s="566" t="s">
        <v>107</v>
      </c>
      <c r="D2945" s="875" t="str">
        <f>VLOOKUP(C2945,'Airport Mapping'!$C$5:$D$39,2,FALSE)</f>
        <v xml:space="preserve"> </v>
      </c>
      <c r="E2945" s="567" t="s">
        <v>43</v>
      </c>
      <c r="F2945" s="567" t="s">
        <v>111</v>
      </c>
      <c r="G2945" s="450" t="str">
        <f t="shared" si="144"/>
        <v>Tenant B-Maintenance-Boiler</v>
      </c>
      <c r="H2945" s="567" t="s">
        <v>424</v>
      </c>
      <c r="I2945" s="877" t="s">
        <v>64</v>
      </c>
      <c r="J2945" s="878">
        <f>SUMIFS('Level of Efficiency Assumptions'!J:J,'Level of Efficiency Assumptions'!D:D,E2945,'Level of Efficiency Assumptions'!F:F,F2945,'Level of Efficiency Assumptions'!I:I,I2945)</f>
        <v>100</v>
      </c>
      <c r="K2945" s="383" t="s">
        <v>585</v>
      </c>
      <c r="L2945" s="253" t="s">
        <v>64</v>
      </c>
      <c r="M2945" s="879">
        <f>SUM(Q2945:Q2946)</f>
        <v>0</v>
      </c>
      <c r="N2945" s="880">
        <f>IFERROR(M2945/M2948,"-")</f>
        <v>0</v>
      </c>
      <c r="O2945" s="881">
        <f>SUMIFS('Data Entry'!R:R,'Data Entry'!K:K,G2945)</f>
        <v>0</v>
      </c>
      <c r="P2945" s="272"/>
      <c r="Q2945" s="895">
        <v>0</v>
      </c>
      <c r="R2945" s="114"/>
      <c r="S2945" s="884"/>
      <c r="T2945" s="270"/>
      <c r="U2945" s="270"/>
      <c r="V2945" s="270"/>
      <c r="W2945" s="270"/>
      <c r="X2945" s="270"/>
      <c r="Y2945" s="270"/>
      <c r="Z2945" s="270"/>
      <c r="AA2945" s="270"/>
    </row>
    <row r="2946" spans="3:27" ht="15" thickBot="1" x14ac:dyDescent="0.35">
      <c r="C2946" s="494" t="s">
        <v>107</v>
      </c>
      <c r="D2946" s="577"/>
      <c r="E2946" s="577" t="s">
        <v>43</v>
      </c>
      <c r="F2946" s="577" t="s">
        <v>111</v>
      </c>
      <c r="G2946" s="450" t="str">
        <f t="shared" si="144"/>
        <v>Tenant B-Maintenance-Boiler</v>
      </c>
      <c r="H2946" s="577"/>
      <c r="I2946" s="887" t="s">
        <v>65</v>
      </c>
      <c r="J2946" s="878">
        <f>SUMIFS('Level of Efficiency Assumptions'!J:J,'Level of Efficiency Assumptions'!D:D,E2946,'Level of Efficiency Assumptions'!F:F,F2946,'Level of Efficiency Assumptions'!I:I,I2946)</f>
        <v>75</v>
      </c>
      <c r="K2946" s="383" t="s">
        <v>585</v>
      </c>
      <c r="L2946" s="255" t="s">
        <v>65</v>
      </c>
      <c r="M2946" s="879">
        <f>Q2947+Q2948</f>
        <v>1</v>
      </c>
      <c r="N2946" s="880">
        <f>IFERROR(M2946/M2948,"-")</f>
        <v>1</v>
      </c>
      <c r="O2946" s="881">
        <f>SUMIFS('Data Entry'!S:S,'Data Entry'!K:K,G2946)</f>
        <v>0</v>
      </c>
      <c r="P2946" s="272"/>
      <c r="Q2946" s="895">
        <v>0</v>
      </c>
      <c r="R2946" s="114"/>
      <c r="S2946" s="884"/>
      <c r="T2946" s="270"/>
      <c r="U2946" s="270"/>
      <c r="V2946" s="270"/>
      <c r="W2946" s="270"/>
      <c r="X2946" s="270"/>
      <c r="Y2946" s="270"/>
      <c r="Z2946" s="270"/>
      <c r="AA2946" s="270"/>
    </row>
    <row r="2947" spans="3:27" ht="15" thickBot="1" x14ac:dyDescent="0.35">
      <c r="C2947" s="501" t="s">
        <v>107</v>
      </c>
      <c r="D2947" s="116"/>
      <c r="E2947" s="116" t="s">
        <v>43</v>
      </c>
      <c r="F2947" s="116" t="s">
        <v>111</v>
      </c>
      <c r="G2947" s="450" t="str">
        <f t="shared" si="144"/>
        <v>Tenant B-Maintenance-Boiler</v>
      </c>
      <c r="H2947" s="116"/>
      <c r="I2947" s="889" t="s">
        <v>66</v>
      </c>
      <c r="J2947" s="890">
        <f>SUMIFS('Level of Efficiency Assumptions'!J:J,'Level of Efficiency Assumptions'!D:D,E2947,'Level of Efficiency Assumptions'!F:F,F2947,'Level of Efficiency Assumptions'!I:I,I2947)</f>
        <v>50</v>
      </c>
      <c r="K2947" s="383" t="s">
        <v>585</v>
      </c>
      <c r="L2947" s="257" t="s">
        <v>66</v>
      </c>
      <c r="M2947" s="879">
        <f>Q2949+Q2950</f>
        <v>0</v>
      </c>
      <c r="N2947" s="880">
        <f>IFERROR(M2947/M2948,"-")</f>
        <v>0</v>
      </c>
      <c r="O2947" s="881">
        <f>SUMIFS('Data Entry'!T:T,'Data Entry'!K:K,G2947)</f>
        <v>0</v>
      </c>
      <c r="P2947" s="274"/>
      <c r="Q2947" s="895">
        <v>1</v>
      </c>
      <c r="R2947" s="114"/>
      <c r="S2947" s="884"/>
      <c r="T2947" s="270"/>
      <c r="U2947" s="270"/>
      <c r="V2947" s="270"/>
      <c r="W2947" s="270"/>
      <c r="X2947" s="270"/>
      <c r="Y2947" s="270"/>
      <c r="Z2947" s="270"/>
      <c r="AA2947" s="270"/>
    </row>
    <row r="2948" spans="3:27" x14ac:dyDescent="0.3">
      <c r="C2948" s="450"/>
      <c r="D2948" s="182"/>
      <c r="E2948" s="182"/>
      <c r="F2948" s="182"/>
      <c r="G2948" s="450" t="str">
        <f t="shared" si="144"/>
        <v>--</v>
      </c>
      <c r="H2948" s="182"/>
      <c r="I2948" s="440"/>
      <c r="J2948" s="892"/>
      <c r="K2948" s="259"/>
      <c r="L2948" s="259" t="s">
        <v>46</v>
      </c>
      <c r="M2948" s="893">
        <f>SUM(M2945:M2947)</f>
        <v>1</v>
      </c>
      <c r="N2948" s="894"/>
      <c r="O2948" s="894">
        <f>SUM(O2945:O2947)</f>
        <v>0</v>
      </c>
      <c r="P2948" s="274"/>
      <c r="Q2948" s="895">
        <v>0</v>
      </c>
      <c r="R2948" s="114"/>
      <c r="S2948" s="884"/>
      <c r="T2948" s="270"/>
      <c r="U2948" s="270"/>
      <c r="V2948" s="270"/>
      <c r="W2948" s="270"/>
      <c r="X2948" s="270"/>
      <c r="Y2948" s="270"/>
      <c r="Z2948" s="270"/>
      <c r="AA2948" s="270"/>
    </row>
    <row r="2949" spans="3:27" x14ac:dyDescent="0.3">
      <c r="C2949" s="450"/>
      <c r="D2949" s="182"/>
      <c r="E2949" s="182"/>
      <c r="F2949" s="182"/>
      <c r="G2949" s="450" t="str">
        <f t="shared" si="144"/>
        <v>--</v>
      </c>
      <c r="H2949" s="182"/>
      <c r="I2949" s="892"/>
      <c r="J2949" s="288"/>
      <c r="K2949" s="182"/>
      <c r="L2949" s="181"/>
      <c r="M2949" s="181"/>
      <c r="N2949" s="892"/>
      <c r="O2949" s="892"/>
      <c r="P2949" s="275"/>
      <c r="Q2949" s="895">
        <v>0</v>
      </c>
      <c r="R2949" s="114"/>
      <c r="S2949" s="884"/>
      <c r="T2949" s="270"/>
      <c r="U2949" s="270"/>
      <c r="V2949" s="270"/>
      <c r="W2949" s="270"/>
      <c r="X2949" s="270"/>
      <c r="Y2949" s="270"/>
      <c r="Z2949" s="270"/>
      <c r="AA2949" s="270"/>
    </row>
    <row r="2950" spans="3:27" x14ac:dyDescent="0.3">
      <c r="C2950" s="450"/>
      <c r="D2950" s="182"/>
      <c r="E2950" s="182"/>
      <c r="F2950" s="182"/>
      <c r="G2950" s="450" t="str">
        <f t="shared" si="144"/>
        <v>--</v>
      </c>
      <c r="H2950" s="182"/>
      <c r="I2950" s="892"/>
      <c r="J2950" s="288"/>
      <c r="K2950" s="182"/>
      <c r="L2950" s="182"/>
      <c r="M2950" s="270"/>
      <c r="N2950" s="892"/>
      <c r="O2950" s="892"/>
      <c r="P2950" s="269"/>
      <c r="Q2950" s="895">
        <v>0</v>
      </c>
      <c r="R2950" s="114"/>
      <c r="S2950" s="884"/>
      <c r="T2950" s="270"/>
      <c r="U2950" s="270"/>
      <c r="V2950" s="270"/>
      <c r="W2950" s="270"/>
      <c r="X2950" s="270"/>
      <c r="Y2950" s="270"/>
      <c r="Z2950" s="270"/>
      <c r="AA2950" s="270"/>
    </row>
    <row r="2951" spans="3:27" x14ac:dyDescent="0.3">
      <c r="C2951" s="450"/>
      <c r="D2951" s="182"/>
      <c r="E2951" s="182"/>
      <c r="F2951" s="182"/>
      <c r="G2951" s="450" t="str">
        <f t="shared" si="144"/>
        <v>--</v>
      </c>
      <c r="H2951" s="182"/>
      <c r="I2951" s="892"/>
      <c r="J2951" s="288"/>
      <c r="K2951" s="182"/>
      <c r="L2951" s="182"/>
      <c r="M2951" s="270"/>
      <c r="N2951" s="892"/>
      <c r="O2951" s="892"/>
      <c r="P2951" s="263" t="s">
        <v>46</v>
      </c>
      <c r="Q2951" s="897">
        <f>SUM(Q2945:Q2950)</f>
        <v>1</v>
      </c>
      <c r="R2951" s="899"/>
      <c r="S2951" s="900"/>
      <c r="T2951" s="270"/>
      <c r="U2951" s="270"/>
      <c r="V2951" s="270"/>
      <c r="W2951" s="270"/>
      <c r="X2951" s="270"/>
      <c r="Y2951" s="270"/>
      <c r="Z2951" s="270"/>
      <c r="AA2951" s="270"/>
    </row>
    <row r="2952" spans="3:27" x14ac:dyDescent="0.3">
      <c r="C2952" s="225"/>
      <c r="D2952" s="288"/>
      <c r="E2952" s="288"/>
      <c r="F2952" s="288"/>
      <c r="G2952" s="450" t="str">
        <f t="shared" si="144"/>
        <v>--</v>
      </c>
      <c r="H2952" s="182"/>
      <c r="I2952" s="892"/>
      <c r="J2952" s="288"/>
      <c r="K2952" s="182"/>
      <c r="L2952" s="182"/>
      <c r="M2952" s="270"/>
      <c r="N2952" s="892"/>
      <c r="O2952" s="892"/>
      <c r="P2952" s="259"/>
      <c r="Q2952" s="114"/>
      <c r="R2952" s="270"/>
      <c r="S2952" s="270"/>
      <c r="T2952" s="270"/>
      <c r="U2952" s="270"/>
      <c r="V2952" s="270"/>
      <c r="W2952" s="270"/>
      <c r="X2952" s="270"/>
      <c r="Y2952" s="270"/>
      <c r="Z2952" s="270"/>
      <c r="AA2952" s="270"/>
    </row>
    <row r="2953" spans="3:27" ht="15" thickBot="1" x14ac:dyDescent="0.35">
      <c r="C2953" s="450"/>
      <c r="D2953" s="182"/>
      <c r="E2953" s="182"/>
      <c r="F2953" s="182"/>
      <c r="G2953" s="450" t="str">
        <f t="shared" si="144"/>
        <v>--</v>
      </c>
      <c r="H2953" s="182"/>
      <c r="I2953" s="892"/>
      <c r="J2953" s="892"/>
      <c r="K2953" s="182"/>
      <c r="L2953" s="182"/>
      <c r="M2953" s="901" t="s">
        <v>155</v>
      </c>
      <c r="N2953" s="870" t="s">
        <v>188</v>
      </c>
      <c r="O2953" s="870"/>
      <c r="P2953" s="276" t="s">
        <v>9</v>
      </c>
      <c r="Q2953" s="871" t="s">
        <v>155</v>
      </c>
      <c r="R2953" s="902"/>
      <c r="S2953" s="874"/>
      <c r="T2953" s="270"/>
      <c r="U2953" s="270"/>
      <c r="V2953" s="270"/>
      <c r="W2953" s="270"/>
      <c r="X2953" s="270"/>
      <c r="Y2953" s="270"/>
      <c r="Z2953" s="270"/>
      <c r="AA2953" s="270"/>
    </row>
    <row r="2954" spans="3:27" ht="15" thickBot="1" x14ac:dyDescent="0.35">
      <c r="C2954" s="566" t="s">
        <v>107</v>
      </c>
      <c r="D2954" s="875" t="str">
        <f>VLOOKUP(C2954,'Airport Mapping'!$C$5:$D$39,2,FALSE)</f>
        <v xml:space="preserve"> </v>
      </c>
      <c r="E2954" s="567" t="s">
        <v>43</v>
      </c>
      <c r="F2954" s="567" t="s">
        <v>25</v>
      </c>
      <c r="G2954" s="450" t="str">
        <f t="shared" si="144"/>
        <v>Tenant B-Maintenance-Fleet vehicle washing</v>
      </c>
      <c r="H2954" s="567" t="s">
        <v>10</v>
      </c>
      <c r="I2954" s="877" t="s">
        <v>64</v>
      </c>
      <c r="J2954" s="878">
        <f>SUMIFS('Level of Efficiency Assumptions'!J:J,'Level of Efficiency Assumptions'!D:D,E2954,'Level of Efficiency Assumptions'!F:F,F2954,'Level of Efficiency Assumptions'!I:I,I2954)</f>
        <v>10</v>
      </c>
      <c r="K2954" s="383" t="s">
        <v>588</v>
      </c>
      <c r="L2954" s="253" t="s">
        <v>64</v>
      </c>
      <c r="M2954" s="879">
        <f>SUM(Q2954:Q2955)</f>
        <v>0</v>
      </c>
      <c r="N2954" s="880">
        <f>IFERROR(M2954/M2957,"-")</f>
        <v>0</v>
      </c>
      <c r="O2954" s="881">
        <f>SUMIFS('Data Entry'!R:R,'Data Entry'!K:K,G2954)</f>
        <v>0</v>
      </c>
      <c r="P2954" s="272"/>
      <c r="Q2954" s="895">
        <v>0</v>
      </c>
      <c r="R2954" s="114"/>
      <c r="S2954" s="884"/>
      <c r="T2954" s="270"/>
      <c r="U2954" s="270"/>
      <c r="V2954" s="270"/>
      <c r="W2954" s="270"/>
      <c r="X2954" s="270"/>
      <c r="Y2954" s="270"/>
      <c r="Z2954" s="270"/>
      <c r="AA2954" s="270"/>
    </row>
    <row r="2955" spans="3:27" ht="15" thickBot="1" x14ac:dyDescent="0.35">
      <c r="C2955" s="494" t="s">
        <v>107</v>
      </c>
      <c r="D2955" s="577"/>
      <c r="E2955" s="577" t="s">
        <v>43</v>
      </c>
      <c r="F2955" s="577" t="s">
        <v>25</v>
      </c>
      <c r="G2955" s="450" t="str">
        <f t="shared" si="144"/>
        <v>Tenant B-Maintenance-Fleet vehicle washing</v>
      </c>
      <c r="H2955" s="577"/>
      <c r="I2955" s="887" t="s">
        <v>65</v>
      </c>
      <c r="J2955" s="878">
        <f>SUMIFS('Level of Efficiency Assumptions'!J:J,'Level of Efficiency Assumptions'!D:D,E2955,'Level of Efficiency Assumptions'!F:F,F2955,'Level of Efficiency Assumptions'!I:I,I2955)</f>
        <v>7.5</v>
      </c>
      <c r="K2955" s="383" t="s">
        <v>588</v>
      </c>
      <c r="L2955" s="255" t="s">
        <v>65</v>
      </c>
      <c r="M2955" s="879">
        <f>Q2956+Q2957</f>
        <v>1</v>
      </c>
      <c r="N2955" s="880">
        <f>IFERROR(M2955/M2957,"-")</f>
        <v>1</v>
      </c>
      <c r="O2955" s="881">
        <f>SUMIFS('Data Entry'!S:S,'Data Entry'!K:K,G2955)</f>
        <v>0</v>
      </c>
      <c r="P2955" s="272"/>
      <c r="Q2955" s="895">
        <v>0</v>
      </c>
      <c r="R2955" s="114"/>
      <c r="S2955" s="884"/>
      <c r="T2955" s="270"/>
      <c r="U2955" s="270"/>
      <c r="V2955" s="270"/>
      <c r="W2955" s="270"/>
      <c r="X2955" s="270"/>
      <c r="Y2955" s="270"/>
      <c r="Z2955" s="270"/>
      <c r="AA2955" s="270"/>
    </row>
    <row r="2956" spans="3:27" ht="15" thickBot="1" x14ac:dyDescent="0.35">
      <c r="C2956" s="501" t="s">
        <v>107</v>
      </c>
      <c r="D2956" s="116"/>
      <c r="E2956" s="116" t="s">
        <v>43</v>
      </c>
      <c r="F2956" s="116" t="s">
        <v>25</v>
      </c>
      <c r="G2956" s="450" t="str">
        <f t="shared" si="144"/>
        <v>Tenant B-Maintenance-Fleet vehicle washing</v>
      </c>
      <c r="H2956" s="116"/>
      <c r="I2956" s="889" t="s">
        <v>66</v>
      </c>
      <c r="J2956" s="890">
        <f>SUMIFS('Level of Efficiency Assumptions'!J:J,'Level of Efficiency Assumptions'!D:D,E2956,'Level of Efficiency Assumptions'!F:F,F2956,'Level of Efficiency Assumptions'!I:I,I2956)</f>
        <v>5</v>
      </c>
      <c r="K2956" s="383" t="s">
        <v>588</v>
      </c>
      <c r="L2956" s="257" t="s">
        <v>66</v>
      </c>
      <c r="M2956" s="879">
        <f>Q2958+Q2959</f>
        <v>0</v>
      </c>
      <c r="N2956" s="880">
        <f>IFERROR(M2956/M2957,"-")</f>
        <v>0</v>
      </c>
      <c r="O2956" s="881">
        <f>SUMIFS('Data Entry'!T:T,'Data Entry'!K:K,G2956)</f>
        <v>0</v>
      </c>
      <c r="P2956" s="274"/>
      <c r="Q2956" s="895">
        <v>1</v>
      </c>
      <c r="R2956" s="114"/>
      <c r="S2956" s="884"/>
      <c r="T2956" s="270"/>
      <c r="U2956" s="270"/>
      <c r="V2956" s="270"/>
      <c r="W2956" s="270"/>
      <c r="X2956" s="270"/>
      <c r="Y2956" s="270"/>
      <c r="Z2956" s="270"/>
      <c r="AA2956" s="270"/>
    </row>
    <row r="2957" spans="3:27" x14ac:dyDescent="0.3">
      <c r="C2957" s="450"/>
      <c r="D2957" s="182"/>
      <c r="E2957" s="182"/>
      <c r="F2957" s="182"/>
      <c r="G2957" s="450" t="str">
        <f t="shared" si="144"/>
        <v>--</v>
      </c>
      <c r="H2957" s="182"/>
      <c r="I2957" s="440"/>
      <c r="J2957" s="892"/>
      <c r="K2957" s="259"/>
      <c r="L2957" s="259" t="s">
        <v>46</v>
      </c>
      <c r="M2957" s="893">
        <f>SUM(M2954:M2956)</f>
        <v>1</v>
      </c>
      <c r="N2957" s="894"/>
      <c r="O2957" s="894">
        <f>SUM(O2954:O2956)</f>
        <v>0</v>
      </c>
      <c r="P2957" s="274"/>
      <c r="Q2957" s="895">
        <v>0</v>
      </c>
      <c r="R2957" s="114"/>
      <c r="S2957" s="884"/>
      <c r="T2957" s="270"/>
      <c r="U2957" s="270"/>
      <c r="V2957" s="270"/>
      <c r="W2957" s="270"/>
      <c r="X2957" s="270"/>
      <c r="Y2957" s="270"/>
      <c r="Z2957" s="270"/>
      <c r="AA2957" s="270"/>
    </row>
    <row r="2958" spans="3:27" x14ac:dyDescent="0.3">
      <c r="C2958" s="450"/>
      <c r="D2958" s="182"/>
      <c r="E2958" s="182"/>
      <c r="F2958" s="182"/>
      <c r="G2958" s="450" t="str">
        <f t="shared" si="144"/>
        <v>--</v>
      </c>
      <c r="H2958" s="182"/>
      <c r="I2958" s="892"/>
      <c r="J2958" s="288"/>
      <c r="K2958" s="182"/>
      <c r="L2958" s="181"/>
      <c r="M2958" s="181"/>
      <c r="N2958" s="892"/>
      <c r="O2958" s="892"/>
      <c r="P2958" s="275"/>
      <c r="Q2958" s="895">
        <v>0</v>
      </c>
      <c r="R2958" s="114"/>
      <c r="S2958" s="884"/>
      <c r="T2958" s="270"/>
      <c r="U2958" s="270"/>
      <c r="V2958" s="270"/>
      <c r="W2958" s="270"/>
      <c r="X2958" s="270"/>
      <c r="Y2958" s="270"/>
      <c r="Z2958" s="270"/>
      <c r="AA2958" s="270"/>
    </row>
    <row r="2959" spans="3:27" x14ac:dyDescent="0.3">
      <c r="C2959" s="450"/>
      <c r="D2959" s="182"/>
      <c r="E2959" s="182"/>
      <c r="F2959" s="182"/>
      <c r="G2959" s="450" t="str">
        <f t="shared" si="144"/>
        <v>--</v>
      </c>
      <c r="H2959" s="182"/>
      <c r="I2959" s="892"/>
      <c r="J2959" s="288"/>
      <c r="K2959" s="182"/>
      <c r="L2959" s="182"/>
      <c r="M2959" s="270"/>
      <c r="N2959" s="892"/>
      <c r="O2959" s="892"/>
      <c r="P2959" s="269"/>
      <c r="Q2959" s="895">
        <v>0</v>
      </c>
      <c r="R2959" s="114"/>
      <c r="S2959" s="884"/>
      <c r="T2959" s="270"/>
      <c r="U2959" s="270"/>
      <c r="V2959" s="270"/>
      <c r="W2959" s="270"/>
      <c r="X2959" s="270"/>
      <c r="Y2959" s="270"/>
      <c r="Z2959" s="270"/>
      <c r="AA2959" s="270"/>
    </row>
    <row r="2960" spans="3:27" x14ac:dyDescent="0.3">
      <c r="C2960" s="450"/>
      <c r="D2960" s="182"/>
      <c r="E2960" s="182"/>
      <c r="F2960" s="182"/>
      <c r="G2960" s="450" t="str">
        <f t="shared" si="144"/>
        <v>--</v>
      </c>
      <c r="H2960" s="182"/>
      <c r="I2960" s="892"/>
      <c r="J2960" s="288"/>
      <c r="K2960" s="182"/>
      <c r="L2960" s="182"/>
      <c r="M2960" s="270"/>
      <c r="N2960" s="892"/>
      <c r="O2960" s="892"/>
      <c r="P2960" s="263" t="s">
        <v>46</v>
      </c>
      <c r="Q2960" s="897">
        <f>SUM(Q2954:Q2959)</f>
        <v>1</v>
      </c>
      <c r="R2960" s="899"/>
      <c r="S2960" s="900"/>
      <c r="T2960" s="270"/>
      <c r="U2960" s="270"/>
      <c r="V2960" s="270"/>
      <c r="W2960" s="270"/>
      <c r="X2960" s="270"/>
      <c r="Y2960" s="270"/>
      <c r="Z2960" s="270"/>
      <c r="AA2960" s="270"/>
    </row>
    <row r="2961" spans="3:27" x14ac:dyDescent="0.3">
      <c r="C2961" s="450"/>
      <c r="D2961" s="182"/>
      <c r="E2961" s="182"/>
      <c r="F2961" s="182"/>
      <c r="G2961" s="450" t="str">
        <f t="shared" si="144"/>
        <v>--</v>
      </c>
      <c r="H2961" s="182"/>
      <c r="I2961" s="892"/>
      <c r="J2961" s="288"/>
      <c r="K2961" s="182"/>
      <c r="L2961" s="182"/>
      <c r="M2961" s="270"/>
      <c r="N2961" s="892"/>
      <c r="O2961" s="892"/>
      <c r="P2961" s="259"/>
      <c r="Q2961" s="114"/>
      <c r="R2961" s="114"/>
      <c r="S2961" s="114"/>
      <c r="T2961" s="270"/>
      <c r="U2961" s="270"/>
      <c r="V2961" s="270"/>
      <c r="W2961" s="270"/>
      <c r="X2961" s="270"/>
      <c r="Y2961" s="270"/>
      <c r="Z2961" s="270"/>
      <c r="AA2961" s="270"/>
    </row>
    <row r="2962" spans="3:27" ht="15" thickBot="1" x14ac:dyDescent="0.35">
      <c r="C2962" s="450"/>
      <c r="D2962" s="182"/>
      <c r="E2962" s="182"/>
      <c r="F2962" s="182"/>
      <c r="G2962" s="450" t="str">
        <f t="shared" si="144"/>
        <v>--</v>
      </c>
      <c r="H2962" s="182"/>
      <c r="I2962" s="892"/>
      <c r="J2962" s="892"/>
      <c r="K2962" s="182"/>
      <c r="L2962" s="182"/>
      <c r="M2962" s="901" t="s">
        <v>155</v>
      </c>
      <c r="N2962" s="870" t="s">
        <v>188</v>
      </c>
      <c r="O2962" s="870"/>
      <c r="P2962" s="276" t="s">
        <v>426</v>
      </c>
      <c r="Q2962" s="871" t="s">
        <v>155</v>
      </c>
      <c r="R2962" s="902"/>
      <c r="S2962" s="874"/>
      <c r="T2962" s="270"/>
      <c r="U2962" s="270"/>
      <c r="V2962" s="270"/>
      <c r="W2962" s="270"/>
      <c r="X2962" s="270"/>
      <c r="Y2962" s="270"/>
      <c r="Z2962" s="270"/>
      <c r="AA2962" s="270"/>
    </row>
    <row r="2963" spans="3:27" ht="15" thickBot="1" x14ac:dyDescent="0.35">
      <c r="C2963" s="566" t="s">
        <v>107</v>
      </c>
      <c r="D2963" s="875" t="str">
        <f>VLOOKUP(C2963,'Airport Mapping'!$C$5:$D$39,2,FALSE)</f>
        <v xml:space="preserve"> </v>
      </c>
      <c r="E2963" s="567" t="s">
        <v>43</v>
      </c>
      <c r="F2963" s="567" t="s">
        <v>426</v>
      </c>
      <c r="G2963" s="450" t="str">
        <f t="shared" si="144"/>
        <v>Tenant B-Maintenance-Pavement cleaning</v>
      </c>
      <c r="H2963" s="567" t="s">
        <v>10</v>
      </c>
      <c r="I2963" s="877" t="s">
        <v>64</v>
      </c>
      <c r="J2963" s="878">
        <f>SUMIFS('Level of Efficiency Assumptions'!J:J,'Level of Efficiency Assumptions'!D:D,E2963,'Level of Efficiency Assumptions'!F:F,F2963,'Level of Efficiency Assumptions'!I:I,I2963)</f>
        <v>10</v>
      </c>
      <c r="K2963" s="383" t="s">
        <v>588</v>
      </c>
      <c r="L2963" s="253" t="s">
        <v>64</v>
      </c>
      <c r="M2963" s="879">
        <f>SUM(Q2963:Q2964)</f>
        <v>0</v>
      </c>
      <c r="N2963" s="880">
        <f>IFERROR(M2963/M2966,"-")</f>
        <v>0</v>
      </c>
      <c r="O2963" s="881">
        <f>SUMIFS('Data Entry'!R:R,'Data Entry'!K:K,G2963)</f>
        <v>0</v>
      </c>
      <c r="P2963" s="272"/>
      <c r="Q2963" s="895">
        <v>0</v>
      </c>
      <c r="R2963" s="114"/>
      <c r="S2963" s="884"/>
      <c r="T2963" s="270"/>
      <c r="U2963" s="270"/>
      <c r="V2963" s="270"/>
      <c r="W2963" s="270"/>
      <c r="X2963" s="270"/>
      <c r="Y2963" s="270"/>
      <c r="Z2963" s="270"/>
      <c r="AA2963" s="270"/>
    </row>
    <row r="2964" spans="3:27" ht="15" thickBot="1" x14ac:dyDescent="0.35">
      <c r="C2964" s="494" t="s">
        <v>107</v>
      </c>
      <c r="D2964" s="577"/>
      <c r="E2964" s="577" t="s">
        <v>43</v>
      </c>
      <c r="F2964" s="577" t="s">
        <v>426</v>
      </c>
      <c r="G2964" s="450" t="str">
        <f t="shared" si="144"/>
        <v>Tenant B-Maintenance-Pavement cleaning</v>
      </c>
      <c r="H2964" s="577"/>
      <c r="I2964" s="887" t="s">
        <v>65</v>
      </c>
      <c r="J2964" s="878">
        <f>SUMIFS('Level of Efficiency Assumptions'!J:J,'Level of Efficiency Assumptions'!D:D,E2964,'Level of Efficiency Assumptions'!F:F,F2964,'Level of Efficiency Assumptions'!I:I,I2964)</f>
        <v>7.5</v>
      </c>
      <c r="K2964" s="383" t="s">
        <v>588</v>
      </c>
      <c r="L2964" s="255" t="s">
        <v>65</v>
      </c>
      <c r="M2964" s="879">
        <f>Q2965+Q2966</f>
        <v>1</v>
      </c>
      <c r="N2964" s="880">
        <f>IFERROR(M2964/M2966,"-")</f>
        <v>1</v>
      </c>
      <c r="O2964" s="881">
        <f>SUMIFS('Data Entry'!S:S,'Data Entry'!K:K,G2964)</f>
        <v>0</v>
      </c>
      <c r="P2964" s="272"/>
      <c r="Q2964" s="895">
        <v>0</v>
      </c>
      <c r="R2964" s="114"/>
      <c r="S2964" s="884"/>
      <c r="T2964" s="270"/>
      <c r="U2964" s="270"/>
      <c r="V2964" s="270"/>
      <c r="W2964" s="270"/>
      <c r="X2964" s="270"/>
      <c r="Y2964" s="270"/>
      <c r="Z2964" s="270"/>
      <c r="AA2964" s="270"/>
    </row>
    <row r="2965" spans="3:27" ht="15" thickBot="1" x14ac:dyDescent="0.35">
      <c r="C2965" s="501" t="s">
        <v>107</v>
      </c>
      <c r="D2965" s="116"/>
      <c r="E2965" s="116" t="s">
        <v>43</v>
      </c>
      <c r="F2965" s="116" t="s">
        <v>426</v>
      </c>
      <c r="G2965" s="450" t="str">
        <f t="shared" si="144"/>
        <v>Tenant B-Maintenance-Pavement cleaning</v>
      </c>
      <c r="H2965" s="116"/>
      <c r="I2965" s="889" t="s">
        <v>66</v>
      </c>
      <c r="J2965" s="890">
        <f>SUMIFS('Level of Efficiency Assumptions'!J:J,'Level of Efficiency Assumptions'!D:D,E2965,'Level of Efficiency Assumptions'!F:F,F2965,'Level of Efficiency Assumptions'!I:I,I2965)</f>
        <v>5</v>
      </c>
      <c r="K2965" s="383" t="s">
        <v>588</v>
      </c>
      <c r="L2965" s="257" t="s">
        <v>66</v>
      </c>
      <c r="M2965" s="879">
        <f>Q2967+Q2968</f>
        <v>0</v>
      </c>
      <c r="N2965" s="880">
        <f>IFERROR(M2965/M2966,"-")</f>
        <v>0</v>
      </c>
      <c r="O2965" s="881">
        <f>SUMIFS('Data Entry'!T:T,'Data Entry'!K:K,G2965)</f>
        <v>0</v>
      </c>
      <c r="P2965" s="274"/>
      <c r="Q2965" s="895">
        <v>1</v>
      </c>
      <c r="R2965" s="114"/>
      <c r="S2965" s="884"/>
      <c r="T2965" s="270"/>
      <c r="U2965" s="270"/>
      <c r="V2965" s="270"/>
      <c r="W2965" s="270"/>
      <c r="X2965" s="270"/>
      <c r="Y2965" s="270"/>
      <c r="Z2965" s="270"/>
      <c r="AA2965" s="270"/>
    </row>
    <row r="2966" spans="3:27" x14ac:dyDescent="0.3">
      <c r="C2966" s="450"/>
      <c r="D2966" s="182"/>
      <c r="E2966" s="182"/>
      <c r="F2966" s="182"/>
      <c r="G2966" s="450" t="str">
        <f t="shared" si="144"/>
        <v>--</v>
      </c>
      <c r="H2966" s="182"/>
      <c r="I2966" s="440"/>
      <c r="J2966" s="892"/>
      <c r="K2966" s="259"/>
      <c r="L2966" s="259" t="s">
        <v>46</v>
      </c>
      <c r="M2966" s="893">
        <f>SUM(M2963:M2965)</f>
        <v>1</v>
      </c>
      <c r="N2966" s="894"/>
      <c r="O2966" s="894">
        <f>SUM(O2963:O2965)</f>
        <v>0</v>
      </c>
      <c r="P2966" s="274"/>
      <c r="Q2966" s="895">
        <v>0</v>
      </c>
      <c r="R2966" s="114"/>
      <c r="S2966" s="884"/>
      <c r="T2966" s="270"/>
      <c r="U2966" s="270"/>
      <c r="V2966" s="270"/>
      <c r="W2966" s="270"/>
      <c r="X2966" s="270"/>
      <c r="Y2966" s="270"/>
      <c r="Z2966" s="270"/>
      <c r="AA2966" s="270"/>
    </row>
    <row r="2967" spans="3:27" x14ac:dyDescent="0.3">
      <c r="C2967" s="450"/>
      <c r="D2967" s="182"/>
      <c r="E2967" s="182"/>
      <c r="F2967" s="182"/>
      <c r="G2967" s="450" t="str">
        <f t="shared" si="144"/>
        <v>--</v>
      </c>
      <c r="H2967" s="182"/>
      <c r="I2967" s="892"/>
      <c r="J2967" s="288"/>
      <c r="K2967" s="182"/>
      <c r="L2967" s="181"/>
      <c r="M2967" s="181"/>
      <c r="N2967" s="892"/>
      <c r="O2967" s="892"/>
      <c r="P2967" s="275"/>
      <c r="Q2967" s="895">
        <v>0</v>
      </c>
      <c r="R2967" s="114"/>
      <c r="S2967" s="884"/>
      <c r="T2967" s="270"/>
      <c r="U2967" s="270"/>
      <c r="V2967" s="270"/>
      <c r="W2967" s="270"/>
      <c r="X2967" s="270"/>
      <c r="Y2967" s="270"/>
      <c r="Z2967" s="270"/>
      <c r="AA2967" s="270"/>
    </row>
    <row r="2968" spans="3:27" x14ac:dyDescent="0.3">
      <c r="C2968" s="450"/>
      <c r="D2968" s="182"/>
      <c r="E2968" s="182"/>
      <c r="F2968" s="182"/>
      <c r="G2968" s="450" t="str">
        <f t="shared" si="144"/>
        <v>--</v>
      </c>
      <c r="H2968" s="182"/>
      <c r="I2968" s="892"/>
      <c r="J2968" s="288"/>
      <c r="K2968" s="182"/>
      <c r="L2968" s="182"/>
      <c r="M2968" s="270"/>
      <c r="N2968" s="892"/>
      <c r="O2968" s="892"/>
      <c r="P2968" s="269"/>
      <c r="Q2968" s="895">
        <v>0</v>
      </c>
      <c r="R2968" s="114"/>
      <c r="S2968" s="884"/>
      <c r="T2968" s="270"/>
      <c r="U2968" s="270"/>
      <c r="V2968" s="270"/>
      <c r="W2968" s="270"/>
      <c r="X2968" s="270"/>
      <c r="Y2968" s="270"/>
      <c r="Z2968" s="270"/>
      <c r="AA2968" s="270"/>
    </row>
    <row r="2969" spans="3:27" x14ac:dyDescent="0.3">
      <c r="C2969" s="450"/>
      <c r="D2969" s="182"/>
      <c r="E2969" s="182"/>
      <c r="F2969" s="182"/>
      <c r="G2969" s="450" t="str">
        <f t="shared" ref="G2969:G3029" si="145">C2969&amp;"-"&amp;E2969&amp;"-"&amp;F2969</f>
        <v>--</v>
      </c>
      <c r="H2969" s="182"/>
      <c r="I2969" s="892"/>
      <c r="J2969" s="288"/>
      <c r="K2969" s="182"/>
      <c r="L2969" s="182"/>
      <c r="M2969" s="270"/>
      <c r="N2969" s="892"/>
      <c r="O2969" s="892"/>
      <c r="P2969" s="263" t="s">
        <v>46</v>
      </c>
      <c r="Q2969" s="897">
        <f>SUM(Q2963:Q2968)</f>
        <v>1</v>
      </c>
      <c r="R2969" s="899"/>
      <c r="S2969" s="900"/>
      <c r="T2969" s="270"/>
      <c r="U2969" s="270"/>
      <c r="V2969" s="270"/>
      <c r="W2969" s="270"/>
      <c r="X2969" s="270"/>
      <c r="Y2969" s="270"/>
      <c r="Z2969" s="270"/>
      <c r="AA2969" s="270"/>
    </row>
    <row r="2970" spans="3:27" x14ac:dyDescent="0.3">
      <c r="C2970" s="450"/>
      <c r="D2970" s="182"/>
      <c r="E2970" s="182"/>
      <c r="F2970" s="182"/>
      <c r="G2970" s="450" t="str">
        <f t="shared" si="145"/>
        <v>--</v>
      </c>
      <c r="H2970" s="182"/>
      <c r="I2970" s="892"/>
      <c r="J2970" s="288"/>
      <c r="K2970" s="182"/>
      <c r="L2970" s="270"/>
      <c r="M2970" s="270"/>
      <c r="N2970" s="923"/>
      <c r="O2970" s="923"/>
      <c r="P2970" s="270"/>
      <c r="Q2970" s="270"/>
      <c r="R2970" s="270"/>
      <c r="S2970" s="270"/>
      <c r="T2970" s="270"/>
      <c r="U2970" s="270"/>
      <c r="V2970" s="270"/>
      <c r="W2970" s="270"/>
      <c r="X2970" s="270"/>
      <c r="Y2970" s="270"/>
      <c r="Z2970" s="270"/>
      <c r="AA2970" s="270"/>
    </row>
    <row r="2971" spans="3:27" ht="15" thickBot="1" x14ac:dyDescent="0.35">
      <c r="C2971" s="450"/>
      <c r="D2971" s="182"/>
      <c r="E2971" s="182"/>
      <c r="F2971" s="182"/>
      <c r="G2971" s="450" t="str">
        <f t="shared" si="145"/>
        <v>--</v>
      </c>
      <c r="H2971" s="182"/>
      <c r="I2971" s="892"/>
      <c r="J2971" s="892"/>
      <c r="K2971" s="182"/>
      <c r="L2971" s="182"/>
      <c r="M2971" s="901" t="s">
        <v>155</v>
      </c>
      <c r="N2971" s="870" t="s">
        <v>188</v>
      </c>
      <c r="O2971" s="870"/>
      <c r="P2971" s="276" t="s">
        <v>52</v>
      </c>
      <c r="Q2971" s="871" t="s">
        <v>155</v>
      </c>
      <c r="R2971" s="902"/>
      <c r="S2971" s="874"/>
      <c r="T2971" s="270"/>
      <c r="U2971" s="270"/>
      <c r="V2971" s="270"/>
      <c r="W2971" s="270"/>
      <c r="X2971" s="270"/>
      <c r="Y2971" s="270"/>
      <c r="Z2971" s="270"/>
      <c r="AA2971" s="270"/>
    </row>
    <row r="2972" spans="3:27" ht="15" thickBot="1" x14ac:dyDescent="0.35">
      <c r="C2972" s="566" t="s">
        <v>107</v>
      </c>
      <c r="D2972" s="875" t="str">
        <f>VLOOKUP(C2972,'Airport Mapping'!$C$5:$D$39,2,FALSE)</f>
        <v xml:space="preserve"> </v>
      </c>
      <c r="E2972" s="567" t="s">
        <v>8</v>
      </c>
      <c r="F2972" s="567" t="s">
        <v>52</v>
      </c>
      <c r="G2972" s="450" t="str">
        <f t="shared" si="145"/>
        <v>Tenant B-Other-Other 1</v>
      </c>
      <c r="H2972" s="567" t="s">
        <v>362</v>
      </c>
      <c r="I2972" s="877" t="s">
        <v>64</v>
      </c>
      <c r="J2972" s="878">
        <f>SUMIFS('Level of Efficiency Assumptions'!J:J,'Level of Efficiency Assumptions'!D:D,E2972,'Level of Efficiency Assumptions'!F:F,F2972,'Level of Efficiency Assumptions'!I:I,I2972)</f>
        <v>10</v>
      </c>
      <c r="K2972" s="383" t="s">
        <v>588</v>
      </c>
      <c r="L2972" s="253" t="s">
        <v>64</v>
      </c>
      <c r="M2972" s="879">
        <f>SUM(Q2972:Q2972)</f>
        <v>0</v>
      </c>
      <c r="N2972" s="880">
        <f>IFERROR(M2972/M2975,"-")</f>
        <v>0</v>
      </c>
      <c r="O2972" s="881">
        <f>SUMIFS('Data Entry'!R:R,'Data Entry'!K:K,G2972)</f>
        <v>0</v>
      </c>
      <c r="P2972" s="272" t="s">
        <v>129</v>
      </c>
      <c r="Q2972" s="895">
        <v>0</v>
      </c>
      <c r="R2972" s="114"/>
      <c r="S2972" s="884"/>
      <c r="T2972" s="270"/>
      <c r="U2972" s="270"/>
      <c r="V2972" s="270"/>
      <c r="W2972" s="270"/>
      <c r="X2972" s="270"/>
      <c r="Y2972" s="270"/>
      <c r="Z2972" s="270"/>
      <c r="AA2972" s="270"/>
    </row>
    <row r="2973" spans="3:27" ht="15" thickBot="1" x14ac:dyDescent="0.35">
      <c r="C2973" s="494" t="s">
        <v>107</v>
      </c>
      <c r="D2973" s="577"/>
      <c r="E2973" s="577" t="s">
        <v>8</v>
      </c>
      <c r="F2973" s="577" t="s">
        <v>52</v>
      </c>
      <c r="G2973" s="450" t="str">
        <f t="shared" si="145"/>
        <v>Tenant B-Other-Other 1</v>
      </c>
      <c r="H2973" s="577"/>
      <c r="I2973" s="887" t="s">
        <v>65</v>
      </c>
      <c r="J2973" s="878">
        <f>SUMIFS('Level of Efficiency Assumptions'!J:J,'Level of Efficiency Assumptions'!D:D,E2973,'Level of Efficiency Assumptions'!F:F,F2973,'Level of Efficiency Assumptions'!I:I,I2973)</f>
        <v>7.5</v>
      </c>
      <c r="K2973" s="383" t="s">
        <v>588</v>
      </c>
      <c r="L2973" s="255" t="s">
        <v>65</v>
      </c>
      <c r="M2973" s="879">
        <f t="shared" ref="M2973:M2974" si="146">SUM(Q2973:Q2973)</f>
        <v>1</v>
      </c>
      <c r="N2973" s="880">
        <f>IFERROR(M2973/M2975,"-")</f>
        <v>1</v>
      </c>
      <c r="O2973" s="881">
        <f>SUMIFS('Data Entry'!S:S,'Data Entry'!K:K,G2973)</f>
        <v>0</v>
      </c>
      <c r="P2973" s="274" t="s">
        <v>233</v>
      </c>
      <c r="Q2973" s="895">
        <v>1</v>
      </c>
      <c r="R2973" s="114"/>
      <c r="S2973" s="884"/>
      <c r="T2973" s="270"/>
      <c r="U2973" s="270"/>
      <c r="V2973" s="270"/>
      <c r="W2973" s="270"/>
      <c r="X2973" s="270"/>
      <c r="Y2973" s="270"/>
      <c r="Z2973" s="270"/>
      <c r="AA2973" s="270"/>
    </row>
    <row r="2974" spans="3:27" ht="15" thickBot="1" x14ac:dyDescent="0.35">
      <c r="C2974" s="501" t="s">
        <v>107</v>
      </c>
      <c r="D2974" s="116"/>
      <c r="E2974" s="116" t="s">
        <v>8</v>
      </c>
      <c r="F2974" s="116" t="s">
        <v>52</v>
      </c>
      <c r="G2974" s="450" t="str">
        <f t="shared" si="145"/>
        <v>Tenant B-Other-Other 1</v>
      </c>
      <c r="H2974" s="116"/>
      <c r="I2974" s="889" t="s">
        <v>66</v>
      </c>
      <c r="J2974" s="890">
        <f>SUMIFS('Level of Efficiency Assumptions'!J:J,'Level of Efficiency Assumptions'!D:D,E2974,'Level of Efficiency Assumptions'!F:F,F2974,'Level of Efficiency Assumptions'!I:I,I2974)</f>
        <v>5</v>
      </c>
      <c r="K2974" s="383" t="s">
        <v>588</v>
      </c>
      <c r="L2974" s="257" t="s">
        <v>66</v>
      </c>
      <c r="M2974" s="879">
        <f t="shared" si="146"/>
        <v>0</v>
      </c>
      <c r="N2974" s="880">
        <f>IFERROR(M2974/M2975,"-")</f>
        <v>0</v>
      </c>
      <c r="O2974" s="881">
        <f>SUMIFS('Data Entry'!T:T,'Data Entry'!K:K,G2974)</f>
        <v>0</v>
      </c>
      <c r="P2974" s="269" t="s">
        <v>234</v>
      </c>
      <c r="Q2974" s="895">
        <v>0</v>
      </c>
      <c r="R2974" s="114"/>
      <c r="S2974" s="884"/>
      <c r="T2974" s="270"/>
      <c r="U2974" s="270"/>
      <c r="V2974" s="270"/>
      <c r="W2974" s="270"/>
      <c r="X2974" s="270"/>
      <c r="Y2974" s="270"/>
      <c r="Z2974" s="270"/>
      <c r="AA2974" s="270"/>
    </row>
    <row r="2975" spans="3:27" x14ac:dyDescent="0.3">
      <c r="C2975" s="450"/>
      <c r="D2975" s="182"/>
      <c r="E2975" s="182"/>
      <c r="F2975" s="182"/>
      <c r="G2975" s="450" t="str">
        <f t="shared" si="145"/>
        <v>--</v>
      </c>
      <c r="H2975" s="182"/>
      <c r="I2975" s="440"/>
      <c r="J2975" s="892"/>
      <c r="K2975" s="259"/>
      <c r="L2975" s="259" t="s">
        <v>46</v>
      </c>
      <c r="M2975" s="893">
        <f>SUM(M2972:M2974)</f>
        <v>1</v>
      </c>
      <c r="N2975" s="894"/>
      <c r="O2975" s="894">
        <f>SUM(O2972:O2974)</f>
        <v>0</v>
      </c>
      <c r="P2975" s="263" t="s">
        <v>46</v>
      </c>
      <c r="Q2975" s="897">
        <f>SUM(Q2972:Q2974)</f>
        <v>1</v>
      </c>
      <c r="R2975" s="899"/>
      <c r="S2975" s="900"/>
      <c r="T2975" s="270"/>
      <c r="U2975" s="270"/>
      <c r="V2975" s="270"/>
      <c r="W2975" s="270"/>
      <c r="X2975" s="270"/>
      <c r="Y2975" s="270"/>
      <c r="Z2975" s="270"/>
      <c r="AA2975" s="270"/>
    </row>
    <row r="2976" spans="3:27" x14ac:dyDescent="0.3">
      <c r="C2976" s="450"/>
      <c r="D2976" s="182"/>
      <c r="E2976" s="182"/>
      <c r="F2976" s="182"/>
      <c r="G2976" s="450" t="str">
        <f t="shared" si="145"/>
        <v>--</v>
      </c>
      <c r="H2976" s="182"/>
      <c r="I2976" s="892"/>
      <c r="J2976" s="288"/>
      <c r="K2976" s="182"/>
      <c r="L2976" s="181"/>
      <c r="M2976" s="181"/>
      <c r="N2976" s="892"/>
      <c r="O2976" s="892"/>
      <c r="P2976" s="270"/>
      <c r="Q2976" s="270"/>
      <c r="R2976" s="270"/>
      <c r="S2976" s="270"/>
      <c r="T2976" s="270"/>
      <c r="U2976" s="270"/>
      <c r="V2976" s="270"/>
      <c r="W2976" s="270"/>
      <c r="X2976" s="270"/>
      <c r="Y2976" s="270"/>
      <c r="Z2976" s="270"/>
      <c r="AA2976" s="270"/>
    </row>
    <row r="2977" spans="3:27" ht="15" thickBot="1" x14ac:dyDescent="0.35">
      <c r="C2977" s="450"/>
      <c r="D2977" s="182"/>
      <c r="E2977" s="182"/>
      <c r="F2977" s="182"/>
      <c r="G2977" s="450" t="str">
        <f t="shared" si="145"/>
        <v>--</v>
      </c>
      <c r="H2977" s="182"/>
      <c r="I2977" s="892"/>
      <c r="J2977" s="892"/>
      <c r="K2977" s="182"/>
      <c r="L2977" s="182"/>
      <c r="M2977" s="901" t="s">
        <v>155</v>
      </c>
      <c r="N2977" s="870" t="s">
        <v>188</v>
      </c>
      <c r="O2977" s="870"/>
      <c r="P2977" s="276" t="s">
        <v>53</v>
      </c>
      <c r="Q2977" s="871" t="s">
        <v>155</v>
      </c>
      <c r="R2977" s="902"/>
      <c r="S2977" s="874"/>
      <c r="T2977" s="270"/>
      <c r="U2977" s="270"/>
      <c r="V2977" s="270"/>
      <c r="W2977" s="270"/>
      <c r="X2977" s="270"/>
      <c r="Y2977" s="270"/>
      <c r="Z2977" s="270"/>
      <c r="AA2977" s="270"/>
    </row>
    <row r="2978" spans="3:27" ht="15" thickBot="1" x14ac:dyDescent="0.35">
      <c r="C2978" s="566" t="s">
        <v>107</v>
      </c>
      <c r="D2978" s="875" t="str">
        <f>VLOOKUP(C2978,'Airport Mapping'!$C$5:$D$39,2,FALSE)</f>
        <v xml:space="preserve"> </v>
      </c>
      <c r="E2978" s="567" t="s">
        <v>8</v>
      </c>
      <c r="F2978" s="567" t="s">
        <v>53</v>
      </c>
      <c r="G2978" s="450" t="str">
        <f t="shared" si="145"/>
        <v>Tenant B-Other-Other 2</v>
      </c>
      <c r="H2978" s="567" t="s">
        <v>363</v>
      </c>
      <c r="I2978" s="877" t="s">
        <v>64</v>
      </c>
      <c r="J2978" s="878">
        <f>SUMIFS('Level of Efficiency Assumptions'!J:J,'Level of Efficiency Assumptions'!D:D,E2978,'Level of Efficiency Assumptions'!F:F,F2978,'Level of Efficiency Assumptions'!I:I,I2978)</f>
        <v>10</v>
      </c>
      <c r="K2978" s="383" t="s">
        <v>588</v>
      </c>
      <c r="L2978" s="253" t="s">
        <v>64</v>
      </c>
      <c r="M2978" s="879">
        <f>SUM(Q2978:Q2978)</f>
        <v>0</v>
      </c>
      <c r="N2978" s="880">
        <f>IFERROR(M2978/M2981,"-")</f>
        <v>0</v>
      </c>
      <c r="O2978" s="881">
        <f>SUMIFS('Data Entry'!R:R,'Data Entry'!K:K,G2978)</f>
        <v>0</v>
      </c>
      <c r="P2978" s="272" t="s">
        <v>129</v>
      </c>
      <c r="Q2978" s="895">
        <v>0</v>
      </c>
      <c r="R2978" s="114"/>
      <c r="S2978" s="884"/>
      <c r="T2978" s="270"/>
      <c r="U2978" s="270"/>
      <c r="V2978" s="270"/>
      <c r="W2978" s="270"/>
      <c r="X2978" s="270"/>
      <c r="Y2978" s="270"/>
      <c r="Z2978" s="270"/>
      <c r="AA2978" s="270"/>
    </row>
    <row r="2979" spans="3:27" ht="15" thickBot="1" x14ac:dyDescent="0.35">
      <c r="C2979" s="494" t="s">
        <v>107</v>
      </c>
      <c r="D2979" s="577"/>
      <c r="E2979" s="577" t="s">
        <v>8</v>
      </c>
      <c r="F2979" s="577" t="s">
        <v>53</v>
      </c>
      <c r="G2979" s="450" t="str">
        <f t="shared" si="145"/>
        <v>Tenant B-Other-Other 2</v>
      </c>
      <c r="H2979" s="577"/>
      <c r="I2979" s="887" t="s">
        <v>65</v>
      </c>
      <c r="J2979" s="878">
        <f>SUMIFS('Level of Efficiency Assumptions'!J:J,'Level of Efficiency Assumptions'!D:D,E2979,'Level of Efficiency Assumptions'!F:F,F2979,'Level of Efficiency Assumptions'!I:I,I2979)</f>
        <v>7.5</v>
      </c>
      <c r="K2979" s="383" t="s">
        <v>588</v>
      </c>
      <c r="L2979" s="255" t="s">
        <v>65</v>
      </c>
      <c r="M2979" s="879">
        <f t="shared" ref="M2979:M2980" si="147">SUM(Q2979:Q2979)</f>
        <v>1</v>
      </c>
      <c r="N2979" s="880">
        <f>IFERROR(M2979/M2981,"-")</f>
        <v>1</v>
      </c>
      <c r="O2979" s="881">
        <f>SUMIFS('Data Entry'!S:S,'Data Entry'!K:K,G2979)</f>
        <v>0</v>
      </c>
      <c r="P2979" s="274" t="s">
        <v>233</v>
      </c>
      <c r="Q2979" s="895">
        <v>1</v>
      </c>
      <c r="R2979" s="114"/>
      <c r="S2979" s="884"/>
      <c r="T2979" s="270"/>
      <c r="U2979" s="270"/>
      <c r="V2979" s="270"/>
      <c r="W2979" s="270"/>
      <c r="X2979" s="270"/>
      <c r="Y2979" s="270"/>
      <c r="Z2979" s="270"/>
      <c r="AA2979" s="270"/>
    </row>
    <row r="2980" spans="3:27" ht="15" thickBot="1" x14ac:dyDescent="0.35">
      <c r="C2980" s="501" t="s">
        <v>107</v>
      </c>
      <c r="D2980" s="116"/>
      <c r="E2980" s="116" t="s">
        <v>8</v>
      </c>
      <c r="F2980" s="116" t="s">
        <v>53</v>
      </c>
      <c r="G2980" s="450" t="str">
        <f t="shared" si="145"/>
        <v>Tenant B-Other-Other 2</v>
      </c>
      <c r="H2980" s="116"/>
      <c r="I2980" s="889" t="s">
        <v>66</v>
      </c>
      <c r="J2980" s="890">
        <f>SUMIFS('Level of Efficiency Assumptions'!J:J,'Level of Efficiency Assumptions'!D:D,E2980,'Level of Efficiency Assumptions'!F:F,F2980,'Level of Efficiency Assumptions'!I:I,I2980)</f>
        <v>5</v>
      </c>
      <c r="K2980" s="383" t="s">
        <v>588</v>
      </c>
      <c r="L2980" s="257" t="s">
        <v>66</v>
      </c>
      <c r="M2980" s="879">
        <f t="shared" si="147"/>
        <v>0</v>
      </c>
      <c r="N2980" s="880">
        <f>IFERROR(M2980/M2981,"-")</f>
        <v>0</v>
      </c>
      <c r="O2980" s="881">
        <f>SUMIFS('Data Entry'!T:T,'Data Entry'!K:K,G2980)</f>
        <v>0</v>
      </c>
      <c r="P2980" s="269" t="s">
        <v>234</v>
      </c>
      <c r="Q2980" s="895">
        <v>0</v>
      </c>
      <c r="R2980" s="114"/>
      <c r="S2980" s="884"/>
      <c r="T2980" s="270"/>
      <c r="U2980" s="270"/>
      <c r="V2980" s="270"/>
      <c r="W2980" s="270"/>
      <c r="X2980" s="270"/>
      <c r="Y2980" s="270"/>
      <c r="Z2980" s="270"/>
      <c r="AA2980" s="270"/>
    </row>
    <row r="2981" spans="3:27" x14ac:dyDescent="0.3">
      <c r="C2981" s="450"/>
      <c r="D2981" s="182"/>
      <c r="E2981" s="182"/>
      <c r="F2981" s="182"/>
      <c r="G2981" s="450" t="str">
        <f t="shared" si="145"/>
        <v>--</v>
      </c>
      <c r="H2981" s="182"/>
      <c r="I2981" s="440"/>
      <c r="J2981" s="892"/>
      <c r="K2981" s="259"/>
      <c r="L2981" s="259" t="s">
        <v>46</v>
      </c>
      <c r="M2981" s="893">
        <f>SUM(M2978:M2980)</f>
        <v>1</v>
      </c>
      <c r="N2981" s="894"/>
      <c r="O2981" s="894">
        <f>SUM(O2978:O2980)</f>
        <v>0</v>
      </c>
      <c r="P2981" s="263" t="s">
        <v>46</v>
      </c>
      <c r="Q2981" s="897">
        <f>SUM(Q2978:Q2980)</f>
        <v>1</v>
      </c>
      <c r="R2981" s="899"/>
      <c r="S2981" s="900"/>
      <c r="T2981" s="270"/>
      <c r="U2981" s="270"/>
      <c r="V2981" s="270"/>
      <c r="W2981" s="270"/>
      <c r="X2981" s="270"/>
      <c r="Y2981" s="270"/>
      <c r="Z2981" s="270"/>
      <c r="AA2981" s="270"/>
    </row>
    <row r="2982" spans="3:27" x14ac:dyDescent="0.3">
      <c r="C2982" s="450"/>
      <c r="D2982" s="182"/>
      <c r="E2982" s="182"/>
      <c r="F2982" s="182"/>
      <c r="G2982" s="450" t="str">
        <f t="shared" si="145"/>
        <v>--</v>
      </c>
      <c r="H2982" s="182"/>
      <c r="I2982" s="892"/>
      <c r="J2982" s="288"/>
      <c r="K2982" s="182"/>
      <c r="L2982" s="181"/>
      <c r="M2982" s="181"/>
      <c r="N2982" s="892"/>
      <c r="O2982" s="892"/>
      <c r="P2982" s="270"/>
      <c r="Q2982" s="270"/>
      <c r="R2982" s="270"/>
      <c r="S2982" s="270"/>
      <c r="T2982" s="270"/>
      <c r="U2982" s="270"/>
      <c r="V2982" s="270"/>
      <c r="W2982" s="270"/>
      <c r="X2982" s="270"/>
      <c r="Y2982" s="270"/>
      <c r="Z2982" s="270"/>
      <c r="AA2982" s="270"/>
    </row>
    <row r="2983" spans="3:27" ht="15" thickBot="1" x14ac:dyDescent="0.35">
      <c r="C2983" s="450"/>
      <c r="D2983" s="182"/>
      <c r="E2983" s="182"/>
      <c r="F2983" s="182"/>
      <c r="G2983" s="450" t="str">
        <f t="shared" si="145"/>
        <v>--</v>
      </c>
      <c r="H2983" s="182"/>
      <c r="I2983" s="892"/>
      <c r="J2983" s="892"/>
      <c r="K2983" s="182"/>
      <c r="L2983" s="182"/>
      <c r="M2983" s="901" t="s">
        <v>155</v>
      </c>
      <c r="N2983" s="870" t="s">
        <v>188</v>
      </c>
      <c r="O2983" s="870"/>
      <c r="P2983" s="276" t="s">
        <v>54</v>
      </c>
      <c r="Q2983" s="871" t="s">
        <v>155</v>
      </c>
      <c r="R2983" s="902"/>
      <c r="S2983" s="874"/>
      <c r="T2983" s="270"/>
      <c r="U2983" s="270"/>
      <c r="V2983" s="270"/>
      <c r="W2983" s="270"/>
      <c r="X2983" s="270"/>
      <c r="Y2983" s="270"/>
      <c r="Z2983" s="270"/>
      <c r="AA2983" s="270"/>
    </row>
    <row r="2984" spans="3:27" ht="15" thickBot="1" x14ac:dyDescent="0.35">
      <c r="C2984" s="566" t="s">
        <v>107</v>
      </c>
      <c r="D2984" s="875" t="str">
        <f>VLOOKUP(C2984,'Airport Mapping'!$C$5:$D$39,2,FALSE)</f>
        <v xml:space="preserve"> </v>
      </c>
      <c r="E2984" s="567" t="s">
        <v>8</v>
      </c>
      <c r="F2984" s="567" t="s">
        <v>54</v>
      </c>
      <c r="G2984" s="450" t="str">
        <f t="shared" si="145"/>
        <v>Tenant B-Other-Other 3</v>
      </c>
      <c r="H2984" s="567" t="s">
        <v>364</v>
      </c>
      <c r="I2984" s="877" t="s">
        <v>64</v>
      </c>
      <c r="J2984" s="878">
        <f>SUMIFS('Level of Efficiency Assumptions'!J:J,'Level of Efficiency Assumptions'!D:D,E2984,'Level of Efficiency Assumptions'!F:F,F2984,'Level of Efficiency Assumptions'!I:I,I2984)</f>
        <v>10</v>
      </c>
      <c r="K2984" s="383" t="s">
        <v>588</v>
      </c>
      <c r="L2984" s="253" t="s">
        <v>64</v>
      </c>
      <c r="M2984" s="879">
        <f>SUM(Q2984:Q2984)</f>
        <v>0</v>
      </c>
      <c r="N2984" s="880">
        <f>IFERROR(M2984/M2987,"-")</f>
        <v>0</v>
      </c>
      <c r="O2984" s="881">
        <f>SUMIFS('Data Entry'!R:R,'Data Entry'!K:K,G2984)</f>
        <v>0</v>
      </c>
      <c r="P2984" s="272" t="s">
        <v>129</v>
      </c>
      <c r="Q2984" s="895">
        <v>0</v>
      </c>
      <c r="R2984" s="114"/>
      <c r="S2984" s="884"/>
      <c r="T2984" s="270"/>
      <c r="U2984" s="270"/>
      <c r="V2984" s="270"/>
      <c r="W2984" s="270"/>
      <c r="X2984" s="270"/>
      <c r="Y2984" s="270"/>
      <c r="Z2984" s="270"/>
      <c r="AA2984" s="270"/>
    </row>
    <row r="2985" spans="3:27" ht="15" thickBot="1" x14ac:dyDescent="0.35">
      <c r="C2985" s="494" t="s">
        <v>107</v>
      </c>
      <c r="D2985" s="577"/>
      <c r="E2985" s="577" t="s">
        <v>8</v>
      </c>
      <c r="F2985" s="577" t="s">
        <v>54</v>
      </c>
      <c r="G2985" s="450" t="str">
        <f t="shared" si="145"/>
        <v>Tenant B-Other-Other 3</v>
      </c>
      <c r="H2985" s="577"/>
      <c r="I2985" s="887" t="s">
        <v>65</v>
      </c>
      <c r="J2985" s="878">
        <f>SUMIFS('Level of Efficiency Assumptions'!J:J,'Level of Efficiency Assumptions'!D:D,E2985,'Level of Efficiency Assumptions'!F:F,F2985,'Level of Efficiency Assumptions'!I:I,I2985)</f>
        <v>7.5</v>
      </c>
      <c r="K2985" s="383" t="s">
        <v>588</v>
      </c>
      <c r="L2985" s="255" t="s">
        <v>65</v>
      </c>
      <c r="M2985" s="879">
        <f t="shared" ref="M2985:M2986" si="148">SUM(Q2985:Q2985)</f>
        <v>1</v>
      </c>
      <c r="N2985" s="880">
        <f>IFERROR(M2985/M2987,"-")</f>
        <v>1</v>
      </c>
      <c r="O2985" s="881">
        <f>SUMIFS('Data Entry'!S:S,'Data Entry'!K:K,G2985)</f>
        <v>0</v>
      </c>
      <c r="P2985" s="274" t="s">
        <v>233</v>
      </c>
      <c r="Q2985" s="895">
        <v>1</v>
      </c>
      <c r="R2985" s="114"/>
      <c r="S2985" s="884"/>
      <c r="T2985" s="270"/>
      <c r="U2985" s="270"/>
      <c r="V2985" s="270"/>
      <c r="W2985" s="270"/>
      <c r="X2985" s="270"/>
      <c r="Y2985" s="270"/>
      <c r="Z2985" s="270"/>
      <c r="AA2985" s="270"/>
    </row>
    <row r="2986" spans="3:27" ht="15" thickBot="1" x14ac:dyDescent="0.35">
      <c r="C2986" s="501" t="s">
        <v>107</v>
      </c>
      <c r="D2986" s="116"/>
      <c r="E2986" s="116" t="s">
        <v>8</v>
      </c>
      <c r="F2986" s="116" t="s">
        <v>54</v>
      </c>
      <c r="G2986" s="450" t="str">
        <f t="shared" si="145"/>
        <v>Tenant B-Other-Other 3</v>
      </c>
      <c r="H2986" s="116"/>
      <c r="I2986" s="889" t="s">
        <v>66</v>
      </c>
      <c r="J2986" s="890">
        <f>SUMIFS('Level of Efficiency Assumptions'!J:J,'Level of Efficiency Assumptions'!D:D,E2986,'Level of Efficiency Assumptions'!F:F,F2986,'Level of Efficiency Assumptions'!I:I,I2986)</f>
        <v>5</v>
      </c>
      <c r="K2986" s="383" t="s">
        <v>588</v>
      </c>
      <c r="L2986" s="257" t="s">
        <v>66</v>
      </c>
      <c r="M2986" s="879">
        <f t="shared" si="148"/>
        <v>0</v>
      </c>
      <c r="N2986" s="880">
        <f>IFERROR(M2986/M2987,"-")</f>
        <v>0</v>
      </c>
      <c r="O2986" s="881">
        <f>SUMIFS('Data Entry'!T:T,'Data Entry'!K:K,G2986)</f>
        <v>0</v>
      </c>
      <c r="P2986" s="269" t="s">
        <v>234</v>
      </c>
      <c r="Q2986" s="895">
        <v>0</v>
      </c>
      <c r="R2986" s="114"/>
      <c r="S2986" s="884"/>
      <c r="T2986" s="270"/>
      <c r="U2986" s="270"/>
      <c r="V2986" s="270"/>
      <c r="W2986" s="270"/>
      <c r="X2986" s="270"/>
      <c r="Y2986" s="270"/>
      <c r="Z2986" s="270"/>
      <c r="AA2986" s="270"/>
    </row>
    <row r="2987" spans="3:27" x14ac:dyDescent="0.3">
      <c r="C2987" s="450"/>
      <c r="D2987" s="182"/>
      <c r="E2987" s="182"/>
      <c r="F2987" s="182"/>
      <c r="G2987" s="450" t="str">
        <f t="shared" si="145"/>
        <v>--</v>
      </c>
      <c r="H2987" s="182"/>
      <c r="I2987" s="440"/>
      <c r="J2987" s="892"/>
      <c r="K2987" s="259"/>
      <c r="L2987" s="259" t="s">
        <v>46</v>
      </c>
      <c r="M2987" s="893">
        <f>SUM(M2984:M2986)</f>
        <v>1</v>
      </c>
      <c r="N2987" s="894"/>
      <c r="O2987" s="894">
        <f>SUM(O2984:O2986)</f>
        <v>0</v>
      </c>
      <c r="P2987" s="263" t="s">
        <v>46</v>
      </c>
      <c r="Q2987" s="897">
        <f>SUM(Q2984:Q2986)</f>
        <v>1</v>
      </c>
      <c r="R2987" s="899"/>
      <c r="S2987" s="900"/>
      <c r="T2987" s="270"/>
      <c r="U2987" s="270"/>
      <c r="V2987" s="270"/>
      <c r="W2987" s="270"/>
      <c r="X2987" s="270"/>
      <c r="Y2987" s="270"/>
      <c r="Z2987" s="270"/>
      <c r="AA2987" s="270"/>
    </row>
    <row r="2988" spans="3:27" ht="15" thickBot="1" x14ac:dyDescent="0.35">
      <c r="C2988" s="451"/>
      <c r="D2988" s="184"/>
      <c r="E2988" s="184"/>
      <c r="F2988" s="184"/>
      <c r="G2988" s="450" t="str">
        <f t="shared" si="145"/>
        <v>--</v>
      </c>
      <c r="H2988" s="184"/>
      <c r="I2988" s="281"/>
      <c r="J2988" s="281"/>
      <c r="K2988" s="184"/>
      <c r="L2988" s="184"/>
      <c r="M2988" s="278"/>
      <c r="N2988" s="281"/>
      <c r="O2988" s="281"/>
      <c r="P2988" s="278"/>
      <c r="Q2988" s="278"/>
      <c r="R2988" s="278"/>
      <c r="S2988" s="278"/>
      <c r="T2988" s="278"/>
      <c r="U2988" s="278"/>
      <c r="V2988" s="270"/>
      <c r="W2988" s="270"/>
      <c r="X2988" s="270"/>
      <c r="Y2988" s="270"/>
      <c r="Z2988" s="270"/>
      <c r="AA2988" s="270"/>
    </row>
    <row r="2989" spans="3:27" x14ac:dyDescent="0.3">
      <c r="C2989" s="450"/>
      <c r="D2989" s="182"/>
      <c r="E2989" s="182"/>
      <c r="F2989" s="182"/>
      <c r="G2989" s="450" t="str">
        <f t="shared" si="145"/>
        <v>--</v>
      </c>
      <c r="H2989" s="182"/>
      <c r="I2989" s="892"/>
      <c r="J2989" s="892"/>
      <c r="K2989" s="182"/>
      <c r="L2989" s="182"/>
      <c r="M2989" s="270"/>
      <c r="N2989" s="892"/>
      <c r="O2989" s="892"/>
      <c r="P2989" s="270"/>
      <c r="Q2989" s="270"/>
      <c r="R2989" s="270"/>
      <c r="S2989" s="270"/>
      <c r="T2989" s="270"/>
      <c r="U2989" s="270"/>
      <c r="V2989" s="270"/>
      <c r="W2989" s="270"/>
      <c r="X2989" s="270"/>
      <c r="Y2989" s="270"/>
      <c r="Z2989" s="270"/>
      <c r="AA2989" s="270"/>
    </row>
    <row r="2990" spans="3:27" ht="15" thickBot="1" x14ac:dyDescent="0.35">
      <c r="C2990" s="450"/>
      <c r="D2990" s="182"/>
      <c r="E2990" s="182"/>
      <c r="F2990" s="182"/>
      <c r="G2990" s="450" t="str">
        <f t="shared" si="145"/>
        <v>--</v>
      </c>
      <c r="H2990" s="182"/>
      <c r="I2990" s="892"/>
      <c r="J2990" s="892"/>
      <c r="K2990" s="182"/>
      <c r="L2990" s="182"/>
      <c r="M2990" s="901" t="s">
        <v>155</v>
      </c>
      <c r="N2990" s="870" t="s">
        <v>188</v>
      </c>
      <c r="O2990" s="870"/>
      <c r="P2990" s="252" t="s">
        <v>158</v>
      </c>
      <c r="Q2990" s="871" t="s">
        <v>155</v>
      </c>
      <c r="R2990" s="872" t="s">
        <v>168</v>
      </c>
      <c r="S2990" s="872" t="s">
        <v>169</v>
      </c>
      <c r="T2990" s="873"/>
      <c r="U2990" s="874"/>
      <c r="V2990" s="270"/>
      <c r="W2990" s="270"/>
      <c r="X2990" s="270"/>
      <c r="Y2990" s="114"/>
      <c r="Z2990" s="270"/>
      <c r="AA2990" s="270"/>
    </row>
    <row r="2991" spans="3:27" ht="15" thickBot="1" x14ac:dyDescent="0.35">
      <c r="C2991" s="566" t="s">
        <v>108</v>
      </c>
      <c r="D2991" s="875" t="str">
        <f>VLOOKUP(C2991,'Airport Mapping'!$C$5:$D$39,2,FALSE)</f>
        <v xml:space="preserve"> </v>
      </c>
      <c r="E2991" s="567" t="s">
        <v>37</v>
      </c>
      <c r="F2991" s="567" t="s">
        <v>2</v>
      </c>
      <c r="G2991" s="450" t="str">
        <f t="shared" si="145"/>
        <v>Tenant C-Restrooms-Toilets</v>
      </c>
      <c r="H2991" s="567" t="s">
        <v>6</v>
      </c>
      <c r="I2991" s="877" t="s">
        <v>64</v>
      </c>
      <c r="J2991" s="878">
        <f>SUMIFS('Level of Efficiency Assumptions'!J:J,'Level of Efficiency Assumptions'!D:D,E2991,'Level of Efficiency Assumptions'!F:F,F2991,'Level of Efficiency Assumptions'!I:I,I2991)</f>
        <v>3.5</v>
      </c>
      <c r="K2991" s="383" t="s">
        <v>68</v>
      </c>
      <c r="L2991" s="253" t="s">
        <v>64</v>
      </c>
      <c r="M2991" s="879">
        <f>Q2991+Q2997</f>
        <v>0</v>
      </c>
      <c r="N2991" s="880">
        <f>IFERROR(M2991/M2994,"-")</f>
        <v>0</v>
      </c>
      <c r="O2991" s="881">
        <f>SUMIFS('Data Entry'!R:R,'Data Entry'!K:K,G2991)</f>
        <v>0</v>
      </c>
      <c r="P2991" s="254" t="s">
        <v>159</v>
      </c>
      <c r="Q2991" s="882">
        <v>0</v>
      </c>
      <c r="R2991" s="883"/>
      <c r="S2991" s="883"/>
      <c r="T2991" s="114" t="s">
        <v>182</v>
      </c>
      <c r="U2991" s="884"/>
      <c r="V2991" s="270"/>
      <c r="W2991" s="270"/>
      <c r="X2991" s="270"/>
      <c r="Y2991" s="114"/>
      <c r="Z2991" s="270"/>
      <c r="AA2991" s="270"/>
    </row>
    <row r="2992" spans="3:27" ht="15" thickBot="1" x14ac:dyDescent="0.35">
      <c r="C2992" s="494" t="s">
        <v>108</v>
      </c>
      <c r="D2992" s="577"/>
      <c r="E2992" s="577" t="s">
        <v>37</v>
      </c>
      <c r="F2992" s="577" t="s">
        <v>2</v>
      </c>
      <c r="G2992" s="450" t="str">
        <f t="shared" si="145"/>
        <v>Tenant C-Restrooms-Toilets</v>
      </c>
      <c r="H2992" s="577"/>
      <c r="I2992" s="887" t="s">
        <v>65</v>
      </c>
      <c r="J2992" s="878">
        <f>SUMIFS('Level of Efficiency Assumptions'!J:J,'Level of Efficiency Assumptions'!D:D,E2992,'Level of Efficiency Assumptions'!F:F,F2992,'Level of Efficiency Assumptions'!I:I,I2992)</f>
        <v>1.6</v>
      </c>
      <c r="K2992" s="383" t="s">
        <v>68</v>
      </c>
      <c r="L2992" s="255" t="s">
        <v>65</v>
      </c>
      <c r="M2992" s="879">
        <f>Q2992+Q2995+Q2998</f>
        <v>1</v>
      </c>
      <c r="N2992" s="880">
        <f>IFERROR(M2992/M2994,"-")</f>
        <v>1</v>
      </c>
      <c r="O2992" s="881">
        <f>SUMIFS('Data Entry'!S:S,'Data Entry'!K:K,G2992)</f>
        <v>0</v>
      </c>
      <c r="P2992" s="256" t="s">
        <v>161</v>
      </c>
      <c r="Q2992" s="882">
        <v>1</v>
      </c>
      <c r="R2992" s="883"/>
      <c r="S2992" s="883"/>
      <c r="T2992" s="114" t="s">
        <v>184</v>
      </c>
      <c r="U2992" s="884"/>
      <c r="V2992" s="270"/>
      <c r="W2992" s="270"/>
      <c r="X2992" s="270"/>
      <c r="Y2992" s="114"/>
      <c r="Z2992" s="270"/>
      <c r="AA2992" s="270"/>
    </row>
    <row r="2993" spans="3:27" ht="15" thickBot="1" x14ac:dyDescent="0.35">
      <c r="C2993" s="501" t="s">
        <v>108</v>
      </c>
      <c r="D2993" s="116"/>
      <c r="E2993" s="116" t="s">
        <v>37</v>
      </c>
      <c r="F2993" s="116" t="s">
        <v>2</v>
      </c>
      <c r="G2993" s="450" t="str">
        <f t="shared" si="145"/>
        <v>Tenant C-Restrooms-Toilets</v>
      </c>
      <c r="H2993" s="116"/>
      <c r="I2993" s="889" t="s">
        <v>66</v>
      </c>
      <c r="J2993" s="890">
        <f>SUMIFS('Level of Efficiency Assumptions'!J:J,'Level of Efficiency Assumptions'!D:D,E2993,'Level of Efficiency Assumptions'!F:F,F2993,'Level of Efficiency Assumptions'!I:I,I2993)</f>
        <v>1.28</v>
      </c>
      <c r="K2993" s="383" t="s">
        <v>68</v>
      </c>
      <c r="L2993" s="257" t="s">
        <v>66</v>
      </c>
      <c r="M2993" s="879">
        <f>Q2993+Q2994+Q2996+Q2999+Q3000</f>
        <v>0</v>
      </c>
      <c r="N2993" s="880">
        <f>IFERROR(M2993/M2994,"-")</f>
        <v>0</v>
      </c>
      <c r="O2993" s="881">
        <f>SUMIFS('Data Entry'!T:T,'Data Entry'!K:K,G2993)</f>
        <v>0</v>
      </c>
      <c r="P2993" s="258" t="s">
        <v>163</v>
      </c>
      <c r="Q2993" s="882">
        <v>0</v>
      </c>
      <c r="R2993" s="883"/>
      <c r="S2993" s="883"/>
      <c r="T2993" s="891"/>
      <c r="U2993" s="884"/>
      <c r="V2993" s="270"/>
      <c r="W2993" s="270"/>
      <c r="X2993" s="270"/>
      <c r="Y2993" s="114"/>
      <c r="Z2993" s="270"/>
      <c r="AA2993" s="270"/>
    </row>
    <row r="2994" spans="3:27" x14ac:dyDescent="0.3">
      <c r="C2994" s="450"/>
      <c r="D2994" s="182"/>
      <c r="E2994" s="182"/>
      <c r="F2994" s="182"/>
      <c r="G2994" s="450" t="str">
        <f t="shared" si="145"/>
        <v>--</v>
      </c>
      <c r="H2994" s="182"/>
      <c r="I2994" s="440"/>
      <c r="J2994" s="892"/>
      <c r="K2994" s="259"/>
      <c r="L2994" s="259" t="s">
        <v>46</v>
      </c>
      <c r="M2994" s="893">
        <f>SUM(M2991:M2993)</f>
        <v>1</v>
      </c>
      <c r="N2994" s="894"/>
      <c r="O2994" s="894">
        <f>SUM(O2991:O2993)</f>
        <v>0</v>
      </c>
      <c r="P2994" s="258" t="s">
        <v>165</v>
      </c>
      <c r="Q2994" s="882">
        <v>0</v>
      </c>
      <c r="R2994" s="883"/>
      <c r="S2994" s="883"/>
      <c r="T2994" s="891"/>
      <c r="U2994" s="884"/>
      <c r="V2994" s="270"/>
      <c r="W2994" s="270"/>
      <c r="X2994" s="270"/>
      <c r="Y2994" s="114"/>
      <c r="Z2994" s="270"/>
      <c r="AA2994" s="270"/>
    </row>
    <row r="2995" spans="3:27" ht="15" thickBot="1" x14ac:dyDescent="0.35">
      <c r="C2995" s="450"/>
      <c r="D2995" s="182"/>
      <c r="E2995" s="182"/>
      <c r="F2995" s="182"/>
      <c r="G2995" s="450" t="str">
        <f t="shared" si="145"/>
        <v>--</v>
      </c>
      <c r="H2995" s="182"/>
      <c r="I2995" s="892"/>
      <c r="J2995" s="288"/>
      <c r="K2995" s="182"/>
      <c r="L2995" s="181"/>
      <c r="M2995" s="181"/>
      <c r="N2995" s="892"/>
      <c r="O2995" s="892"/>
      <c r="P2995" s="256" t="s">
        <v>166</v>
      </c>
      <c r="Q2995" s="895">
        <v>0</v>
      </c>
      <c r="R2995" s="883"/>
      <c r="S2995" s="883"/>
      <c r="T2995" s="891"/>
      <c r="U2995" s="896"/>
      <c r="V2995" s="891"/>
      <c r="W2995" s="270"/>
      <c r="X2995" s="270"/>
      <c r="Y2995" s="114"/>
      <c r="Z2995" s="270"/>
      <c r="AA2995" s="270"/>
    </row>
    <row r="2996" spans="3:27" x14ac:dyDescent="0.3">
      <c r="C2996" s="450"/>
      <c r="D2996" s="182"/>
      <c r="E2996" s="182"/>
      <c r="F2996" s="182"/>
      <c r="G2996" s="450" t="str">
        <f t="shared" si="145"/>
        <v>--</v>
      </c>
      <c r="H2996" s="182"/>
      <c r="I2996" s="892"/>
      <c r="J2996" s="288"/>
      <c r="K2996" s="182"/>
      <c r="L2996" s="1384" t="s">
        <v>377</v>
      </c>
      <c r="M2996" s="1385"/>
      <c r="N2996" s="1385"/>
      <c r="O2996" s="1386"/>
      <c r="P2996" s="258" t="s">
        <v>167</v>
      </c>
      <c r="Q2996" s="895">
        <v>0</v>
      </c>
      <c r="R2996" s="883"/>
      <c r="S2996" s="883"/>
      <c r="T2996" s="891"/>
      <c r="U2996" s="896"/>
      <c r="V2996" s="891"/>
      <c r="W2996" s="270"/>
      <c r="X2996" s="270"/>
      <c r="Y2996" s="270"/>
      <c r="Z2996" s="270"/>
      <c r="AA2996" s="270"/>
    </row>
    <row r="2997" spans="3:27" x14ac:dyDescent="0.3">
      <c r="C2997" s="450"/>
      <c r="D2997" s="182"/>
      <c r="E2997" s="182"/>
      <c r="F2997" s="182"/>
      <c r="G2997" s="450" t="str">
        <f t="shared" si="145"/>
        <v>--</v>
      </c>
      <c r="H2997" s="182"/>
      <c r="I2997" s="892"/>
      <c r="J2997" s="288"/>
      <c r="K2997" s="182"/>
      <c r="L2997" s="1387"/>
      <c r="M2997" s="1388"/>
      <c r="N2997" s="1388"/>
      <c r="O2997" s="1389"/>
      <c r="P2997" s="254" t="s">
        <v>160</v>
      </c>
      <c r="Q2997" s="895">
        <v>0</v>
      </c>
      <c r="R2997" s="891"/>
      <c r="S2997" s="891"/>
      <c r="T2997" s="891"/>
      <c r="U2997" s="896"/>
      <c r="V2997" s="891"/>
      <c r="W2997" s="270"/>
      <c r="X2997" s="270"/>
      <c r="Y2997" s="270"/>
      <c r="Z2997" s="270"/>
      <c r="AA2997" s="270"/>
    </row>
    <row r="2998" spans="3:27" x14ac:dyDescent="0.3">
      <c r="C2998" s="450"/>
      <c r="D2998" s="182"/>
      <c r="E2998" s="182"/>
      <c r="F2998" s="182"/>
      <c r="G2998" s="450" t="str">
        <f t="shared" si="145"/>
        <v>--</v>
      </c>
      <c r="H2998" s="182"/>
      <c r="I2998" s="892"/>
      <c r="J2998" s="288"/>
      <c r="K2998" s="182"/>
      <c r="L2998" s="1387"/>
      <c r="M2998" s="1388"/>
      <c r="N2998" s="1388"/>
      <c r="O2998" s="1389"/>
      <c r="P2998" s="256" t="s">
        <v>162</v>
      </c>
      <c r="Q2998" s="895">
        <v>0</v>
      </c>
      <c r="R2998" s="891"/>
      <c r="S2998" s="891"/>
      <c r="T2998" s="891"/>
      <c r="U2998" s="896"/>
      <c r="V2998" s="891"/>
      <c r="W2998" s="270"/>
      <c r="X2998" s="270"/>
      <c r="Y2998" s="270"/>
      <c r="Z2998" s="270"/>
      <c r="AA2998" s="270"/>
    </row>
    <row r="2999" spans="3:27" ht="15" thickBot="1" x14ac:dyDescent="0.35">
      <c r="C2999" s="450"/>
      <c r="D2999" s="182"/>
      <c r="E2999" s="182"/>
      <c r="F2999" s="182"/>
      <c r="G2999" s="450" t="str">
        <f t="shared" si="145"/>
        <v>--</v>
      </c>
      <c r="H2999" s="182"/>
      <c r="I2999" s="892"/>
      <c r="J2999" s="288"/>
      <c r="K2999" s="182"/>
      <c r="L2999" s="1390"/>
      <c r="M2999" s="1391"/>
      <c r="N2999" s="1391"/>
      <c r="O2999" s="1392"/>
      <c r="P2999" s="258" t="s">
        <v>164</v>
      </c>
      <c r="Q2999" s="895">
        <v>0</v>
      </c>
      <c r="R2999" s="114"/>
      <c r="S2999" s="891"/>
      <c r="T2999" s="114"/>
      <c r="U2999" s="884"/>
      <c r="V2999" s="114"/>
      <c r="W2999" s="270"/>
      <c r="X2999" s="270"/>
      <c r="Y2999" s="270"/>
      <c r="Z2999" s="270"/>
      <c r="AA2999" s="270"/>
    </row>
    <row r="3000" spans="3:27" x14ac:dyDescent="0.3">
      <c r="C3000" s="450"/>
      <c r="D3000" s="182"/>
      <c r="E3000" s="182"/>
      <c r="F3000" s="182"/>
      <c r="G3000" s="450" t="str">
        <f t="shared" si="145"/>
        <v>--</v>
      </c>
      <c r="H3000" s="182"/>
      <c r="I3000" s="892"/>
      <c r="J3000" s="288"/>
      <c r="K3000" s="182"/>
      <c r="L3000" s="181"/>
      <c r="M3000" s="181"/>
      <c r="N3000" s="892"/>
      <c r="O3000" s="892"/>
      <c r="P3000" s="258" t="s">
        <v>187</v>
      </c>
      <c r="Q3000" s="895">
        <v>0</v>
      </c>
      <c r="R3000" s="114"/>
      <c r="S3000" s="891"/>
      <c r="T3000" s="114"/>
      <c r="U3000" s="884"/>
      <c r="V3000" s="114"/>
      <c r="W3000" s="270"/>
      <c r="X3000" s="270"/>
      <c r="Y3000" s="270"/>
      <c r="Z3000" s="270"/>
      <c r="AA3000" s="270"/>
    </row>
    <row r="3001" spans="3:27" x14ac:dyDescent="0.3">
      <c r="C3001" s="450"/>
      <c r="D3001" s="182"/>
      <c r="E3001" s="182"/>
      <c r="F3001" s="182"/>
      <c r="G3001" s="450" t="str">
        <f t="shared" si="145"/>
        <v>--</v>
      </c>
      <c r="H3001" s="182"/>
      <c r="I3001" s="892"/>
      <c r="J3001" s="288"/>
      <c r="K3001" s="182"/>
      <c r="L3001" s="181"/>
      <c r="M3001" s="181"/>
      <c r="N3001" s="892"/>
      <c r="O3001" s="892"/>
      <c r="P3001" s="263" t="s">
        <v>46</v>
      </c>
      <c r="Q3001" s="897">
        <f>SUM(Q2991:Q3000)</f>
        <v>1</v>
      </c>
      <c r="R3001" s="898"/>
      <c r="S3001" s="898"/>
      <c r="T3001" s="899"/>
      <c r="U3001" s="900"/>
      <c r="V3001" s="114"/>
      <c r="W3001" s="270"/>
      <c r="X3001" s="270"/>
      <c r="Y3001" s="270"/>
      <c r="Z3001" s="270"/>
      <c r="AA3001" s="270"/>
    </row>
    <row r="3002" spans="3:27" x14ac:dyDescent="0.3">
      <c r="C3002" s="450"/>
      <c r="D3002" s="182"/>
      <c r="E3002" s="182"/>
      <c r="F3002" s="182"/>
      <c r="G3002" s="450" t="str">
        <f t="shared" si="145"/>
        <v>--</v>
      </c>
      <c r="H3002" s="182"/>
      <c r="I3002" s="892"/>
      <c r="J3002" s="288"/>
      <c r="K3002" s="182"/>
      <c r="L3002" s="181"/>
      <c r="M3002" s="181"/>
      <c r="N3002" s="892"/>
      <c r="O3002" s="892"/>
      <c r="P3002" s="114"/>
      <c r="Q3002" s="114"/>
      <c r="R3002" s="891"/>
      <c r="S3002" s="891"/>
      <c r="T3002" s="114"/>
      <c r="U3002" s="114"/>
      <c r="V3002" s="114"/>
      <c r="W3002" s="270"/>
      <c r="X3002" s="270"/>
      <c r="Y3002" s="270"/>
      <c r="Z3002" s="270"/>
      <c r="AA3002" s="270"/>
    </row>
    <row r="3003" spans="3:27" ht="15" thickBot="1" x14ac:dyDescent="0.35">
      <c r="C3003" s="450"/>
      <c r="D3003" s="182"/>
      <c r="E3003" s="182"/>
      <c r="F3003" s="182"/>
      <c r="G3003" s="450" t="str">
        <f t="shared" si="145"/>
        <v>--</v>
      </c>
      <c r="H3003" s="182"/>
      <c r="I3003" s="892"/>
      <c r="J3003" s="892"/>
      <c r="K3003" s="182"/>
      <c r="L3003" s="182"/>
      <c r="M3003" s="901" t="s">
        <v>155</v>
      </c>
      <c r="N3003" s="870" t="s">
        <v>188</v>
      </c>
      <c r="O3003" s="870"/>
      <c r="P3003" s="252" t="s">
        <v>175</v>
      </c>
      <c r="Q3003" s="871" t="s">
        <v>155</v>
      </c>
      <c r="R3003" s="872" t="s">
        <v>168</v>
      </c>
      <c r="S3003" s="872" t="s">
        <v>169</v>
      </c>
      <c r="T3003" s="902"/>
      <c r="U3003" s="903"/>
      <c r="V3003" s="270"/>
      <c r="W3003" s="270"/>
      <c r="X3003" s="270"/>
      <c r="Y3003" s="270"/>
      <c r="Z3003" s="270"/>
      <c r="AA3003" s="270"/>
    </row>
    <row r="3004" spans="3:27" ht="15" thickBot="1" x14ac:dyDescent="0.35">
      <c r="C3004" s="566" t="s">
        <v>108</v>
      </c>
      <c r="D3004" s="875" t="str">
        <f>VLOOKUP(C3004,'Airport Mapping'!$C$5:$D$39,2,FALSE)</f>
        <v xml:space="preserve"> </v>
      </c>
      <c r="E3004" s="567" t="s">
        <v>37</v>
      </c>
      <c r="F3004" s="567" t="s">
        <v>4</v>
      </c>
      <c r="G3004" s="450" t="str">
        <f t="shared" si="145"/>
        <v>Tenant C-Restrooms-Urinals</v>
      </c>
      <c r="H3004" s="567" t="s">
        <v>6</v>
      </c>
      <c r="I3004" s="877" t="s">
        <v>64</v>
      </c>
      <c r="J3004" s="878">
        <f>SUMIFS('Level of Efficiency Assumptions'!J:J,'Level of Efficiency Assumptions'!D:D,E3004,'Level of Efficiency Assumptions'!F:F,F3004,'Level of Efficiency Assumptions'!I:I,I3004)</f>
        <v>2</v>
      </c>
      <c r="K3004" s="383" t="s">
        <v>68</v>
      </c>
      <c r="L3004" s="253" t="s">
        <v>64</v>
      </c>
      <c r="M3004" s="879">
        <f>Q3004+Q3005</f>
        <v>0</v>
      </c>
      <c r="N3004" s="880">
        <f>IFERROR(M3004/M3007,"-")</f>
        <v>0</v>
      </c>
      <c r="O3004" s="881">
        <f>SUMIFS('Data Entry'!R:R,'Data Entry'!K:K,G3004)</f>
        <v>0</v>
      </c>
      <c r="P3004" s="254" t="s">
        <v>177</v>
      </c>
      <c r="Q3004" s="882">
        <v>0</v>
      </c>
      <c r="R3004" s="883"/>
      <c r="S3004" s="883"/>
      <c r="T3004" s="114"/>
      <c r="U3004" s="904"/>
      <c r="V3004" s="270"/>
      <c r="W3004" s="270"/>
      <c r="X3004" s="270"/>
      <c r="Y3004" s="270"/>
      <c r="Z3004" s="270"/>
      <c r="AA3004" s="270"/>
    </row>
    <row r="3005" spans="3:27" ht="15" thickBot="1" x14ac:dyDescent="0.35">
      <c r="C3005" s="494" t="s">
        <v>108</v>
      </c>
      <c r="D3005" s="577"/>
      <c r="E3005" s="577" t="s">
        <v>37</v>
      </c>
      <c r="F3005" s="577" t="s">
        <v>4</v>
      </c>
      <c r="G3005" s="450" t="str">
        <f t="shared" si="145"/>
        <v>Tenant C-Restrooms-Urinals</v>
      </c>
      <c r="H3005" s="577"/>
      <c r="I3005" s="887" t="s">
        <v>65</v>
      </c>
      <c r="J3005" s="878">
        <f>SUMIFS('Level of Efficiency Assumptions'!J:J,'Level of Efficiency Assumptions'!D:D,E3005,'Level of Efficiency Assumptions'!F:F,F3005,'Level of Efficiency Assumptions'!I:I,I3005)</f>
        <v>1</v>
      </c>
      <c r="K3005" s="383" t="s">
        <v>68</v>
      </c>
      <c r="L3005" s="255" t="s">
        <v>65</v>
      </c>
      <c r="M3005" s="879">
        <f>Q3006+Q3007</f>
        <v>1</v>
      </c>
      <c r="N3005" s="880">
        <f>IFERROR(M3005/M3007,"-")</f>
        <v>1</v>
      </c>
      <c r="O3005" s="881">
        <f>SUMIFS('Data Entry'!S:S,'Data Entry'!K:K,G3005)</f>
        <v>0</v>
      </c>
      <c r="P3005" s="254" t="s">
        <v>179</v>
      </c>
      <c r="Q3005" s="882">
        <v>0</v>
      </c>
      <c r="R3005" s="883"/>
      <c r="S3005" s="883"/>
      <c r="T3005" s="114"/>
      <c r="U3005" s="904"/>
      <c r="V3005" s="270"/>
      <c r="W3005" s="270"/>
      <c r="X3005" s="270"/>
      <c r="Y3005" s="270"/>
      <c r="Z3005" s="270"/>
      <c r="AA3005" s="270"/>
    </row>
    <row r="3006" spans="3:27" ht="15" thickBot="1" x14ac:dyDescent="0.35">
      <c r="C3006" s="501" t="s">
        <v>108</v>
      </c>
      <c r="D3006" s="116"/>
      <c r="E3006" s="116" t="s">
        <v>37</v>
      </c>
      <c r="F3006" s="116" t="s">
        <v>4</v>
      </c>
      <c r="G3006" s="450" t="str">
        <f t="shared" si="145"/>
        <v>Tenant C-Restrooms-Urinals</v>
      </c>
      <c r="H3006" s="116"/>
      <c r="I3006" s="889" t="s">
        <v>66</v>
      </c>
      <c r="J3006" s="890">
        <f>SUMIFS('Level of Efficiency Assumptions'!J:J,'Level of Efficiency Assumptions'!D:D,E3006,'Level of Efficiency Assumptions'!F:F,F3006,'Level of Efficiency Assumptions'!I:I,I3006)</f>
        <v>0.125</v>
      </c>
      <c r="K3006" s="383" t="s">
        <v>68</v>
      </c>
      <c r="L3006" s="257" t="s">
        <v>66</v>
      </c>
      <c r="M3006" s="879">
        <f>Q3008+Q3009</f>
        <v>0</v>
      </c>
      <c r="N3006" s="880">
        <f>IFERROR(M3006/M3007,"-")</f>
        <v>0</v>
      </c>
      <c r="O3006" s="881">
        <f>SUMIFS('Data Entry'!T:T,'Data Entry'!K:K,G3006)</f>
        <v>0</v>
      </c>
      <c r="P3006" s="256" t="s">
        <v>189</v>
      </c>
      <c r="Q3006" s="882">
        <v>0</v>
      </c>
      <c r="R3006" s="883"/>
      <c r="S3006" s="883"/>
      <c r="T3006" s="114"/>
      <c r="U3006" s="904"/>
      <c r="V3006" s="270"/>
      <c r="W3006" s="270"/>
      <c r="X3006" s="270"/>
      <c r="Y3006" s="270"/>
      <c r="Z3006" s="270"/>
      <c r="AA3006" s="270"/>
    </row>
    <row r="3007" spans="3:27" x14ac:dyDescent="0.3">
      <c r="C3007" s="450"/>
      <c r="D3007" s="182"/>
      <c r="E3007" s="182"/>
      <c r="F3007" s="182"/>
      <c r="G3007" s="450" t="str">
        <f t="shared" si="145"/>
        <v>--</v>
      </c>
      <c r="H3007" s="182"/>
      <c r="I3007" s="440"/>
      <c r="J3007" s="892"/>
      <c r="K3007" s="259"/>
      <c r="L3007" s="259" t="s">
        <v>46</v>
      </c>
      <c r="M3007" s="893">
        <f>SUM(M3004:M3006)</f>
        <v>1</v>
      </c>
      <c r="N3007" s="894"/>
      <c r="O3007" s="894">
        <f>SUM(O3004:O3006)</f>
        <v>0</v>
      </c>
      <c r="P3007" s="256" t="s">
        <v>181</v>
      </c>
      <c r="Q3007" s="882">
        <v>1</v>
      </c>
      <c r="R3007" s="883"/>
      <c r="S3007" s="883"/>
      <c r="T3007" s="114"/>
      <c r="U3007" s="264"/>
      <c r="V3007" s="270"/>
      <c r="W3007" s="270"/>
      <c r="X3007" s="270"/>
      <c r="Y3007" s="270"/>
      <c r="Z3007" s="270"/>
      <c r="AA3007" s="270"/>
    </row>
    <row r="3008" spans="3:27" x14ac:dyDescent="0.3">
      <c r="C3008" s="450"/>
      <c r="D3008" s="182"/>
      <c r="E3008" s="182"/>
      <c r="F3008" s="182"/>
      <c r="G3008" s="450" t="str">
        <f t="shared" si="145"/>
        <v>--</v>
      </c>
      <c r="H3008" s="182"/>
      <c r="I3008" s="892"/>
      <c r="J3008" s="288"/>
      <c r="K3008" s="182"/>
      <c r="L3008" s="181"/>
      <c r="M3008" s="181"/>
      <c r="N3008" s="892"/>
      <c r="O3008" s="892"/>
      <c r="P3008" s="258" t="s">
        <v>183</v>
      </c>
      <c r="Q3008" s="882">
        <v>0</v>
      </c>
      <c r="R3008" s="883"/>
      <c r="S3008" s="883"/>
      <c r="T3008" s="114"/>
      <c r="U3008" s="884"/>
      <c r="V3008" s="114"/>
      <c r="W3008" s="270"/>
      <c r="X3008" s="270"/>
      <c r="Y3008" s="270"/>
      <c r="Z3008" s="270"/>
      <c r="AA3008" s="270"/>
    </row>
    <row r="3009" spans="3:27" x14ac:dyDescent="0.3">
      <c r="C3009" s="450"/>
      <c r="D3009" s="182"/>
      <c r="E3009" s="182"/>
      <c r="F3009" s="182"/>
      <c r="G3009" s="450" t="str">
        <f t="shared" si="145"/>
        <v>--</v>
      </c>
      <c r="H3009" s="182"/>
      <c r="I3009" s="892"/>
      <c r="J3009" s="288"/>
      <c r="K3009" s="182"/>
      <c r="L3009" s="181"/>
      <c r="M3009" s="181"/>
      <c r="N3009" s="892"/>
      <c r="O3009" s="892"/>
      <c r="P3009" s="258" t="s">
        <v>190</v>
      </c>
      <c r="Q3009" s="882">
        <v>0</v>
      </c>
      <c r="R3009" s="114"/>
      <c r="S3009" s="114"/>
      <c r="T3009" s="114"/>
      <c r="U3009" s="884"/>
      <c r="V3009" s="114"/>
      <c r="W3009" s="270"/>
      <c r="X3009" s="270"/>
      <c r="Y3009" s="270"/>
      <c r="Z3009" s="270"/>
      <c r="AA3009" s="270"/>
    </row>
    <row r="3010" spans="3:27" x14ac:dyDescent="0.3">
      <c r="C3010" s="450"/>
      <c r="D3010" s="182"/>
      <c r="E3010" s="182"/>
      <c r="F3010" s="182"/>
      <c r="G3010" s="450" t="str">
        <f t="shared" si="145"/>
        <v>--</v>
      </c>
      <c r="H3010" s="182"/>
      <c r="I3010" s="892"/>
      <c r="J3010" s="288"/>
      <c r="K3010" s="182"/>
      <c r="L3010" s="181"/>
      <c r="M3010" s="181"/>
      <c r="N3010" s="892"/>
      <c r="O3010" s="892"/>
      <c r="P3010" s="263" t="s">
        <v>46</v>
      </c>
      <c r="Q3010" s="897">
        <f>SUM(Q3004:Q3009)</f>
        <v>1</v>
      </c>
      <c r="R3010" s="899"/>
      <c r="S3010" s="899"/>
      <c r="T3010" s="899"/>
      <c r="U3010" s="900"/>
      <c r="V3010" s="114"/>
      <c r="W3010" s="270"/>
      <c r="X3010" s="270"/>
      <c r="Y3010" s="270"/>
      <c r="Z3010" s="270"/>
      <c r="AA3010" s="270"/>
    </row>
    <row r="3011" spans="3:27" x14ac:dyDescent="0.3">
      <c r="C3011" s="450"/>
      <c r="D3011" s="182"/>
      <c r="E3011" s="182"/>
      <c r="F3011" s="182"/>
      <c r="G3011" s="450" t="str">
        <f t="shared" si="145"/>
        <v>--</v>
      </c>
      <c r="H3011" s="182"/>
      <c r="I3011" s="892"/>
      <c r="J3011" s="288"/>
      <c r="K3011" s="182"/>
      <c r="L3011" s="181"/>
      <c r="M3011" s="181"/>
      <c r="N3011" s="892"/>
      <c r="O3011" s="892"/>
      <c r="P3011" s="262"/>
      <c r="Q3011" s="114"/>
      <c r="R3011" s="114"/>
      <c r="S3011" s="114"/>
      <c r="T3011" s="114"/>
      <c r="U3011" s="114"/>
      <c r="V3011" s="114"/>
      <c r="W3011" s="270"/>
      <c r="X3011" s="270"/>
      <c r="Y3011" s="270"/>
      <c r="Z3011" s="270"/>
      <c r="AA3011" s="270"/>
    </row>
    <row r="3012" spans="3:27" ht="15" thickBot="1" x14ac:dyDescent="0.35">
      <c r="C3012" s="450"/>
      <c r="D3012" s="182"/>
      <c r="E3012" s="182"/>
      <c r="F3012" s="182"/>
      <c r="G3012" s="450" t="str">
        <f t="shared" si="145"/>
        <v>--</v>
      </c>
      <c r="H3012" s="182"/>
      <c r="I3012" s="892"/>
      <c r="J3012" s="892"/>
      <c r="K3012" s="182"/>
      <c r="L3012" s="182"/>
      <c r="M3012" s="901" t="s">
        <v>155</v>
      </c>
      <c r="N3012" s="870" t="s">
        <v>188</v>
      </c>
      <c r="O3012" s="870"/>
      <c r="P3012" s="265" t="s">
        <v>33</v>
      </c>
      <c r="Q3012" s="871" t="s">
        <v>155</v>
      </c>
      <c r="R3012" s="872" t="s">
        <v>168</v>
      </c>
      <c r="S3012" s="872" t="s">
        <v>169</v>
      </c>
      <c r="T3012" s="872" t="s">
        <v>170</v>
      </c>
      <c r="U3012" s="872" t="s">
        <v>171</v>
      </c>
      <c r="V3012" s="902"/>
      <c r="W3012" s="902"/>
      <c r="X3012" s="874"/>
      <c r="Y3012" s="270"/>
      <c r="Z3012" s="270"/>
      <c r="AA3012" s="270"/>
    </row>
    <row r="3013" spans="3:27" ht="15" thickBot="1" x14ac:dyDescent="0.35">
      <c r="C3013" s="566" t="s">
        <v>108</v>
      </c>
      <c r="D3013" s="875" t="str">
        <f>VLOOKUP(C3013,'Airport Mapping'!$C$5:$D$39,2,FALSE)</f>
        <v xml:space="preserve"> </v>
      </c>
      <c r="E3013" s="567" t="s">
        <v>37</v>
      </c>
      <c r="F3013" s="567" t="s">
        <v>33</v>
      </c>
      <c r="G3013" s="450" t="str">
        <f t="shared" si="145"/>
        <v>Tenant C-Restrooms-Faucets</v>
      </c>
      <c r="H3013" s="567" t="s">
        <v>6</v>
      </c>
      <c r="I3013" s="877" t="s">
        <v>64</v>
      </c>
      <c r="J3013" s="878">
        <f>SUMIFS('Level of Efficiency Assumptions'!J:J,'Level of Efficiency Assumptions'!D:D,E3013,'Level of Efficiency Assumptions'!F:F,F3013,'Level of Efficiency Assumptions'!I:I,I3013)</f>
        <v>2</v>
      </c>
      <c r="K3013" s="383" t="s">
        <v>78</v>
      </c>
      <c r="L3013" s="253" t="s">
        <v>64</v>
      </c>
      <c r="M3013" s="879">
        <f>Q3013+Q3014</f>
        <v>0</v>
      </c>
      <c r="N3013" s="880">
        <f>IFERROR(M3013/M3016,"-")</f>
        <v>0</v>
      </c>
      <c r="O3013" s="881">
        <f>SUMIFS('Data Entry'!R:R,'Data Entry'!K:K,G3013)</f>
        <v>0</v>
      </c>
      <c r="P3013" s="266" t="s">
        <v>180</v>
      </c>
      <c r="Q3013" s="895">
        <v>0</v>
      </c>
      <c r="R3013" s="883"/>
      <c r="S3013" s="883"/>
      <c r="T3013" s="883"/>
      <c r="U3013" s="883"/>
      <c r="V3013" s="114" t="s">
        <v>182</v>
      </c>
      <c r="W3013" s="114"/>
      <c r="X3013" s="884"/>
      <c r="Y3013" s="270"/>
      <c r="Z3013" s="270"/>
      <c r="AA3013" s="270"/>
    </row>
    <row r="3014" spans="3:27" ht="15" thickBot="1" x14ac:dyDescent="0.35">
      <c r="C3014" s="494" t="s">
        <v>108</v>
      </c>
      <c r="D3014" s="577"/>
      <c r="E3014" s="577" t="s">
        <v>37</v>
      </c>
      <c r="F3014" s="577" t="s">
        <v>33</v>
      </c>
      <c r="G3014" s="450" t="str">
        <f t="shared" si="145"/>
        <v>Tenant C-Restrooms-Faucets</v>
      </c>
      <c r="H3014" s="577"/>
      <c r="I3014" s="887" t="s">
        <v>65</v>
      </c>
      <c r="J3014" s="878">
        <f>SUMIFS('Level of Efficiency Assumptions'!J:J,'Level of Efficiency Assumptions'!D:D,E3014,'Level of Efficiency Assumptions'!F:F,F3014,'Level of Efficiency Assumptions'!I:I,I3014)</f>
        <v>1</v>
      </c>
      <c r="K3014" s="383" t="s">
        <v>78</v>
      </c>
      <c r="L3014" s="255" t="s">
        <v>65</v>
      </c>
      <c r="M3014" s="879">
        <f>Q3015+Q3016</f>
        <v>1</v>
      </c>
      <c r="N3014" s="880">
        <f>IFERROR(M3014/M3016,"-")</f>
        <v>1</v>
      </c>
      <c r="O3014" s="881">
        <f>SUMIFS('Data Entry'!S:S,'Data Entry'!K:K,G3014)</f>
        <v>0</v>
      </c>
      <c r="P3014" s="266" t="s">
        <v>178</v>
      </c>
      <c r="Q3014" s="895">
        <v>0</v>
      </c>
      <c r="R3014" s="883"/>
      <c r="S3014" s="883"/>
      <c r="T3014" s="883"/>
      <c r="U3014" s="883"/>
      <c r="V3014" s="114" t="s">
        <v>184</v>
      </c>
      <c r="W3014" s="114"/>
      <c r="X3014" s="884"/>
      <c r="Y3014" s="270"/>
      <c r="Z3014" s="270"/>
      <c r="AA3014" s="270"/>
    </row>
    <row r="3015" spans="3:27" ht="15" thickBot="1" x14ac:dyDescent="0.35">
      <c r="C3015" s="501" t="s">
        <v>108</v>
      </c>
      <c r="D3015" s="116"/>
      <c r="E3015" s="116" t="s">
        <v>37</v>
      </c>
      <c r="F3015" s="116" t="s">
        <v>33</v>
      </c>
      <c r="G3015" s="450" t="str">
        <f t="shared" si="145"/>
        <v>Tenant C-Restrooms-Faucets</v>
      </c>
      <c r="H3015" s="116"/>
      <c r="I3015" s="889" t="s">
        <v>66</v>
      </c>
      <c r="J3015" s="890">
        <f>SUMIFS('Level of Efficiency Assumptions'!J:J,'Level of Efficiency Assumptions'!D:D,E3015,'Level of Efficiency Assumptions'!F:F,F3015,'Level of Efficiency Assumptions'!I:I,I3015)</f>
        <v>0.5</v>
      </c>
      <c r="K3015" s="383" t="s">
        <v>78</v>
      </c>
      <c r="L3015" s="257" t="s">
        <v>66</v>
      </c>
      <c r="M3015" s="879">
        <f>Q3017</f>
        <v>0</v>
      </c>
      <c r="N3015" s="880">
        <f>IFERROR(M3015/M3016,"-")</f>
        <v>0</v>
      </c>
      <c r="O3015" s="881">
        <f>SUMIFS('Data Entry'!T:T,'Data Entry'!K:K,G3015)</f>
        <v>0</v>
      </c>
      <c r="P3015" s="267" t="s">
        <v>176</v>
      </c>
      <c r="Q3015" s="895">
        <v>1</v>
      </c>
      <c r="R3015" s="883"/>
      <c r="S3015" s="883"/>
      <c r="T3015" s="883"/>
      <c r="U3015" s="883"/>
      <c r="V3015" s="114" t="s">
        <v>185</v>
      </c>
      <c r="W3015" s="114"/>
      <c r="X3015" s="884"/>
      <c r="Y3015" s="270"/>
      <c r="Z3015" s="270"/>
      <c r="AA3015" s="270"/>
    </row>
    <row r="3016" spans="3:27" x14ac:dyDescent="0.3">
      <c r="C3016" s="450"/>
      <c r="D3016" s="182"/>
      <c r="E3016" s="182"/>
      <c r="F3016" s="182"/>
      <c r="G3016" s="450" t="str">
        <f t="shared" si="145"/>
        <v>--</v>
      </c>
      <c r="H3016" s="182"/>
      <c r="I3016" s="440"/>
      <c r="J3016" s="892"/>
      <c r="K3016" s="259"/>
      <c r="L3016" s="259" t="s">
        <v>46</v>
      </c>
      <c r="M3016" s="893">
        <f>SUM(M3013:M3015)</f>
        <v>1</v>
      </c>
      <c r="N3016" s="894"/>
      <c r="O3016" s="894">
        <f>SUM(O3013:O3015)</f>
        <v>0</v>
      </c>
      <c r="P3016" s="256" t="s">
        <v>173</v>
      </c>
      <c r="Q3016" s="895">
        <v>0</v>
      </c>
      <c r="R3016" s="883"/>
      <c r="S3016" s="883"/>
      <c r="T3016" s="883"/>
      <c r="U3016" s="883"/>
      <c r="V3016" s="114" t="s">
        <v>186</v>
      </c>
      <c r="W3016" s="114"/>
      <c r="X3016" s="884"/>
      <c r="Y3016" s="270"/>
      <c r="Z3016" s="270"/>
      <c r="AA3016" s="270"/>
    </row>
    <row r="3017" spans="3:27" x14ac:dyDescent="0.3">
      <c r="C3017" s="450"/>
      <c r="D3017" s="182"/>
      <c r="E3017" s="182"/>
      <c r="F3017" s="182"/>
      <c r="G3017" s="450" t="str">
        <f t="shared" si="145"/>
        <v>--</v>
      </c>
      <c r="H3017" s="182"/>
      <c r="I3017" s="892"/>
      <c r="J3017" s="288"/>
      <c r="K3017" s="182"/>
      <c r="L3017" s="114"/>
      <c r="M3017" s="114"/>
      <c r="N3017" s="905"/>
      <c r="O3017" s="905"/>
      <c r="P3017" s="258" t="s">
        <v>172</v>
      </c>
      <c r="Q3017" s="895">
        <v>0</v>
      </c>
      <c r="R3017" s="883"/>
      <c r="S3017" s="883"/>
      <c r="T3017" s="883"/>
      <c r="U3017" s="883"/>
      <c r="V3017" s="114"/>
      <c r="W3017" s="114"/>
      <c r="X3017" s="884"/>
      <c r="Y3017" s="270"/>
      <c r="Z3017" s="270"/>
      <c r="AA3017" s="270"/>
    </row>
    <row r="3018" spans="3:27" x14ac:dyDescent="0.3">
      <c r="C3018" s="450"/>
      <c r="D3018" s="182"/>
      <c r="E3018" s="182"/>
      <c r="F3018" s="182"/>
      <c r="G3018" s="450" t="str">
        <f t="shared" si="145"/>
        <v>--</v>
      </c>
      <c r="H3018" s="182"/>
      <c r="I3018" s="892"/>
      <c r="J3018" s="288"/>
      <c r="K3018" s="182"/>
      <c r="L3018" s="181"/>
      <c r="M3018" s="181"/>
      <c r="N3018" s="892"/>
      <c r="O3018" s="892"/>
      <c r="P3018" s="263" t="s">
        <v>46</v>
      </c>
      <c r="Q3018" s="897">
        <f>SUM(Q3012:Q3017)</f>
        <v>1</v>
      </c>
      <c r="R3018" s="899"/>
      <c r="S3018" s="899"/>
      <c r="T3018" s="899"/>
      <c r="U3018" s="899"/>
      <c r="V3018" s="899"/>
      <c r="W3018" s="899"/>
      <c r="X3018" s="900"/>
      <c r="Y3018" s="270"/>
      <c r="Z3018" s="270"/>
      <c r="AA3018" s="270"/>
    </row>
    <row r="3019" spans="3:27" x14ac:dyDescent="0.3">
      <c r="C3019" s="450"/>
      <c r="D3019" s="182"/>
      <c r="E3019" s="182"/>
      <c r="F3019" s="182"/>
      <c r="G3019" s="450" t="str">
        <f t="shared" si="145"/>
        <v>--</v>
      </c>
      <c r="H3019" s="182"/>
      <c r="I3019" s="892"/>
      <c r="J3019" s="288"/>
      <c r="K3019" s="182"/>
      <c r="L3019" s="181"/>
      <c r="M3019" s="181"/>
      <c r="N3019" s="892"/>
      <c r="O3019" s="892"/>
      <c r="P3019" s="262"/>
      <c r="Q3019" s="114"/>
      <c r="R3019" s="114"/>
      <c r="S3019" s="114"/>
      <c r="T3019" s="114"/>
      <c r="U3019" s="114"/>
      <c r="V3019" s="114"/>
      <c r="W3019" s="270"/>
      <c r="X3019" s="270"/>
      <c r="Y3019" s="270"/>
      <c r="Z3019" s="270"/>
      <c r="AA3019" s="270"/>
    </row>
    <row r="3020" spans="3:27" ht="15" thickBot="1" x14ac:dyDescent="0.35">
      <c r="C3020" s="450"/>
      <c r="D3020" s="182"/>
      <c r="E3020" s="182"/>
      <c r="F3020" s="182"/>
      <c r="G3020" s="450" t="str">
        <f t="shared" si="145"/>
        <v>--</v>
      </c>
      <c r="H3020" s="182"/>
      <c r="I3020" s="892"/>
      <c r="J3020" s="892"/>
      <c r="K3020" s="182"/>
      <c r="L3020" s="182"/>
      <c r="M3020" s="901" t="s">
        <v>155</v>
      </c>
      <c r="N3020" s="870" t="s">
        <v>188</v>
      </c>
      <c r="O3020" s="870"/>
      <c r="P3020" s="265" t="s">
        <v>33</v>
      </c>
      <c r="Q3020" s="871" t="s">
        <v>155</v>
      </c>
      <c r="R3020" s="872" t="s">
        <v>168</v>
      </c>
      <c r="S3020" s="872" t="s">
        <v>169</v>
      </c>
      <c r="T3020" s="872" t="s">
        <v>170</v>
      </c>
      <c r="U3020" s="872" t="s">
        <v>171</v>
      </c>
      <c r="V3020" s="902"/>
      <c r="W3020" s="902"/>
      <c r="X3020" s="874"/>
      <c r="Y3020" s="270"/>
      <c r="Z3020" s="270"/>
      <c r="AA3020" s="270"/>
    </row>
    <row r="3021" spans="3:27" ht="15" thickBot="1" x14ac:dyDescent="0.35">
      <c r="C3021" s="566" t="s">
        <v>108</v>
      </c>
      <c r="D3021" s="875" t="str">
        <f>VLOOKUP(C3021,'Airport Mapping'!$C$5:$D$39,2,FALSE)</f>
        <v xml:space="preserve"> </v>
      </c>
      <c r="E3021" s="567" t="s">
        <v>5</v>
      </c>
      <c r="F3021" s="567" t="s">
        <v>33</v>
      </c>
      <c r="G3021" s="450" t="str">
        <f t="shared" si="145"/>
        <v>Tenant C-Break rooms-Faucets</v>
      </c>
      <c r="H3021" s="567" t="s">
        <v>6</v>
      </c>
      <c r="I3021" s="877" t="s">
        <v>64</v>
      </c>
      <c r="J3021" s="878">
        <f>SUMIFS('Level of Efficiency Assumptions'!J:J,'Level of Efficiency Assumptions'!D:D,E3021,'Level of Efficiency Assumptions'!F:F,F3021,'Level of Efficiency Assumptions'!I:I,I3021)</f>
        <v>2</v>
      </c>
      <c r="K3021" s="383" t="s">
        <v>78</v>
      </c>
      <c r="L3021" s="253" t="s">
        <v>64</v>
      </c>
      <c r="M3021" s="879">
        <f>Q3021+Q3022</f>
        <v>0</v>
      </c>
      <c r="N3021" s="880">
        <f>IFERROR(M3021/M3024,"-")</f>
        <v>0</v>
      </c>
      <c r="O3021" s="881">
        <f>SUMIFS('Data Entry'!R:R,'Data Entry'!K:K,G3021)</f>
        <v>0</v>
      </c>
      <c r="P3021" s="266" t="s">
        <v>180</v>
      </c>
      <c r="Q3021" s="895">
        <v>0</v>
      </c>
      <c r="R3021" s="883"/>
      <c r="S3021" s="883"/>
      <c r="T3021" s="883"/>
      <c r="U3021" s="883"/>
      <c r="V3021" s="114" t="s">
        <v>182</v>
      </c>
      <c r="W3021" s="114"/>
      <c r="X3021" s="884"/>
      <c r="Y3021" s="270"/>
      <c r="Z3021" s="270"/>
      <c r="AA3021" s="270"/>
    </row>
    <row r="3022" spans="3:27" ht="15" thickBot="1" x14ac:dyDescent="0.35">
      <c r="C3022" s="494" t="s">
        <v>108</v>
      </c>
      <c r="D3022" s="577"/>
      <c r="E3022" s="577" t="s">
        <v>5</v>
      </c>
      <c r="F3022" s="577" t="s">
        <v>33</v>
      </c>
      <c r="G3022" s="450" t="str">
        <f t="shared" si="145"/>
        <v>Tenant C-Break rooms-Faucets</v>
      </c>
      <c r="H3022" s="577"/>
      <c r="I3022" s="887" t="s">
        <v>65</v>
      </c>
      <c r="J3022" s="878">
        <f>SUMIFS('Level of Efficiency Assumptions'!J:J,'Level of Efficiency Assumptions'!D:D,E3022,'Level of Efficiency Assumptions'!F:F,F3022,'Level of Efficiency Assumptions'!I:I,I3022)</f>
        <v>1</v>
      </c>
      <c r="K3022" s="383" t="s">
        <v>78</v>
      </c>
      <c r="L3022" s="255" t="s">
        <v>65</v>
      </c>
      <c r="M3022" s="879">
        <f>Q3023+Q3024</f>
        <v>1</v>
      </c>
      <c r="N3022" s="880">
        <f>IFERROR(M3022/M3024,"-")</f>
        <v>1</v>
      </c>
      <c r="O3022" s="881">
        <f>SUMIFS('Data Entry'!S:S,'Data Entry'!K:K,G3022)</f>
        <v>0</v>
      </c>
      <c r="P3022" s="266" t="s">
        <v>178</v>
      </c>
      <c r="Q3022" s="895">
        <v>0</v>
      </c>
      <c r="R3022" s="883"/>
      <c r="S3022" s="883"/>
      <c r="T3022" s="883"/>
      <c r="U3022" s="883"/>
      <c r="V3022" s="114" t="s">
        <v>184</v>
      </c>
      <c r="W3022" s="114"/>
      <c r="X3022" s="884"/>
      <c r="Y3022" s="270"/>
      <c r="Z3022" s="270"/>
      <c r="AA3022" s="270"/>
    </row>
    <row r="3023" spans="3:27" ht="15" thickBot="1" x14ac:dyDescent="0.35">
      <c r="C3023" s="501" t="s">
        <v>108</v>
      </c>
      <c r="D3023" s="116"/>
      <c r="E3023" s="116" t="s">
        <v>5</v>
      </c>
      <c r="F3023" s="116" t="s">
        <v>33</v>
      </c>
      <c r="G3023" s="450" t="str">
        <f t="shared" si="145"/>
        <v>Tenant C-Break rooms-Faucets</v>
      </c>
      <c r="H3023" s="116"/>
      <c r="I3023" s="889" t="s">
        <v>66</v>
      </c>
      <c r="J3023" s="890">
        <f>SUMIFS('Level of Efficiency Assumptions'!J:J,'Level of Efficiency Assumptions'!D:D,E3023,'Level of Efficiency Assumptions'!F:F,F3023,'Level of Efficiency Assumptions'!I:I,I3023)</f>
        <v>0.5</v>
      </c>
      <c r="K3023" s="383" t="s">
        <v>78</v>
      </c>
      <c r="L3023" s="257" t="s">
        <v>66</v>
      </c>
      <c r="M3023" s="879">
        <f>Q3025</f>
        <v>0</v>
      </c>
      <c r="N3023" s="880">
        <f>IFERROR(M3023/M3024,"-")</f>
        <v>0</v>
      </c>
      <c r="O3023" s="881">
        <f>SUMIFS('Data Entry'!T:T,'Data Entry'!K:K,G3023)</f>
        <v>0</v>
      </c>
      <c r="P3023" s="267" t="s">
        <v>176</v>
      </c>
      <c r="Q3023" s="895">
        <v>1</v>
      </c>
      <c r="R3023" s="883"/>
      <c r="S3023" s="883"/>
      <c r="T3023" s="883"/>
      <c r="U3023" s="883"/>
      <c r="V3023" s="114" t="s">
        <v>185</v>
      </c>
      <c r="W3023" s="114"/>
      <c r="X3023" s="884"/>
      <c r="Y3023" s="270"/>
      <c r="Z3023" s="270"/>
      <c r="AA3023" s="270"/>
    </row>
    <row r="3024" spans="3:27" x14ac:dyDescent="0.3">
      <c r="C3024" s="450"/>
      <c r="D3024" s="182"/>
      <c r="E3024" s="182"/>
      <c r="F3024" s="182"/>
      <c r="G3024" s="450" t="str">
        <f t="shared" si="145"/>
        <v>--</v>
      </c>
      <c r="H3024" s="182"/>
      <c r="I3024" s="440"/>
      <c r="J3024" s="892"/>
      <c r="K3024" s="259"/>
      <c r="L3024" s="259" t="s">
        <v>46</v>
      </c>
      <c r="M3024" s="893">
        <f>SUM(M3021:M3023)</f>
        <v>1</v>
      </c>
      <c r="N3024" s="894"/>
      <c r="O3024" s="894">
        <f>SUM(O3021:O3023)</f>
        <v>0</v>
      </c>
      <c r="P3024" s="256" t="s">
        <v>173</v>
      </c>
      <c r="Q3024" s="895">
        <v>0</v>
      </c>
      <c r="R3024" s="883"/>
      <c r="S3024" s="883"/>
      <c r="T3024" s="883"/>
      <c r="U3024" s="883"/>
      <c r="V3024" s="114" t="s">
        <v>186</v>
      </c>
      <c r="W3024" s="114"/>
      <c r="X3024" s="884"/>
      <c r="Y3024" s="270"/>
      <c r="Z3024" s="270"/>
      <c r="AA3024" s="270"/>
    </row>
    <row r="3025" spans="3:27" x14ac:dyDescent="0.3">
      <c r="C3025" s="450"/>
      <c r="D3025" s="182"/>
      <c r="E3025" s="182"/>
      <c r="F3025" s="182"/>
      <c r="G3025" s="450" t="str">
        <f t="shared" si="145"/>
        <v>--</v>
      </c>
      <c r="H3025" s="182"/>
      <c r="I3025" s="892"/>
      <c r="J3025" s="288"/>
      <c r="K3025" s="182"/>
      <c r="L3025" s="182"/>
      <c r="M3025" s="270"/>
      <c r="N3025" s="892"/>
      <c r="O3025" s="892"/>
      <c r="P3025" s="258" t="s">
        <v>172</v>
      </c>
      <c r="Q3025" s="895">
        <v>0</v>
      </c>
      <c r="R3025" s="883"/>
      <c r="S3025" s="883"/>
      <c r="T3025" s="883"/>
      <c r="U3025" s="883"/>
      <c r="V3025" s="114"/>
      <c r="W3025" s="114"/>
      <c r="X3025" s="884"/>
      <c r="Y3025" s="270"/>
      <c r="Z3025" s="270"/>
      <c r="AA3025" s="270"/>
    </row>
    <row r="3026" spans="3:27" x14ac:dyDescent="0.3">
      <c r="C3026" s="450"/>
      <c r="D3026" s="182"/>
      <c r="E3026" s="182"/>
      <c r="F3026" s="182"/>
      <c r="G3026" s="450" t="str">
        <f t="shared" si="145"/>
        <v>--</v>
      </c>
      <c r="H3026" s="182"/>
      <c r="I3026" s="892"/>
      <c r="J3026" s="288"/>
      <c r="K3026" s="182"/>
      <c r="L3026" s="182"/>
      <c r="M3026" s="270"/>
      <c r="N3026" s="892"/>
      <c r="O3026" s="892"/>
      <c r="P3026" s="263" t="s">
        <v>46</v>
      </c>
      <c r="Q3026" s="897">
        <f>SUM(Q3020:Q3025)</f>
        <v>1</v>
      </c>
      <c r="R3026" s="899"/>
      <c r="S3026" s="899"/>
      <c r="T3026" s="899"/>
      <c r="U3026" s="899"/>
      <c r="V3026" s="899"/>
      <c r="W3026" s="899"/>
      <c r="X3026" s="900"/>
      <c r="Y3026" s="270"/>
      <c r="Z3026" s="270"/>
      <c r="AA3026" s="270"/>
    </row>
    <row r="3027" spans="3:27" x14ac:dyDescent="0.3">
      <c r="C3027" s="450"/>
      <c r="D3027" s="182"/>
      <c r="E3027" s="182"/>
      <c r="F3027" s="182"/>
      <c r="G3027" s="450" t="str">
        <f t="shared" si="145"/>
        <v>--</v>
      </c>
      <c r="H3027" s="182"/>
      <c r="I3027" s="892"/>
      <c r="J3027" s="288"/>
      <c r="K3027" s="182"/>
      <c r="L3027" s="182"/>
      <c r="M3027" s="270"/>
      <c r="N3027" s="892"/>
      <c r="O3027" s="892"/>
      <c r="P3027" s="259"/>
      <c r="Q3027" s="114"/>
      <c r="R3027" s="114"/>
      <c r="S3027" s="114"/>
      <c r="T3027" s="114"/>
      <c r="U3027" s="114"/>
      <c r="V3027" s="114"/>
      <c r="W3027" s="270"/>
      <c r="X3027" s="270"/>
      <c r="Y3027" s="270"/>
      <c r="Z3027" s="270"/>
      <c r="AA3027" s="270"/>
    </row>
    <row r="3028" spans="3:27" ht="15" thickBot="1" x14ac:dyDescent="0.35">
      <c r="C3028" s="450"/>
      <c r="D3028" s="182"/>
      <c r="E3028" s="182"/>
      <c r="F3028" s="182"/>
      <c r="G3028" s="450" t="str">
        <f t="shared" si="145"/>
        <v>--</v>
      </c>
      <c r="H3028" s="182"/>
      <c r="I3028" s="892"/>
      <c r="J3028" s="892"/>
      <c r="K3028" s="182"/>
      <c r="L3028" s="182"/>
      <c r="M3028" s="901" t="s">
        <v>155</v>
      </c>
      <c r="N3028" s="870" t="s">
        <v>188</v>
      </c>
      <c r="O3028" s="870"/>
      <c r="P3028" s="265" t="s">
        <v>33</v>
      </c>
      <c r="Q3028" s="871" t="s">
        <v>155</v>
      </c>
      <c r="R3028" s="872" t="s">
        <v>168</v>
      </c>
      <c r="S3028" s="872" t="s">
        <v>169</v>
      </c>
      <c r="T3028" s="872" t="s">
        <v>170</v>
      </c>
      <c r="U3028" s="872" t="s">
        <v>171</v>
      </c>
      <c r="V3028" s="902"/>
      <c r="W3028" s="902"/>
      <c r="X3028" s="874"/>
      <c r="Y3028" s="270"/>
      <c r="Z3028" s="270"/>
      <c r="AA3028" s="270"/>
    </row>
    <row r="3029" spans="3:27" ht="15" thickBot="1" x14ac:dyDescent="0.35">
      <c r="C3029" s="566" t="s">
        <v>108</v>
      </c>
      <c r="D3029" s="875" t="str">
        <f>VLOOKUP(C3029,'Airport Mapping'!$C$5:$D$39,2,FALSE)</f>
        <v xml:space="preserve"> </v>
      </c>
      <c r="E3029" s="567" t="s">
        <v>391</v>
      </c>
      <c r="F3029" s="567" t="s">
        <v>114</v>
      </c>
      <c r="G3029" s="450" t="str">
        <f t="shared" si="145"/>
        <v>Tenant C-Flight kitchens-Kitchen faucets</v>
      </c>
      <c r="H3029" s="567" t="s">
        <v>118</v>
      </c>
      <c r="I3029" s="877" t="s">
        <v>64</v>
      </c>
      <c r="J3029" s="878">
        <f>SUMIFS('Level of Efficiency Assumptions'!J:J,'Level of Efficiency Assumptions'!D:D,E3029,'Level of Efficiency Assumptions'!F:F,F3029,'Level of Efficiency Assumptions'!I:I,I3029)</f>
        <v>2</v>
      </c>
      <c r="K3029" s="383" t="s">
        <v>78</v>
      </c>
      <c r="L3029" s="253" t="s">
        <v>64</v>
      </c>
      <c r="M3029" s="879">
        <f>Q3029+Q3030</f>
        <v>0</v>
      </c>
      <c r="N3029" s="880">
        <f>IFERROR(M3029/M3032,"-")</f>
        <v>0</v>
      </c>
      <c r="O3029" s="881">
        <f>SUMIFS('Data Entry'!R:R,'Data Entry'!K:K,G3029)</f>
        <v>0</v>
      </c>
      <c r="P3029" s="266" t="s">
        <v>180</v>
      </c>
      <c r="Q3029" s="895">
        <v>0</v>
      </c>
      <c r="R3029" s="883"/>
      <c r="S3029" s="883"/>
      <c r="T3029" s="883"/>
      <c r="U3029" s="883"/>
      <c r="V3029" s="114" t="s">
        <v>182</v>
      </c>
      <c r="W3029" s="114"/>
      <c r="X3029" s="884"/>
      <c r="Y3029" s="270"/>
      <c r="Z3029" s="270"/>
      <c r="AA3029" s="270"/>
    </row>
    <row r="3030" spans="3:27" ht="15" thickBot="1" x14ac:dyDescent="0.35">
      <c r="C3030" s="494" t="s">
        <v>108</v>
      </c>
      <c r="D3030" s="577"/>
      <c r="E3030" s="577" t="s">
        <v>391</v>
      </c>
      <c r="F3030" s="577" t="s">
        <v>114</v>
      </c>
      <c r="G3030" s="450" t="str">
        <f t="shared" ref="G3030:G3093" si="149">C3030&amp;"-"&amp;E3030&amp;"-"&amp;F3030</f>
        <v>Tenant C-Flight kitchens-Kitchen faucets</v>
      </c>
      <c r="H3030" s="577"/>
      <c r="I3030" s="887" t="s">
        <v>65</v>
      </c>
      <c r="J3030" s="878">
        <f>SUMIFS('Level of Efficiency Assumptions'!J:J,'Level of Efficiency Assumptions'!D:D,E3030,'Level of Efficiency Assumptions'!F:F,F3030,'Level of Efficiency Assumptions'!I:I,I3030)</f>
        <v>1</v>
      </c>
      <c r="K3030" s="383" t="s">
        <v>78</v>
      </c>
      <c r="L3030" s="255" t="s">
        <v>65</v>
      </c>
      <c r="M3030" s="879">
        <f>Q3031+Q3032</f>
        <v>1</v>
      </c>
      <c r="N3030" s="880">
        <f>IFERROR(M3030/M3032,"-")</f>
        <v>1</v>
      </c>
      <c r="O3030" s="881">
        <f>SUMIFS('Data Entry'!S:S,'Data Entry'!K:K,G3030)</f>
        <v>0</v>
      </c>
      <c r="P3030" s="266" t="s">
        <v>178</v>
      </c>
      <c r="Q3030" s="895">
        <v>0</v>
      </c>
      <c r="R3030" s="883"/>
      <c r="S3030" s="883"/>
      <c r="T3030" s="883"/>
      <c r="U3030" s="883"/>
      <c r="V3030" s="114" t="s">
        <v>184</v>
      </c>
      <c r="W3030" s="114"/>
      <c r="X3030" s="884"/>
      <c r="Y3030" s="270"/>
      <c r="Z3030" s="270"/>
      <c r="AA3030" s="270"/>
    </row>
    <row r="3031" spans="3:27" ht="15" thickBot="1" x14ac:dyDescent="0.35">
      <c r="C3031" s="501" t="s">
        <v>108</v>
      </c>
      <c r="D3031" s="116"/>
      <c r="E3031" s="116" t="s">
        <v>391</v>
      </c>
      <c r="F3031" s="116" t="s">
        <v>114</v>
      </c>
      <c r="G3031" s="450" t="str">
        <f t="shared" si="149"/>
        <v>Tenant C-Flight kitchens-Kitchen faucets</v>
      </c>
      <c r="H3031" s="116"/>
      <c r="I3031" s="889" t="s">
        <v>66</v>
      </c>
      <c r="J3031" s="890">
        <f>SUMIFS('Level of Efficiency Assumptions'!J:J,'Level of Efficiency Assumptions'!D:D,E3031,'Level of Efficiency Assumptions'!F:F,F3031,'Level of Efficiency Assumptions'!I:I,I3031)</f>
        <v>0.5</v>
      </c>
      <c r="K3031" s="383" t="s">
        <v>78</v>
      </c>
      <c r="L3031" s="257" t="s">
        <v>66</v>
      </c>
      <c r="M3031" s="879">
        <f>Q3033</f>
        <v>0</v>
      </c>
      <c r="N3031" s="880">
        <f>IFERROR(M3031/M3032,"-")</f>
        <v>0</v>
      </c>
      <c r="O3031" s="881">
        <f>SUMIFS('Data Entry'!T:T,'Data Entry'!K:K,G3031)</f>
        <v>0</v>
      </c>
      <c r="P3031" s="267" t="s">
        <v>176</v>
      </c>
      <c r="Q3031" s="895">
        <v>1</v>
      </c>
      <c r="R3031" s="883"/>
      <c r="S3031" s="883"/>
      <c r="T3031" s="883"/>
      <c r="U3031" s="883"/>
      <c r="V3031" s="114" t="s">
        <v>185</v>
      </c>
      <c r="W3031" s="114"/>
      <c r="X3031" s="884"/>
      <c r="Y3031" s="270"/>
      <c r="Z3031" s="270"/>
      <c r="AA3031" s="270"/>
    </row>
    <row r="3032" spans="3:27" x14ac:dyDescent="0.3">
      <c r="C3032" s="450"/>
      <c r="D3032" s="182"/>
      <c r="E3032" s="182"/>
      <c r="F3032" s="182"/>
      <c r="G3032" s="450" t="str">
        <f t="shared" si="149"/>
        <v>--</v>
      </c>
      <c r="H3032" s="182"/>
      <c r="I3032" s="440"/>
      <c r="J3032" s="892"/>
      <c r="K3032" s="259"/>
      <c r="L3032" s="259" t="s">
        <v>46</v>
      </c>
      <c r="M3032" s="893">
        <f>SUM(M3029:M3031)</f>
        <v>1</v>
      </c>
      <c r="N3032" s="894"/>
      <c r="O3032" s="894">
        <f>SUM(O3029:O3031)</f>
        <v>0</v>
      </c>
      <c r="P3032" s="256" t="s">
        <v>173</v>
      </c>
      <c r="Q3032" s="895">
        <v>0</v>
      </c>
      <c r="R3032" s="883"/>
      <c r="S3032" s="883"/>
      <c r="T3032" s="883"/>
      <c r="U3032" s="883"/>
      <c r="V3032" s="114" t="s">
        <v>186</v>
      </c>
      <c r="W3032" s="114"/>
      <c r="X3032" s="884"/>
      <c r="Y3032" s="270"/>
      <c r="Z3032" s="270"/>
      <c r="AA3032" s="270"/>
    </row>
    <row r="3033" spans="3:27" x14ac:dyDescent="0.3">
      <c r="C3033" s="450"/>
      <c r="D3033" s="182"/>
      <c r="E3033" s="182"/>
      <c r="F3033" s="182"/>
      <c r="G3033" s="450" t="str">
        <f t="shared" si="149"/>
        <v>--</v>
      </c>
      <c r="H3033" s="182"/>
      <c r="I3033" s="892"/>
      <c r="J3033" s="288"/>
      <c r="K3033" s="182"/>
      <c r="L3033" s="182"/>
      <c r="M3033" s="270"/>
      <c r="N3033" s="892"/>
      <c r="O3033" s="892"/>
      <c r="P3033" s="258" t="s">
        <v>172</v>
      </c>
      <c r="Q3033" s="895">
        <v>0</v>
      </c>
      <c r="R3033" s="883"/>
      <c r="S3033" s="883"/>
      <c r="T3033" s="883"/>
      <c r="U3033" s="883"/>
      <c r="V3033" s="114"/>
      <c r="W3033" s="114"/>
      <c r="X3033" s="884"/>
      <c r="Y3033" s="270"/>
      <c r="Z3033" s="270"/>
      <c r="AA3033" s="270"/>
    </row>
    <row r="3034" spans="3:27" x14ac:dyDescent="0.3">
      <c r="C3034" s="450"/>
      <c r="D3034" s="182"/>
      <c r="E3034" s="182"/>
      <c r="F3034" s="182"/>
      <c r="G3034" s="450" t="str">
        <f t="shared" si="149"/>
        <v>--</v>
      </c>
      <c r="H3034" s="182"/>
      <c r="I3034" s="892"/>
      <c r="J3034" s="288"/>
      <c r="K3034" s="182"/>
      <c r="L3034" s="182"/>
      <c r="M3034" s="270"/>
      <c r="N3034" s="892"/>
      <c r="O3034" s="892"/>
      <c r="P3034" s="263" t="s">
        <v>46</v>
      </c>
      <c r="Q3034" s="897">
        <f>SUM(Q3028:Q3033)</f>
        <v>1</v>
      </c>
      <c r="R3034" s="899"/>
      <c r="S3034" s="899"/>
      <c r="T3034" s="899"/>
      <c r="U3034" s="899"/>
      <c r="V3034" s="899"/>
      <c r="W3034" s="899"/>
      <c r="X3034" s="900"/>
      <c r="Y3034" s="270"/>
      <c r="Z3034" s="270"/>
      <c r="AA3034" s="270"/>
    </row>
    <row r="3035" spans="3:27" x14ac:dyDescent="0.3">
      <c r="C3035" s="450"/>
      <c r="D3035" s="182"/>
      <c r="E3035" s="182"/>
      <c r="F3035" s="182"/>
      <c r="G3035" s="450" t="str">
        <f t="shared" si="149"/>
        <v>--</v>
      </c>
      <c r="H3035" s="182"/>
      <c r="I3035" s="892"/>
      <c r="J3035" s="288"/>
      <c r="K3035" s="182"/>
      <c r="L3035" s="182"/>
      <c r="M3035" s="270"/>
      <c r="N3035" s="892"/>
      <c r="O3035" s="892"/>
      <c r="P3035" s="270"/>
      <c r="Q3035" s="270"/>
      <c r="R3035" s="270"/>
      <c r="S3035" s="270"/>
      <c r="T3035" s="270"/>
      <c r="U3035" s="270"/>
      <c r="V3035" s="270"/>
      <c r="W3035" s="270"/>
      <c r="X3035" s="270"/>
      <c r="Y3035" s="270"/>
      <c r="Z3035" s="270"/>
      <c r="AA3035" s="270"/>
    </row>
    <row r="3036" spans="3:27" x14ac:dyDescent="0.3">
      <c r="C3036" s="450"/>
      <c r="D3036" s="182"/>
      <c r="E3036" s="182"/>
      <c r="F3036" s="182"/>
      <c r="G3036" s="450" t="str">
        <f t="shared" si="149"/>
        <v>--</v>
      </c>
      <c r="H3036" s="182"/>
      <c r="I3036" s="892"/>
      <c r="J3036" s="288"/>
      <c r="K3036" s="182"/>
      <c r="L3036" s="182"/>
      <c r="M3036" s="270"/>
      <c r="N3036" s="892"/>
      <c r="O3036" s="892"/>
      <c r="P3036" s="268" t="s">
        <v>196</v>
      </c>
      <c r="Q3036" s="906"/>
      <c r="R3036" s="902"/>
      <c r="S3036" s="902"/>
      <c r="T3036" s="902"/>
      <c r="U3036" s="902"/>
      <c r="V3036" s="902"/>
      <c r="W3036" s="902"/>
      <c r="X3036" s="902"/>
      <c r="Y3036" s="902"/>
      <c r="Z3036" s="902"/>
      <c r="AA3036" s="874"/>
    </row>
    <row r="3037" spans="3:27" ht="15" thickBot="1" x14ac:dyDescent="0.35">
      <c r="C3037" s="450"/>
      <c r="D3037" s="182"/>
      <c r="E3037" s="182"/>
      <c r="F3037" s="182"/>
      <c r="G3037" s="450" t="str">
        <f t="shared" si="149"/>
        <v>--</v>
      </c>
      <c r="H3037" s="182"/>
      <c r="I3037" s="892"/>
      <c r="J3037" s="892"/>
      <c r="K3037" s="182"/>
      <c r="L3037" s="182"/>
      <c r="M3037" s="901" t="s">
        <v>155</v>
      </c>
      <c r="N3037" s="870" t="s">
        <v>188</v>
      </c>
      <c r="O3037" s="870"/>
      <c r="P3037" s="271" t="s">
        <v>203</v>
      </c>
      <c r="Q3037" s="871" t="s">
        <v>155</v>
      </c>
      <c r="R3037" s="114"/>
      <c r="S3037" s="114"/>
      <c r="T3037" s="907" t="s">
        <v>156</v>
      </c>
      <c r="U3037" s="114"/>
      <c r="V3037" s="114"/>
      <c r="W3037" s="114"/>
      <c r="X3037" s="114"/>
      <c r="Y3037" s="114"/>
      <c r="Z3037" s="114"/>
      <c r="AA3037" s="884"/>
    </row>
    <row r="3038" spans="3:27" ht="15" thickBot="1" x14ac:dyDescent="0.35">
      <c r="C3038" s="566" t="s">
        <v>108</v>
      </c>
      <c r="D3038" s="875" t="str">
        <f>VLOOKUP(C3038,'Airport Mapping'!$C$5:$D$39,2,FALSE)</f>
        <v xml:space="preserve"> </v>
      </c>
      <c r="E3038" s="567" t="s">
        <v>391</v>
      </c>
      <c r="F3038" s="567" t="s">
        <v>41</v>
      </c>
      <c r="G3038" s="450" t="str">
        <f t="shared" si="149"/>
        <v>Tenant C-Flight kitchens-Dishwashers</v>
      </c>
      <c r="H3038" s="567" t="s">
        <v>118</v>
      </c>
      <c r="I3038" s="877" t="s">
        <v>64</v>
      </c>
      <c r="J3038" s="878">
        <f>SUMIFS('Level of Efficiency Assumptions'!J:J,'Level of Efficiency Assumptions'!D:D,E3038,'Level of Efficiency Assumptions'!F:F,F3038,'Level of Efficiency Assumptions'!I:I,I3038)</f>
        <v>4.5</v>
      </c>
      <c r="K3038" s="383" t="s">
        <v>203</v>
      </c>
      <c r="L3038" s="253" t="s">
        <v>64</v>
      </c>
      <c r="M3038" s="879">
        <f>SUM(Q3038:Q3040)</f>
        <v>0</v>
      </c>
      <c r="N3038" s="880">
        <f>IFERROR(M3038/M3041,"-")</f>
        <v>0</v>
      </c>
      <c r="O3038" s="881">
        <f>SUMIFS('Data Entry'!R:R,'Data Entry'!K:K,G3038)</f>
        <v>0</v>
      </c>
      <c r="P3038" s="266" t="s">
        <v>204</v>
      </c>
      <c r="Q3038" s="895">
        <v>0</v>
      </c>
      <c r="R3038" s="114"/>
      <c r="S3038" s="905" t="s">
        <v>200</v>
      </c>
      <c r="T3038" s="895">
        <v>1</v>
      </c>
      <c r="U3038" s="114"/>
      <c r="V3038" s="114" t="s">
        <v>218</v>
      </c>
      <c r="W3038" s="114"/>
      <c r="X3038" s="114"/>
      <c r="Y3038" s="114"/>
      <c r="Z3038" s="114"/>
      <c r="AA3038" s="884"/>
    </row>
    <row r="3039" spans="3:27" ht="15" thickBot="1" x14ac:dyDescent="0.35">
      <c r="C3039" s="494" t="s">
        <v>108</v>
      </c>
      <c r="D3039" s="577"/>
      <c r="E3039" s="577" t="s">
        <v>391</v>
      </c>
      <c r="F3039" s="577" t="s">
        <v>41</v>
      </c>
      <c r="G3039" s="450" t="str">
        <f t="shared" si="149"/>
        <v>Tenant C-Flight kitchens-Dishwashers</v>
      </c>
      <c r="H3039" s="577"/>
      <c r="I3039" s="887" t="s">
        <v>65</v>
      </c>
      <c r="J3039" s="878">
        <f>SUMIFS('Level of Efficiency Assumptions'!J:J,'Level of Efficiency Assumptions'!D:D,E3039,'Level of Efficiency Assumptions'!F:F,F3039,'Level of Efficiency Assumptions'!I:I,I3039)</f>
        <v>2.5</v>
      </c>
      <c r="K3039" s="383" t="s">
        <v>203</v>
      </c>
      <c r="L3039" s="255" t="s">
        <v>65</v>
      </c>
      <c r="M3039" s="879">
        <f>Q3041+Q3042</f>
        <v>1</v>
      </c>
      <c r="N3039" s="880">
        <f>IFERROR(M3039/M3041,"-")</f>
        <v>1</v>
      </c>
      <c r="O3039" s="881">
        <f>SUMIFS('Data Entry'!S:S,'Data Entry'!K:K,G3039)</f>
        <v>0</v>
      </c>
      <c r="P3039" s="272" t="s">
        <v>205</v>
      </c>
      <c r="Q3039" s="895">
        <v>0</v>
      </c>
      <c r="R3039" s="114"/>
      <c r="S3039" s="908" t="s">
        <v>201</v>
      </c>
      <c r="T3039" s="895">
        <v>1</v>
      </c>
      <c r="U3039" s="114"/>
      <c r="V3039" s="114"/>
      <c r="W3039" s="114"/>
      <c r="X3039" s="114"/>
      <c r="Y3039" s="114"/>
      <c r="Z3039" s="114"/>
      <c r="AA3039" s="884"/>
    </row>
    <row r="3040" spans="3:27" ht="15" thickBot="1" x14ac:dyDescent="0.35">
      <c r="C3040" s="501" t="s">
        <v>108</v>
      </c>
      <c r="D3040" s="116"/>
      <c r="E3040" s="116" t="s">
        <v>391</v>
      </c>
      <c r="F3040" s="116" t="s">
        <v>41</v>
      </c>
      <c r="G3040" s="450" t="str">
        <f t="shared" si="149"/>
        <v>Tenant C-Flight kitchens-Dishwashers</v>
      </c>
      <c r="H3040" s="116"/>
      <c r="I3040" s="889" t="s">
        <v>66</v>
      </c>
      <c r="J3040" s="890">
        <f>SUMIFS('Level of Efficiency Assumptions'!J:J,'Level of Efficiency Assumptions'!D:D,E3040,'Level of Efficiency Assumptions'!F:F,F3040,'Level of Efficiency Assumptions'!I:I,I3040)</f>
        <v>1</v>
      </c>
      <c r="K3040" s="383" t="s">
        <v>203</v>
      </c>
      <c r="L3040" s="257" t="s">
        <v>66</v>
      </c>
      <c r="M3040" s="879">
        <f>Q3043+Q3044</f>
        <v>0</v>
      </c>
      <c r="N3040" s="880">
        <f>IFERROR(M3040/M3041,"-")</f>
        <v>0</v>
      </c>
      <c r="O3040" s="881">
        <f>SUMIFS('Data Entry'!T:T,'Data Entry'!K:K,G3040)</f>
        <v>0</v>
      </c>
      <c r="P3040" s="272" t="s">
        <v>206</v>
      </c>
      <c r="Q3040" s="895">
        <v>0</v>
      </c>
      <c r="R3040" s="114"/>
      <c r="S3040" s="908" t="s">
        <v>202</v>
      </c>
      <c r="T3040" s="895">
        <v>1</v>
      </c>
      <c r="U3040" s="114"/>
      <c r="V3040" s="114"/>
      <c r="W3040" s="114"/>
      <c r="X3040" s="114"/>
      <c r="Y3040" s="114"/>
      <c r="Z3040" s="114"/>
      <c r="AA3040" s="884"/>
    </row>
    <row r="3041" spans="3:31" x14ac:dyDescent="0.3">
      <c r="C3041" s="450"/>
      <c r="D3041" s="182"/>
      <c r="E3041" s="182"/>
      <c r="F3041" s="182"/>
      <c r="G3041" s="450" t="str">
        <f t="shared" si="149"/>
        <v>--</v>
      </c>
      <c r="H3041" s="182"/>
      <c r="I3041" s="440"/>
      <c r="J3041" s="892"/>
      <c r="K3041" s="259"/>
      <c r="L3041" s="259" t="s">
        <v>46</v>
      </c>
      <c r="M3041" s="893">
        <f>SUM(M3038:M3040)</f>
        <v>1</v>
      </c>
      <c r="N3041" s="894"/>
      <c r="O3041" s="894">
        <f>SUM(O3038:O3040)</f>
        <v>0</v>
      </c>
      <c r="P3041" s="267" t="s">
        <v>207</v>
      </c>
      <c r="Q3041" s="895">
        <v>1</v>
      </c>
      <c r="R3041" s="114"/>
      <c r="S3041" s="908" t="s">
        <v>199</v>
      </c>
      <c r="T3041" s="895">
        <v>1</v>
      </c>
      <c r="U3041" s="114"/>
      <c r="V3041" s="114"/>
      <c r="W3041" s="114"/>
      <c r="X3041" s="114"/>
      <c r="Y3041" s="114"/>
      <c r="Z3041" s="114"/>
      <c r="AA3041" s="884"/>
    </row>
    <row r="3042" spans="3:31" x14ac:dyDescent="0.3">
      <c r="C3042" s="450"/>
      <c r="D3042" s="182"/>
      <c r="E3042" s="182"/>
      <c r="F3042" s="182"/>
      <c r="G3042" s="450" t="str">
        <f t="shared" si="149"/>
        <v>--</v>
      </c>
      <c r="H3042" s="182"/>
      <c r="I3042" s="892"/>
      <c r="J3042" s="288"/>
      <c r="K3042" s="182"/>
      <c r="L3042" s="182"/>
      <c r="M3042" s="270"/>
      <c r="N3042" s="892"/>
      <c r="O3042" s="892"/>
      <c r="P3042" s="267" t="s">
        <v>208</v>
      </c>
      <c r="Q3042" s="895">
        <v>0</v>
      </c>
      <c r="R3042" s="114"/>
      <c r="S3042" s="909" t="s">
        <v>198</v>
      </c>
      <c r="T3042" s="895">
        <v>1</v>
      </c>
      <c r="U3042" s="114"/>
      <c r="V3042" s="114"/>
      <c r="W3042" s="114"/>
      <c r="X3042" s="114"/>
      <c r="Y3042" s="114"/>
      <c r="Z3042" s="114"/>
      <c r="AA3042" s="884"/>
    </row>
    <row r="3043" spans="3:31" x14ac:dyDescent="0.3">
      <c r="C3043" s="450"/>
      <c r="D3043" s="182"/>
      <c r="E3043" s="182"/>
      <c r="F3043" s="182"/>
      <c r="G3043" s="450" t="str">
        <f t="shared" si="149"/>
        <v>--</v>
      </c>
      <c r="H3043" s="182"/>
      <c r="I3043" s="892"/>
      <c r="J3043" s="288"/>
      <c r="K3043" s="182"/>
      <c r="L3043" s="182"/>
      <c r="M3043" s="270"/>
      <c r="N3043" s="892"/>
      <c r="O3043" s="892"/>
      <c r="P3043" s="269" t="s">
        <v>209</v>
      </c>
      <c r="Q3043" s="895">
        <v>0</v>
      </c>
      <c r="R3043" s="114"/>
      <c r="S3043" s="905" t="s">
        <v>197</v>
      </c>
      <c r="T3043" s="895">
        <v>1</v>
      </c>
      <c r="U3043" s="114"/>
      <c r="V3043" s="114"/>
      <c r="W3043" s="114"/>
      <c r="X3043" s="114"/>
      <c r="Y3043" s="114"/>
      <c r="Z3043" s="114"/>
      <c r="AA3043" s="884"/>
    </row>
    <row r="3044" spans="3:31" x14ac:dyDescent="0.3">
      <c r="C3044" s="450"/>
      <c r="D3044" s="182"/>
      <c r="E3044" s="182"/>
      <c r="F3044" s="182"/>
      <c r="G3044" s="450" t="str">
        <f t="shared" si="149"/>
        <v>--</v>
      </c>
      <c r="H3044" s="182"/>
      <c r="I3044" s="892"/>
      <c r="J3044" s="288"/>
      <c r="K3044" s="182"/>
      <c r="L3044" s="182"/>
      <c r="M3044" s="270"/>
      <c r="N3044" s="892"/>
      <c r="O3044" s="892"/>
      <c r="P3044" s="269" t="s">
        <v>210</v>
      </c>
      <c r="Q3044" s="895">
        <v>0</v>
      </c>
      <c r="R3044" s="114"/>
      <c r="S3044" s="114" t="s">
        <v>216</v>
      </c>
      <c r="T3044" s="910">
        <f>(T3038*55)+(T3039*45)+(T3040*35)+(T3041*25)+(T3042*15)+(T3043*5)</f>
        <v>180</v>
      </c>
      <c r="U3044" s="1393" t="s">
        <v>217</v>
      </c>
      <c r="V3044" s="1393"/>
      <c r="W3044" s="1393"/>
      <c r="X3044" s="114"/>
      <c r="Y3044" s="114"/>
      <c r="Z3044" s="114"/>
      <c r="AA3044" s="884"/>
    </row>
    <row r="3045" spans="3:31" x14ac:dyDescent="0.3">
      <c r="C3045" s="450"/>
      <c r="D3045" s="182"/>
      <c r="E3045" s="182"/>
      <c r="F3045" s="182"/>
      <c r="G3045" s="450" t="str">
        <f t="shared" si="149"/>
        <v>--</v>
      </c>
      <c r="H3045" s="182"/>
      <c r="I3045" s="892"/>
      <c r="J3045" s="288"/>
      <c r="K3045" s="182"/>
      <c r="L3045" s="182"/>
      <c r="M3045" s="270"/>
      <c r="N3045" s="892"/>
      <c r="O3045" s="892"/>
      <c r="P3045" s="263" t="s">
        <v>46</v>
      </c>
      <c r="Q3045" s="897">
        <f>SUM(Q3038:Q3044)</f>
        <v>1</v>
      </c>
      <c r="R3045" s="899"/>
      <c r="S3045" s="899"/>
      <c r="T3045" s="899"/>
      <c r="U3045" s="1394"/>
      <c r="V3045" s="1394"/>
      <c r="W3045" s="1394"/>
      <c r="X3045" s="899"/>
      <c r="Y3045" s="899"/>
      <c r="Z3045" s="899"/>
      <c r="AA3045" s="900"/>
    </row>
    <row r="3046" spans="3:31" x14ac:dyDescent="0.3">
      <c r="C3046" s="450"/>
      <c r="D3046" s="182"/>
      <c r="E3046" s="182"/>
      <c r="F3046" s="182"/>
      <c r="G3046" s="450" t="str">
        <f t="shared" si="149"/>
        <v>--</v>
      </c>
      <c r="H3046" s="182"/>
      <c r="I3046" s="892"/>
      <c r="J3046" s="288"/>
      <c r="K3046" s="182"/>
      <c r="L3046" s="182"/>
      <c r="M3046" s="270"/>
      <c r="N3046" s="892"/>
      <c r="O3046" s="892"/>
      <c r="P3046" s="114"/>
      <c r="Q3046" s="114"/>
      <c r="R3046" s="114"/>
      <c r="S3046" s="114"/>
      <c r="T3046" s="114"/>
      <c r="U3046" s="114"/>
      <c r="V3046" s="114"/>
      <c r="W3046" s="114"/>
      <c r="X3046" s="270"/>
      <c r="Y3046" s="270"/>
      <c r="Z3046" s="270"/>
      <c r="AA3046" s="270"/>
    </row>
    <row r="3047" spans="3:31" x14ac:dyDescent="0.3">
      <c r="C3047" s="450"/>
      <c r="D3047" s="182"/>
      <c r="E3047" s="182"/>
      <c r="F3047" s="182"/>
      <c r="G3047" s="450" t="str">
        <f t="shared" si="149"/>
        <v>--</v>
      </c>
      <c r="H3047" s="182"/>
      <c r="I3047" s="892"/>
      <c r="J3047" s="288"/>
      <c r="K3047" s="182"/>
      <c r="L3047" s="182"/>
      <c r="M3047" s="270"/>
      <c r="N3047" s="892"/>
      <c r="O3047" s="892"/>
      <c r="P3047" s="268" t="s">
        <v>174</v>
      </c>
      <c r="Q3047" s="911"/>
      <c r="R3047" s="872"/>
      <c r="S3047" s="874"/>
      <c r="T3047" s="270"/>
      <c r="U3047" s="270"/>
      <c r="V3047" s="270"/>
      <c r="W3047" s="270"/>
      <c r="X3047" s="270"/>
      <c r="Y3047" s="270"/>
      <c r="Z3047" s="270"/>
      <c r="AA3047" s="270"/>
    </row>
    <row r="3048" spans="3:31" ht="15" thickBot="1" x14ac:dyDescent="0.35">
      <c r="C3048" s="450"/>
      <c r="D3048" s="182"/>
      <c r="E3048" s="182"/>
      <c r="F3048" s="182"/>
      <c r="G3048" s="450" t="str">
        <f t="shared" si="149"/>
        <v>--</v>
      </c>
      <c r="H3048" s="182"/>
      <c r="I3048" s="892"/>
      <c r="J3048" s="892"/>
      <c r="K3048" s="182"/>
      <c r="L3048" s="182"/>
      <c r="M3048" s="901" t="s">
        <v>155</v>
      </c>
      <c r="N3048" s="870" t="s">
        <v>188</v>
      </c>
      <c r="O3048" s="870"/>
      <c r="P3048" s="273" t="s">
        <v>220</v>
      </c>
      <c r="Q3048" s="871" t="s">
        <v>155</v>
      </c>
      <c r="R3048" s="114"/>
      <c r="S3048" s="884"/>
      <c r="T3048" s="270"/>
      <c r="U3048" s="270"/>
      <c r="V3048" s="270"/>
      <c r="W3048" s="270"/>
      <c r="X3048" s="270"/>
      <c r="Y3048" s="270"/>
      <c r="Z3048" s="270"/>
      <c r="AA3048" s="270"/>
    </row>
    <row r="3049" spans="3:31" ht="15" thickBot="1" x14ac:dyDescent="0.35">
      <c r="C3049" s="566" t="s">
        <v>108</v>
      </c>
      <c r="D3049" s="875" t="str">
        <f>VLOOKUP(C3049,'Airport Mapping'!$C$5:$D$39,2,FALSE)</f>
        <v xml:space="preserve"> </v>
      </c>
      <c r="E3049" s="567" t="s">
        <v>391</v>
      </c>
      <c r="F3049" s="567" t="s">
        <v>20</v>
      </c>
      <c r="G3049" s="450" t="str">
        <f t="shared" si="149"/>
        <v>Tenant C-Flight kitchens-Ice machines</v>
      </c>
      <c r="H3049" s="567" t="s">
        <v>118</v>
      </c>
      <c r="I3049" s="877" t="s">
        <v>64</v>
      </c>
      <c r="J3049" s="878">
        <f>SUMIFS('Level of Efficiency Assumptions'!J:J,'Level of Efficiency Assumptions'!D:D,E3049,'Level of Efficiency Assumptions'!F:F,F3049,'Level of Efficiency Assumptions'!I:I,I3049)</f>
        <v>1.5</v>
      </c>
      <c r="K3049" s="383" t="s">
        <v>220</v>
      </c>
      <c r="L3049" s="253" t="s">
        <v>64</v>
      </c>
      <c r="M3049" s="879">
        <f>SUM(Q3049:Q3051)</f>
        <v>0</v>
      </c>
      <c r="N3049" s="880">
        <f>IFERROR(M3049/M3052,"-")</f>
        <v>0</v>
      </c>
      <c r="O3049" s="881">
        <f>SUMIFS('Data Entry'!R:R,'Data Entry'!K:K,G3049)</f>
        <v>0</v>
      </c>
      <c r="P3049" s="266" t="s">
        <v>204</v>
      </c>
      <c r="Q3049" s="895">
        <v>0</v>
      </c>
      <c r="R3049" s="114"/>
      <c r="S3049" s="884"/>
      <c r="T3049" s="270"/>
      <c r="U3049" s="270"/>
      <c r="V3049" s="270"/>
      <c r="W3049" s="912"/>
      <c r="X3049" s="270"/>
      <c r="Y3049" s="270"/>
      <c r="Z3049" s="270"/>
      <c r="AA3049" s="270"/>
    </row>
    <row r="3050" spans="3:31" ht="15" thickBot="1" x14ac:dyDescent="0.35">
      <c r="C3050" s="494" t="s">
        <v>108</v>
      </c>
      <c r="D3050" s="577"/>
      <c r="E3050" s="577" t="s">
        <v>391</v>
      </c>
      <c r="F3050" s="577" t="s">
        <v>20</v>
      </c>
      <c r="G3050" s="450" t="str">
        <f t="shared" si="149"/>
        <v>Tenant C-Flight kitchens-Ice machines</v>
      </c>
      <c r="H3050" s="577"/>
      <c r="I3050" s="887" t="s">
        <v>65</v>
      </c>
      <c r="J3050" s="878">
        <f>SUMIFS('Level of Efficiency Assumptions'!J:J,'Level of Efficiency Assumptions'!D:D,E3050,'Level of Efficiency Assumptions'!F:F,F3050,'Level of Efficiency Assumptions'!I:I,I3050)</f>
        <v>0.25</v>
      </c>
      <c r="K3050" s="383" t="s">
        <v>220</v>
      </c>
      <c r="L3050" s="255" t="s">
        <v>65</v>
      </c>
      <c r="M3050" s="879">
        <f>Q3052+Q3053</f>
        <v>1</v>
      </c>
      <c r="N3050" s="880">
        <f>IFERROR(M3050/M3052,"-")</f>
        <v>1</v>
      </c>
      <c r="O3050" s="881">
        <f>SUMIFS('Data Entry'!S:S,'Data Entry'!K:K,G3050)</f>
        <v>0</v>
      </c>
      <c r="P3050" s="272" t="s">
        <v>205</v>
      </c>
      <c r="Q3050" s="895">
        <v>0</v>
      </c>
      <c r="R3050" s="114"/>
      <c r="S3050" s="884"/>
      <c r="T3050" s="270"/>
      <c r="U3050" s="270"/>
      <c r="V3050" s="270"/>
      <c r="W3050" s="912"/>
      <c r="X3050" s="270"/>
      <c r="Y3050" s="270"/>
      <c r="Z3050" s="270"/>
      <c r="AA3050" s="270"/>
    </row>
    <row r="3051" spans="3:31" ht="15" thickBot="1" x14ac:dyDescent="0.35">
      <c r="C3051" s="501" t="s">
        <v>108</v>
      </c>
      <c r="D3051" s="116"/>
      <c r="E3051" s="116" t="s">
        <v>391</v>
      </c>
      <c r="F3051" s="116" t="s">
        <v>20</v>
      </c>
      <c r="G3051" s="450" t="str">
        <f t="shared" si="149"/>
        <v>Tenant C-Flight kitchens-Ice machines</v>
      </c>
      <c r="H3051" s="116"/>
      <c r="I3051" s="889" t="s">
        <v>66</v>
      </c>
      <c r="J3051" s="890">
        <f>SUMIFS('Level of Efficiency Assumptions'!J:J,'Level of Efficiency Assumptions'!D:D,E3051,'Level of Efficiency Assumptions'!F:F,F3051,'Level of Efficiency Assumptions'!I:I,I3051)</f>
        <v>0.12</v>
      </c>
      <c r="K3051" s="383" t="s">
        <v>220</v>
      </c>
      <c r="L3051" s="257" t="s">
        <v>66</v>
      </c>
      <c r="M3051" s="879">
        <f>Q3054+Q3055</f>
        <v>0</v>
      </c>
      <c r="N3051" s="880">
        <f>IFERROR(M3051/M3052,"-")</f>
        <v>0</v>
      </c>
      <c r="O3051" s="881">
        <f>SUMIFS('Data Entry'!T:T,'Data Entry'!K:K,G3051)</f>
        <v>0</v>
      </c>
      <c r="P3051" s="272" t="s">
        <v>206</v>
      </c>
      <c r="Q3051" s="895">
        <v>0</v>
      </c>
      <c r="R3051" s="114"/>
      <c r="S3051" s="884"/>
      <c r="T3051" s="270"/>
      <c r="U3051" s="270"/>
      <c r="V3051" s="270"/>
      <c r="W3051" s="280"/>
      <c r="X3051" s="270"/>
      <c r="Y3051" s="270"/>
      <c r="Z3051" s="270"/>
      <c r="AA3051" s="270"/>
    </row>
    <row r="3052" spans="3:31" x14ac:dyDescent="0.3">
      <c r="C3052" s="450"/>
      <c r="D3052" s="182"/>
      <c r="E3052" s="182"/>
      <c r="F3052" s="182"/>
      <c r="G3052" s="450" t="str">
        <f t="shared" si="149"/>
        <v>--</v>
      </c>
      <c r="H3052" s="182"/>
      <c r="I3052" s="440"/>
      <c r="J3052" s="892"/>
      <c r="K3052" s="259"/>
      <c r="L3052" s="259" t="s">
        <v>46</v>
      </c>
      <c r="M3052" s="893">
        <f>SUM(M3049:M3051)</f>
        <v>1</v>
      </c>
      <c r="N3052" s="894"/>
      <c r="O3052" s="894">
        <f>SUM(O3049:O3051)</f>
        <v>0</v>
      </c>
      <c r="P3052" s="274" t="s">
        <v>228</v>
      </c>
      <c r="Q3052" s="895">
        <v>1</v>
      </c>
      <c r="R3052" s="114"/>
      <c r="S3052" s="884"/>
      <c r="T3052" s="270"/>
      <c r="U3052" s="270"/>
      <c r="V3052" s="270"/>
      <c r="W3052" s="270"/>
      <c r="X3052" s="270"/>
      <c r="Y3052" s="270"/>
      <c r="Z3052" s="270"/>
      <c r="AA3052" s="270"/>
    </row>
    <row r="3053" spans="3:31" x14ac:dyDescent="0.3">
      <c r="C3053" s="450"/>
      <c r="D3053" s="182"/>
      <c r="E3053" s="182"/>
      <c r="F3053" s="182"/>
      <c r="G3053" s="450" t="str">
        <f t="shared" si="149"/>
        <v>--</v>
      </c>
      <c r="H3053" s="182"/>
      <c r="I3053" s="892"/>
      <c r="J3053" s="288"/>
      <c r="K3053" s="182"/>
      <c r="L3053" s="182"/>
      <c r="M3053" s="270"/>
      <c r="N3053" s="892"/>
      <c r="O3053" s="892"/>
      <c r="P3053" s="274" t="s">
        <v>227</v>
      </c>
      <c r="Q3053" s="895">
        <v>0</v>
      </c>
      <c r="R3053" s="114"/>
      <c r="S3053" s="884"/>
      <c r="T3053" s="270"/>
      <c r="U3053" s="270"/>
      <c r="V3053" s="270"/>
      <c r="W3053" s="270"/>
      <c r="X3053" s="270"/>
      <c r="Y3053" s="270"/>
      <c r="Z3053" s="270"/>
      <c r="AA3053" s="270"/>
    </row>
    <row r="3054" spans="3:31" x14ac:dyDescent="0.3">
      <c r="C3054" s="450"/>
      <c r="D3054" s="182"/>
      <c r="E3054" s="182"/>
      <c r="F3054" s="182"/>
      <c r="G3054" s="450" t="str">
        <f t="shared" si="149"/>
        <v>--</v>
      </c>
      <c r="H3054" s="182"/>
      <c r="I3054" s="892"/>
      <c r="J3054" s="288"/>
      <c r="K3054" s="182"/>
      <c r="L3054" s="182"/>
      <c r="M3054" s="270"/>
      <c r="N3054" s="892"/>
      <c r="O3054" s="892"/>
      <c r="P3054" s="275" t="s">
        <v>226</v>
      </c>
      <c r="Q3054" s="895">
        <v>0</v>
      </c>
      <c r="R3054" s="114"/>
      <c r="S3054" s="884"/>
      <c r="T3054" s="270"/>
      <c r="U3054" s="270"/>
      <c r="V3054" s="270"/>
      <c r="W3054" s="270"/>
      <c r="X3054" s="270"/>
      <c r="Y3054" s="270"/>
      <c r="Z3054" s="270"/>
      <c r="AA3054" s="270"/>
    </row>
    <row r="3055" spans="3:31" s="45" customFormat="1" x14ac:dyDescent="0.3">
      <c r="C3055" s="450"/>
      <c r="D3055" s="182"/>
      <c r="E3055" s="182"/>
      <c r="F3055" s="182"/>
      <c r="G3055" s="450" t="str">
        <f t="shared" si="149"/>
        <v>--</v>
      </c>
      <c r="H3055" s="182"/>
      <c r="I3055" s="892"/>
      <c r="J3055" s="288"/>
      <c r="K3055" s="182"/>
      <c r="L3055" s="182"/>
      <c r="M3055" s="270"/>
      <c r="N3055" s="892"/>
      <c r="O3055" s="892"/>
      <c r="P3055" s="269" t="s">
        <v>225</v>
      </c>
      <c r="Q3055" s="895">
        <v>0</v>
      </c>
      <c r="R3055" s="114"/>
      <c r="S3055" s="884"/>
      <c r="T3055" s="270"/>
      <c r="U3055" s="270"/>
      <c r="V3055" s="270"/>
      <c r="W3055" s="270"/>
      <c r="X3055" s="270"/>
      <c r="Y3055" s="270"/>
      <c r="Z3055" s="270"/>
      <c r="AA3055" s="270"/>
      <c r="AB3055" s="125"/>
      <c r="AC3055" s="85"/>
      <c r="AD3055" s="85"/>
      <c r="AE3055" s="85"/>
    </row>
    <row r="3056" spans="3:31" s="45" customFormat="1" x14ac:dyDescent="0.3">
      <c r="C3056" s="450"/>
      <c r="D3056" s="182"/>
      <c r="E3056" s="182"/>
      <c r="F3056" s="182"/>
      <c r="G3056" s="450" t="str">
        <f t="shared" si="149"/>
        <v>--</v>
      </c>
      <c r="H3056" s="182"/>
      <c r="I3056" s="892"/>
      <c r="J3056" s="288"/>
      <c r="K3056" s="182"/>
      <c r="L3056" s="182"/>
      <c r="M3056" s="270"/>
      <c r="N3056" s="892"/>
      <c r="O3056" s="892"/>
      <c r="P3056" s="263" t="s">
        <v>46</v>
      </c>
      <c r="Q3056" s="897">
        <f>SUM(Q3049:Q3055)</f>
        <v>1</v>
      </c>
      <c r="R3056" s="899"/>
      <c r="S3056" s="900"/>
      <c r="T3056" s="270"/>
      <c r="U3056" s="270"/>
      <c r="V3056" s="270"/>
      <c r="W3056" s="270"/>
      <c r="X3056" s="270"/>
      <c r="Y3056" s="270"/>
      <c r="Z3056" s="270"/>
      <c r="AA3056" s="270"/>
      <c r="AB3056" s="125"/>
      <c r="AC3056" s="85"/>
      <c r="AD3056" s="85"/>
      <c r="AE3056" s="85"/>
    </row>
    <row r="3057" spans="3:31" s="45" customFormat="1" x14ac:dyDescent="0.3">
      <c r="C3057" s="450"/>
      <c r="D3057" s="182"/>
      <c r="E3057" s="182"/>
      <c r="F3057" s="182"/>
      <c r="G3057" s="450" t="str">
        <f t="shared" si="149"/>
        <v>--</v>
      </c>
      <c r="H3057" s="182"/>
      <c r="I3057" s="892"/>
      <c r="J3057" s="288"/>
      <c r="K3057" s="182"/>
      <c r="L3057" s="182"/>
      <c r="M3057" s="270"/>
      <c r="N3057" s="892"/>
      <c r="O3057" s="892"/>
      <c r="P3057" s="270"/>
      <c r="Q3057" s="270"/>
      <c r="R3057" s="270"/>
      <c r="S3057" s="270"/>
      <c r="T3057" s="270"/>
      <c r="U3057" s="270"/>
      <c r="V3057" s="270"/>
      <c r="W3057" s="270"/>
      <c r="X3057" s="270"/>
      <c r="Y3057" s="270"/>
      <c r="Z3057" s="270"/>
      <c r="AA3057" s="270"/>
      <c r="AB3057" s="125"/>
      <c r="AC3057" s="85"/>
      <c r="AD3057" s="85"/>
      <c r="AE3057" s="85"/>
    </row>
    <row r="3058" spans="3:31" s="45" customFormat="1" ht="15" thickBot="1" x14ac:dyDescent="0.35">
      <c r="C3058" s="450"/>
      <c r="D3058" s="182"/>
      <c r="E3058" s="182"/>
      <c r="F3058" s="182"/>
      <c r="G3058" s="450" t="str">
        <f t="shared" si="149"/>
        <v>--</v>
      </c>
      <c r="H3058" s="182"/>
      <c r="I3058" s="892"/>
      <c r="J3058" s="892"/>
      <c r="K3058" s="182"/>
      <c r="L3058" s="182"/>
      <c r="M3058" s="901" t="s">
        <v>155</v>
      </c>
      <c r="N3058" s="870" t="s">
        <v>188</v>
      </c>
      <c r="O3058" s="870"/>
      <c r="P3058" s="285" t="s">
        <v>27</v>
      </c>
      <c r="Q3058" s="871" t="s">
        <v>155</v>
      </c>
      <c r="R3058" s="902"/>
      <c r="S3058" s="874"/>
      <c r="T3058" s="270"/>
      <c r="U3058" s="270"/>
      <c r="V3058" s="270"/>
      <c r="W3058" s="270"/>
      <c r="X3058" s="270"/>
      <c r="Y3058" s="270"/>
      <c r="Z3058" s="270"/>
      <c r="AA3058" s="270"/>
      <c r="AB3058" s="125"/>
      <c r="AC3058" s="85"/>
      <c r="AD3058" s="85"/>
      <c r="AE3058" s="85"/>
    </row>
    <row r="3059" spans="3:31" ht="15" thickBot="1" x14ac:dyDescent="0.35">
      <c r="C3059" s="566" t="s">
        <v>108</v>
      </c>
      <c r="D3059" s="875" t="str">
        <f>VLOOKUP(C3059,'Airport Mapping'!$C$5:$D$39,2,FALSE)</f>
        <v xml:space="preserve"> </v>
      </c>
      <c r="E3059" s="567" t="s">
        <v>44</v>
      </c>
      <c r="F3059" s="567" t="s">
        <v>27</v>
      </c>
      <c r="G3059" s="450" t="str">
        <f t="shared" si="149"/>
        <v xml:space="preserve">Tenant C-Aircraft-Aircraft cleaning </v>
      </c>
      <c r="H3059" s="567" t="s">
        <v>10</v>
      </c>
      <c r="I3059" s="877" t="s">
        <v>64</v>
      </c>
      <c r="J3059" s="878">
        <f>SUMIFS('Level of Efficiency Assumptions'!J:J,'Level of Efficiency Assumptions'!D:D,E3059,'Level of Efficiency Assumptions'!F:F,F3059,'Level of Efficiency Assumptions'!I:I,I3059)</f>
        <v>10</v>
      </c>
      <c r="K3059" s="383" t="s">
        <v>588</v>
      </c>
      <c r="L3059" s="253" t="s">
        <v>64</v>
      </c>
      <c r="M3059" s="879">
        <f>SUM(Q3059:Q3060)</f>
        <v>0</v>
      </c>
      <c r="N3059" s="880">
        <f>IFERROR(M3059/M3062,"-")</f>
        <v>0</v>
      </c>
      <c r="O3059" s="881">
        <f>SUMIFS('Data Entry'!R:R,'Data Entry'!K:K,G3059)</f>
        <v>0</v>
      </c>
      <c r="P3059" s="272"/>
      <c r="Q3059" s="895">
        <v>0</v>
      </c>
      <c r="R3059" s="114"/>
      <c r="S3059" s="884"/>
      <c r="T3059" s="270"/>
      <c r="U3059" s="270"/>
      <c r="V3059" s="270"/>
      <c r="W3059" s="270"/>
      <c r="X3059" s="270"/>
      <c r="Y3059" s="270"/>
      <c r="Z3059" s="270"/>
      <c r="AA3059" s="270"/>
    </row>
    <row r="3060" spans="3:31" ht="15" thickBot="1" x14ac:dyDescent="0.35">
      <c r="C3060" s="494" t="s">
        <v>108</v>
      </c>
      <c r="D3060" s="577"/>
      <c r="E3060" s="577" t="s">
        <v>44</v>
      </c>
      <c r="F3060" s="577" t="s">
        <v>27</v>
      </c>
      <c r="G3060" s="450" t="str">
        <f t="shared" si="149"/>
        <v xml:space="preserve">Tenant C-Aircraft-Aircraft cleaning </v>
      </c>
      <c r="H3060" s="577"/>
      <c r="I3060" s="887" t="s">
        <v>65</v>
      </c>
      <c r="J3060" s="878">
        <f>SUMIFS('Level of Efficiency Assumptions'!J:J,'Level of Efficiency Assumptions'!D:D,E3060,'Level of Efficiency Assumptions'!F:F,F3060,'Level of Efficiency Assumptions'!I:I,I3060)</f>
        <v>7.5</v>
      </c>
      <c r="K3060" s="383" t="s">
        <v>588</v>
      </c>
      <c r="L3060" s="255" t="s">
        <v>65</v>
      </c>
      <c r="M3060" s="879">
        <f>Q3061+Q3062</f>
        <v>1</v>
      </c>
      <c r="N3060" s="880">
        <f>IFERROR(M3060/M3062,"-")</f>
        <v>1</v>
      </c>
      <c r="O3060" s="881">
        <f>SUMIFS('Data Entry'!S:S,'Data Entry'!K:K,G3060)</f>
        <v>0</v>
      </c>
      <c r="P3060" s="272"/>
      <c r="Q3060" s="895">
        <v>0</v>
      </c>
      <c r="R3060" s="114"/>
      <c r="S3060" s="884"/>
      <c r="T3060" s="270"/>
      <c r="U3060" s="270"/>
      <c r="V3060" s="270"/>
      <c r="W3060" s="270"/>
      <c r="X3060" s="270"/>
      <c r="Y3060" s="270"/>
      <c r="Z3060" s="270"/>
      <c r="AA3060" s="270"/>
    </row>
    <row r="3061" spans="3:31" ht="15" thickBot="1" x14ac:dyDescent="0.35">
      <c r="C3061" s="501" t="s">
        <v>108</v>
      </c>
      <c r="D3061" s="116"/>
      <c r="E3061" s="116" t="s">
        <v>44</v>
      </c>
      <c r="F3061" s="116" t="s">
        <v>27</v>
      </c>
      <c r="G3061" s="450" t="str">
        <f t="shared" si="149"/>
        <v xml:space="preserve">Tenant C-Aircraft-Aircraft cleaning </v>
      </c>
      <c r="H3061" s="116"/>
      <c r="I3061" s="889" t="s">
        <v>66</v>
      </c>
      <c r="J3061" s="890">
        <f>SUMIFS('Level of Efficiency Assumptions'!J:J,'Level of Efficiency Assumptions'!D:D,E3061,'Level of Efficiency Assumptions'!F:F,F3061,'Level of Efficiency Assumptions'!I:I,I3061)</f>
        <v>5</v>
      </c>
      <c r="K3061" s="383" t="s">
        <v>588</v>
      </c>
      <c r="L3061" s="257" t="s">
        <v>66</v>
      </c>
      <c r="M3061" s="879">
        <f>Q3063+Q3064</f>
        <v>0</v>
      </c>
      <c r="N3061" s="880">
        <f>IFERROR(M3061/M3062,"-")</f>
        <v>0</v>
      </c>
      <c r="O3061" s="881">
        <f>SUMIFS('Data Entry'!T:T,'Data Entry'!K:K,G3061)</f>
        <v>0</v>
      </c>
      <c r="P3061" s="274"/>
      <c r="Q3061" s="895">
        <v>1</v>
      </c>
      <c r="R3061" s="114"/>
      <c r="S3061" s="884"/>
      <c r="T3061" s="270"/>
      <c r="U3061" s="270"/>
      <c r="V3061" s="270"/>
      <c r="W3061" s="270"/>
      <c r="X3061" s="270"/>
      <c r="Y3061" s="270"/>
      <c r="Z3061" s="270"/>
      <c r="AA3061" s="270"/>
    </row>
    <row r="3062" spans="3:31" x14ac:dyDescent="0.3">
      <c r="C3062" s="450"/>
      <c r="D3062" s="182"/>
      <c r="E3062" s="182"/>
      <c r="F3062" s="182"/>
      <c r="G3062" s="450" t="str">
        <f t="shared" si="149"/>
        <v>--</v>
      </c>
      <c r="H3062" s="182"/>
      <c r="I3062" s="440"/>
      <c r="J3062" s="892"/>
      <c r="K3062" s="259"/>
      <c r="L3062" s="259" t="s">
        <v>46</v>
      </c>
      <c r="M3062" s="893">
        <f>SUM(M3059:M3061)</f>
        <v>1</v>
      </c>
      <c r="N3062" s="894"/>
      <c r="O3062" s="894">
        <f>SUM(O3059:O3061)</f>
        <v>0</v>
      </c>
      <c r="P3062" s="274"/>
      <c r="Q3062" s="895">
        <v>0</v>
      </c>
      <c r="R3062" s="114"/>
      <c r="S3062" s="884"/>
      <c r="T3062" s="270"/>
      <c r="U3062" s="270"/>
      <c r="V3062" s="270"/>
      <c r="W3062" s="270"/>
      <c r="X3062" s="270"/>
      <c r="Y3062" s="270"/>
      <c r="Z3062" s="270"/>
      <c r="AA3062" s="270"/>
    </row>
    <row r="3063" spans="3:31" x14ac:dyDescent="0.3">
      <c r="C3063" s="450"/>
      <c r="D3063" s="182"/>
      <c r="E3063" s="182"/>
      <c r="F3063" s="182"/>
      <c r="G3063" s="450" t="str">
        <f t="shared" si="149"/>
        <v>--</v>
      </c>
      <c r="H3063" s="182"/>
      <c r="I3063" s="892"/>
      <c r="J3063" s="288"/>
      <c r="K3063" s="182"/>
      <c r="L3063" s="182"/>
      <c r="M3063" s="270"/>
      <c r="N3063" s="892"/>
      <c r="O3063" s="892"/>
      <c r="P3063" s="275"/>
      <c r="Q3063" s="895">
        <v>0</v>
      </c>
      <c r="R3063" s="114"/>
      <c r="S3063" s="884"/>
      <c r="T3063" s="270"/>
      <c r="U3063" s="270"/>
      <c r="V3063" s="270"/>
      <c r="W3063" s="270"/>
      <c r="X3063" s="270"/>
      <c r="Y3063" s="270"/>
      <c r="Z3063" s="270"/>
      <c r="AA3063" s="270"/>
    </row>
    <row r="3064" spans="3:31" x14ac:dyDescent="0.3">
      <c r="C3064" s="450"/>
      <c r="D3064" s="182"/>
      <c r="E3064" s="182"/>
      <c r="F3064" s="182"/>
      <c r="G3064" s="450" t="str">
        <f t="shared" si="149"/>
        <v>--</v>
      </c>
      <c r="H3064" s="182"/>
      <c r="I3064" s="892"/>
      <c r="J3064" s="288"/>
      <c r="K3064" s="182"/>
      <c r="L3064" s="182"/>
      <c r="M3064" s="270"/>
      <c r="N3064" s="892"/>
      <c r="O3064" s="892"/>
      <c r="P3064" s="269"/>
      <c r="Q3064" s="895">
        <v>0</v>
      </c>
      <c r="R3064" s="114"/>
      <c r="S3064" s="884"/>
      <c r="T3064" s="270"/>
      <c r="U3064" s="270"/>
      <c r="V3064" s="270"/>
      <c r="W3064" s="270"/>
      <c r="X3064" s="270"/>
      <c r="Y3064" s="270"/>
      <c r="Z3064" s="270"/>
      <c r="AA3064" s="270"/>
    </row>
    <row r="3065" spans="3:31" x14ac:dyDescent="0.3">
      <c r="C3065" s="450"/>
      <c r="D3065" s="182"/>
      <c r="E3065" s="182"/>
      <c r="F3065" s="182"/>
      <c r="G3065" s="450" t="str">
        <f t="shared" si="149"/>
        <v>--</v>
      </c>
      <c r="H3065" s="182"/>
      <c r="I3065" s="892"/>
      <c r="J3065" s="288"/>
      <c r="K3065" s="182"/>
      <c r="L3065" s="182"/>
      <c r="M3065" s="270"/>
      <c r="N3065" s="892"/>
      <c r="O3065" s="892"/>
      <c r="P3065" s="263" t="s">
        <v>46</v>
      </c>
      <c r="Q3065" s="897">
        <f>SUM(Q3059:Q3064)</f>
        <v>1</v>
      </c>
      <c r="R3065" s="899"/>
      <c r="S3065" s="900"/>
      <c r="T3065" s="270"/>
      <c r="U3065" s="270"/>
      <c r="V3065" s="270"/>
      <c r="W3065" s="270"/>
      <c r="X3065" s="270"/>
      <c r="Y3065" s="270"/>
      <c r="Z3065" s="270"/>
      <c r="AA3065" s="270"/>
    </row>
    <row r="3066" spans="3:31" x14ac:dyDescent="0.3">
      <c r="C3066" s="450"/>
      <c r="D3066" s="182"/>
      <c r="E3066" s="182"/>
      <c r="F3066" s="182"/>
      <c r="G3066" s="450" t="str">
        <f t="shared" si="149"/>
        <v>--</v>
      </c>
      <c r="H3066" s="182"/>
      <c r="I3066" s="892"/>
      <c r="J3066" s="288"/>
      <c r="K3066" s="182"/>
      <c r="L3066" s="182"/>
      <c r="M3066" s="270"/>
      <c r="N3066" s="892"/>
      <c r="O3066" s="892"/>
      <c r="P3066" s="270"/>
      <c r="Q3066" s="270"/>
      <c r="R3066" s="270"/>
      <c r="S3066" s="270"/>
      <c r="T3066" s="270"/>
      <c r="U3066" s="270"/>
      <c r="V3066" s="270"/>
      <c r="W3066" s="270"/>
      <c r="X3066" s="270"/>
      <c r="Y3066" s="270"/>
      <c r="Z3066" s="270"/>
      <c r="AA3066" s="270"/>
    </row>
    <row r="3067" spans="3:31" ht="15" thickBot="1" x14ac:dyDescent="0.35">
      <c r="C3067" s="450"/>
      <c r="D3067" s="182"/>
      <c r="E3067" s="182"/>
      <c r="F3067" s="182"/>
      <c r="G3067" s="450" t="str">
        <f t="shared" si="149"/>
        <v>--</v>
      </c>
      <c r="H3067" s="182"/>
      <c r="I3067" s="892"/>
      <c r="J3067" s="892"/>
      <c r="K3067" s="182"/>
      <c r="L3067" s="182"/>
      <c r="M3067" s="901" t="s">
        <v>155</v>
      </c>
      <c r="N3067" s="870" t="s">
        <v>188</v>
      </c>
      <c r="O3067" s="870"/>
      <c r="P3067" s="285" t="s">
        <v>28</v>
      </c>
      <c r="Q3067" s="871" t="s">
        <v>155</v>
      </c>
      <c r="R3067" s="902"/>
      <c r="S3067" s="874"/>
      <c r="T3067" s="270"/>
      <c r="U3067" s="270"/>
      <c r="V3067" s="270"/>
      <c r="W3067" s="270"/>
      <c r="X3067" s="270"/>
      <c r="Y3067" s="270"/>
      <c r="Z3067" s="270"/>
      <c r="AA3067" s="270"/>
    </row>
    <row r="3068" spans="3:31" ht="15" thickBot="1" x14ac:dyDescent="0.35">
      <c r="C3068" s="566" t="s">
        <v>108</v>
      </c>
      <c r="D3068" s="875" t="str">
        <f>VLOOKUP(C3068,'Airport Mapping'!$C$5:$D$39,2,FALSE)</f>
        <v xml:space="preserve"> </v>
      </c>
      <c r="E3068" s="567" t="s">
        <v>44</v>
      </c>
      <c r="F3068" s="567" t="s">
        <v>28</v>
      </c>
      <c r="G3068" s="450" t="str">
        <f t="shared" si="149"/>
        <v>Tenant C-Aircraft-Onboard aircraft water</v>
      </c>
      <c r="H3068" s="567" t="s">
        <v>10</v>
      </c>
      <c r="I3068" s="877" t="s">
        <v>64</v>
      </c>
      <c r="J3068" s="878">
        <f>SUMIFS('Level of Efficiency Assumptions'!J:J,'Level of Efficiency Assumptions'!D:D,E3068,'Level of Efficiency Assumptions'!F:F,F3068,'Level of Efficiency Assumptions'!I:I,I3068)</f>
        <v>10</v>
      </c>
      <c r="K3068" s="383" t="s">
        <v>588</v>
      </c>
      <c r="L3068" s="253" t="s">
        <v>64</v>
      </c>
      <c r="M3068" s="879">
        <f>SUM(Q3068:Q3069)</f>
        <v>0</v>
      </c>
      <c r="N3068" s="880">
        <f>IFERROR(M3068/M3071,"-")</f>
        <v>0</v>
      </c>
      <c r="O3068" s="881">
        <f>SUMIFS('Data Entry'!R:R,'Data Entry'!K:K,G3068)</f>
        <v>0</v>
      </c>
      <c r="P3068" s="272"/>
      <c r="Q3068" s="895">
        <v>0</v>
      </c>
      <c r="R3068" s="114"/>
      <c r="S3068" s="884"/>
      <c r="T3068" s="270"/>
      <c r="U3068" s="270"/>
      <c r="V3068" s="270"/>
      <c r="W3068" s="270"/>
      <c r="X3068" s="270"/>
      <c r="Y3068" s="270"/>
      <c r="Z3068" s="270"/>
      <c r="AA3068" s="270"/>
    </row>
    <row r="3069" spans="3:31" ht="15" thickBot="1" x14ac:dyDescent="0.35">
      <c r="C3069" s="494" t="s">
        <v>108</v>
      </c>
      <c r="D3069" s="577"/>
      <c r="E3069" s="577" t="s">
        <v>44</v>
      </c>
      <c r="F3069" s="577" t="s">
        <v>28</v>
      </c>
      <c r="G3069" s="450" t="str">
        <f t="shared" si="149"/>
        <v>Tenant C-Aircraft-Onboard aircraft water</v>
      </c>
      <c r="H3069" s="577"/>
      <c r="I3069" s="887" t="s">
        <v>65</v>
      </c>
      <c r="J3069" s="878">
        <f>SUMIFS('Level of Efficiency Assumptions'!J:J,'Level of Efficiency Assumptions'!D:D,E3069,'Level of Efficiency Assumptions'!F:F,F3069,'Level of Efficiency Assumptions'!I:I,I3069)</f>
        <v>7.5</v>
      </c>
      <c r="K3069" s="383" t="s">
        <v>588</v>
      </c>
      <c r="L3069" s="255" t="s">
        <v>65</v>
      </c>
      <c r="M3069" s="879">
        <f>Q3070+Q3071</f>
        <v>1</v>
      </c>
      <c r="N3069" s="880">
        <f>IFERROR(M3069/M3071,"-")</f>
        <v>1</v>
      </c>
      <c r="O3069" s="881">
        <f>SUMIFS('Data Entry'!S:S,'Data Entry'!K:K,G3069)</f>
        <v>0</v>
      </c>
      <c r="P3069" s="272"/>
      <c r="Q3069" s="895">
        <v>0</v>
      </c>
      <c r="R3069" s="114"/>
      <c r="S3069" s="884"/>
      <c r="T3069" s="270"/>
      <c r="U3069" s="270"/>
      <c r="V3069" s="270"/>
      <c r="W3069" s="270"/>
      <c r="X3069" s="270"/>
      <c r="Y3069" s="270"/>
      <c r="Z3069" s="270"/>
      <c r="AA3069" s="270"/>
    </row>
    <row r="3070" spans="3:31" ht="15" thickBot="1" x14ac:dyDescent="0.35">
      <c r="C3070" s="501" t="s">
        <v>108</v>
      </c>
      <c r="D3070" s="116"/>
      <c r="E3070" s="116" t="s">
        <v>44</v>
      </c>
      <c r="F3070" s="116" t="s">
        <v>28</v>
      </c>
      <c r="G3070" s="450" t="str">
        <f t="shared" si="149"/>
        <v>Tenant C-Aircraft-Onboard aircraft water</v>
      </c>
      <c r="H3070" s="116"/>
      <c r="I3070" s="889" t="s">
        <v>66</v>
      </c>
      <c r="J3070" s="890">
        <f>SUMIFS('Level of Efficiency Assumptions'!J:J,'Level of Efficiency Assumptions'!D:D,E3070,'Level of Efficiency Assumptions'!F:F,F3070,'Level of Efficiency Assumptions'!I:I,I3070)</f>
        <v>5</v>
      </c>
      <c r="K3070" s="383" t="s">
        <v>588</v>
      </c>
      <c r="L3070" s="257" t="s">
        <v>66</v>
      </c>
      <c r="M3070" s="879">
        <f>Q3072+Q3073</f>
        <v>0</v>
      </c>
      <c r="N3070" s="880">
        <f>IFERROR(M3070/M3071,"-")</f>
        <v>0</v>
      </c>
      <c r="O3070" s="881">
        <f>SUMIFS('Data Entry'!T:T,'Data Entry'!K:K,G3070)</f>
        <v>0</v>
      </c>
      <c r="P3070" s="274"/>
      <c r="Q3070" s="895">
        <v>1</v>
      </c>
      <c r="R3070" s="114"/>
      <c r="S3070" s="884"/>
      <c r="T3070" s="270"/>
      <c r="U3070" s="270"/>
      <c r="V3070" s="270"/>
      <c r="W3070" s="270"/>
      <c r="X3070" s="270"/>
      <c r="Y3070" s="270"/>
      <c r="Z3070" s="270"/>
      <c r="AA3070" s="270"/>
    </row>
    <row r="3071" spans="3:31" x14ac:dyDescent="0.3">
      <c r="C3071" s="450"/>
      <c r="D3071" s="182"/>
      <c r="E3071" s="182"/>
      <c r="F3071" s="182"/>
      <c r="G3071" s="450" t="str">
        <f t="shared" si="149"/>
        <v>--</v>
      </c>
      <c r="H3071" s="182"/>
      <c r="I3071" s="440"/>
      <c r="J3071" s="892"/>
      <c r="K3071" s="259"/>
      <c r="L3071" s="259" t="s">
        <v>46</v>
      </c>
      <c r="M3071" s="893">
        <f>SUM(M3068:M3070)</f>
        <v>1</v>
      </c>
      <c r="N3071" s="894"/>
      <c r="O3071" s="894">
        <f>SUM(O3068:O3070)</f>
        <v>0</v>
      </c>
      <c r="P3071" s="274"/>
      <c r="Q3071" s="895">
        <v>0</v>
      </c>
      <c r="R3071" s="114"/>
      <c r="S3071" s="884"/>
      <c r="T3071" s="270"/>
      <c r="U3071" s="270"/>
      <c r="V3071" s="270"/>
      <c r="W3071" s="270"/>
      <c r="X3071" s="270"/>
      <c r="Y3071" s="270"/>
      <c r="Z3071" s="270"/>
      <c r="AA3071" s="270"/>
    </row>
    <row r="3072" spans="3:31" x14ac:dyDescent="0.3">
      <c r="C3072" s="450"/>
      <c r="D3072" s="182"/>
      <c r="E3072" s="182"/>
      <c r="F3072" s="182"/>
      <c r="G3072" s="450" t="str">
        <f t="shared" si="149"/>
        <v>--</v>
      </c>
      <c r="H3072" s="182"/>
      <c r="I3072" s="892"/>
      <c r="J3072" s="288"/>
      <c r="K3072" s="182"/>
      <c r="L3072" s="182"/>
      <c r="M3072" s="270"/>
      <c r="N3072" s="892"/>
      <c r="O3072" s="892"/>
      <c r="P3072" s="275"/>
      <c r="Q3072" s="895">
        <v>0</v>
      </c>
      <c r="R3072" s="114"/>
      <c r="S3072" s="884"/>
      <c r="T3072" s="270"/>
      <c r="U3072" s="270"/>
      <c r="V3072" s="270"/>
      <c r="W3072" s="270"/>
      <c r="X3072" s="270"/>
      <c r="Y3072" s="270"/>
      <c r="Z3072" s="270"/>
      <c r="AA3072" s="270"/>
    </row>
    <row r="3073" spans="3:28" x14ac:dyDescent="0.3">
      <c r="C3073" s="450"/>
      <c r="D3073" s="182"/>
      <c r="E3073" s="182"/>
      <c r="F3073" s="182"/>
      <c r="G3073" s="450" t="str">
        <f t="shared" si="149"/>
        <v>--</v>
      </c>
      <c r="H3073" s="182"/>
      <c r="I3073" s="892"/>
      <c r="J3073" s="288"/>
      <c r="K3073" s="182"/>
      <c r="L3073" s="182"/>
      <c r="M3073" s="270"/>
      <c r="N3073" s="892"/>
      <c r="O3073" s="892"/>
      <c r="P3073" s="269"/>
      <c r="Q3073" s="895">
        <v>0</v>
      </c>
      <c r="R3073" s="114"/>
      <c r="S3073" s="884"/>
      <c r="T3073" s="270"/>
      <c r="U3073" s="270"/>
      <c r="V3073" s="270"/>
      <c r="W3073" s="270"/>
      <c r="X3073" s="270"/>
      <c r="Y3073" s="270"/>
      <c r="Z3073" s="270"/>
      <c r="AA3073" s="270"/>
    </row>
    <row r="3074" spans="3:28" x14ac:dyDescent="0.3">
      <c r="C3074" s="450"/>
      <c r="D3074" s="182"/>
      <c r="E3074" s="182"/>
      <c r="F3074" s="182"/>
      <c r="G3074" s="450" t="str">
        <f t="shared" si="149"/>
        <v>--</v>
      </c>
      <c r="H3074" s="182"/>
      <c r="I3074" s="892"/>
      <c r="J3074" s="288"/>
      <c r="K3074" s="182"/>
      <c r="L3074" s="182"/>
      <c r="M3074" s="270"/>
      <c r="N3074" s="892"/>
      <c r="O3074" s="892"/>
      <c r="P3074" s="263" t="s">
        <v>46</v>
      </c>
      <c r="Q3074" s="897">
        <f>SUM(Q3068:Q3073)</f>
        <v>1</v>
      </c>
      <c r="R3074" s="899"/>
      <c r="S3074" s="900"/>
      <c r="T3074" s="270"/>
      <c r="U3074" s="270"/>
      <c r="V3074" s="270"/>
      <c r="W3074" s="270"/>
      <c r="X3074" s="270"/>
      <c r="Y3074" s="270"/>
      <c r="Z3074" s="270"/>
      <c r="AA3074" s="270"/>
    </row>
    <row r="3075" spans="3:28" x14ac:dyDescent="0.3">
      <c r="C3075" s="450"/>
      <c r="D3075" s="182"/>
      <c r="E3075" s="182"/>
      <c r="F3075" s="182"/>
      <c r="G3075" s="450" t="str">
        <f t="shared" si="149"/>
        <v>--</v>
      </c>
      <c r="H3075" s="182"/>
      <c r="I3075" s="892"/>
      <c r="J3075" s="288"/>
      <c r="K3075" s="182"/>
      <c r="L3075" s="182"/>
      <c r="M3075" s="270"/>
      <c r="N3075" s="892"/>
      <c r="O3075" s="892"/>
      <c r="P3075" s="270"/>
      <c r="Q3075" s="270"/>
      <c r="R3075" s="270"/>
      <c r="S3075" s="270"/>
      <c r="T3075" s="270"/>
      <c r="U3075" s="270"/>
      <c r="V3075" s="270"/>
      <c r="W3075" s="270"/>
      <c r="X3075" s="270"/>
      <c r="Y3075" s="270"/>
      <c r="Z3075" s="270"/>
      <c r="AA3075" s="270"/>
    </row>
    <row r="3076" spans="3:28" ht="15" thickBot="1" x14ac:dyDescent="0.35">
      <c r="C3076" s="450"/>
      <c r="D3076" s="182"/>
      <c r="E3076" s="182"/>
      <c r="F3076" s="182"/>
      <c r="G3076" s="450" t="str">
        <f t="shared" si="149"/>
        <v>--</v>
      </c>
      <c r="H3076" s="182"/>
      <c r="I3076" s="892"/>
      <c r="J3076" s="892"/>
      <c r="K3076" s="182"/>
      <c r="L3076" s="182"/>
      <c r="M3076" s="901" t="s">
        <v>155</v>
      </c>
      <c r="N3076" s="870" t="s">
        <v>188</v>
      </c>
      <c r="O3076" s="870"/>
      <c r="P3076" s="276" t="s">
        <v>29</v>
      </c>
      <c r="Q3076" s="871" t="s">
        <v>155</v>
      </c>
      <c r="R3076" s="902"/>
      <c r="S3076" s="874"/>
      <c r="T3076" s="270"/>
      <c r="U3076" s="270"/>
      <c r="V3076" s="270"/>
      <c r="W3076" s="270"/>
      <c r="X3076" s="270"/>
      <c r="Y3076" s="270"/>
      <c r="Z3076" s="270"/>
      <c r="AA3076" s="270"/>
    </row>
    <row r="3077" spans="3:28" ht="15" thickBot="1" x14ac:dyDescent="0.35">
      <c r="C3077" s="566" t="s">
        <v>108</v>
      </c>
      <c r="D3077" s="875" t="str">
        <f>VLOOKUP(C3077,'Airport Mapping'!$C$5:$D$39,2,FALSE)</f>
        <v xml:space="preserve"> </v>
      </c>
      <c r="E3077" s="567" t="s">
        <v>44</v>
      </c>
      <c r="F3077" s="567" t="s">
        <v>29</v>
      </c>
      <c r="G3077" s="450" t="str">
        <f t="shared" si="149"/>
        <v>Tenant C-Aircraft-Deicing</v>
      </c>
      <c r="H3077" s="567" t="s">
        <v>10</v>
      </c>
      <c r="I3077" s="877" t="s">
        <v>64</v>
      </c>
      <c r="J3077" s="878">
        <f>SUMIFS('Level of Efficiency Assumptions'!J:J,'Level of Efficiency Assumptions'!D:D,E3077,'Level of Efficiency Assumptions'!F:F,F3077,'Level of Efficiency Assumptions'!I:I,I3077)</f>
        <v>20</v>
      </c>
      <c r="K3077" s="383" t="s">
        <v>588</v>
      </c>
      <c r="L3077" s="253" t="s">
        <v>64</v>
      </c>
      <c r="M3077" s="879">
        <f>SUM(Q3077:Q3078)</f>
        <v>0</v>
      </c>
      <c r="N3077" s="880">
        <f>IFERROR(M3077/M3080,"-")</f>
        <v>0</v>
      </c>
      <c r="O3077" s="881">
        <f>SUMIFS('Data Entry'!R:R,'Data Entry'!K:K,G3077)</f>
        <v>0</v>
      </c>
      <c r="P3077" s="272"/>
      <c r="Q3077" s="895">
        <v>0</v>
      </c>
      <c r="R3077" s="114"/>
      <c r="S3077" s="884"/>
      <c r="T3077" s="270"/>
      <c r="U3077" s="270"/>
      <c r="V3077" s="270"/>
      <c r="W3077" s="270"/>
      <c r="X3077" s="270"/>
      <c r="Y3077" s="270"/>
      <c r="Z3077" s="270"/>
      <c r="AA3077" s="114"/>
      <c r="AB3077" s="85"/>
    </row>
    <row r="3078" spans="3:28" ht="15" thickBot="1" x14ac:dyDescent="0.35">
      <c r="C3078" s="494" t="s">
        <v>108</v>
      </c>
      <c r="D3078" s="577"/>
      <c r="E3078" s="577" t="s">
        <v>44</v>
      </c>
      <c r="F3078" s="577" t="s">
        <v>29</v>
      </c>
      <c r="G3078" s="450" t="str">
        <f t="shared" si="149"/>
        <v>Tenant C-Aircraft-Deicing</v>
      </c>
      <c r="H3078" s="577"/>
      <c r="I3078" s="887" t="s">
        <v>65</v>
      </c>
      <c r="J3078" s="878">
        <f>SUMIFS('Level of Efficiency Assumptions'!J:J,'Level of Efficiency Assumptions'!D:D,E3078,'Level of Efficiency Assumptions'!F:F,F3078,'Level of Efficiency Assumptions'!I:I,I3078)</f>
        <v>10</v>
      </c>
      <c r="K3078" s="383" t="s">
        <v>588</v>
      </c>
      <c r="L3078" s="255" t="s">
        <v>65</v>
      </c>
      <c r="M3078" s="879">
        <f>Q3079+Q3080</f>
        <v>1</v>
      </c>
      <c r="N3078" s="880">
        <f>IFERROR(M3078/M3080,"-")</f>
        <v>1</v>
      </c>
      <c r="O3078" s="881">
        <f>SUMIFS('Data Entry'!S:S,'Data Entry'!K:K,G3078)</f>
        <v>0</v>
      </c>
      <c r="P3078" s="272"/>
      <c r="Q3078" s="895">
        <v>0</v>
      </c>
      <c r="R3078" s="114"/>
      <c r="S3078" s="884"/>
      <c r="T3078" s="270"/>
      <c r="U3078" s="270"/>
      <c r="V3078" s="270"/>
      <c r="W3078" s="270"/>
      <c r="X3078" s="270"/>
      <c r="Y3078" s="270"/>
      <c r="Z3078" s="270"/>
      <c r="AA3078" s="114"/>
      <c r="AB3078" s="85"/>
    </row>
    <row r="3079" spans="3:28" ht="15" thickBot="1" x14ac:dyDescent="0.35">
      <c r="C3079" s="501" t="s">
        <v>108</v>
      </c>
      <c r="D3079" s="116"/>
      <c r="E3079" s="116" t="s">
        <v>44</v>
      </c>
      <c r="F3079" s="116" t="s">
        <v>29</v>
      </c>
      <c r="G3079" s="450" t="str">
        <f t="shared" si="149"/>
        <v>Tenant C-Aircraft-Deicing</v>
      </c>
      <c r="H3079" s="116"/>
      <c r="I3079" s="889" t="s">
        <v>66</v>
      </c>
      <c r="J3079" s="890">
        <f>SUMIFS('Level of Efficiency Assumptions'!J:J,'Level of Efficiency Assumptions'!D:D,E3079,'Level of Efficiency Assumptions'!F:F,F3079,'Level of Efficiency Assumptions'!I:I,I3079)</f>
        <v>5</v>
      </c>
      <c r="K3079" s="383" t="s">
        <v>588</v>
      </c>
      <c r="L3079" s="257" t="s">
        <v>66</v>
      </c>
      <c r="M3079" s="879">
        <f>Q3081+Q3082</f>
        <v>0</v>
      </c>
      <c r="N3079" s="880">
        <f>IFERROR(M3079/M3080,"-")</f>
        <v>0</v>
      </c>
      <c r="O3079" s="881">
        <f>SUMIFS('Data Entry'!T:T,'Data Entry'!K:K,G3079)</f>
        <v>0</v>
      </c>
      <c r="P3079" s="274"/>
      <c r="Q3079" s="895">
        <v>1</v>
      </c>
      <c r="R3079" s="114"/>
      <c r="S3079" s="884"/>
      <c r="T3079" s="270"/>
      <c r="U3079" s="270"/>
      <c r="V3079" s="270"/>
      <c r="W3079" s="270"/>
      <c r="X3079" s="270"/>
      <c r="Y3079" s="114"/>
      <c r="Z3079" s="114"/>
      <c r="AA3079" s="114"/>
      <c r="AB3079" s="85"/>
    </row>
    <row r="3080" spans="3:28" x14ac:dyDescent="0.3">
      <c r="C3080" s="450"/>
      <c r="D3080" s="182"/>
      <c r="E3080" s="182"/>
      <c r="F3080" s="182"/>
      <c r="G3080" s="450" t="str">
        <f t="shared" si="149"/>
        <v>--</v>
      </c>
      <c r="H3080" s="182"/>
      <c r="I3080" s="440"/>
      <c r="J3080" s="892"/>
      <c r="K3080" s="259"/>
      <c r="L3080" s="259" t="s">
        <v>46</v>
      </c>
      <c r="M3080" s="893">
        <f>SUM(M3077:M3079)</f>
        <v>1</v>
      </c>
      <c r="N3080" s="894"/>
      <c r="O3080" s="894">
        <f>SUM(O3077:O3079)</f>
        <v>0</v>
      </c>
      <c r="P3080" s="274"/>
      <c r="Q3080" s="895">
        <v>0</v>
      </c>
      <c r="R3080" s="114"/>
      <c r="S3080" s="884"/>
      <c r="T3080" s="270"/>
      <c r="U3080" s="270"/>
      <c r="V3080" s="270"/>
      <c r="W3080" s="270"/>
      <c r="X3080" s="270"/>
      <c r="Y3080" s="114"/>
      <c r="Z3080" s="114"/>
      <c r="AA3080" s="114"/>
      <c r="AB3080" s="85"/>
    </row>
    <row r="3081" spans="3:28" x14ac:dyDescent="0.3">
      <c r="C3081" s="450"/>
      <c r="D3081" s="182"/>
      <c r="E3081" s="182"/>
      <c r="F3081" s="182"/>
      <c r="G3081" s="450" t="str">
        <f t="shared" si="149"/>
        <v>--</v>
      </c>
      <c r="H3081" s="182"/>
      <c r="I3081" s="892"/>
      <c r="J3081" s="288"/>
      <c r="K3081" s="182"/>
      <c r="L3081" s="182"/>
      <c r="M3081" s="270"/>
      <c r="N3081" s="892"/>
      <c r="O3081" s="892"/>
      <c r="P3081" s="275"/>
      <c r="Q3081" s="895">
        <v>0</v>
      </c>
      <c r="R3081" s="114"/>
      <c r="S3081" s="884"/>
      <c r="T3081" s="270"/>
      <c r="U3081" s="270"/>
      <c r="V3081" s="270"/>
      <c r="W3081" s="270"/>
      <c r="X3081" s="270"/>
      <c r="Y3081" s="114"/>
      <c r="Z3081" s="114"/>
      <c r="AA3081" s="270"/>
    </row>
    <row r="3082" spans="3:28" x14ac:dyDescent="0.3">
      <c r="C3082" s="450"/>
      <c r="D3082" s="182"/>
      <c r="E3082" s="182"/>
      <c r="F3082" s="182"/>
      <c r="G3082" s="450" t="str">
        <f t="shared" si="149"/>
        <v>--</v>
      </c>
      <c r="H3082" s="182"/>
      <c r="I3082" s="892"/>
      <c r="J3082" s="288"/>
      <c r="K3082" s="182"/>
      <c r="L3082" s="182"/>
      <c r="M3082" s="270"/>
      <c r="N3082" s="892"/>
      <c r="O3082" s="892"/>
      <c r="P3082" s="269"/>
      <c r="Q3082" s="895">
        <v>0</v>
      </c>
      <c r="R3082" s="114"/>
      <c r="S3082" s="884"/>
      <c r="T3082" s="270"/>
      <c r="U3082" s="270"/>
      <c r="V3082" s="270"/>
      <c r="W3082" s="270"/>
      <c r="X3082" s="270"/>
      <c r="Y3082" s="114"/>
      <c r="Z3082" s="114"/>
      <c r="AA3082" s="270"/>
    </row>
    <row r="3083" spans="3:28" x14ac:dyDescent="0.3">
      <c r="C3083" s="450"/>
      <c r="D3083" s="182"/>
      <c r="E3083" s="182"/>
      <c r="F3083" s="182"/>
      <c r="G3083" s="450" t="str">
        <f t="shared" si="149"/>
        <v>--</v>
      </c>
      <c r="H3083" s="182"/>
      <c r="I3083" s="892"/>
      <c r="J3083" s="288"/>
      <c r="K3083" s="182"/>
      <c r="L3083" s="182"/>
      <c r="M3083" s="270"/>
      <c r="N3083" s="892"/>
      <c r="O3083" s="892"/>
      <c r="P3083" s="263" t="s">
        <v>46</v>
      </c>
      <c r="Q3083" s="897">
        <f>SUM(Q3077:Q3082)</f>
        <v>1</v>
      </c>
      <c r="R3083" s="899"/>
      <c r="S3083" s="900"/>
      <c r="T3083" s="270"/>
      <c r="U3083" s="270"/>
      <c r="V3083" s="270"/>
      <c r="W3083" s="270"/>
      <c r="X3083" s="270"/>
      <c r="Y3083" s="270"/>
      <c r="Z3083" s="270"/>
      <c r="AA3083" s="270"/>
    </row>
    <row r="3084" spans="3:28" x14ac:dyDescent="0.3">
      <c r="C3084" s="450"/>
      <c r="D3084" s="182"/>
      <c r="E3084" s="182"/>
      <c r="F3084" s="182"/>
      <c r="G3084" s="450" t="str">
        <f t="shared" si="149"/>
        <v>--</v>
      </c>
      <c r="H3084" s="182"/>
      <c r="I3084" s="892"/>
      <c r="J3084" s="288"/>
      <c r="K3084" s="182"/>
      <c r="L3084" s="182"/>
      <c r="M3084" s="270"/>
      <c r="N3084" s="892"/>
      <c r="O3084" s="892"/>
      <c r="P3084" s="270"/>
      <c r="Q3084" s="270"/>
      <c r="R3084" s="270"/>
      <c r="S3084" s="270"/>
      <c r="T3084" s="270"/>
      <c r="U3084" s="270"/>
      <c r="V3084" s="270"/>
      <c r="W3084" s="270"/>
      <c r="X3084" s="270"/>
      <c r="Y3084" s="270"/>
      <c r="Z3084" s="270"/>
      <c r="AA3084" s="270"/>
    </row>
    <row r="3085" spans="3:28" x14ac:dyDescent="0.3">
      <c r="C3085" s="450"/>
      <c r="D3085" s="182"/>
      <c r="E3085" s="182"/>
      <c r="F3085" s="182"/>
      <c r="G3085" s="450" t="str">
        <f t="shared" si="149"/>
        <v>--</v>
      </c>
      <c r="H3085" s="182"/>
      <c r="I3085" s="892"/>
      <c r="J3085" s="288"/>
      <c r="K3085" s="182"/>
      <c r="L3085" s="182"/>
      <c r="M3085" s="270"/>
      <c r="N3085" s="892"/>
      <c r="O3085" s="892"/>
      <c r="P3085" s="276" t="s">
        <v>42</v>
      </c>
      <c r="Q3085" s="902"/>
      <c r="R3085" s="902"/>
      <c r="S3085" s="902"/>
      <c r="T3085" s="271"/>
      <c r="U3085" s="114"/>
      <c r="V3085" s="114"/>
      <c r="W3085" s="270"/>
      <c r="X3085" s="270"/>
      <c r="Y3085" s="270"/>
      <c r="Z3085" s="270"/>
      <c r="AA3085" s="270"/>
    </row>
    <row r="3086" spans="3:28" ht="15" thickBot="1" x14ac:dyDescent="0.35">
      <c r="C3086" s="450"/>
      <c r="D3086" s="182"/>
      <c r="E3086" s="182"/>
      <c r="F3086" s="182"/>
      <c r="G3086" s="450" t="str">
        <f t="shared" si="149"/>
        <v>--</v>
      </c>
      <c r="H3086" s="182"/>
      <c r="I3086" s="892"/>
      <c r="J3086" s="892"/>
      <c r="K3086" s="182"/>
      <c r="L3086" s="182"/>
      <c r="M3086" s="901" t="s">
        <v>155</v>
      </c>
      <c r="N3086" s="870" t="s">
        <v>188</v>
      </c>
      <c r="O3086" s="870"/>
      <c r="P3086" s="277" t="s">
        <v>818</v>
      </c>
      <c r="Q3086" s="871" t="s">
        <v>155</v>
      </c>
      <c r="R3086" s="114"/>
      <c r="S3086" s="114"/>
      <c r="T3086" s="271"/>
      <c r="U3086" s="114"/>
      <c r="V3086" s="114"/>
      <c r="W3086" s="270"/>
      <c r="X3086" s="270"/>
      <c r="Y3086" s="270"/>
      <c r="Z3086" s="270"/>
      <c r="AA3086" s="270"/>
    </row>
    <row r="3087" spans="3:28" ht="15" thickBot="1" x14ac:dyDescent="0.35">
      <c r="C3087" s="566" t="s">
        <v>108</v>
      </c>
      <c r="D3087" s="875" t="str">
        <f>VLOOKUP(C3087,'Airport Mapping'!$C$5:$D$39,2,FALSE)</f>
        <v xml:space="preserve"> </v>
      </c>
      <c r="E3087" s="567" t="s">
        <v>39</v>
      </c>
      <c r="F3087" s="567" t="s">
        <v>42</v>
      </c>
      <c r="G3087" s="450" t="str">
        <f t="shared" si="149"/>
        <v>Tenant C-Landscaping-Outdoor irrigation</v>
      </c>
      <c r="H3087" s="567" t="s">
        <v>32</v>
      </c>
      <c r="I3087" s="877" t="s">
        <v>64</v>
      </c>
      <c r="J3087" s="878">
        <f>SUMIFS('Level of Efficiency Assumptions'!J:J,'Level of Efficiency Assumptions'!D:D,E3087,'Level of Efficiency Assumptions'!F:F,F3087,'Level of Efficiency Assumptions'!I:I,I3087)</f>
        <v>28.6</v>
      </c>
      <c r="K3087" s="383" t="s">
        <v>816</v>
      </c>
      <c r="L3087" s="253" t="s">
        <v>64</v>
      </c>
      <c r="M3087" s="879">
        <f>SUM(Q3087:Q3088)</f>
        <v>0</v>
      </c>
      <c r="N3087" s="880">
        <f>IFERROR(M3087/M3090,"-")</f>
        <v>0</v>
      </c>
      <c r="O3087" s="881">
        <f>SUMIFS('Data Entry'!R:R,'Data Entry'!K:K,G3087)</f>
        <v>0</v>
      </c>
      <c r="P3087" s="272" t="s">
        <v>237</v>
      </c>
      <c r="Q3087" s="895">
        <v>0</v>
      </c>
      <c r="R3087" s="114"/>
      <c r="S3087" s="114"/>
      <c r="T3087" s="271"/>
      <c r="U3087" s="114"/>
      <c r="V3087" s="114"/>
      <c r="W3087" s="270"/>
      <c r="X3087" s="270"/>
      <c r="Y3087" s="270"/>
      <c r="Z3087" s="270"/>
      <c r="AA3087" s="270"/>
    </row>
    <row r="3088" spans="3:28" ht="15" thickBot="1" x14ac:dyDescent="0.35">
      <c r="C3088" s="494" t="s">
        <v>108</v>
      </c>
      <c r="D3088" s="577"/>
      <c r="E3088" s="577" t="s">
        <v>39</v>
      </c>
      <c r="F3088" s="577" t="s">
        <v>42</v>
      </c>
      <c r="G3088" s="450" t="str">
        <f t="shared" si="149"/>
        <v>Tenant C-Landscaping-Outdoor irrigation</v>
      </c>
      <c r="H3088" s="577"/>
      <c r="I3088" s="887" t="s">
        <v>65</v>
      </c>
      <c r="J3088" s="878">
        <f>SUMIFS('Level of Efficiency Assumptions'!J:J,'Level of Efficiency Assumptions'!D:D,E3088,'Level of Efficiency Assumptions'!F:F,F3088,'Level of Efficiency Assumptions'!I:I,I3088)</f>
        <v>13.980821518350929</v>
      </c>
      <c r="K3088" s="383" t="s">
        <v>816</v>
      </c>
      <c r="L3088" s="255" t="s">
        <v>65</v>
      </c>
      <c r="M3088" s="879">
        <f>Q3089+Q3090</f>
        <v>1</v>
      </c>
      <c r="N3088" s="880">
        <f>IFERROR(M3088/M3090,"-")</f>
        <v>1</v>
      </c>
      <c r="O3088" s="881">
        <f>SUMIFS('Data Entry'!S:S,'Data Entry'!K:K,G3088)</f>
        <v>0</v>
      </c>
      <c r="P3088" s="272" t="s">
        <v>232</v>
      </c>
      <c r="Q3088" s="895">
        <v>0</v>
      </c>
      <c r="R3088" s="114"/>
      <c r="S3088" s="114"/>
      <c r="T3088" s="271"/>
      <c r="U3088" s="114"/>
      <c r="V3088" s="114"/>
      <c r="W3088" s="270"/>
      <c r="X3088" s="270"/>
      <c r="Y3088" s="270"/>
      <c r="Z3088" s="270"/>
      <c r="AA3088" s="270"/>
    </row>
    <row r="3089" spans="3:27" ht="15" thickBot="1" x14ac:dyDescent="0.35">
      <c r="C3089" s="501" t="s">
        <v>108</v>
      </c>
      <c r="D3089" s="116"/>
      <c r="E3089" s="116" t="s">
        <v>39</v>
      </c>
      <c r="F3089" s="116" t="s">
        <v>42</v>
      </c>
      <c r="G3089" s="450" t="str">
        <f t="shared" si="149"/>
        <v>Tenant C-Landscaping-Outdoor irrigation</v>
      </c>
      <c r="H3089" s="116"/>
      <c r="I3089" s="889" t="s">
        <v>66</v>
      </c>
      <c r="J3089" s="890">
        <f>SUMIFS('Level of Efficiency Assumptions'!J:J,'Level of Efficiency Assumptions'!D:D,E3089,'Level of Efficiency Assumptions'!F:F,F3089,'Level of Efficiency Assumptions'!I:I,I3089)</f>
        <v>0.59137254901960778</v>
      </c>
      <c r="K3089" s="383" t="s">
        <v>816</v>
      </c>
      <c r="L3089" s="257" t="s">
        <v>66</v>
      </c>
      <c r="M3089" s="879">
        <f>Q3091+Q3092</f>
        <v>0</v>
      </c>
      <c r="N3089" s="880">
        <f>IFERROR(M3089/M3090,"-")</f>
        <v>0</v>
      </c>
      <c r="O3089" s="881">
        <f>SUMIFS('Data Entry'!T:T,'Data Entry'!K:K,G3089)</f>
        <v>0</v>
      </c>
      <c r="P3089" s="274" t="s">
        <v>231</v>
      </c>
      <c r="Q3089" s="895">
        <v>1</v>
      </c>
      <c r="R3089" s="114"/>
      <c r="S3089" s="114"/>
      <c r="T3089" s="271"/>
      <c r="U3089" s="114"/>
      <c r="V3089" s="114"/>
      <c r="W3089" s="270"/>
      <c r="X3089" s="270"/>
      <c r="Y3089" s="270"/>
      <c r="Z3089" s="270"/>
      <c r="AA3089" s="270"/>
    </row>
    <row r="3090" spans="3:27" x14ac:dyDescent="0.3">
      <c r="C3090" s="450"/>
      <c r="D3090" s="182"/>
      <c r="E3090" s="182"/>
      <c r="F3090" s="182"/>
      <c r="G3090" s="450" t="str">
        <f t="shared" si="149"/>
        <v>--</v>
      </c>
      <c r="H3090" s="182"/>
      <c r="I3090" s="440"/>
      <c r="J3090" s="892"/>
      <c r="K3090" s="259"/>
      <c r="L3090" s="259" t="s">
        <v>46</v>
      </c>
      <c r="M3090" s="893">
        <f>SUM(M3087:M3089)</f>
        <v>1</v>
      </c>
      <c r="N3090" s="894"/>
      <c r="O3090" s="894">
        <f>SUM(O3087:O3089)</f>
        <v>0</v>
      </c>
      <c r="P3090" s="274" t="s">
        <v>230</v>
      </c>
      <c r="Q3090" s="895">
        <v>0</v>
      </c>
      <c r="R3090" s="114"/>
      <c r="S3090" s="114"/>
      <c r="T3090" s="271"/>
      <c r="U3090" s="114"/>
      <c r="V3090" s="114"/>
      <c r="W3090" s="270"/>
      <c r="X3090" s="270"/>
      <c r="Y3090" s="270"/>
      <c r="Z3090" s="270"/>
      <c r="AA3090" s="270"/>
    </row>
    <row r="3091" spans="3:27" x14ac:dyDescent="0.3">
      <c r="C3091" s="450"/>
      <c r="D3091" s="182"/>
      <c r="E3091" s="182"/>
      <c r="F3091" s="182"/>
      <c r="G3091" s="450" t="str">
        <f t="shared" si="149"/>
        <v>--</v>
      </c>
      <c r="H3091" s="182"/>
      <c r="I3091" s="892"/>
      <c r="J3091" s="288"/>
      <c r="K3091" s="182"/>
      <c r="L3091" s="182"/>
      <c r="M3091" s="270"/>
      <c r="N3091" s="892"/>
      <c r="O3091" s="892"/>
      <c r="P3091" s="275" t="s">
        <v>229</v>
      </c>
      <c r="Q3091" s="895">
        <v>0</v>
      </c>
      <c r="R3091" s="114"/>
      <c r="S3091" s="114"/>
      <c r="T3091" s="271"/>
      <c r="U3091" s="114"/>
      <c r="V3091" s="114"/>
      <c r="W3091" s="270"/>
      <c r="X3091" s="270"/>
      <c r="Y3091" s="270"/>
      <c r="Z3091" s="270"/>
      <c r="AA3091" s="270"/>
    </row>
    <row r="3092" spans="3:27" x14ac:dyDescent="0.3">
      <c r="C3092" s="450"/>
      <c r="D3092" s="182"/>
      <c r="E3092" s="182"/>
      <c r="F3092" s="182"/>
      <c r="G3092" s="450" t="str">
        <f t="shared" si="149"/>
        <v>--</v>
      </c>
      <c r="H3092" s="182"/>
      <c r="I3092" s="892"/>
      <c r="J3092" s="288"/>
      <c r="K3092" s="182"/>
      <c r="L3092" s="182"/>
      <c r="M3092" s="270"/>
      <c r="N3092" s="892"/>
      <c r="O3092" s="892"/>
      <c r="P3092" s="269" t="s">
        <v>225</v>
      </c>
      <c r="Q3092" s="895">
        <v>0</v>
      </c>
      <c r="R3092" s="114"/>
      <c r="S3092" s="114"/>
      <c r="T3092" s="271"/>
      <c r="U3092" s="114"/>
      <c r="V3092" s="114"/>
      <c r="W3092" s="270"/>
      <c r="X3092" s="270"/>
      <c r="Y3092" s="270"/>
      <c r="Z3092" s="270"/>
      <c r="AA3092" s="270"/>
    </row>
    <row r="3093" spans="3:27" x14ac:dyDescent="0.3">
      <c r="C3093" s="450"/>
      <c r="D3093" s="182"/>
      <c r="E3093" s="182"/>
      <c r="F3093" s="182"/>
      <c r="G3093" s="450" t="str">
        <f t="shared" si="149"/>
        <v>--</v>
      </c>
      <c r="H3093" s="182"/>
      <c r="I3093" s="892"/>
      <c r="J3093" s="288"/>
      <c r="K3093" s="182"/>
      <c r="L3093" s="182"/>
      <c r="M3093" s="270"/>
      <c r="N3093" s="892"/>
      <c r="O3093" s="892"/>
      <c r="P3093" s="263" t="s">
        <v>46</v>
      </c>
      <c r="Q3093" s="897">
        <f>SUM(Q3087:Q3092)</f>
        <v>1</v>
      </c>
      <c r="R3093" s="899"/>
      <c r="S3093" s="899"/>
      <c r="T3093" s="271"/>
      <c r="U3093" s="114"/>
      <c r="V3093" s="114"/>
      <c r="W3093" s="270"/>
      <c r="X3093" s="270"/>
      <c r="Y3093" s="270"/>
      <c r="Z3093" s="270"/>
      <c r="AA3093" s="270"/>
    </row>
    <row r="3094" spans="3:27" x14ac:dyDescent="0.3">
      <c r="C3094" s="450"/>
      <c r="D3094" s="182"/>
      <c r="E3094" s="182"/>
      <c r="F3094" s="182"/>
      <c r="G3094" s="450" t="str">
        <f t="shared" ref="G3094:G3154" si="150">C3094&amp;"-"&amp;E3094&amp;"-"&amp;F3094</f>
        <v>--</v>
      </c>
      <c r="H3094" s="182"/>
      <c r="I3094" s="892"/>
      <c r="J3094" s="288"/>
      <c r="K3094" s="182"/>
      <c r="L3094" s="182"/>
      <c r="M3094" s="270"/>
      <c r="N3094" s="892"/>
      <c r="O3094" s="892"/>
      <c r="P3094" s="270"/>
      <c r="Q3094" s="270"/>
      <c r="R3094" s="270"/>
      <c r="S3094" s="270"/>
      <c r="T3094" s="270"/>
      <c r="U3094" s="270"/>
      <c r="V3094" s="270"/>
      <c r="W3094" s="270"/>
      <c r="X3094" s="270"/>
      <c r="Y3094" s="270"/>
      <c r="Z3094" s="270"/>
      <c r="AA3094" s="270"/>
    </row>
    <row r="3095" spans="3:27" ht="15" thickBot="1" x14ac:dyDescent="0.35">
      <c r="C3095" s="450"/>
      <c r="D3095" s="182"/>
      <c r="E3095" s="182"/>
      <c r="F3095" s="182"/>
      <c r="G3095" s="450" t="str">
        <f t="shared" si="150"/>
        <v>--</v>
      </c>
      <c r="H3095" s="182"/>
      <c r="I3095" s="892"/>
      <c r="J3095" s="892"/>
      <c r="K3095" s="182"/>
      <c r="L3095" s="182"/>
      <c r="M3095" s="901" t="s">
        <v>155</v>
      </c>
      <c r="N3095" s="870" t="s">
        <v>188</v>
      </c>
      <c r="O3095" s="870"/>
      <c r="P3095" s="276" t="s">
        <v>111</v>
      </c>
      <c r="Q3095" s="871" t="s">
        <v>155</v>
      </c>
      <c r="R3095" s="902"/>
      <c r="S3095" s="874"/>
      <c r="T3095" s="270"/>
      <c r="U3095" s="270"/>
      <c r="V3095" s="270"/>
      <c r="W3095" s="270"/>
      <c r="X3095" s="270"/>
      <c r="Y3095" s="270"/>
      <c r="Z3095" s="270"/>
      <c r="AA3095" s="270"/>
    </row>
    <row r="3096" spans="3:27" ht="15" thickBot="1" x14ac:dyDescent="0.35">
      <c r="C3096" s="566" t="s">
        <v>108</v>
      </c>
      <c r="D3096" s="875" t="str">
        <f>VLOOKUP(C3096,'Airport Mapping'!$C$5:$D$39,2,FALSE)</f>
        <v xml:space="preserve"> </v>
      </c>
      <c r="E3096" s="567" t="s">
        <v>43</v>
      </c>
      <c r="F3096" s="567" t="s">
        <v>111</v>
      </c>
      <c r="G3096" s="450" t="str">
        <f t="shared" si="150"/>
        <v>Tenant C-Maintenance-Boiler</v>
      </c>
      <c r="H3096" s="567" t="s">
        <v>424</v>
      </c>
      <c r="I3096" s="877" t="s">
        <v>64</v>
      </c>
      <c r="J3096" s="878">
        <f>SUMIFS('Level of Efficiency Assumptions'!J:J,'Level of Efficiency Assumptions'!D:D,E3096,'Level of Efficiency Assumptions'!F:F,F3096,'Level of Efficiency Assumptions'!I:I,I3096)</f>
        <v>100</v>
      </c>
      <c r="K3096" s="383" t="s">
        <v>585</v>
      </c>
      <c r="L3096" s="253" t="s">
        <v>64</v>
      </c>
      <c r="M3096" s="879">
        <f>SUM(Q3096:Q3097)</f>
        <v>0</v>
      </c>
      <c r="N3096" s="880">
        <f>IFERROR(M3096/M3099,"-")</f>
        <v>0</v>
      </c>
      <c r="O3096" s="881">
        <f>SUMIFS('Data Entry'!R:R,'Data Entry'!K:K,G3096)</f>
        <v>0</v>
      </c>
      <c r="P3096" s="272"/>
      <c r="Q3096" s="895">
        <v>0</v>
      </c>
      <c r="R3096" s="114"/>
      <c r="S3096" s="884"/>
      <c r="T3096" s="270"/>
      <c r="U3096" s="270"/>
      <c r="V3096" s="270"/>
      <c r="W3096" s="270"/>
      <c r="X3096" s="270"/>
      <c r="Y3096" s="270"/>
      <c r="Z3096" s="270"/>
      <c r="AA3096" s="270"/>
    </row>
    <row r="3097" spans="3:27" ht="15" thickBot="1" x14ac:dyDescent="0.35">
      <c r="C3097" s="494" t="s">
        <v>108</v>
      </c>
      <c r="D3097" s="577"/>
      <c r="E3097" s="577" t="s">
        <v>43</v>
      </c>
      <c r="F3097" s="577" t="s">
        <v>111</v>
      </c>
      <c r="G3097" s="450" t="str">
        <f t="shared" si="150"/>
        <v>Tenant C-Maintenance-Boiler</v>
      </c>
      <c r="H3097" s="577"/>
      <c r="I3097" s="887" t="s">
        <v>65</v>
      </c>
      <c r="J3097" s="878">
        <f>SUMIFS('Level of Efficiency Assumptions'!J:J,'Level of Efficiency Assumptions'!D:D,E3097,'Level of Efficiency Assumptions'!F:F,F3097,'Level of Efficiency Assumptions'!I:I,I3097)</f>
        <v>75</v>
      </c>
      <c r="K3097" s="383" t="s">
        <v>585</v>
      </c>
      <c r="L3097" s="255" t="s">
        <v>65</v>
      </c>
      <c r="M3097" s="879">
        <f>Q3098+Q3099</f>
        <v>1</v>
      </c>
      <c r="N3097" s="880">
        <f>IFERROR(M3097/M3099,"-")</f>
        <v>1</v>
      </c>
      <c r="O3097" s="881">
        <f>SUMIFS('Data Entry'!S:S,'Data Entry'!K:K,G3097)</f>
        <v>0</v>
      </c>
      <c r="P3097" s="272"/>
      <c r="Q3097" s="895">
        <v>0</v>
      </c>
      <c r="R3097" s="114"/>
      <c r="S3097" s="884"/>
      <c r="T3097" s="270"/>
      <c r="U3097" s="270"/>
      <c r="V3097" s="270"/>
      <c r="W3097" s="270"/>
      <c r="X3097" s="270"/>
      <c r="Y3097" s="270"/>
      <c r="Z3097" s="270"/>
      <c r="AA3097" s="270"/>
    </row>
    <row r="3098" spans="3:27" ht="15" thickBot="1" x14ac:dyDescent="0.35">
      <c r="C3098" s="501" t="s">
        <v>108</v>
      </c>
      <c r="D3098" s="116"/>
      <c r="E3098" s="116" t="s">
        <v>43</v>
      </c>
      <c r="F3098" s="116" t="s">
        <v>111</v>
      </c>
      <c r="G3098" s="450" t="str">
        <f t="shared" si="150"/>
        <v>Tenant C-Maintenance-Boiler</v>
      </c>
      <c r="H3098" s="116"/>
      <c r="I3098" s="889" t="s">
        <v>66</v>
      </c>
      <c r="J3098" s="890">
        <f>SUMIFS('Level of Efficiency Assumptions'!J:J,'Level of Efficiency Assumptions'!D:D,E3098,'Level of Efficiency Assumptions'!F:F,F3098,'Level of Efficiency Assumptions'!I:I,I3098)</f>
        <v>50</v>
      </c>
      <c r="K3098" s="383" t="s">
        <v>585</v>
      </c>
      <c r="L3098" s="257" t="s">
        <v>66</v>
      </c>
      <c r="M3098" s="879">
        <f>Q3100+Q3101</f>
        <v>0</v>
      </c>
      <c r="N3098" s="880">
        <f>IFERROR(M3098/M3099,"-")</f>
        <v>0</v>
      </c>
      <c r="O3098" s="881">
        <f>SUMIFS('Data Entry'!T:T,'Data Entry'!K:K,G3098)</f>
        <v>0</v>
      </c>
      <c r="P3098" s="274"/>
      <c r="Q3098" s="895">
        <v>1</v>
      </c>
      <c r="R3098" s="114"/>
      <c r="S3098" s="884"/>
      <c r="T3098" s="270"/>
      <c r="U3098" s="270"/>
      <c r="V3098" s="270"/>
      <c r="W3098" s="270"/>
      <c r="X3098" s="270"/>
      <c r="Y3098" s="270"/>
      <c r="Z3098" s="270"/>
      <c r="AA3098" s="270"/>
    </row>
    <row r="3099" spans="3:27" x14ac:dyDescent="0.3">
      <c r="C3099" s="450"/>
      <c r="D3099" s="182"/>
      <c r="E3099" s="182"/>
      <c r="F3099" s="182"/>
      <c r="G3099" s="450" t="str">
        <f t="shared" si="150"/>
        <v>--</v>
      </c>
      <c r="H3099" s="182"/>
      <c r="I3099" s="440"/>
      <c r="J3099" s="892"/>
      <c r="K3099" s="259"/>
      <c r="L3099" s="259" t="s">
        <v>46</v>
      </c>
      <c r="M3099" s="893">
        <f>SUM(M3096:M3098)</f>
        <v>1</v>
      </c>
      <c r="N3099" s="894"/>
      <c r="O3099" s="894">
        <f>SUM(O3096:O3098)</f>
        <v>0</v>
      </c>
      <c r="P3099" s="274"/>
      <c r="Q3099" s="895">
        <v>0</v>
      </c>
      <c r="R3099" s="114"/>
      <c r="S3099" s="884"/>
      <c r="T3099" s="270"/>
      <c r="U3099" s="270"/>
      <c r="V3099" s="270"/>
      <c r="W3099" s="270"/>
      <c r="X3099" s="270"/>
      <c r="Y3099" s="270"/>
      <c r="Z3099" s="270"/>
      <c r="AA3099" s="270"/>
    </row>
    <row r="3100" spans="3:27" x14ac:dyDescent="0.3">
      <c r="C3100" s="450"/>
      <c r="D3100" s="182"/>
      <c r="E3100" s="182"/>
      <c r="F3100" s="182"/>
      <c r="G3100" s="450" t="str">
        <f t="shared" si="150"/>
        <v>--</v>
      </c>
      <c r="H3100" s="182"/>
      <c r="I3100" s="892"/>
      <c r="J3100" s="288"/>
      <c r="K3100" s="182"/>
      <c r="L3100" s="182"/>
      <c r="M3100" s="270"/>
      <c r="N3100" s="892"/>
      <c r="O3100" s="892"/>
      <c r="P3100" s="275"/>
      <c r="Q3100" s="895">
        <v>0</v>
      </c>
      <c r="R3100" s="114"/>
      <c r="S3100" s="884"/>
      <c r="T3100" s="270"/>
      <c r="U3100" s="270"/>
      <c r="V3100" s="270"/>
      <c r="W3100" s="270"/>
      <c r="X3100" s="270"/>
      <c r="Y3100" s="270"/>
      <c r="Z3100" s="270"/>
      <c r="AA3100" s="270"/>
    </row>
    <row r="3101" spans="3:27" x14ac:dyDescent="0.3">
      <c r="C3101" s="450"/>
      <c r="D3101" s="182"/>
      <c r="E3101" s="182"/>
      <c r="F3101" s="182"/>
      <c r="G3101" s="450" t="str">
        <f t="shared" si="150"/>
        <v>--</v>
      </c>
      <c r="H3101" s="182"/>
      <c r="I3101" s="892"/>
      <c r="J3101" s="288"/>
      <c r="K3101" s="182"/>
      <c r="L3101" s="182"/>
      <c r="M3101" s="270"/>
      <c r="N3101" s="892"/>
      <c r="O3101" s="892"/>
      <c r="P3101" s="269"/>
      <c r="Q3101" s="895">
        <v>0</v>
      </c>
      <c r="R3101" s="114"/>
      <c r="S3101" s="884"/>
      <c r="T3101" s="270"/>
      <c r="U3101" s="270"/>
      <c r="V3101" s="270"/>
      <c r="W3101" s="270"/>
      <c r="X3101" s="270"/>
      <c r="Y3101" s="270"/>
      <c r="Z3101" s="270"/>
      <c r="AA3101" s="270"/>
    </row>
    <row r="3102" spans="3:27" x14ac:dyDescent="0.3">
      <c r="C3102" s="450"/>
      <c r="D3102" s="182"/>
      <c r="E3102" s="182"/>
      <c r="F3102" s="182"/>
      <c r="G3102" s="450" t="str">
        <f t="shared" si="150"/>
        <v>--</v>
      </c>
      <c r="H3102" s="182"/>
      <c r="I3102" s="892"/>
      <c r="J3102" s="288"/>
      <c r="K3102" s="182"/>
      <c r="L3102" s="182"/>
      <c r="M3102" s="270"/>
      <c r="N3102" s="892"/>
      <c r="O3102" s="892"/>
      <c r="P3102" s="263" t="s">
        <v>46</v>
      </c>
      <c r="Q3102" s="897">
        <f>SUM(Q3096:Q3101)</f>
        <v>1</v>
      </c>
      <c r="R3102" s="899"/>
      <c r="S3102" s="900"/>
      <c r="T3102" s="270"/>
      <c r="U3102" s="270"/>
      <c r="V3102" s="270"/>
      <c r="W3102" s="270"/>
      <c r="X3102" s="270"/>
      <c r="Y3102" s="270"/>
      <c r="Z3102" s="270"/>
      <c r="AA3102" s="270"/>
    </row>
    <row r="3103" spans="3:27" x14ac:dyDescent="0.3">
      <c r="C3103" s="225"/>
      <c r="D3103" s="288"/>
      <c r="E3103" s="288"/>
      <c r="F3103" s="288"/>
      <c r="G3103" s="450" t="str">
        <f t="shared" si="150"/>
        <v>--</v>
      </c>
      <c r="H3103" s="182"/>
      <c r="I3103" s="892"/>
      <c r="J3103" s="288"/>
      <c r="K3103" s="182"/>
      <c r="L3103" s="182"/>
      <c r="M3103" s="270"/>
      <c r="N3103" s="892"/>
      <c r="O3103" s="892"/>
      <c r="P3103" s="259"/>
      <c r="Q3103" s="114"/>
      <c r="R3103" s="270"/>
      <c r="S3103" s="270"/>
      <c r="T3103" s="270"/>
      <c r="U3103" s="270"/>
      <c r="V3103" s="270"/>
      <c r="W3103" s="270"/>
      <c r="X3103" s="270"/>
      <c r="Y3103" s="270"/>
      <c r="Z3103" s="270"/>
      <c r="AA3103" s="270"/>
    </row>
    <row r="3104" spans="3:27" ht="15" thickBot="1" x14ac:dyDescent="0.35">
      <c r="C3104" s="450"/>
      <c r="D3104" s="182"/>
      <c r="E3104" s="182"/>
      <c r="F3104" s="182"/>
      <c r="G3104" s="450" t="str">
        <f t="shared" si="150"/>
        <v>--</v>
      </c>
      <c r="H3104" s="182"/>
      <c r="I3104" s="892"/>
      <c r="J3104" s="892"/>
      <c r="K3104" s="182"/>
      <c r="L3104" s="182"/>
      <c r="M3104" s="901" t="s">
        <v>155</v>
      </c>
      <c r="N3104" s="870" t="s">
        <v>188</v>
      </c>
      <c r="O3104" s="870"/>
      <c r="P3104" s="276" t="s">
        <v>9</v>
      </c>
      <c r="Q3104" s="871" t="s">
        <v>155</v>
      </c>
      <c r="R3104" s="902"/>
      <c r="S3104" s="874"/>
      <c r="T3104" s="270"/>
      <c r="U3104" s="270"/>
      <c r="V3104" s="270"/>
      <c r="W3104" s="270"/>
      <c r="X3104" s="270"/>
      <c r="Y3104" s="270"/>
      <c r="Z3104" s="270"/>
      <c r="AA3104" s="270"/>
    </row>
    <row r="3105" spans="3:27" ht="15" thickBot="1" x14ac:dyDescent="0.35">
      <c r="C3105" s="566" t="s">
        <v>108</v>
      </c>
      <c r="D3105" s="875" t="str">
        <f>VLOOKUP(C3105,'Airport Mapping'!$C$5:$D$39,2,FALSE)</f>
        <v xml:space="preserve"> </v>
      </c>
      <c r="E3105" s="567" t="s">
        <v>43</v>
      </c>
      <c r="F3105" s="567" t="s">
        <v>25</v>
      </c>
      <c r="G3105" s="450" t="str">
        <f t="shared" si="150"/>
        <v>Tenant C-Maintenance-Fleet vehicle washing</v>
      </c>
      <c r="H3105" s="567" t="s">
        <v>10</v>
      </c>
      <c r="I3105" s="877" t="s">
        <v>64</v>
      </c>
      <c r="J3105" s="878">
        <f>SUMIFS('Level of Efficiency Assumptions'!J:J,'Level of Efficiency Assumptions'!D:D,E3105,'Level of Efficiency Assumptions'!F:F,F3105,'Level of Efficiency Assumptions'!I:I,I3105)</f>
        <v>10</v>
      </c>
      <c r="K3105" s="383" t="s">
        <v>588</v>
      </c>
      <c r="L3105" s="253" t="s">
        <v>64</v>
      </c>
      <c r="M3105" s="879">
        <f>SUM(Q3105:Q3106)</f>
        <v>0</v>
      </c>
      <c r="N3105" s="880">
        <f>IFERROR(M3105/M3108,"-")</f>
        <v>0</v>
      </c>
      <c r="O3105" s="881">
        <f>SUMIFS('Data Entry'!R:R,'Data Entry'!K:K,G3105)</f>
        <v>0</v>
      </c>
      <c r="P3105" s="272"/>
      <c r="Q3105" s="895">
        <v>0</v>
      </c>
      <c r="R3105" s="114"/>
      <c r="S3105" s="884"/>
      <c r="T3105" s="270"/>
      <c r="U3105" s="270"/>
      <c r="V3105" s="270"/>
      <c r="W3105" s="270"/>
      <c r="X3105" s="270"/>
      <c r="Y3105" s="270"/>
      <c r="Z3105" s="270"/>
      <c r="AA3105" s="270"/>
    </row>
    <row r="3106" spans="3:27" ht="15" thickBot="1" x14ac:dyDescent="0.35">
      <c r="C3106" s="494" t="s">
        <v>108</v>
      </c>
      <c r="D3106" s="577"/>
      <c r="E3106" s="577" t="s">
        <v>43</v>
      </c>
      <c r="F3106" s="577" t="s">
        <v>25</v>
      </c>
      <c r="G3106" s="450" t="str">
        <f t="shared" si="150"/>
        <v>Tenant C-Maintenance-Fleet vehicle washing</v>
      </c>
      <c r="H3106" s="577"/>
      <c r="I3106" s="887" t="s">
        <v>65</v>
      </c>
      <c r="J3106" s="878">
        <f>SUMIFS('Level of Efficiency Assumptions'!J:J,'Level of Efficiency Assumptions'!D:D,E3106,'Level of Efficiency Assumptions'!F:F,F3106,'Level of Efficiency Assumptions'!I:I,I3106)</f>
        <v>7.5</v>
      </c>
      <c r="K3106" s="383" t="s">
        <v>588</v>
      </c>
      <c r="L3106" s="255" t="s">
        <v>65</v>
      </c>
      <c r="M3106" s="879">
        <f>Q3107+Q3108</f>
        <v>1</v>
      </c>
      <c r="N3106" s="880">
        <f>IFERROR(M3106/M3108,"-")</f>
        <v>1</v>
      </c>
      <c r="O3106" s="881">
        <f>SUMIFS('Data Entry'!S:S,'Data Entry'!K:K,G3106)</f>
        <v>0</v>
      </c>
      <c r="P3106" s="272"/>
      <c r="Q3106" s="895">
        <v>0</v>
      </c>
      <c r="R3106" s="114"/>
      <c r="S3106" s="884"/>
      <c r="T3106" s="270"/>
      <c r="U3106" s="270"/>
      <c r="V3106" s="270"/>
      <c r="W3106" s="270"/>
      <c r="X3106" s="270"/>
      <c r="Y3106" s="270"/>
      <c r="Z3106" s="270"/>
      <c r="AA3106" s="270"/>
    </row>
    <row r="3107" spans="3:27" ht="15" thickBot="1" x14ac:dyDescent="0.35">
      <c r="C3107" s="501" t="s">
        <v>108</v>
      </c>
      <c r="D3107" s="116"/>
      <c r="E3107" s="116" t="s">
        <v>43</v>
      </c>
      <c r="F3107" s="116" t="s">
        <v>25</v>
      </c>
      <c r="G3107" s="450" t="str">
        <f t="shared" si="150"/>
        <v>Tenant C-Maintenance-Fleet vehicle washing</v>
      </c>
      <c r="H3107" s="116"/>
      <c r="I3107" s="889" t="s">
        <v>66</v>
      </c>
      <c r="J3107" s="890">
        <f>SUMIFS('Level of Efficiency Assumptions'!J:J,'Level of Efficiency Assumptions'!D:D,E3107,'Level of Efficiency Assumptions'!F:F,F3107,'Level of Efficiency Assumptions'!I:I,I3107)</f>
        <v>5</v>
      </c>
      <c r="K3107" s="383" t="s">
        <v>588</v>
      </c>
      <c r="L3107" s="257" t="s">
        <v>66</v>
      </c>
      <c r="M3107" s="879">
        <f>Q3109+Q3110</f>
        <v>0</v>
      </c>
      <c r="N3107" s="880">
        <f>IFERROR(M3107/M3108,"-")</f>
        <v>0</v>
      </c>
      <c r="O3107" s="881">
        <f>SUMIFS('Data Entry'!T:T,'Data Entry'!K:K,G3107)</f>
        <v>0</v>
      </c>
      <c r="P3107" s="274"/>
      <c r="Q3107" s="895">
        <v>1</v>
      </c>
      <c r="R3107" s="114"/>
      <c r="S3107" s="884"/>
      <c r="T3107" s="270"/>
      <c r="U3107" s="270"/>
      <c r="V3107" s="270"/>
      <c r="W3107" s="270"/>
      <c r="X3107" s="270"/>
      <c r="Y3107" s="270"/>
      <c r="Z3107" s="270"/>
      <c r="AA3107" s="270"/>
    </row>
    <row r="3108" spans="3:27" x14ac:dyDescent="0.3">
      <c r="C3108" s="450"/>
      <c r="D3108" s="182"/>
      <c r="E3108" s="182"/>
      <c r="F3108" s="182"/>
      <c r="G3108" s="450" t="str">
        <f t="shared" si="150"/>
        <v>--</v>
      </c>
      <c r="H3108" s="182"/>
      <c r="I3108" s="440"/>
      <c r="J3108" s="892"/>
      <c r="K3108" s="259"/>
      <c r="L3108" s="259" t="s">
        <v>46</v>
      </c>
      <c r="M3108" s="893">
        <f>SUM(M3105:M3107)</f>
        <v>1</v>
      </c>
      <c r="N3108" s="894"/>
      <c r="O3108" s="894">
        <f>SUM(O3105:O3107)</f>
        <v>0</v>
      </c>
      <c r="P3108" s="274"/>
      <c r="Q3108" s="895">
        <v>0</v>
      </c>
      <c r="R3108" s="114"/>
      <c r="S3108" s="884"/>
      <c r="T3108" s="270"/>
      <c r="U3108" s="270"/>
      <c r="V3108" s="270"/>
      <c r="W3108" s="270"/>
      <c r="X3108" s="270"/>
      <c r="Y3108" s="270"/>
      <c r="Z3108" s="270"/>
      <c r="AA3108" s="270"/>
    </row>
    <row r="3109" spans="3:27" x14ac:dyDescent="0.3">
      <c r="C3109" s="450"/>
      <c r="D3109" s="182"/>
      <c r="E3109" s="182"/>
      <c r="F3109" s="182"/>
      <c r="G3109" s="450" t="str">
        <f t="shared" si="150"/>
        <v>--</v>
      </c>
      <c r="H3109" s="182"/>
      <c r="I3109" s="892"/>
      <c r="J3109" s="288"/>
      <c r="K3109" s="182"/>
      <c r="L3109" s="182"/>
      <c r="M3109" s="270"/>
      <c r="N3109" s="892"/>
      <c r="O3109" s="892"/>
      <c r="P3109" s="275"/>
      <c r="Q3109" s="895">
        <v>0</v>
      </c>
      <c r="R3109" s="114"/>
      <c r="S3109" s="884"/>
      <c r="T3109" s="270"/>
      <c r="U3109" s="270"/>
      <c r="V3109" s="270"/>
      <c r="W3109" s="270"/>
      <c r="X3109" s="270"/>
      <c r="Y3109" s="270"/>
      <c r="Z3109" s="270"/>
      <c r="AA3109" s="270"/>
    </row>
    <row r="3110" spans="3:27" x14ac:dyDescent="0.3">
      <c r="C3110" s="450"/>
      <c r="D3110" s="182"/>
      <c r="E3110" s="182"/>
      <c r="F3110" s="182"/>
      <c r="G3110" s="450" t="str">
        <f t="shared" si="150"/>
        <v>--</v>
      </c>
      <c r="H3110" s="182"/>
      <c r="I3110" s="892"/>
      <c r="J3110" s="288"/>
      <c r="K3110" s="182"/>
      <c r="L3110" s="182"/>
      <c r="M3110" s="270"/>
      <c r="N3110" s="892"/>
      <c r="O3110" s="892"/>
      <c r="P3110" s="269"/>
      <c r="Q3110" s="895">
        <v>0</v>
      </c>
      <c r="R3110" s="114"/>
      <c r="S3110" s="884"/>
      <c r="T3110" s="270"/>
      <c r="U3110" s="270"/>
      <c r="V3110" s="270"/>
      <c r="W3110" s="270"/>
      <c r="X3110" s="270"/>
      <c r="Y3110" s="270"/>
      <c r="Z3110" s="270"/>
      <c r="AA3110" s="270"/>
    </row>
    <row r="3111" spans="3:27" x14ac:dyDescent="0.3">
      <c r="C3111" s="450"/>
      <c r="D3111" s="182"/>
      <c r="E3111" s="182"/>
      <c r="F3111" s="182"/>
      <c r="G3111" s="450" t="str">
        <f t="shared" si="150"/>
        <v>--</v>
      </c>
      <c r="H3111" s="182"/>
      <c r="I3111" s="892"/>
      <c r="J3111" s="288"/>
      <c r="K3111" s="182"/>
      <c r="L3111" s="182"/>
      <c r="M3111" s="270"/>
      <c r="N3111" s="892"/>
      <c r="O3111" s="892"/>
      <c r="P3111" s="263" t="s">
        <v>46</v>
      </c>
      <c r="Q3111" s="897">
        <f>SUM(Q3105:Q3110)</f>
        <v>1</v>
      </c>
      <c r="R3111" s="899"/>
      <c r="S3111" s="900"/>
      <c r="T3111" s="270"/>
      <c r="U3111" s="270"/>
      <c r="V3111" s="270"/>
      <c r="W3111" s="270"/>
      <c r="X3111" s="270"/>
      <c r="Y3111" s="270"/>
      <c r="Z3111" s="270"/>
      <c r="AA3111" s="270"/>
    </row>
    <row r="3112" spans="3:27" x14ac:dyDescent="0.3">
      <c r="C3112" s="450"/>
      <c r="D3112" s="182"/>
      <c r="E3112" s="182"/>
      <c r="F3112" s="182"/>
      <c r="G3112" s="450" t="str">
        <f t="shared" si="150"/>
        <v>--</v>
      </c>
      <c r="H3112" s="182"/>
      <c r="I3112" s="892"/>
      <c r="J3112" s="288"/>
      <c r="K3112" s="182"/>
      <c r="L3112" s="182"/>
      <c r="M3112" s="270"/>
      <c r="N3112" s="892"/>
      <c r="O3112" s="892"/>
      <c r="P3112" s="259"/>
      <c r="Q3112" s="114"/>
      <c r="R3112" s="114"/>
      <c r="S3112" s="114"/>
      <c r="T3112" s="270"/>
      <c r="U3112" s="270"/>
      <c r="V3112" s="270"/>
      <c r="W3112" s="270"/>
      <c r="X3112" s="270"/>
      <c r="Y3112" s="270"/>
      <c r="Z3112" s="270"/>
      <c r="AA3112" s="270"/>
    </row>
    <row r="3113" spans="3:27" ht="15" thickBot="1" x14ac:dyDescent="0.35">
      <c r="C3113" s="450"/>
      <c r="D3113" s="182"/>
      <c r="E3113" s="182"/>
      <c r="F3113" s="182"/>
      <c r="G3113" s="450" t="str">
        <f t="shared" si="150"/>
        <v>--</v>
      </c>
      <c r="H3113" s="182"/>
      <c r="I3113" s="892"/>
      <c r="J3113" s="892"/>
      <c r="K3113" s="182"/>
      <c r="L3113" s="182"/>
      <c r="M3113" s="901" t="s">
        <v>155</v>
      </c>
      <c r="N3113" s="870" t="s">
        <v>188</v>
      </c>
      <c r="O3113" s="870"/>
      <c r="P3113" s="276" t="s">
        <v>426</v>
      </c>
      <c r="Q3113" s="871" t="s">
        <v>155</v>
      </c>
      <c r="R3113" s="902"/>
      <c r="S3113" s="874"/>
      <c r="T3113" s="270"/>
      <c r="U3113" s="270"/>
      <c r="V3113" s="270"/>
      <c r="W3113" s="270"/>
      <c r="X3113" s="270"/>
      <c r="Y3113" s="270"/>
      <c r="Z3113" s="270"/>
      <c r="AA3113" s="270"/>
    </row>
    <row r="3114" spans="3:27" ht="15" thickBot="1" x14ac:dyDescent="0.35">
      <c r="C3114" s="566" t="s">
        <v>108</v>
      </c>
      <c r="D3114" s="875" t="str">
        <f>VLOOKUP(C3114,'Airport Mapping'!$C$5:$D$39,2,FALSE)</f>
        <v xml:space="preserve"> </v>
      </c>
      <c r="E3114" s="567" t="s">
        <v>43</v>
      </c>
      <c r="F3114" s="567" t="s">
        <v>426</v>
      </c>
      <c r="G3114" s="450" t="str">
        <f t="shared" si="150"/>
        <v>Tenant C-Maintenance-Pavement cleaning</v>
      </c>
      <c r="H3114" s="567" t="s">
        <v>10</v>
      </c>
      <c r="I3114" s="877" t="s">
        <v>64</v>
      </c>
      <c r="J3114" s="878">
        <f>SUMIFS('Level of Efficiency Assumptions'!J:J,'Level of Efficiency Assumptions'!D:D,E3114,'Level of Efficiency Assumptions'!F:F,F3114,'Level of Efficiency Assumptions'!I:I,I3114)</f>
        <v>10</v>
      </c>
      <c r="K3114" s="383" t="s">
        <v>588</v>
      </c>
      <c r="L3114" s="253" t="s">
        <v>64</v>
      </c>
      <c r="M3114" s="879">
        <f>SUM(Q3114:Q3115)</f>
        <v>0</v>
      </c>
      <c r="N3114" s="880">
        <f>IFERROR(M3114/M3117,"-")</f>
        <v>0</v>
      </c>
      <c r="O3114" s="881">
        <f>SUMIFS('Data Entry'!R:R,'Data Entry'!K:K,G3114)</f>
        <v>0</v>
      </c>
      <c r="P3114" s="272"/>
      <c r="Q3114" s="895">
        <v>0</v>
      </c>
      <c r="R3114" s="114"/>
      <c r="S3114" s="884"/>
      <c r="T3114" s="270"/>
      <c r="U3114" s="270"/>
      <c r="V3114" s="270"/>
      <c r="W3114" s="270"/>
      <c r="X3114" s="270"/>
      <c r="Y3114" s="270"/>
      <c r="Z3114" s="270"/>
      <c r="AA3114" s="270"/>
    </row>
    <row r="3115" spans="3:27" ht="15" thickBot="1" x14ac:dyDescent="0.35">
      <c r="C3115" s="494" t="s">
        <v>108</v>
      </c>
      <c r="D3115" s="577"/>
      <c r="E3115" s="577" t="s">
        <v>43</v>
      </c>
      <c r="F3115" s="577" t="s">
        <v>426</v>
      </c>
      <c r="G3115" s="450" t="str">
        <f t="shared" si="150"/>
        <v>Tenant C-Maintenance-Pavement cleaning</v>
      </c>
      <c r="H3115" s="577"/>
      <c r="I3115" s="887" t="s">
        <v>65</v>
      </c>
      <c r="J3115" s="878">
        <f>SUMIFS('Level of Efficiency Assumptions'!J:J,'Level of Efficiency Assumptions'!D:D,E3115,'Level of Efficiency Assumptions'!F:F,F3115,'Level of Efficiency Assumptions'!I:I,I3115)</f>
        <v>7.5</v>
      </c>
      <c r="K3115" s="383" t="s">
        <v>588</v>
      </c>
      <c r="L3115" s="255" t="s">
        <v>65</v>
      </c>
      <c r="M3115" s="879">
        <f>Q3116+Q3117</f>
        <v>1</v>
      </c>
      <c r="N3115" s="880">
        <f>IFERROR(M3115/M3117,"-")</f>
        <v>1</v>
      </c>
      <c r="O3115" s="881">
        <f>SUMIFS('Data Entry'!S:S,'Data Entry'!K:K,G3115)</f>
        <v>0</v>
      </c>
      <c r="P3115" s="272"/>
      <c r="Q3115" s="895">
        <v>0</v>
      </c>
      <c r="R3115" s="114"/>
      <c r="S3115" s="884"/>
      <c r="T3115" s="270"/>
      <c r="U3115" s="270"/>
      <c r="V3115" s="270"/>
      <c r="W3115" s="270"/>
      <c r="X3115" s="270"/>
      <c r="Y3115" s="270"/>
      <c r="Z3115" s="270"/>
      <c r="AA3115" s="270"/>
    </row>
    <row r="3116" spans="3:27" ht="15" thickBot="1" x14ac:dyDescent="0.35">
      <c r="C3116" s="501" t="s">
        <v>108</v>
      </c>
      <c r="D3116" s="116"/>
      <c r="E3116" s="116" t="s">
        <v>43</v>
      </c>
      <c r="F3116" s="116" t="s">
        <v>426</v>
      </c>
      <c r="G3116" s="450" t="str">
        <f t="shared" si="150"/>
        <v>Tenant C-Maintenance-Pavement cleaning</v>
      </c>
      <c r="H3116" s="116"/>
      <c r="I3116" s="889" t="s">
        <v>66</v>
      </c>
      <c r="J3116" s="890">
        <f>SUMIFS('Level of Efficiency Assumptions'!J:J,'Level of Efficiency Assumptions'!D:D,E3116,'Level of Efficiency Assumptions'!F:F,F3116,'Level of Efficiency Assumptions'!I:I,I3116)</f>
        <v>5</v>
      </c>
      <c r="K3116" s="383" t="s">
        <v>588</v>
      </c>
      <c r="L3116" s="257" t="s">
        <v>66</v>
      </c>
      <c r="M3116" s="879">
        <f>Q3118+Q3119</f>
        <v>0</v>
      </c>
      <c r="N3116" s="880">
        <f>IFERROR(M3116/M3117,"-")</f>
        <v>0</v>
      </c>
      <c r="O3116" s="881">
        <f>SUMIFS('Data Entry'!T:T,'Data Entry'!K:K,G3116)</f>
        <v>0</v>
      </c>
      <c r="P3116" s="274"/>
      <c r="Q3116" s="895">
        <v>1</v>
      </c>
      <c r="R3116" s="114"/>
      <c r="S3116" s="884"/>
      <c r="T3116" s="270"/>
      <c r="U3116" s="270"/>
      <c r="V3116" s="270"/>
      <c r="W3116" s="270"/>
      <c r="X3116" s="270"/>
      <c r="Y3116" s="270"/>
      <c r="Z3116" s="270"/>
      <c r="AA3116" s="270"/>
    </row>
    <row r="3117" spans="3:27" x14ac:dyDescent="0.3">
      <c r="C3117" s="450"/>
      <c r="D3117" s="182"/>
      <c r="E3117" s="182"/>
      <c r="F3117" s="182"/>
      <c r="G3117" s="450" t="str">
        <f t="shared" si="150"/>
        <v>--</v>
      </c>
      <c r="H3117" s="182"/>
      <c r="I3117" s="440"/>
      <c r="J3117" s="892"/>
      <c r="K3117" s="259"/>
      <c r="L3117" s="259" t="s">
        <v>46</v>
      </c>
      <c r="M3117" s="893">
        <f>SUM(M3114:M3116)</f>
        <v>1</v>
      </c>
      <c r="N3117" s="894"/>
      <c r="O3117" s="894">
        <f>SUM(O3114:O3116)</f>
        <v>0</v>
      </c>
      <c r="P3117" s="274"/>
      <c r="Q3117" s="895">
        <v>0</v>
      </c>
      <c r="R3117" s="114"/>
      <c r="S3117" s="884"/>
      <c r="T3117" s="270"/>
      <c r="U3117" s="270"/>
      <c r="V3117" s="270"/>
      <c r="W3117" s="270"/>
      <c r="X3117" s="270"/>
      <c r="Y3117" s="270"/>
      <c r="Z3117" s="270"/>
      <c r="AA3117" s="270"/>
    </row>
    <row r="3118" spans="3:27" x14ac:dyDescent="0.3">
      <c r="C3118" s="450"/>
      <c r="D3118" s="182"/>
      <c r="E3118" s="182"/>
      <c r="F3118" s="182"/>
      <c r="G3118" s="450" t="str">
        <f t="shared" si="150"/>
        <v>--</v>
      </c>
      <c r="H3118" s="182"/>
      <c r="I3118" s="892"/>
      <c r="J3118" s="288"/>
      <c r="K3118" s="182"/>
      <c r="L3118" s="182"/>
      <c r="M3118" s="270"/>
      <c r="N3118" s="892"/>
      <c r="O3118" s="892"/>
      <c r="P3118" s="275"/>
      <c r="Q3118" s="895">
        <v>0</v>
      </c>
      <c r="R3118" s="114"/>
      <c r="S3118" s="884"/>
      <c r="T3118" s="270"/>
      <c r="U3118" s="270"/>
      <c r="V3118" s="270"/>
      <c r="W3118" s="270"/>
      <c r="X3118" s="270"/>
      <c r="Y3118" s="270"/>
      <c r="Z3118" s="270"/>
      <c r="AA3118" s="270"/>
    </row>
    <row r="3119" spans="3:27" x14ac:dyDescent="0.3">
      <c r="C3119" s="450"/>
      <c r="D3119" s="182"/>
      <c r="E3119" s="182"/>
      <c r="F3119" s="182"/>
      <c r="G3119" s="450" t="str">
        <f t="shared" si="150"/>
        <v>--</v>
      </c>
      <c r="H3119" s="182"/>
      <c r="I3119" s="892"/>
      <c r="J3119" s="288"/>
      <c r="K3119" s="182"/>
      <c r="L3119" s="182"/>
      <c r="M3119" s="270"/>
      <c r="N3119" s="892"/>
      <c r="O3119" s="892"/>
      <c r="P3119" s="269"/>
      <c r="Q3119" s="895">
        <v>0</v>
      </c>
      <c r="R3119" s="114"/>
      <c r="S3119" s="884"/>
      <c r="T3119" s="270"/>
      <c r="U3119" s="270"/>
      <c r="V3119" s="270"/>
      <c r="W3119" s="270"/>
      <c r="X3119" s="270"/>
      <c r="Y3119" s="270"/>
      <c r="Z3119" s="270"/>
      <c r="AA3119" s="270"/>
    </row>
    <row r="3120" spans="3:27" x14ac:dyDescent="0.3">
      <c r="C3120" s="450"/>
      <c r="D3120" s="182"/>
      <c r="E3120" s="182"/>
      <c r="F3120" s="182"/>
      <c r="G3120" s="450" t="str">
        <f t="shared" si="150"/>
        <v>--</v>
      </c>
      <c r="H3120" s="182"/>
      <c r="I3120" s="892"/>
      <c r="J3120" s="288"/>
      <c r="K3120" s="182"/>
      <c r="L3120" s="182"/>
      <c r="M3120" s="270"/>
      <c r="N3120" s="892"/>
      <c r="O3120" s="892"/>
      <c r="P3120" s="263" t="s">
        <v>46</v>
      </c>
      <c r="Q3120" s="897">
        <f>SUM(Q3114:Q3119)</f>
        <v>1</v>
      </c>
      <c r="R3120" s="899"/>
      <c r="S3120" s="900"/>
      <c r="T3120" s="270"/>
      <c r="U3120" s="270"/>
      <c r="V3120" s="270"/>
      <c r="W3120" s="270"/>
      <c r="X3120" s="270"/>
      <c r="Y3120" s="270"/>
      <c r="Z3120" s="270"/>
      <c r="AA3120" s="270"/>
    </row>
    <row r="3121" spans="3:27" x14ac:dyDescent="0.3">
      <c r="C3121" s="450"/>
      <c r="D3121" s="182"/>
      <c r="E3121" s="182"/>
      <c r="F3121" s="182"/>
      <c r="G3121" s="450" t="str">
        <f t="shared" si="150"/>
        <v>--</v>
      </c>
      <c r="H3121" s="182"/>
      <c r="I3121" s="892"/>
      <c r="J3121" s="288"/>
      <c r="K3121" s="182"/>
      <c r="L3121" s="270"/>
      <c r="M3121" s="270"/>
      <c r="N3121" s="923"/>
      <c r="O3121" s="923"/>
      <c r="P3121" s="270"/>
      <c r="Q3121" s="270"/>
      <c r="R3121" s="270"/>
      <c r="S3121" s="270"/>
      <c r="T3121" s="270"/>
      <c r="U3121" s="270"/>
      <c r="V3121" s="270"/>
      <c r="W3121" s="270"/>
      <c r="X3121" s="270"/>
      <c r="Y3121" s="270"/>
      <c r="Z3121" s="270"/>
      <c r="AA3121" s="270"/>
    </row>
    <row r="3122" spans="3:27" ht="15" thickBot="1" x14ac:dyDescent="0.35">
      <c r="C3122" s="450"/>
      <c r="D3122" s="182"/>
      <c r="E3122" s="182"/>
      <c r="F3122" s="182"/>
      <c r="G3122" s="450" t="str">
        <f t="shared" si="150"/>
        <v>--</v>
      </c>
      <c r="H3122" s="182"/>
      <c r="I3122" s="892"/>
      <c r="J3122" s="892"/>
      <c r="K3122" s="182"/>
      <c r="L3122" s="182"/>
      <c r="M3122" s="901" t="s">
        <v>155</v>
      </c>
      <c r="N3122" s="870" t="s">
        <v>188</v>
      </c>
      <c r="O3122" s="870"/>
      <c r="P3122" s="276" t="s">
        <v>52</v>
      </c>
      <c r="Q3122" s="871" t="s">
        <v>155</v>
      </c>
      <c r="R3122" s="902"/>
      <c r="S3122" s="874"/>
      <c r="T3122" s="270"/>
      <c r="U3122" s="270"/>
      <c r="V3122" s="270"/>
      <c r="W3122" s="270"/>
      <c r="X3122" s="270"/>
      <c r="Y3122" s="270"/>
      <c r="Z3122" s="270"/>
      <c r="AA3122" s="270"/>
    </row>
    <row r="3123" spans="3:27" ht="15" thickBot="1" x14ac:dyDescent="0.35">
      <c r="C3123" s="566" t="s">
        <v>108</v>
      </c>
      <c r="D3123" s="875" t="str">
        <f>VLOOKUP(C3123,'Airport Mapping'!$C$5:$D$39,2,FALSE)</f>
        <v xml:space="preserve"> </v>
      </c>
      <c r="E3123" s="567" t="s">
        <v>8</v>
      </c>
      <c r="F3123" s="567" t="s">
        <v>52</v>
      </c>
      <c r="G3123" s="450" t="str">
        <f t="shared" si="150"/>
        <v>Tenant C-Other-Other 1</v>
      </c>
      <c r="H3123" s="567" t="s">
        <v>362</v>
      </c>
      <c r="I3123" s="877" t="s">
        <v>64</v>
      </c>
      <c r="J3123" s="878">
        <f>SUMIFS('Level of Efficiency Assumptions'!J:J,'Level of Efficiency Assumptions'!D:D,E3123,'Level of Efficiency Assumptions'!F:F,F3123,'Level of Efficiency Assumptions'!I:I,I3123)</f>
        <v>10</v>
      </c>
      <c r="K3123" s="383" t="s">
        <v>588</v>
      </c>
      <c r="L3123" s="253" t="s">
        <v>64</v>
      </c>
      <c r="M3123" s="879">
        <f>SUM(Q3123:Q3123)</f>
        <v>0</v>
      </c>
      <c r="N3123" s="880">
        <f>IFERROR(M3123/M3126,"-")</f>
        <v>0</v>
      </c>
      <c r="O3123" s="881">
        <f>SUMIFS('Data Entry'!R:R,'Data Entry'!K:K,G3123)</f>
        <v>0</v>
      </c>
      <c r="P3123" s="272" t="s">
        <v>129</v>
      </c>
      <c r="Q3123" s="895">
        <v>0</v>
      </c>
      <c r="R3123" s="114"/>
      <c r="S3123" s="884"/>
      <c r="T3123" s="270"/>
      <c r="U3123" s="270"/>
      <c r="V3123" s="270"/>
      <c r="W3123" s="270"/>
      <c r="X3123" s="270"/>
      <c r="Y3123" s="270"/>
      <c r="Z3123" s="270"/>
      <c r="AA3123" s="270"/>
    </row>
    <row r="3124" spans="3:27" ht="15" thickBot="1" x14ac:dyDescent="0.35">
      <c r="C3124" s="494" t="s">
        <v>108</v>
      </c>
      <c r="D3124" s="577"/>
      <c r="E3124" s="577" t="s">
        <v>8</v>
      </c>
      <c r="F3124" s="577" t="s">
        <v>52</v>
      </c>
      <c r="G3124" s="450" t="str">
        <f t="shared" si="150"/>
        <v>Tenant C-Other-Other 1</v>
      </c>
      <c r="H3124" s="577"/>
      <c r="I3124" s="887" t="s">
        <v>65</v>
      </c>
      <c r="J3124" s="878">
        <f>SUMIFS('Level of Efficiency Assumptions'!J:J,'Level of Efficiency Assumptions'!D:D,E3124,'Level of Efficiency Assumptions'!F:F,F3124,'Level of Efficiency Assumptions'!I:I,I3124)</f>
        <v>7.5</v>
      </c>
      <c r="K3124" s="383" t="s">
        <v>588</v>
      </c>
      <c r="L3124" s="255" t="s">
        <v>65</v>
      </c>
      <c r="M3124" s="879">
        <f t="shared" ref="M3124:M3125" si="151">SUM(Q3124:Q3124)</f>
        <v>1</v>
      </c>
      <c r="N3124" s="880">
        <f>IFERROR(M3124/M3126,"-")</f>
        <v>1</v>
      </c>
      <c r="O3124" s="881">
        <f>SUMIFS('Data Entry'!S:S,'Data Entry'!K:K,G3124)</f>
        <v>0</v>
      </c>
      <c r="P3124" s="274" t="s">
        <v>233</v>
      </c>
      <c r="Q3124" s="895">
        <v>1</v>
      </c>
      <c r="R3124" s="114"/>
      <c r="S3124" s="884"/>
      <c r="T3124" s="270"/>
      <c r="U3124" s="270"/>
      <c r="V3124" s="270"/>
      <c r="W3124" s="270"/>
      <c r="X3124" s="270"/>
      <c r="Y3124" s="270"/>
      <c r="Z3124" s="270"/>
      <c r="AA3124" s="270"/>
    </row>
    <row r="3125" spans="3:27" ht="15" thickBot="1" x14ac:dyDescent="0.35">
      <c r="C3125" s="501" t="s">
        <v>108</v>
      </c>
      <c r="D3125" s="116"/>
      <c r="E3125" s="116" t="s">
        <v>8</v>
      </c>
      <c r="F3125" s="116" t="s">
        <v>52</v>
      </c>
      <c r="G3125" s="450" t="str">
        <f t="shared" si="150"/>
        <v>Tenant C-Other-Other 1</v>
      </c>
      <c r="H3125" s="116"/>
      <c r="I3125" s="889" t="s">
        <v>66</v>
      </c>
      <c r="J3125" s="890">
        <f>SUMIFS('Level of Efficiency Assumptions'!J:J,'Level of Efficiency Assumptions'!D:D,E3125,'Level of Efficiency Assumptions'!F:F,F3125,'Level of Efficiency Assumptions'!I:I,I3125)</f>
        <v>5</v>
      </c>
      <c r="K3125" s="383" t="s">
        <v>588</v>
      </c>
      <c r="L3125" s="257" t="s">
        <v>66</v>
      </c>
      <c r="M3125" s="879">
        <f t="shared" si="151"/>
        <v>0</v>
      </c>
      <c r="N3125" s="880">
        <f>IFERROR(M3125/M3126,"-")</f>
        <v>0</v>
      </c>
      <c r="O3125" s="881">
        <f>SUMIFS('Data Entry'!T:T,'Data Entry'!K:K,G3125)</f>
        <v>0</v>
      </c>
      <c r="P3125" s="269" t="s">
        <v>234</v>
      </c>
      <c r="Q3125" s="895">
        <v>0</v>
      </c>
      <c r="R3125" s="114"/>
      <c r="S3125" s="884"/>
      <c r="T3125" s="270"/>
      <c r="U3125" s="270"/>
      <c r="V3125" s="270"/>
      <c r="W3125" s="270"/>
      <c r="X3125" s="270"/>
      <c r="Y3125" s="270"/>
      <c r="Z3125" s="270"/>
      <c r="AA3125" s="270"/>
    </row>
    <row r="3126" spans="3:27" x14ac:dyDescent="0.3">
      <c r="C3126" s="450"/>
      <c r="D3126" s="182"/>
      <c r="E3126" s="182"/>
      <c r="F3126" s="182"/>
      <c r="G3126" s="450" t="str">
        <f t="shared" si="150"/>
        <v>--</v>
      </c>
      <c r="H3126" s="182"/>
      <c r="I3126" s="440"/>
      <c r="J3126" s="892"/>
      <c r="K3126" s="259"/>
      <c r="L3126" s="259" t="s">
        <v>46</v>
      </c>
      <c r="M3126" s="893">
        <f>SUM(M3123:M3125)</f>
        <v>1</v>
      </c>
      <c r="N3126" s="894"/>
      <c r="O3126" s="894">
        <f>SUM(O3123:O3125)</f>
        <v>0</v>
      </c>
      <c r="P3126" s="263" t="s">
        <v>46</v>
      </c>
      <c r="Q3126" s="897">
        <f>SUM(Q3123:Q3125)</f>
        <v>1</v>
      </c>
      <c r="R3126" s="899"/>
      <c r="S3126" s="900"/>
      <c r="T3126" s="270"/>
      <c r="U3126" s="270"/>
      <c r="V3126" s="270"/>
      <c r="W3126" s="270"/>
      <c r="X3126" s="270"/>
      <c r="Y3126" s="270"/>
      <c r="Z3126" s="270"/>
      <c r="AA3126" s="270"/>
    </row>
    <row r="3127" spans="3:27" x14ac:dyDescent="0.3">
      <c r="C3127" s="450"/>
      <c r="D3127" s="182"/>
      <c r="E3127" s="182"/>
      <c r="F3127" s="182"/>
      <c r="G3127" s="450" t="str">
        <f t="shared" si="150"/>
        <v>--</v>
      </c>
      <c r="H3127" s="182"/>
      <c r="I3127" s="892"/>
      <c r="J3127" s="288"/>
      <c r="K3127" s="182"/>
      <c r="L3127" s="182"/>
      <c r="M3127" s="270"/>
      <c r="N3127" s="892"/>
      <c r="O3127" s="892"/>
      <c r="P3127" s="270"/>
      <c r="Q3127" s="270"/>
      <c r="R3127" s="270"/>
      <c r="S3127" s="270"/>
      <c r="T3127" s="270"/>
      <c r="U3127" s="270"/>
      <c r="V3127" s="270"/>
      <c r="W3127" s="270"/>
      <c r="X3127" s="270"/>
      <c r="Y3127" s="270"/>
      <c r="Z3127" s="270"/>
      <c r="AA3127" s="270"/>
    </row>
    <row r="3128" spans="3:27" ht="15" thickBot="1" x14ac:dyDescent="0.35">
      <c r="C3128" s="450"/>
      <c r="D3128" s="182"/>
      <c r="E3128" s="182"/>
      <c r="F3128" s="182"/>
      <c r="G3128" s="450" t="str">
        <f t="shared" si="150"/>
        <v>--</v>
      </c>
      <c r="H3128" s="182"/>
      <c r="I3128" s="892"/>
      <c r="J3128" s="892"/>
      <c r="K3128" s="182"/>
      <c r="L3128" s="182"/>
      <c r="M3128" s="901" t="s">
        <v>155</v>
      </c>
      <c r="N3128" s="870" t="s">
        <v>188</v>
      </c>
      <c r="O3128" s="870"/>
      <c r="P3128" s="276" t="s">
        <v>53</v>
      </c>
      <c r="Q3128" s="871" t="s">
        <v>155</v>
      </c>
      <c r="R3128" s="902"/>
      <c r="S3128" s="874"/>
      <c r="T3128" s="270"/>
      <c r="U3128" s="270"/>
      <c r="V3128" s="270"/>
      <c r="W3128" s="270"/>
      <c r="X3128" s="270"/>
      <c r="Y3128" s="270"/>
      <c r="Z3128" s="270"/>
      <c r="AA3128" s="270"/>
    </row>
    <row r="3129" spans="3:27" ht="15" thickBot="1" x14ac:dyDescent="0.35">
      <c r="C3129" s="566" t="s">
        <v>108</v>
      </c>
      <c r="D3129" s="875" t="str">
        <f>VLOOKUP(C3129,'Airport Mapping'!$C$5:$D$39,2,FALSE)</f>
        <v xml:space="preserve"> </v>
      </c>
      <c r="E3129" s="567" t="s">
        <v>8</v>
      </c>
      <c r="F3129" s="567" t="s">
        <v>53</v>
      </c>
      <c r="G3129" s="450" t="str">
        <f t="shared" si="150"/>
        <v>Tenant C-Other-Other 2</v>
      </c>
      <c r="H3129" s="567" t="s">
        <v>363</v>
      </c>
      <c r="I3129" s="877" t="s">
        <v>64</v>
      </c>
      <c r="J3129" s="878">
        <f>SUMIFS('Level of Efficiency Assumptions'!J:J,'Level of Efficiency Assumptions'!D:D,E3129,'Level of Efficiency Assumptions'!F:F,F3129,'Level of Efficiency Assumptions'!I:I,I3129)</f>
        <v>10</v>
      </c>
      <c r="K3129" s="383" t="s">
        <v>588</v>
      </c>
      <c r="L3129" s="253" t="s">
        <v>64</v>
      </c>
      <c r="M3129" s="879">
        <f>SUM(Q3129:Q3129)</f>
        <v>0</v>
      </c>
      <c r="N3129" s="880">
        <f>IFERROR(M3129/M3132,"-")</f>
        <v>0</v>
      </c>
      <c r="O3129" s="881">
        <f>SUMIFS('Data Entry'!R:R,'Data Entry'!K:K,G3129)</f>
        <v>0</v>
      </c>
      <c r="P3129" s="272" t="s">
        <v>129</v>
      </c>
      <c r="Q3129" s="895">
        <v>0</v>
      </c>
      <c r="R3129" s="114"/>
      <c r="S3129" s="884"/>
      <c r="T3129" s="270"/>
      <c r="U3129" s="270"/>
      <c r="V3129" s="270"/>
      <c r="W3129" s="270"/>
      <c r="X3129" s="270"/>
      <c r="Y3129" s="270"/>
      <c r="Z3129" s="270"/>
      <c r="AA3129" s="270"/>
    </row>
    <row r="3130" spans="3:27" ht="15" thickBot="1" x14ac:dyDescent="0.35">
      <c r="C3130" s="494" t="s">
        <v>108</v>
      </c>
      <c r="D3130" s="577"/>
      <c r="E3130" s="577" t="s">
        <v>8</v>
      </c>
      <c r="F3130" s="577" t="s">
        <v>53</v>
      </c>
      <c r="G3130" s="450" t="str">
        <f t="shared" si="150"/>
        <v>Tenant C-Other-Other 2</v>
      </c>
      <c r="H3130" s="577"/>
      <c r="I3130" s="887" t="s">
        <v>65</v>
      </c>
      <c r="J3130" s="878">
        <f>SUMIFS('Level of Efficiency Assumptions'!J:J,'Level of Efficiency Assumptions'!D:D,E3130,'Level of Efficiency Assumptions'!F:F,F3130,'Level of Efficiency Assumptions'!I:I,I3130)</f>
        <v>7.5</v>
      </c>
      <c r="K3130" s="383" t="s">
        <v>588</v>
      </c>
      <c r="L3130" s="255" t="s">
        <v>65</v>
      </c>
      <c r="M3130" s="879">
        <f t="shared" ref="M3130:M3131" si="152">SUM(Q3130:Q3130)</f>
        <v>1</v>
      </c>
      <c r="N3130" s="880">
        <f>IFERROR(M3130/M3132,"-")</f>
        <v>1</v>
      </c>
      <c r="O3130" s="881">
        <f>SUMIFS('Data Entry'!S:S,'Data Entry'!K:K,G3130)</f>
        <v>0</v>
      </c>
      <c r="P3130" s="274" t="s">
        <v>233</v>
      </c>
      <c r="Q3130" s="895">
        <v>1</v>
      </c>
      <c r="R3130" s="114"/>
      <c r="S3130" s="884"/>
      <c r="T3130" s="270"/>
      <c r="U3130" s="270"/>
      <c r="V3130" s="270"/>
      <c r="W3130" s="270"/>
      <c r="X3130" s="270"/>
      <c r="Y3130" s="270"/>
      <c r="Z3130" s="270"/>
      <c r="AA3130" s="270"/>
    </row>
    <row r="3131" spans="3:27" ht="15" thickBot="1" x14ac:dyDescent="0.35">
      <c r="C3131" s="501" t="s">
        <v>108</v>
      </c>
      <c r="D3131" s="116"/>
      <c r="E3131" s="116" t="s">
        <v>8</v>
      </c>
      <c r="F3131" s="116" t="s">
        <v>53</v>
      </c>
      <c r="G3131" s="450" t="str">
        <f t="shared" si="150"/>
        <v>Tenant C-Other-Other 2</v>
      </c>
      <c r="H3131" s="116"/>
      <c r="I3131" s="889" t="s">
        <v>66</v>
      </c>
      <c r="J3131" s="890">
        <f>SUMIFS('Level of Efficiency Assumptions'!J:J,'Level of Efficiency Assumptions'!D:D,E3131,'Level of Efficiency Assumptions'!F:F,F3131,'Level of Efficiency Assumptions'!I:I,I3131)</f>
        <v>5</v>
      </c>
      <c r="K3131" s="383" t="s">
        <v>588</v>
      </c>
      <c r="L3131" s="257" t="s">
        <v>66</v>
      </c>
      <c r="M3131" s="879">
        <f t="shared" si="152"/>
        <v>0</v>
      </c>
      <c r="N3131" s="880">
        <f>IFERROR(M3131/M3132,"-")</f>
        <v>0</v>
      </c>
      <c r="O3131" s="881">
        <f>SUMIFS('Data Entry'!T:T,'Data Entry'!K:K,G3131)</f>
        <v>0</v>
      </c>
      <c r="P3131" s="269" t="s">
        <v>234</v>
      </c>
      <c r="Q3131" s="895">
        <v>0</v>
      </c>
      <c r="R3131" s="114"/>
      <c r="S3131" s="884"/>
      <c r="T3131" s="270"/>
      <c r="U3131" s="270"/>
      <c r="V3131" s="270"/>
      <c r="W3131" s="270"/>
      <c r="X3131" s="270"/>
      <c r="Y3131" s="270"/>
      <c r="Z3131" s="270"/>
      <c r="AA3131" s="270"/>
    </row>
    <row r="3132" spans="3:27" x14ac:dyDescent="0.3">
      <c r="C3132" s="450"/>
      <c r="D3132" s="182"/>
      <c r="E3132" s="182"/>
      <c r="F3132" s="182"/>
      <c r="G3132" s="450" t="str">
        <f t="shared" si="150"/>
        <v>--</v>
      </c>
      <c r="H3132" s="182"/>
      <c r="I3132" s="440"/>
      <c r="J3132" s="892"/>
      <c r="K3132" s="259"/>
      <c r="L3132" s="259" t="s">
        <v>46</v>
      </c>
      <c r="M3132" s="893">
        <f>SUM(M3129:M3131)</f>
        <v>1</v>
      </c>
      <c r="N3132" s="894"/>
      <c r="O3132" s="894">
        <f>SUM(O3129:O3131)</f>
        <v>0</v>
      </c>
      <c r="P3132" s="263" t="s">
        <v>46</v>
      </c>
      <c r="Q3132" s="897">
        <f>SUM(Q3129:Q3131)</f>
        <v>1</v>
      </c>
      <c r="R3132" s="899"/>
      <c r="S3132" s="900"/>
      <c r="T3132" s="270"/>
      <c r="U3132" s="270"/>
      <c r="V3132" s="270"/>
      <c r="W3132" s="270"/>
      <c r="X3132" s="270"/>
      <c r="Y3132" s="270"/>
      <c r="Z3132" s="270"/>
      <c r="AA3132" s="270"/>
    </row>
    <row r="3133" spans="3:27" x14ac:dyDescent="0.3">
      <c r="C3133" s="450"/>
      <c r="D3133" s="182"/>
      <c r="E3133" s="182"/>
      <c r="F3133" s="182"/>
      <c r="G3133" s="450" t="str">
        <f t="shared" si="150"/>
        <v>--</v>
      </c>
      <c r="H3133" s="182"/>
      <c r="I3133" s="892"/>
      <c r="J3133" s="288"/>
      <c r="K3133" s="182"/>
      <c r="L3133" s="182"/>
      <c r="M3133" s="270"/>
      <c r="N3133" s="892"/>
      <c r="O3133" s="892"/>
      <c r="P3133" s="270"/>
      <c r="Q3133" s="270"/>
      <c r="R3133" s="270"/>
      <c r="S3133" s="270"/>
      <c r="T3133" s="270"/>
      <c r="U3133" s="270"/>
      <c r="V3133" s="270"/>
      <c r="W3133" s="270"/>
      <c r="X3133" s="270"/>
      <c r="Y3133" s="270"/>
      <c r="Z3133" s="270"/>
      <c r="AA3133" s="270"/>
    </row>
    <row r="3134" spans="3:27" ht="15" thickBot="1" x14ac:dyDescent="0.35">
      <c r="C3134" s="450"/>
      <c r="D3134" s="182"/>
      <c r="E3134" s="182"/>
      <c r="F3134" s="182"/>
      <c r="G3134" s="450" t="str">
        <f t="shared" si="150"/>
        <v>--</v>
      </c>
      <c r="H3134" s="182"/>
      <c r="I3134" s="892"/>
      <c r="J3134" s="892"/>
      <c r="K3134" s="182"/>
      <c r="L3134" s="182"/>
      <c r="M3134" s="901" t="s">
        <v>155</v>
      </c>
      <c r="N3134" s="870" t="s">
        <v>188</v>
      </c>
      <c r="O3134" s="870"/>
      <c r="P3134" s="276" t="s">
        <v>54</v>
      </c>
      <c r="Q3134" s="871" t="s">
        <v>155</v>
      </c>
      <c r="R3134" s="902"/>
      <c r="S3134" s="874"/>
      <c r="T3134" s="270"/>
      <c r="U3134" s="270"/>
      <c r="V3134" s="270"/>
      <c r="W3134" s="270"/>
      <c r="X3134" s="270"/>
      <c r="Y3134" s="270"/>
      <c r="Z3134" s="270"/>
      <c r="AA3134" s="270"/>
    </row>
    <row r="3135" spans="3:27" ht="15" thickBot="1" x14ac:dyDescent="0.35">
      <c r="C3135" s="566" t="s">
        <v>108</v>
      </c>
      <c r="D3135" s="875" t="str">
        <f>VLOOKUP(C3135,'Airport Mapping'!$C$5:$D$39,2,FALSE)</f>
        <v xml:space="preserve"> </v>
      </c>
      <c r="E3135" s="567" t="s">
        <v>8</v>
      </c>
      <c r="F3135" s="567" t="s">
        <v>54</v>
      </c>
      <c r="G3135" s="450" t="str">
        <f t="shared" si="150"/>
        <v>Tenant C-Other-Other 3</v>
      </c>
      <c r="H3135" s="567" t="s">
        <v>364</v>
      </c>
      <c r="I3135" s="877" t="s">
        <v>64</v>
      </c>
      <c r="J3135" s="878">
        <f>SUMIFS('Level of Efficiency Assumptions'!J:J,'Level of Efficiency Assumptions'!D:D,E3135,'Level of Efficiency Assumptions'!F:F,F3135,'Level of Efficiency Assumptions'!I:I,I3135)</f>
        <v>10</v>
      </c>
      <c r="K3135" s="383" t="s">
        <v>588</v>
      </c>
      <c r="L3135" s="253" t="s">
        <v>64</v>
      </c>
      <c r="M3135" s="879">
        <f>SUM(Q3135:Q3135)</f>
        <v>0</v>
      </c>
      <c r="N3135" s="880">
        <f>IFERROR(M3135/M3138,"-")</f>
        <v>0</v>
      </c>
      <c r="O3135" s="881">
        <f>SUMIFS('Data Entry'!R:R,'Data Entry'!K:K,G3135)</f>
        <v>0</v>
      </c>
      <c r="P3135" s="272" t="s">
        <v>129</v>
      </c>
      <c r="Q3135" s="895">
        <v>0</v>
      </c>
      <c r="R3135" s="114"/>
      <c r="S3135" s="884"/>
      <c r="T3135" s="270"/>
      <c r="U3135" s="270"/>
      <c r="V3135" s="270"/>
      <c r="W3135" s="270"/>
      <c r="X3135" s="270"/>
      <c r="Y3135" s="270"/>
      <c r="Z3135" s="270"/>
      <c r="AA3135" s="270"/>
    </row>
    <row r="3136" spans="3:27" ht="15" thickBot="1" x14ac:dyDescent="0.35">
      <c r="C3136" s="494" t="s">
        <v>108</v>
      </c>
      <c r="D3136" s="577"/>
      <c r="E3136" s="577" t="s">
        <v>8</v>
      </c>
      <c r="F3136" s="577" t="s">
        <v>54</v>
      </c>
      <c r="G3136" s="450" t="str">
        <f t="shared" si="150"/>
        <v>Tenant C-Other-Other 3</v>
      </c>
      <c r="H3136" s="577"/>
      <c r="I3136" s="887" t="s">
        <v>65</v>
      </c>
      <c r="J3136" s="878">
        <f>SUMIFS('Level of Efficiency Assumptions'!J:J,'Level of Efficiency Assumptions'!D:D,E3136,'Level of Efficiency Assumptions'!F:F,F3136,'Level of Efficiency Assumptions'!I:I,I3136)</f>
        <v>7.5</v>
      </c>
      <c r="K3136" s="383" t="s">
        <v>588</v>
      </c>
      <c r="L3136" s="255" t="s">
        <v>65</v>
      </c>
      <c r="M3136" s="879">
        <f t="shared" ref="M3136:M3137" si="153">SUM(Q3136:Q3136)</f>
        <v>1</v>
      </c>
      <c r="N3136" s="880">
        <f>IFERROR(M3136/M3138,"-")</f>
        <v>1</v>
      </c>
      <c r="O3136" s="881">
        <f>SUMIFS('Data Entry'!S:S,'Data Entry'!K:K,G3136)</f>
        <v>0</v>
      </c>
      <c r="P3136" s="274" t="s">
        <v>233</v>
      </c>
      <c r="Q3136" s="895">
        <v>1</v>
      </c>
      <c r="R3136" s="114"/>
      <c r="S3136" s="884"/>
      <c r="T3136" s="270"/>
      <c r="U3136" s="270"/>
      <c r="V3136" s="270"/>
      <c r="W3136" s="270"/>
      <c r="X3136" s="270"/>
      <c r="Y3136" s="270"/>
      <c r="Z3136" s="270"/>
      <c r="AA3136" s="270"/>
    </row>
    <row r="3137" spans="3:31" ht="15" thickBot="1" x14ac:dyDescent="0.35">
      <c r="C3137" s="501" t="s">
        <v>108</v>
      </c>
      <c r="D3137" s="116"/>
      <c r="E3137" s="116" t="s">
        <v>8</v>
      </c>
      <c r="F3137" s="116" t="s">
        <v>54</v>
      </c>
      <c r="G3137" s="450" t="str">
        <f t="shared" si="150"/>
        <v>Tenant C-Other-Other 3</v>
      </c>
      <c r="H3137" s="116"/>
      <c r="I3137" s="889" t="s">
        <v>66</v>
      </c>
      <c r="J3137" s="890">
        <f>SUMIFS('Level of Efficiency Assumptions'!J:J,'Level of Efficiency Assumptions'!D:D,E3137,'Level of Efficiency Assumptions'!F:F,F3137,'Level of Efficiency Assumptions'!I:I,I3137)</f>
        <v>5</v>
      </c>
      <c r="K3137" s="383" t="s">
        <v>588</v>
      </c>
      <c r="L3137" s="257" t="s">
        <v>66</v>
      </c>
      <c r="M3137" s="879">
        <f t="shared" si="153"/>
        <v>0</v>
      </c>
      <c r="N3137" s="880">
        <f>IFERROR(M3137/M3138,"-")</f>
        <v>0</v>
      </c>
      <c r="O3137" s="881">
        <f>SUMIFS('Data Entry'!T:T,'Data Entry'!K:K,G3137)</f>
        <v>0</v>
      </c>
      <c r="P3137" s="269" t="s">
        <v>234</v>
      </c>
      <c r="Q3137" s="895">
        <v>0</v>
      </c>
      <c r="R3137" s="114"/>
      <c r="S3137" s="884"/>
      <c r="T3137" s="270"/>
      <c r="U3137" s="270"/>
      <c r="V3137" s="270"/>
      <c r="W3137" s="270"/>
      <c r="X3137" s="270"/>
      <c r="Y3137" s="270"/>
      <c r="Z3137" s="270"/>
      <c r="AA3137" s="270"/>
    </row>
    <row r="3138" spans="3:31" x14ac:dyDescent="0.3">
      <c r="C3138" s="450"/>
      <c r="D3138" s="182"/>
      <c r="E3138" s="182"/>
      <c r="F3138" s="182"/>
      <c r="G3138" s="450" t="str">
        <f t="shared" si="150"/>
        <v>--</v>
      </c>
      <c r="H3138" s="182"/>
      <c r="I3138" s="440"/>
      <c r="J3138" s="892"/>
      <c r="K3138" s="259"/>
      <c r="L3138" s="259" t="s">
        <v>46</v>
      </c>
      <c r="M3138" s="893">
        <f>SUM(M3135:M3137)</f>
        <v>1</v>
      </c>
      <c r="N3138" s="894"/>
      <c r="O3138" s="894">
        <f>SUM(O3135:O3137)</f>
        <v>0</v>
      </c>
      <c r="P3138" s="263" t="s">
        <v>46</v>
      </c>
      <c r="Q3138" s="897">
        <f>SUM(Q3135:Q3137)</f>
        <v>1</v>
      </c>
      <c r="R3138" s="899"/>
      <c r="S3138" s="900"/>
      <c r="T3138" s="270"/>
      <c r="U3138" s="270"/>
      <c r="V3138" s="270"/>
      <c r="W3138" s="270"/>
      <c r="X3138" s="270"/>
      <c r="Y3138" s="270"/>
      <c r="Z3138" s="270"/>
      <c r="AA3138" s="270"/>
    </row>
    <row r="3139" spans="3:31" ht="15" thickBot="1" x14ac:dyDescent="0.35">
      <c r="C3139" s="451"/>
      <c r="D3139" s="184"/>
      <c r="E3139" s="184"/>
      <c r="F3139" s="184"/>
      <c r="G3139" s="450" t="str">
        <f t="shared" si="150"/>
        <v>--</v>
      </c>
      <c r="H3139" s="184"/>
      <c r="I3139" s="184"/>
      <c r="J3139" s="184"/>
      <c r="K3139" s="184"/>
      <c r="L3139" s="184"/>
      <c r="M3139" s="924"/>
      <c r="N3139" s="281"/>
      <c r="O3139" s="925"/>
      <c r="P3139" s="184"/>
      <c r="Q3139" s="924"/>
      <c r="R3139" s="184"/>
      <c r="S3139" s="184"/>
      <c r="T3139" s="184"/>
      <c r="U3139" s="184"/>
      <c r="V3139" s="184"/>
      <c r="W3139" s="184"/>
      <c r="X3139" s="184"/>
      <c r="Y3139" s="184"/>
      <c r="Z3139" s="184"/>
      <c r="AA3139" s="184"/>
      <c r="AB3139" s="184"/>
      <c r="AC3139" s="184"/>
      <c r="AD3139" s="184"/>
      <c r="AE3139" s="184"/>
    </row>
    <row r="3140" spans="3:31" x14ac:dyDescent="0.3">
      <c r="C3140" s="450"/>
      <c r="D3140" s="182"/>
      <c r="E3140" s="182"/>
      <c r="F3140" s="182"/>
      <c r="G3140" s="450" t="str">
        <f t="shared" si="150"/>
        <v>--</v>
      </c>
      <c r="H3140" s="182"/>
      <c r="I3140" s="182"/>
      <c r="J3140" s="182"/>
      <c r="K3140" s="182"/>
      <c r="L3140" s="182"/>
      <c r="M3140" s="181"/>
      <c r="N3140" s="892"/>
      <c r="O3140" s="440"/>
      <c r="P3140" s="182"/>
      <c r="Q3140" s="181"/>
      <c r="R3140" s="182"/>
      <c r="S3140" s="182"/>
      <c r="T3140" s="182"/>
      <c r="U3140" s="182"/>
      <c r="V3140" s="182"/>
      <c r="W3140" s="182"/>
      <c r="X3140" s="182"/>
      <c r="Y3140" s="182"/>
      <c r="Z3140" s="182"/>
      <c r="AA3140" s="182"/>
      <c r="AB3140" s="182"/>
      <c r="AC3140" s="182"/>
      <c r="AD3140" s="182"/>
      <c r="AE3140" s="182"/>
    </row>
    <row r="3141" spans="3:31" ht="15" thickBot="1" x14ac:dyDescent="0.35">
      <c r="C3141" s="450"/>
      <c r="D3141" s="182"/>
      <c r="E3141" s="182"/>
      <c r="F3141" s="182"/>
      <c r="G3141" s="450" t="str">
        <f t="shared" si="150"/>
        <v>--</v>
      </c>
      <c r="H3141" s="182"/>
      <c r="I3141" s="892"/>
      <c r="J3141" s="892"/>
      <c r="K3141" s="182"/>
      <c r="L3141" s="182"/>
      <c r="M3141" s="901" t="s">
        <v>155</v>
      </c>
      <c r="N3141" s="870" t="s">
        <v>188</v>
      </c>
      <c r="O3141" s="870"/>
      <c r="P3141" s="252" t="s">
        <v>158</v>
      </c>
      <c r="Q3141" s="871" t="s">
        <v>155</v>
      </c>
      <c r="R3141" s="872" t="s">
        <v>168</v>
      </c>
      <c r="S3141" s="872" t="s">
        <v>169</v>
      </c>
      <c r="T3141" s="873"/>
      <c r="U3141" s="874"/>
      <c r="V3141" s="270"/>
      <c r="W3141" s="270"/>
      <c r="X3141" s="270"/>
      <c r="Y3141" s="114"/>
      <c r="Z3141" s="270"/>
      <c r="AA3141" s="270"/>
    </row>
    <row r="3142" spans="3:31" ht="15" thickBot="1" x14ac:dyDescent="0.35">
      <c r="C3142" s="566" t="s">
        <v>109</v>
      </c>
      <c r="D3142" s="875" t="str">
        <f>VLOOKUP(C3142,'Airport Mapping'!$C$5:$D$39,2,FALSE)</f>
        <v xml:space="preserve"> </v>
      </c>
      <c r="E3142" s="567" t="s">
        <v>37</v>
      </c>
      <c r="F3142" s="567" t="s">
        <v>2</v>
      </c>
      <c r="G3142" s="450" t="str">
        <f t="shared" si="150"/>
        <v>Tenant D-Restrooms-Toilets</v>
      </c>
      <c r="H3142" s="567" t="s">
        <v>6</v>
      </c>
      <c r="I3142" s="877" t="s">
        <v>64</v>
      </c>
      <c r="J3142" s="878">
        <f>SUMIFS('Level of Efficiency Assumptions'!J:J,'Level of Efficiency Assumptions'!D:D,E3142,'Level of Efficiency Assumptions'!F:F,F3142,'Level of Efficiency Assumptions'!I:I,I3142)</f>
        <v>3.5</v>
      </c>
      <c r="K3142" s="383" t="s">
        <v>68</v>
      </c>
      <c r="L3142" s="253" t="s">
        <v>64</v>
      </c>
      <c r="M3142" s="879">
        <f>Q3142+Q3148</f>
        <v>0</v>
      </c>
      <c r="N3142" s="880">
        <f>IFERROR(M3142/M3145,"-")</f>
        <v>0</v>
      </c>
      <c r="O3142" s="881">
        <f>SUMIFS('Data Entry'!R:R,'Data Entry'!K:K,G3142)</f>
        <v>0</v>
      </c>
      <c r="P3142" s="254" t="s">
        <v>159</v>
      </c>
      <c r="Q3142" s="882">
        <v>0</v>
      </c>
      <c r="R3142" s="883"/>
      <c r="S3142" s="883"/>
      <c r="T3142" s="114" t="s">
        <v>182</v>
      </c>
      <c r="U3142" s="884"/>
      <c r="V3142" s="270"/>
      <c r="W3142" s="270"/>
      <c r="X3142" s="270"/>
      <c r="Y3142" s="114"/>
      <c r="Z3142" s="270"/>
      <c r="AA3142" s="270"/>
    </row>
    <row r="3143" spans="3:31" ht="15" thickBot="1" x14ac:dyDescent="0.35">
      <c r="C3143" s="494" t="s">
        <v>109</v>
      </c>
      <c r="D3143" s="577"/>
      <c r="E3143" s="577" t="s">
        <v>37</v>
      </c>
      <c r="F3143" s="577" t="s">
        <v>2</v>
      </c>
      <c r="G3143" s="450" t="str">
        <f t="shared" si="150"/>
        <v>Tenant D-Restrooms-Toilets</v>
      </c>
      <c r="H3143" s="577"/>
      <c r="I3143" s="887" t="s">
        <v>65</v>
      </c>
      <c r="J3143" s="878">
        <f>SUMIFS('Level of Efficiency Assumptions'!J:J,'Level of Efficiency Assumptions'!D:D,E3143,'Level of Efficiency Assumptions'!F:F,F3143,'Level of Efficiency Assumptions'!I:I,I3143)</f>
        <v>1.6</v>
      </c>
      <c r="K3143" s="383" t="s">
        <v>68</v>
      </c>
      <c r="L3143" s="255" t="s">
        <v>65</v>
      </c>
      <c r="M3143" s="879">
        <f>Q3143+Q3146+Q3149</f>
        <v>1</v>
      </c>
      <c r="N3143" s="880">
        <f>IFERROR(M3143/M3145,"-")</f>
        <v>1</v>
      </c>
      <c r="O3143" s="881">
        <f>SUMIFS('Data Entry'!S:S,'Data Entry'!K:K,G3143)</f>
        <v>0</v>
      </c>
      <c r="P3143" s="256" t="s">
        <v>161</v>
      </c>
      <c r="Q3143" s="882">
        <v>1</v>
      </c>
      <c r="R3143" s="883"/>
      <c r="S3143" s="883"/>
      <c r="T3143" s="114" t="s">
        <v>184</v>
      </c>
      <c r="U3143" s="884"/>
      <c r="V3143" s="270"/>
      <c r="W3143" s="270"/>
      <c r="X3143" s="270"/>
      <c r="Y3143" s="114"/>
      <c r="Z3143" s="270"/>
      <c r="AA3143" s="270"/>
    </row>
    <row r="3144" spans="3:31" ht="15" thickBot="1" x14ac:dyDescent="0.35">
      <c r="C3144" s="501" t="s">
        <v>109</v>
      </c>
      <c r="D3144" s="116"/>
      <c r="E3144" s="116" t="s">
        <v>37</v>
      </c>
      <c r="F3144" s="116" t="s">
        <v>2</v>
      </c>
      <c r="G3144" s="450" t="str">
        <f t="shared" si="150"/>
        <v>Tenant D-Restrooms-Toilets</v>
      </c>
      <c r="H3144" s="116"/>
      <c r="I3144" s="889" t="s">
        <v>66</v>
      </c>
      <c r="J3144" s="890">
        <f>SUMIFS('Level of Efficiency Assumptions'!J:J,'Level of Efficiency Assumptions'!D:D,E3144,'Level of Efficiency Assumptions'!F:F,F3144,'Level of Efficiency Assumptions'!I:I,I3144)</f>
        <v>1.28</v>
      </c>
      <c r="K3144" s="383" t="s">
        <v>68</v>
      </c>
      <c r="L3144" s="257" t="s">
        <v>66</v>
      </c>
      <c r="M3144" s="879">
        <f>Q3144+Q3145+Q3147+Q3150+Q3151</f>
        <v>0</v>
      </c>
      <c r="N3144" s="880">
        <f>IFERROR(M3144/M3145,"-")</f>
        <v>0</v>
      </c>
      <c r="O3144" s="881">
        <f>SUMIFS('Data Entry'!T:T,'Data Entry'!K:K,G3144)</f>
        <v>0</v>
      </c>
      <c r="P3144" s="258" t="s">
        <v>163</v>
      </c>
      <c r="Q3144" s="882">
        <v>0</v>
      </c>
      <c r="R3144" s="883"/>
      <c r="S3144" s="883"/>
      <c r="T3144" s="891"/>
      <c r="U3144" s="884"/>
      <c r="V3144" s="270"/>
      <c r="W3144" s="270"/>
      <c r="X3144" s="270"/>
      <c r="Y3144" s="114"/>
      <c r="Z3144" s="270"/>
      <c r="AA3144" s="270"/>
    </row>
    <row r="3145" spans="3:31" x14ac:dyDescent="0.3">
      <c r="C3145" s="450"/>
      <c r="D3145" s="182"/>
      <c r="E3145" s="182"/>
      <c r="F3145" s="182"/>
      <c r="G3145" s="450" t="str">
        <f t="shared" si="150"/>
        <v>--</v>
      </c>
      <c r="H3145" s="182"/>
      <c r="I3145" s="440"/>
      <c r="J3145" s="892"/>
      <c r="K3145" s="259"/>
      <c r="L3145" s="259" t="s">
        <v>46</v>
      </c>
      <c r="M3145" s="893">
        <f>SUM(M3142:M3144)</f>
        <v>1</v>
      </c>
      <c r="N3145" s="894"/>
      <c r="O3145" s="894">
        <f>SUM(O3142:O3144)</f>
        <v>0</v>
      </c>
      <c r="P3145" s="258" t="s">
        <v>165</v>
      </c>
      <c r="Q3145" s="882">
        <v>0</v>
      </c>
      <c r="R3145" s="883"/>
      <c r="S3145" s="883"/>
      <c r="T3145" s="891"/>
      <c r="U3145" s="884"/>
      <c r="V3145" s="270"/>
      <c r="W3145" s="270"/>
      <c r="X3145" s="270"/>
      <c r="Y3145" s="114"/>
      <c r="Z3145" s="270"/>
      <c r="AA3145" s="270"/>
    </row>
    <row r="3146" spans="3:31" ht="15" thickBot="1" x14ac:dyDescent="0.35">
      <c r="C3146" s="450"/>
      <c r="D3146" s="182"/>
      <c r="E3146" s="182"/>
      <c r="F3146" s="182"/>
      <c r="G3146" s="450" t="str">
        <f t="shared" si="150"/>
        <v>--</v>
      </c>
      <c r="H3146" s="182"/>
      <c r="I3146" s="892"/>
      <c r="J3146" s="288"/>
      <c r="K3146" s="182"/>
      <c r="L3146" s="181"/>
      <c r="M3146" s="181"/>
      <c r="N3146" s="892"/>
      <c r="O3146" s="892"/>
      <c r="P3146" s="256" t="s">
        <v>166</v>
      </c>
      <c r="Q3146" s="895">
        <v>0</v>
      </c>
      <c r="R3146" s="883"/>
      <c r="S3146" s="883"/>
      <c r="T3146" s="891"/>
      <c r="U3146" s="896"/>
      <c r="V3146" s="891"/>
      <c r="W3146" s="270"/>
      <c r="X3146" s="270"/>
      <c r="Y3146" s="114"/>
      <c r="Z3146" s="270"/>
      <c r="AA3146" s="270"/>
    </row>
    <row r="3147" spans="3:31" x14ac:dyDescent="0.3">
      <c r="C3147" s="450"/>
      <c r="D3147" s="182"/>
      <c r="E3147" s="182"/>
      <c r="F3147" s="182"/>
      <c r="G3147" s="450" t="str">
        <f t="shared" si="150"/>
        <v>--</v>
      </c>
      <c r="H3147" s="182"/>
      <c r="I3147" s="892"/>
      <c r="J3147" s="288"/>
      <c r="K3147" s="182"/>
      <c r="L3147" s="1384" t="s">
        <v>377</v>
      </c>
      <c r="M3147" s="1385"/>
      <c r="N3147" s="1385"/>
      <c r="O3147" s="1386"/>
      <c r="P3147" s="258" t="s">
        <v>167</v>
      </c>
      <c r="Q3147" s="895">
        <v>0</v>
      </c>
      <c r="R3147" s="883"/>
      <c r="S3147" s="883"/>
      <c r="T3147" s="891"/>
      <c r="U3147" s="896"/>
      <c r="V3147" s="891"/>
      <c r="W3147" s="270"/>
      <c r="X3147" s="270"/>
      <c r="Y3147" s="270"/>
      <c r="Z3147" s="270"/>
      <c r="AA3147" s="270"/>
    </row>
    <row r="3148" spans="3:31" s="45" customFormat="1" x14ac:dyDescent="0.3">
      <c r="C3148" s="450"/>
      <c r="D3148" s="182"/>
      <c r="E3148" s="182"/>
      <c r="F3148" s="182"/>
      <c r="G3148" s="450" t="str">
        <f t="shared" si="150"/>
        <v>--</v>
      </c>
      <c r="H3148" s="182"/>
      <c r="I3148" s="892"/>
      <c r="J3148" s="288"/>
      <c r="K3148" s="182"/>
      <c r="L3148" s="1387"/>
      <c r="M3148" s="1388"/>
      <c r="N3148" s="1388"/>
      <c r="O3148" s="1389"/>
      <c r="P3148" s="254" t="s">
        <v>160</v>
      </c>
      <c r="Q3148" s="895">
        <v>0</v>
      </c>
      <c r="R3148" s="891"/>
      <c r="S3148" s="891"/>
      <c r="T3148" s="891"/>
      <c r="U3148" s="896"/>
      <c r="V3148" s="891"/>
      <c r="W3148" s="270"/>
      <c r="X3148" s="270"/>
      <c r="Y3148" s="270"/>
      <c r="Z3148" s="270"/>
      <c r="AA3148" s="270"/>
      <c r="AB3148" s="125"/>
      <c r="AC3148" s="85"/>
      <c r="AD3148" s="85"/>
      <c r="AE3148" s="85"/>
    </row>
    <row r="3149" spans="3:31" s="45" customFormat="1" x14ac:dyDescent="0.3">
      <c r="C3149" s="450"/>
      <c r="D3149" s="182"/>
      <c r="E3149" s="182"/>
      <c r="F3149" s="182"/>
      <c r="G3149" s="450" t="str">
        <f t="shared" si="150"/>
        <v>--</v>
      </c>
      <c r="H3149" s="182"/>
      <c r="I3149" s="892"/>
      <c r="J3149" s="288"/>
      <c r="K3149" s="182"/>
      <c r="L3149" s="1387"/>
      <c r="M3149" s="1388"/>
      <c r="N3149" s="1388"/>
      <c r="O3149" s="1389"/>
      <c r="P3149" s="256" t="s">
        <v>162</v>
      </c>
      <c r="Q3149" s="895">
        <v>0</v>
      </c>
      <c r="R3149" s="891"/>
      <c r="S3149" s="891"/>
      <c r="T3149" s="891"/>
      <c r="U3149" s="896"/>
      <c r="V3149" s="891"/>
      <c r="W3149" s="270"/>
      <c r="X3149" s="270"/>
      <c r="Y3149" s="270"/>
      <c r="Z3149" s="270"/>
      <c r="AA3149" s="270"/>
      <c r="AB3149" s="125"/>
      <c r="AC3149" s="85"/>
      <c r="AD3149" s="85"/>
      <c r="AE3149" s="85"/>
    </row>
    <row r="3150" spans="3:31" s="45" customFormat="1" ht="15" thickBot="1" x14ac:dyDescent="0.35">
      <c r="C3150" s="450"/>
      <c r="D3150" s="182"/>
      <c r="E3150" s="182"/>
      <c r="F3150" s="182"/>
      <c r="G3150" s="450" t="str">
        <f t="shared" si="150"/>
        <v>--</v>
      </c>
      <c r="H3150" s="182"/>
      <c r="I3150" s="892"/>
      <c r="J3150" s="288"/>
      <c r="K3150" s="182"/>
      <c r="L3150" s="1390"/>
      <c r="M3150" s="1391"/>
      <c r="N3150" s="1391"/>
      <c r="O3150" s="1392"/>
      <c r="P3150" s="258" t="s">
        <v>164</v>
      </c>
      <c r="Q3150" s="895">
        <v>0</v>
      </c>
      <c r="R3150" s="114"/>
      <c r="S3150" s="891"/>
      <c r="T3150" s="114"/>
      <c r="U3150" s="884"/>
      <c r="V3150" s="114"/>
      <c r="W3150" s="270"/>
      <c r="X3150" s="270"/>
      <c r="Y3150" s="270"/>
      <c r="Z3150" s="270"/>
      <c r="AA3150" s="270"/>
      <c r="AB3150" s="125"/>
      <c r="AC3150" s="85"/>
      <c r="AD3150" s="85"/>
      <c r="AE3150" s="85"/>
    </row>
    <row r="3151" spans="3:31" s="45" customFormat="1" x14ac:dyDescent="0.3">
      <c r="C3151" s="450"/>
      <c r="D3151" s="182"/>
      <c r="E3151" s="182"/>
      <c r="F3151" s="182"/>
      <c r="G3151" s="450" t="str">
        <f t="shared" si="150"/>
        <v>--</v>
      </c>
      <c r="H3151" s="182"/>
      <c r="I3151" s="892"/>
      <c r="J3151" s="288"/>
      <c r="K3151" s="182"/>
      <c r="L3151" s="181"/>
      <c r="M3151" s="181"/>
      <c r="N3151" s="892"/>
      <c r="O3151" s="892"/>
      <c r="P3151" s="258" t="s">
        <v>187</v>
      </c>
      <c r="Q3151" s="895">
        <v>0</v>
      </c>
      <c r="R3151" s="114"/>
      <c r="S3151" s="891"/>
      <c r="T3151" s="114"/>
      <c r="U3151" s="884"/>
      <c r="V3151" s="114"/>
      <c r="W3151" s="270"/>
      <c r="X3151" s="270"/>
      <c r="Y3151" s="270"/>
      <c r="Z3151" s="270"/>
      <c r="AA3151" s="270"/>
      <c r="AB3151" s="125"/>
      <c r="AC3151" s="85"/>
      <c r="AD3151" s="85"/>
      <c r="AE3151" s="85"/>
    </row>
    <row r="3152" spans="3:31" s="45" customFormat="1" x14ac:dyDescent="0.3">
      <c r="C3152" s="450"/>
      <c r="D3152" s="182"/>
      <c r="E3152" s="182"/>
      <c r="F3152" s="182"/>
      <c r="G3152" s="450" t="str">
        <f t="shared" si="150"/>
        <v>--</v>
      </c>
      <c r="H3152" s="182"/>
      <c r="I3152" s="892"/>
      <c r="J3152" s="288"/>
      <c r="K3152" s="182"/>
      <c r="L3152" s="181"/>
      <c r="M3152" s="181"/>
      <c r="N3152" s="892"/>
      <c r="O3152" s="892"/>
      <c r="P3152" s="263" t="s">
        <v>46</v>
      </c>
      <c r="Q3152" s="897">
        <f>SUM(Q3142:Q3151)</f>
        <v>1</v>
      </c>
      <c r="R3152" s="898"/>
      <c r="S3152" s="898"/>
      <c r="T3152" s="899"/>
      <c r="U3152" s="900"/>
      <c r="V3152" s="114"/>
      <c r="W3152" s="270"/>
      <c r="X3152" s="270"/>
      <c r="Y3152" s="270"/>
      <c r="Z3152" s="270"/>
      <c r="AA3152" s="270"/>
      <c r="AB3152" s="125"/>
      <c r="AC3152" s="85"/>
      <c r="AD3152" s="85"/>
      <c r="AE3152" s="85"/>
    </row>
    <row r="3153" spans="3:27" x14ac:dyDescent="0.3">
      <c r="C3153" s="450"/>
      <c r="D3153" s="182"/>
      <c r="E3153" s="182"/>
      <c r="F3153" s="182"/>
      <c r="G3153" s="450" t="str">
        <f t="shared" si="150"/>
        <v>--</v>
      </c>
      <c r="H3153" s="182"/>
      <c r="I3153" s="892"/>
      <c r="J3153" s="288"/>
      <c r="K3153" s="182"/>
      <c r="L3153" s="181"/>
      <c r="M3153" s="181"/>
      <c r="N3153" s="892"/>
      <c r="O3153" s="892"/>
      <c r="P3153" s="114"/>
      <c r="Q3153" s="114"/>
      <c r="R3153" s="891"/>
      <c r="S3153" s="891"/>
      <c r="T3153" s="114"/>
      <c r="U3153" s="114"/>
      <c r="V3153" s="114"/>
      <c r="W3153" s="270"/>
      <c r="X3153" s="270"/>
      <c r="Y3153" s="270"/>
      <c r="Z3153" s="270"/>
      <c r="AA3153" s="270"/>
    </row>
    <row r="3154" spans="3:27" ht="15" thickBot="1" x14ac:dyDescent="0.35">
      <c r="C3154" s="450"/>
      <c r="D3154" s="182"/>
      <c r="E3154" s="182"/>
      <c r="F3154" s="182"/>
      <c r="G3154" s="450" t="str">
        <f t="shared" si="150"/>
        <v>--</v>
      </c>
      <c r="H3154" s="182"/>
      <c r="I3154" s="892"/>
      <c r="J3154" s="892"/>
      <c r="K3154" s="182"/>
      <c r="L3154" s="182"/>
      <c r="M3154" s="901" t="s">
        <v>155</v>
      </c>
      <c r="N3154" s="870" t="s">
        <v>188</v>
      </c>
      <c r="O3154" s="870"/>
      <c r="P3154" s="252" t="s">
        <v>175</v>
      </c>
      <c r="Q3154" s="871" t="s">
        <v>155</v>
      </c>
      <c r="R3154" s="872" t="s">
        <v>168</v>
      </c>
      <c r="S3154" s="872" t="s">
        <v>169</v>
      </c>
      <c r="T3154" s="902"/>
      <c r="U3154" s="903"/>
      <c r="V3154" s="270"/>
      <c r="W3154" s="270"/>
      <c r="X3154" s="270"/>
      <c r="Y3154" s="270"/>
      <c r="Z3154" s="270"/>
      <c r="AA3154" s="270"/>
    </row>
    <row r="3155" spans="3:27" ht="15" thickBot="1" x14ac:dyDescent="0.35">
      <c r="C3155" s="566" t="s">
        <v>109</v>
      </c>
      <c r="D3155" s="875" t="str">
        <f>VLOOKUP(C3155,'Airport Mapping'!$C$5:$D$39,2,FALSE)</f>
        <v xml:space="preserve"> </v>
      </c>
      <c r="E3155" s="567" t="s">
        <v>37</v>
      </c>
      <c r="F3155" s="567" t="s">
        <v>4</v>
      </c>
      <c r="G3155" s="450" t="str">
        <f t="shared" ref="G3155:G3218" si="154">C3155&amp;"-"&amp;E3155&amp;"-"&amp;F3155</f>
        <v>Tenant D-Restrooms-Urinals</v>
      </c>
      <c r="H3155" s="567" t="s">
        <v>6</v>
      </c>
      <c r="I3155" s="877" t="s">
        <v>64</v>
      </c>
      <c r="J3155" s="878">
        <f>SUMIFS('Level of Efficiency Assumptions'!J:J,'Level of Efficiency Assumptions'!D:D,E3155,'Level of Efficiency Assumptions'!F:F,F3155,'Level of Efficiency Assumptions'!I:I,I3155)</f>
        <v>2</v>
      </c>
      <c r="K3155" s="383" t="s">
        <v>68</v>
      </c>
      <c r="L3155" s="253" t="s">
        <v>64</v>
      </c>
      <c r="M3155" s="879">
        <f>Q3155+Q3156</f>
        <v>0</v>
      </c>
      <c r="N3155" s="880">
        <f>IFERROR(M3155/M3158,"-")</f>
        <v>0</v>
      </c>
      <c r="O3155" s="881">
        <f>SUMIFS('Data Entry'!R:R,'Data Entry'!K:K,G3155)</f>
        <v>0</v>
      </c>
      <c r="P3155" s="254" t="s">
        <v>177</v>
      </c>
      <c r="Q3155" s="882">
        <v>0</v>
      </c>
      <c r="R3155" s="883"/>
      <c r="S3155" s="883"/>
      <c r="T3155" s="114"/>
      <c r="U3155" s="904"/>
      <c r="V3155" s="270"/>
      <c r="W3155" s="270"/>
      <c r="X3155" s="270"/>
      <c r="Y3155" s="270"/>
      <c r="Z3155" s="270"/>
      <c r="AA3155" s="270"/>
    </row>
    <row r="3156" spans="3:27" ht="15" thickBot="1" x14ac:dyDescent="0.35">
      <c r="C3156" s="494" t="s">
        <v>109</v>
      </c>
      <c r="D3156" s="577"/>
      <c r="E3156" s="577" t="s">
        <v>37</v>
      </c>
      <c r="F3156" s="577" t="s">
        <v>4</v>
      </c>
      <c r="G3156" s="450" t="str">
        <f t="shared" si="154"/>
        <v>Tenant D-Restrooms-Urinals</v>
      </c>
      <c r="H3156" s="577"/>
      <c r="I3156" s="887" t="s">
        <v>65</v>
      </c>
      <c r="J3156" s="878">
        <f>SUMIFS('Level of Efficiency Assumptions'!J:J,'Level of Efficiency Assumptions'!D:D,E3156,'Level of Efficiency Assumptions'!F:F,F3156,'Level of Efficiency Assumptions'!I:I,I3156)</f>
        <v>1</v>
      </c>
      <c r="K3156" s="383" t="s">
        <v>68</v>
      </c>
      <c r="L3156" s="255" t="s">
        <v>65</v>
      </c>
      <c r="M3156" s="879">
        <f>Q3157+Q3158</f>
        <v>1</v>
      </c>
      <c r="N3156" s="880">
        <f>IFERROR(M3156/M3158,"-")</f>
        <v>1</v>
      </c>
      <c r="O3156" s="881">
        <f>SUMIFS('Data Entry'!S:S,'Data Entry'!K:K,G3156)</f>
        <v>0</v>
      </c>
      <c r="P3156" s="254" t="s">
        <v>179</v>
      </c>
      <c r="Q3156" s="882">
        <v>0</v>
      </c>
      <c r="R3156" s="883"/>
      <c r="S3156" s="883"/>
      <c r="T3156" s="114"/>
      <c r="U3156" s="904"/>
      <c r="V3156" s="270"/>
      <c r="W3156" s="270"/>
      <c r="X3156" s="270"/>
      <c r="Y3156" s="270"/>
      <c r="Z3156" s="270"/>
      <c r="AA3156" s="270"/>
    </row>
    <row r="3157" spans="3:27" ht="15" thickBot="1" x14ac:dyDescent="0.35">
      <c r="C3157" s="501" t="s">
        <v>109</v>
      </c>
      <c r="D3157" s="116"/>
      <c r="E3157" s="116" t="s">
        <v>37</v>
      </c>
      <c r="F3157" s="116" t="s">
        <v>4</v>
      </c>
      <c r="G3157" s="450" t="str">
        <f t="shared" si="154"/>
        <v>Tenant D-Restrooms-Urinals</v>
      </c>
      <c r="H3157" s="116"/>
      <c r="I3157" s="889" t="s">
        <v>66</v>
      </c>
      <c r="J3157" s="890">
        <f>SUMIFS('Level of Efficiency Assumptions'!J:J,'Level of Efficiency Assumptions'!D:D,E3157,'Level of Efficiency Assumptions'!F:F,F3157,'Level of Efficiency Assumptions'!I:I,I3157)</f>
        <v>0.125</v>
      </c>
      <c r="K3157" s="383" t="s">
        <v>68</v>
      </c>
      <c r="L3157" s="257" t="s">
        <v>66</v>
      </c>
      <c r="M3157" s="879">
        <f>Q3159+Q3160</f>
        <v>0</v>
      </c>
      <c r="N3157" s="880">
        <f>IFERROR(M3157/M3158,"-")</f>
        <v>0</v>
      </c>
      <c r="O3157" s="881">
        <f>SUMIFS('Data Entry'!T:T,'Data Entry'!K:K,G3157)</f>
        <v>0</v>
      </c>
      <c r="P3157" s="256" t="s">
        <v>189</v>
      </c>
      <c r="Q3157" s="882">
        <v>0</v>
      </c>
      <c r="R3157" s="883"/>
      <c r="S3157" s="883"/>
      <c r="T3157" s="114"/>
      <c r="U3157" s="904"/>
      <c r="V3157" s="270"/>
      <c r="W3157" s="270"/>
      <c r="X3157" s="270"/>
      <c r="Y3157" s="270"/>
      <c r="Z3157" s="270"/>
      <c r="AA3157" s="270"/>
    </row>
    <row r="3158" spans="3:27" x14ac:dyDescent="0.3">
      <c r="C3158" s="450"/>
      <c r="D3158" s="182"/>
      <c r="E3158" s="182"/>
      <c r="F3158" s="182"/>
      <c r="G3158" s="450" t="str">
        <f t="shared" si="154"/>
        <v>--</v>
      </c>
      <c r="H3158" s="182"/>
      <c r="I3158" s="440"/>
      <c r="J3158" s="892"/>
      <c r="K3158" s="259"/>
      <c r="L3158" s="259" t="s">
        <v>46</v>
      </c>
      <c r="M3158" s="893">
        <f>SUM(M3155:M3157)</f>
        <v>1</v>
      </c>
      <c r="N3158" s="894"/>
      <c r="O3158" s="894">
        <f>SUM(O3155:O3157)</f>
        <v>0</v>
      </c>
      <c r="P3158" s="256" t="s">
        <v>181</v>
      </c>
      <c r="Q3158" s="882">
        <v>1</v>
      </c>
      <c r="R3158" s="883"/>
      <c r="S3158" s="883"/>
      <c r="T3158" s="114"/>
      <c r="U3158" s="264"/>
      <c r="V3158" s="270"/>
      <c r="W3158" s="270"/>
      <c r="X3158" s="270"/>
      <c r="Y3158" s="270"/>
      <c r="Z3158" s="270"/>
      <c r="AA3158" s="270"/>
    </row>
    <row r="3159" spans="3:27" x14ac:dyDescent="0.3">
      <c r="C3159" s="450"/>
      <c r="D3159" s="182"/>
      <c r="E3159" s="182"/>
      <c r="F3159" s="182"/>
      <c r="G3159" s="450" t="str">
        <f t="shared" si="154"/>
        <v>--</v>
      </c>
      <c r="H3159" s="182"/>
      <c r="I3159" s="892"/>
      <c r="J3159" s="288"/>
      <c r="K3159" s="182"/>
      <c r="L3159" s="181"/>
      <c r="M3159" s="181"/>
      <c r="N3159" s="892"/>
      <c r="O3159" s="892"/>
      <c r="P3159" s="258" t="s">
        <v>183</v>
      </c>
      <c r="Q3159" s="882">
        <v>0</v>
      </c>
      <c r="R3159" s="883"/>
      <c r="S3159" s="883"/>
      <c r="T3159" s="114"/>
      <c r="U3159" s="884"/>
      <c r="V3159" s="114"/>
      <c r="W3159" s="270"/>
      <c r="X3159" s="270"/>
      <c r="Y3159" s="270"/>
      <c r="Z3159" s="270"/>
      <c r="AA3159" s="270"/>
    </row>
    <row r="3160" spans="3:27" x14ac:dyDescent="0.3">
      <c r="C3160" s="450"/>
      <c r="D3160" s="182"/>
      <c r="E3160" s="182"/>
      <c r="F3160" s="182"/>
      <c r="G3160" s="450" t="str">
        <f t="shared" si="154"/>
        <v>--</v>
      </c>
      <c r="H3160" s="182"/>
      <c r="I3160" s="892"/>
      <c r="J3160" s="288"/>
      <c r="K3160" s="182"/>
      <c r="L3160" s="181"/>
      <c r="M3160" s="181"/>
      <c r="N3160" s="892"/>
      <c r="O3160" s="892"/>
      <c r="P3160" s="258" t="s">
        <v>190</v>
      </c>
      <c r="Q3160" s="882">
        <v>0</v>
      </c>
      <c r="R3160" s="114"/>
      <c r="S3160" s="114"/>
      <c r="T3160" s="114"/>
      <c r="U3160" s="884"/>
      <c r="V3160" s="114"/>
      <c r="W3160" s="270"/>
      <c r="X3160" s="270"/>
      <c r="Y3160" s="270"/>
      <c r="Z3160" s="270"/>
      <c r="AA3160" s="270"/>
    </row>
    <row r="3161" spans="3:27" x14ac:dyDescent="0.3">
      <c r="C3161" s="450"/>
      <c r="D3161" s="182"/>
      <c r="E3161" s="182"/>
      <c r="F3161" s="182"/>
      <c r="G3161" s="450" t="str">
        <f t="shared" si="154"/>
        <v>--</v>
      </c>
      <c r="H3161" s="182"/>
      <c r="I3161" s="892"/>
      <c r="J3161" s="288"/>
      <c r="K3161" s="182"/>
      <c r="L3161" s="181"/>
      <c r="M3161" s="181"/>
      <c r="N3161" s="892"/>
      <c r="O3161" s="892"/>
      <c r="P3161" s="263" t="s">
        <v>46</v>
      </c>
      <c r="Q3161" s="897">
        <f>SUM(Q3155:Q3160)</f>
        <v>1</v>
      </c>
      <c r="R3161" s="899"/>
      <c r="S3161" s="899"/>
      <c r="T3161" s="899"/>
      <c r="U3161" s="900"/>
      <c r="V3161" s="114"/>
      <c r="W3161" s="270"/>
      <c r="X3161" s="270"/>
      <c r="Y3161" s="270"/>
      <c r="Z3161" s="270"/>
      <c r="AA3161" s="270"/>
    </row>
    <row r="3162" spans="3:27" x14ac:dyDescent="0.3">
      <c r="C3162" s="450"/>
      <c r="D3162" s="182"/>
      <c r="E3162" s="182"/>
      <c r="F3162" s="182"/>
      <c r="G3162" s="450" t="str">
        <f t="shared" si="154"/>
        <v>--</v>
      </c>
      <c r="H3162" s="182"/>
      <c r="I3162" s="892"/>
      <c r="J3162" s="288"/>
      <c r="K3162" s="182"/>
      <c r="L3162" s="181"/>
      <c r="M3162" s="181"/>
      <c r="N3162" s="892"/>
      <c r="O3162" s="892"/>
      <c r="P3162" s="262"/>
      <c r="Q3162" s="114"/>
      <c r="R3162" s="114"/>
      <c r="S3162" s="114"/>
      <c r="T3162" s="114"/>
      <c r="U3162" s="114"/>
      <c r="V3162" s="114"/>
      <c r="W3162" s="270"/>
      <c r="X3162" s="270"/>
      <c r="Y3162" s="270"/>
      <c r="Z3162" s="270"/>
      <c r="AA3162" s="270"/>
    </row>
    <row r="3163" spans="3:27" ht="15" thickBot="1" x14ac:dyDescent="0.35">
      <c r="C3163" s="450"/>
      <c r="D3163" s="182"/>
      <c r="E3163" s="182"/>
      <c r="F3163" s="182"/>
      <c r="G3163" s="450" t="str">
        <f t="shared" si="154"/>
        <v>--</v>
      </c>
      <c r="H3163" s="182"/>
      <c r="I3163" s="892"/>
      <c r="J3163" s="892"/>
      <c r="K3163" s="182"/>
      <c r="L3163" s="182"/>
      <c r="M3163" s="901" t="s">
        <v>155</v>
      </c>
      <c r="N3163" s="870" t="s">
        <v>188</v>
      </c>
      <c r="O3163" s="870"/>
      <c r="P3163" s="265" t="s">
        <v>33</v>
      </c>
      <c r="Q3163" s="871" t="s">
        <v>155</v>
      </c>
      <c r="R3163" s="872" t="s">
        <v>168</v>
      </c>
      <c r="S3163" s="872" t="s">
        <v>169</v>
      </c>
      <c r="T3163" s="872" t="s">
        <v>170</v>
      </c>
      <c r="U3163" s="872" t="s">
        <v>171</v>
      </c>
      <c r="V3163" s="902"/>
      <c r="W3163" s="902"/>
      <c r="X3163" s="874"/>
      <c r="Y3163" s="270"/>
      <c r="Z3163" s="270"/>
      <c r="AA3163" s="270"/>
    </row>
    <row r="3164" spans="3:27" ht="15" thickBot="1" x14ac:dyDescent="0.35">
      <c r="C3164" s="566" t="s">
        <v>109</v>
      </c>
      <c r="D3164" s="875" t="str">
        <f>VLOOKUP(C3164,'Airport Mapping'!$C$5:$D$39,2,FALSE)</f>
        <v xml:space="preserve"> </v>
      </c>
      <c r="E3164" s="567" t="s">
        <v>37</v>
      </c>
      <c r="F3164" s="567" t="s">
        <v>33</v>
      </c>
      <c r="G3164" s="450" t="str">
        <f t="shared" si="154"/>
        <v>Tenant D-Restrooms-Faucets</v>
      </c>
      <c r="H3164" s="567" t="s">
        <v>6</v>
      </c>
      <c r="I3164" s="877" t="s">
        <v>64</v>
      </c>
      <c r="J3164" s="878">
        <f>SUMIFS('Level of Efficiency Assumptions'!J:J,'Level of Efficiency Assumptions'!D:D,E3164,'Level of Efficiency Assumptions'!F:F,F3164,'Level of Efficiency Assumptions'!I:I,I3164)</f>
        <v>2</v>
      </c>
      <c r="K3164" s="383" t="s">
        <v>78</v>
      </c>
      <c r="L3164" s="253" t="s">
        <v>64</v>
      </c>
      <c r="M3164" s="879">
        <f>Q3164+Q3165</f>
        <v>0</v>
      </c>
      <c r="N3164" s="880">
        <f>IFERROR(M3164/M3167,"-")</f>
        <v>0</v>
      </c>
      <c r="O3164" s="881">
        <f>SUMIFS('Data Entry'!R:R,'Data Entry'!K:K,G3164)</f>
        <v>0</v>
      </c>
      <c r="P3164" s="266" t="s">
        <v>180</v>
      </c>
      <c r="Q3164" s="895">
        <v>0</v>
      </c>
      <c r="R3164" s="883"/>
      <c r="S3164" s="883"/>
      <c r="T3164" s="883"/>
      <c r="U3164" s="883"/>
      <c r="V3164" s="114" t="s">
        <v>182</v>
      </c>
      <c r="W3164" s="114"/>
      <c r="X3164" s="884"/>
      <c r="Y3164" s="270"/>
      <c r="Z3164" s="270"/>
      <c r="AA3164" s="270"/>
    </row>
    <row r="3165" spans="3:27" ht="15" thickBot="1" x14ac:dyDescent="0.35">
      <c r="C3165" s="494" t="s">
        <v>109</v>
      </c>
      <c r="D3165" s="577"/>
      <c r="E3165" s="577" t="s">
        <v>37</v>
      </c>
      <c r="F3165" s="577" t="s">
        <v>33</v>
      </c>
      <c r="G3165" s="450" t="str">
        <f t="shared" si="154"/>
        <v>Tenant D-Restrooms-Faucets</v>
      </c>
      <c r="H3165" s="577"/>
      <c r="I3165" s="887" t="s">
        <v>65</v>
      </c>
      <c r="J3165" s="878">
        <f>SUMIFS('Level of Efficiency Assumptions'!J:J,'Level of Efficiency Assumptions'!D:D,E3165,'Level of Efficiency Assumptions'!F:F,F3165,'Level of Efficiency Assumptions'!I:I,I3165)</f>
        <v>1</v>
      </c>
      <c r="K3165" s="383" t="s">
        <v>78</v>
      </c>
      <c r="L3165" s="255" t="s">
        <v>65</v>
      </c>
      <c r="M3165" s="879">
        <f>Q3166+Q3167</f>
        <v>1</v>
      </c>
      <c r="N3165" s="880">
        <f>IFERROR(M3165/M3167,"-")</f>
        <v>1</v>
      </c>
      <c r="O3165" s="881">
        <f>SUMIFS('Data Entry'!S:S,'Data Entry'!K:K,G3165)</f>
        <v>0</v>
      </c>
      <c r="P3165" s="266" t="s">
        <v>178</v>
      </c>
      <c r="Q3165" s="895">
        <v>0</v>
      </c>
      <c r="R3165" s="883"/>
      <c r="S3165" s="883"/>
      <c r="T3165" s="883"/>
      <c r="U3165" s="883"/>
      <c r="V3165" s="114" t="s">
        <v>184</v>
      </c>
      <c r="W3165" s="114"/>
      <c r="X3165" s="884"/>
      <c r="Y3165" s="270"/>
      <c r="Z3165" s="270"/>
      <c r="AA3165" s="270"/>
    </row>
    <row r="3166" spans="3:27" ht="15" thickBot="1" x14ac:dyDescent="0.35">
      <c r="C3166" s="501" t="s">
        <v>109</v>
      </c>
      <c r="D3166" s="116"/>
      <c r="E3166" s="116" t="s">
        <v>37</v>
      </c>
      <c r="F3166" s="116" t="s">
        <v>33</v>
      </c>
      <c r="G3166" s="450" t="str">
        <f t="shared" si="154"/>
        <v>Tenant D-Restrooms-Faucets</v>
      </c>
      <c r="H3166" s="116"/>
      <c r="I3166" s="889" t="s">
        <v>66</v>
      </c>
      <c r="J3166" s="890">
        <f>SUMIFS('Level of Efficiency Assumptions'!J:J,'Level of Efficiency Assumptions'!D:D,E3166,'Level of Efficiency Assumptions'!F:F,F3166,'Level of Efficiency Assumptions'!I:I,I3166)</f>
        <v>0.5</v>
      </c>
      <c r="K3166" s="383" t="s">
        <v>78</v>
      </c>
      <c r="L3166" s="257" t="s">
        <v>66</v>
      </c>
      <c r="M3166" s="879">
        <f>Q3168</f>
        <v>0</v>
      </c>
      <c r="N3166" s="880">
        <f>IFERROR(M3166/M3167,"-")</f>
        <v>0</v>
      </c>
      <c r="O3166" s="881">
        <f>SUMIFS('Data Entry'!T:T,'Data Entry'!K:K,G3166)</f>
        <v>0</v>
      </c>
      <c r="P3166" s="267" t="s">
        <v>176</v>
      </c>
      <c r="Q3166" s="895">
        <v>1</v>
      </c>
      <c r="R3166" s="883"/>
      <c r="S3166" s="883"/>
      <c r="T3166" s="883"/>
      <c r="U3166" s="883"/>
      <c r="V3166" s="114" t="s">
        <v>185</v>
      </c>
      <c r="W3166" s="114"/>
      <c r="X3166" s="884"/>
      <c r="Y3166" s="270"/>
      <c r="Z3166" s="270"/>
      <c r="AA3166" s="270"/>
    </row>
    <row r="3167" spans="3:27" x14ac:dyDescent="0.3">
      <c r="C3167" s="450"/>
      <c r="D3167" s="182"/>
      <c r="E3167" s="182"/>
      <c r="F3167" s="182"/>
      <c r="G3167" s="450" t="str">
        <f t="shared" si="154"/>
        <v>--</v>
      </c>
      <c r="H3167" s="182"/>
      <c r="I3167" s="440"/>
      <c r="J3167" s="892"/>
      <c r="K3167" s="259"/>
      <c r="L3167" s="259" t="s">
        <v>46</v>
      </c>
      <c r="M3167" s="893">
        <f>SUM(M3164:M3166)</f>
        <v>1</v>
      </c>
      <c r="N3167" s="894"/>
      <c r="O3167" s="894">
        <f>SUM(O3164:O3166)</f>
        <v>0</v>
      </c>
      <c r="P3167" s="256" t="s">
        <v>173</v>
      </c>
      <c r="Q3167" s="895">
        <v>0</v>
      </c>
      <c r="R3167" s="883"/>
      <c r="S3167" s="883"/>
      <c r="T3167" s="883"/>
      <c r="U3167" s="883"/>
      <c r="V3167" s="114" t="s">
        <v>186</v>
      </c>
      <c r="W3167" s="114"/>
      <c r="X3167" s="884"/>
      <c r="Y3167" s="270"/>
      <c r="Z3167" s="270"/>
      <c r="AA3167" s="270"/>
    </row>
    <row r="3168" spans="3:27" x14ac:dyDescent="0.3">
      <c r="C3168" s="450"/>
      <c r="D3168" s="182"/>
      <c r="E3168" s="182"/>
      <c r="F3168" s="182"/>
      <c r="G3168" s="450" t="str">
        <f t="shared" si="154"/>
        <v>--</v>
      </c>
      <c r="H3168" s="182"/>
      <c r="I3168" s="892"/>
      <c r="J3168" s="288"/>
      <c r="K3168" s="182"/>
      <c r="L3168" s="114"/>
      <c r="M3168" s="114"/>
      <c r="N3168" s="905"/>
      <c r="O3168" s="905"/>
      <c r="P3168" s="258" t="s">
        <v>172</v>
      </c>
      <c r="Q3168" s="895">
        <v>0</v>
      </c>
      <c r="R3168" s="883"/>
      <c r="S3168" s="883"/>
      <c r="T3168" s="883"/>
      <c r="U3168" s="883"/>
      <c r="V3168" s="114"/>
      <c r="W3168" s="114"/>
      <c r="X3168" s="884"/>
      <c r="Y3168" s="270"/>
      <c r="Z3168" s="270"/>
      <c r="AA3168" s="270"/>
    </row>
    <row r="3169" spans="3:27" x14ac:dyDescent="0.3">
      <c r="C3169" s="450"/>
      <c r="D3169" s="182"/>
      <c r="E3169" s="182"/>
      <c r="F3169" s="182"/>
      <c r="G3169" s="450" t="str">
        <f t="shared" si="154"/>
        <v>--</v>
      </c>
      <c r="H3169" s="182"/>
      <c r="I3169" s="892"/>
      <c r="J3169" s="288"/>
      <c r="K3169" s="182"/>
      <c r="L3169" s="181"/>
      <c r="M3169" s="181"/>
      <c r="N3169" s="892"/>
      <c r="O3169" s="892"/>
      <c r="P3169" s="263" t="s">
        <v>46</v>
      </c>
      <c r="Q3169" s="897">
        <f>SUM(Q3163:Q3168)</f>
        <v>1</v>
      </c>
      <c r="R3169" s="899"/>
      <c r="S3169" s="899"/>
      <c r="T3169" s="899"/>
      <c r="U3169" s="899"/>
      <c r="V3169" s="899"/>
      <c r="W3169" s="899"/>
      <c r="X3169" s="900"/>
      <c r="Y3169" s="270"/>
      <c r="Z3169" s="270"/>
      <c r="AA3169" s="270"/>
    </row>
    <row r="3170" spans="3:27" x14ac:dyDescent="0.3">
      <c r="C3170" s="450"/>
      <c r="D3170" s="182"/>
      <c r="E3170" s="182"/>
      <c r="F3170" s="182"/>
      <c r="G3170" s="450" t="str">
        <f t="shared" si="154"/>
        <v>--</v>
      </c>
      <c r="H3170" s="182"/>
      <c r="I3170" s="892"/>
      <c r="J3170" s="288"/>
      <c r="K3170" s="182"/>
      <c r="L3170" s="181"/>
      <c r="M3170" s="181"/>
      <c r="N3170" s="892"/>
      <c r="O3170" s="892"/>
      <c r="P3170" s="262"/>
      <c r="Q3170" s="114"/>
      <c r="R3170" s="114"/>
      <c r="S3170" s="114"/>
      <c r="T3170" s="114"/>
      <c r="U3170" s="114"/>
      <c r="V3170" s="114"/>
      <c r="W3170" s="270"/>
      <c r="X3170" s="270"/>
      <c r="Y3170" s="270"/>
      <c r="Z3170" s="270"/>
      <c r="AA3170" s="270"/>
    </row>
    <row r="3171" spans="3:27" ht="15" thickBot="1" x14ac:dyDescent="0.35">
      <c r="C3171" s="450"/>
      <c r="D3171" s="182"/>
      <c r="E3171" s="182"/>
      <c r="F3171" s="182"/>
      <c r="G3171" s="450" t="str">
        <f t="shared" si="154"/>
        <v>--</v>
      </c>
      <c r="H3171" s="182"/>
      <c r="I3171" s="892"/>
      <c r="J3171" s="892"/>
      <c r="K3171" s="182"/>
      <c r="L3171" s="182"/>
      <c r="M3171" s="901" t="s">
        <v>155</v>
      </c>
      <c r="N3171" s="870" t="s">
        <v>188</v>
      </c>
      <c r="O3171" s="870"/>
      <c r="P3171" s="265" t="s">
        <v>33</v>
      </c>
      <c r="Q3171" s="871" t="s">
        <v>155</v>
      </c>
      <c r="R3171" s="872" t="s">
        <v>168</v>
      </c>
      <c r="S3171" s="872" t="s">
        <v>169</v>
      </c>
      <c r="T3171" s="872" t="s">
        <v>170</v>
      </c>
      <c r="U3171" s="872" t="s">
        <v>171</v>
      </c>
      <c r="V3171" s="902"/>
      <c r="W3171" s="902"/>
      <c r="X3171" s="874"/>
      <c r="Y3171" s="270"/>
      <c r="Z3171" s="270"/>
      <c r="AA3171" s="270"/>
    </row>
    <row r="3172" spans="3:27" ht="15" thickBot="1" x14ac:dyDescent="0.35">
      <c r="C3172" s="566" t="s">
        <v>109</v>
      </c>
      <c r="D3172" s="875" t="str">
        <f>VLOOKUP(C3172,'Airport Mapping'!$C$5:$D$39,2,FALSE)</f>
        <v xml:space="preserve"> </v>
      </c>
      <c r="E3172" s="567" t="s">
        <v>5</v>
      </c>
      <c r="F3172" s="567" t="s">
        <v>33</v>
      </c>
      <c r="G3172" s="450" t="str">
        <f t="shared" si="154"/>
        <v>Tenant D-Break rooms-Faucets</v>
      </c>
      <c r="H3172" s="567" t="s">
        <v>6</v>
      </c>
      <c r="I3172" s="877" t="s">
        <v>64</v>
      </c>
      <c r="J3172" s="878">
        <f>SUMIFS('Level of Efficiency Assumptions'!J:J,'Level of Efficiency Assumptions'!D:D,E3172,'Level of Efficiency Assumptions'!F:F,F3172,'Level of Efficiency Assumptions'!I:I,I3172)</f>
        <v>2</v>
      </c>
      <c r="K3172" s="383" t="s">
        <v>78</v>
      </c>
      <c r="L3172" s="253" t="s">
        <v>64</v>
      </c>
      <c r="M3172" s="879">
        <f>Q3172+Q3173</f>
        <v>0</v>
      </c>
      <c r="N3172" s="880">
        <f>IFERROR(M3172/M3175,"-")</f>
        <v>0</v>
      </c>
      <c r="O3172" s="881">
        <f>SUMIFS('Data Entry'!R:R,'Data Entry'!K:K,G3172)</f>
        <v>0</v>
      </c>
      <c r="P3172" s="266" t="s">
        <v>180</v>
      </c>
      <c r="Q3172" s="895">
        <v>0</v>
      </c>
      <c r="R3172" s="883"/>
      <c r="S3172" s="883"/>
      <c r="T3172" s="883"/>
      <c r="U3172" s="883"/>
      <c r="V3172" s="114" t="s">
        <v>182</v>
      </c>
      <c r="W3172" s="114"/>
      <c r="X3172" s="884"/>
      <c r="Y3172" s="270"/>
      <c r="Z3172" s="270"/>
      <c r="AA3172" s="270"/>
    </row>
    <row r="3173" spans="3:27" ht="15" thickBot="1" x14ac:dyDescent="0.35">
      <c r="C3173" s="494" t="s">
        <v>109</v>
      </c>
      <c r="D3173" s="577"/>
      <c r="E3173" s="577" t="s">
        <v>5</v>
      </c>
      <c r="F3173" s="577" t="s">
        <v>33</v>
      </c>
      <c r="G3173" s="450" t="str">
        <f t="shared" si="154"/>
        <v>Tenant D-Break rooms-Faucets</v>
      </c>
      <c r="H3173" s="577"/>
      <c r="I3173" s="887" t="s">
        <v>65</v>
      </c>
      <c r="J3173" s="878">
        <f>SUMIFS('Level of Efficiency Assumptions'!J:J,'Level of Efficiency Assumptions'!D:D,E3173,'Level of Efficiency Assumptions'!F:F,F3173,'Level of Efficiency Assumptions'!I:I,I3173)</f>
        <v>1</v>
      </c>
      <c r="K3173" s="383" t="s">
        <v>78</v>
      </c>
      <c r="L3173" s="255" t="s">
        <v>65</v>
      </c>
      <c r="M3173" s="879">
        <f>Q3174+Q3175</f>
        <v>1</v>
      </c>
      <c r="N3173" s="880">
        <f>IFERROR(M3173/M3175,"-")</f>
        <v>1</v>
      </c>
      <c r="O3173" s="881">
        <f>SUMIFS('Data Entry'!S:S,'Data Entry'!K:K,G3173)</f>
        <v>0</v>
      </c>
      <c r="P3173" s="266" t="s">
        <v>178</v>
      </c>
      <c r="Q3173" s="895">
        <v>0</v>
      </c>
      <c r="R3173" s="883"/>
      <c r="S3173" s="883"/>
      <c r="T3173" s="883"/>
      <c r="U3173" s="883"/>
      <c r="V3173" s="114" t="s">
        <v>184</v>
      </c>
      <c r="W3173" s="114"/>
      <c r="X3173" s="884"/>
      <c r="Y3173" s="270"/>
      <c r="Z3173" s="270"/>
      <c r="AA3173" s="270"/>
    </row>
    <row r="3174" spans="3:27" ht="15" thickBot="1" x14ac:dyDescent="0.35">
      <c r="C3174" s="501" t="s">
        <v>109</v>
      </c>
      <c r="D3174" s="116"/>
      <c r="E3174" s="116" t="s">
        <v>5</v>
      </c>
      <c r="F3174" s="116" t="s">
        <v>33</v>
      </c>
      <c r="G3174" s="450" t="str">
        <f t="shared" si="154"/>
        <v>Tenant D-Break rooms-Faucets</v>
      </c>
      <c r="H3174" s="116"/>
      <c r="I3174" s="889" t="s">
        <v>66</v>
      </c>
      <c r="J3174" s="890">
        <f>SUMIFS('Level of Efficiency Assumptions'!J:J,'Level of Efficiency Assumptions'!D:D,E3174,'Level of Efficiency Assumptions'!F:F,F3174,'Level of Efficiency Assumptions'!I:I,I3174)</f>
        <v>0.5</v>
      </c>
      <c r="K3174" s="383" t="s">
        <v>78</v>
      </c>
      <c r="L3174" s="257" t="s">
        <v>66</v>
      </c>
      <c r="M3174" s="879">
        <f>Q3176</f>
        <v>0</v>
      </c>
      <c r="N3174" s="880">
        <f>IFERROR(M3174/M3175,"-")</f>
        <v>0</v>
      </c>
      <c r="O3174" s="881">
        <f>SUMIFS('Data Entry'!T:T,'Data Entry'!K:K,G3174)</f>
        <v>0</v>
      </c>
      <c r="P3174" s="267" t="s">
        <v>176</v>
      </c>
      <c r="Q3174" s="895">
        <v>1</v>
      </c>
      <c r="R3174" s="883"/>
      <c r="S3174" s="883"/>
      <c r="T3174" s="883"/>
      <c r="U3174" s="883"/>
      <c r="V3174" s="114" t="s">
        <v>185</v>
      </c>
      <c r="W3174" s="114"/>
      <c r="X3174" s="884"/>
      <c r="Y3174" s="270"/>
      <c r="Z3174" s="270"/>
      <c r="AA3174" s="270"/>
    </row>
    <row r="3175" spans="3:27" x14ac:dyDescent="0.3">
      <c r="C3175" s="450"/>
      <c r="D3175" s="182"/>
      <c r="E3175" s="182"/>
      <c r="F3175" s="182"/>
      <c r="G3175" s="450" t="str">
        <f t="shared" si="154"/>
        <v>--</v>
      </c>
      <c r="H3175" s="182"/>
      <c r="I3175" s="440"/>
      <c r="J3175" s="892"/>
      <c r="K3175" s="259"/>
      <c r="L3175" s="259" t="s">
        <v>46</v>
      </c>
      <c r="M3175" s="893">
        <f>SUM(M3172:M3174)</f>
        <v>1</v>
      </c>
      <c r="N3175" s="894"/>
      <c r="O3175" s="894">
        <f>SUM(O3172:O3174)</f>
        <v>0</v>
      </c>
      <c r="P3175" s="256" t="s">
        <v>173</v>
      </c>
      <c r="Q3175" s="895">
        <v>0</v>
      </c>
      <c r="R3175" s="883"/>
      <c r="S3175" s="883"/>
      <c r="T3175" s="883"/>
      <c r="U3175" s="883"/>
      <c r="V3175" s="114" t="s">
        <v>186</v>
      </c>
      <c r="W3175" s="114"/>
      <c r="X3175" s="884"/>
      <c r="Y3175" s="270"/>
      <c r="Z3175" s="270"/>
      <c r="AA3175" s="270"/>
    </row>
    <row r="3176" spans="3:27" x14ac:dyDescent="0.3">
      <c r="C3176" s="450"/>
      <c r="D3176" s="182"/>
      <c r="E3176" s="182"/>
      <c r="F3176" s="182"/>
      <c r="G3176" s="450" t="str">
        <f t="shared" si="154"/>
        <v>--</v>
      </c>
      <c r="H3176" s="182"/>
      <c r="I3176" s="892"/>
      <c r="J3176" s="288"/>
      <c r="K3176" s="182"/>
      <c r="L3176" s="182"/>
      <c r="M3176" s="270"/>
      <c r="N3176" s="892"/>
      <c r="O3176" s="892"/>
      <c r="P3176" s="258" t="s">
        <v>172</v>
      </c>
      <c r="Q3176" s="895">
        <v>0</v>
      </c>
      <c r="R3176" s="883"/>
      <c r="S3176" s="883"/>
      <c r="T3176" s="883"/>
      <c r="U3176" s="883"/>
      <c r="V3176" s="114"/>
      <c r="W3176" s="114"/>
      <c r="X3176" s="884"/>
      <c r="Y3176" s="270"/>
      <c r="Z3176" s="270"/>
      <c r="AA3176" s="270"/>
    </row>
    <row r="3177" spans="3:27" x14ac:dyDescent="0.3">
      <c r="C3177" s="450"/>
      <c r="D3177" s="182"/>
      <c r="E3177" s="182"/>
      <c r="F3177" s="182"/>
      <c r="G3177" s="450" t="str">
        <f t="shared" si="154"/>
        <v>--</v>
      </c>
      <c r="H3177" s="182"/>
      <c r="I3177" s="892"/>
      <c r="J3177" s="288"/>
      <c r="K3177" s="182"/>
      <c r="L3177" s="182"/>
      <c r="M3177" s="270"/>
      <c r="N3177" s="892"/>
      <c r="O3177" s="892"/>
      <c r="P3177" s="263" t="s">
        <v>46</v>
      </c>
      <c r="Q3177" s="897">
        <f>SUM(Q3171:Q3176)</f>
        <v>1</v>
      </c>
      <c r="R3177" s="899"/>
      <c r="S3177" s="899"/>
      <c r="T3177" s="899"/>
      <c r="U3177" s="899"/>
      <c r="V3177" s="899"/>
      <c r="W3177" s="899"/>
      <c r="X3177" s="900"/>
      <c r="Y3177" s="270"/>
      <c r="Z3177" s="270"/>
      <c r="AA3177" s="270"/>
    </row>
    <row r="3178" spans="3:27" x14ac:dyDescent="0.3">
      <c r="C3178" s="450"/>
      <c r="D3178" s="182"/>
      <c r="E3178" s="182"/>
      <c r="F3178" s="182"/>
      <c r="G3178" s="450" t="str">
        <f t="shared" si="154"/>
        <v>--</v>
      </c>
      <c r="H3178" s="182"/>
      <c r="I3178" s="892"/>
      <c r="J3178" s="288"/>
      <c r="K3178" s="182"/>
      <c r="L3178" s="182"/>
      <c r="M3178" s="270"/>
      <c r="N3178" s="892"/>
      <c r="O3178" s="892"/>
      <c r="P3178" s="259"/>
      <c r="Q3178" s="114"/>
      <c r="R3178" s="114"/>
      <c r="S3178" s="114"/>
      <c r="T3178" s="114"/>
      <c r="U3178" s="114"/>
      <c r="V3178" s="114"/>
      <c r="W3178" s="270"/>
      <c r="X3178" s="270"/>
      <c r="Y3178" s="270"/>
      <c r="Z3178" s="270"/>
      <c r="AA3178" s="270"/>
    </row>
    <row r="3179" spans="3:27" ht="15" thickBot="1" x14ac:dyDescent="0.35">
      <c r="C3179" s="450"/>
      <c r="D3179" s="182"/>
      <c r="E3179" s="182"/>
      <c r="F3179" s="182"/>
      <c r="G3179" s="450" t="str">
        <f t="shared" si="154"/>
        <v>--</v>
      </c>
      <c r="H3179" s="182"/>
      <c r="I3179" s="892"/>
      <c r="J3179" s="892"/>
      <c r="K3179" s="182"/>
      <c r="L3179" s="182"/>
      <c r="M3179" s="901" t="s">
        <v>155</v>
      </c>
      <c r="N3179" s="870" t="s">
        <v>188</v>
      </c>
      <c r="O3179" s="870"/>
      <c r="P3179" s="265" t="s">
        <v>33</v>
      </c>
      <c r="Q3179" s="871" t="s">
        <v>155</v>
      </c>
      <c r="R3179" s="872" t="s">
        <v>168</v>
      </c>
      <c r="S3179" s="872" t="s">
        <v>169</v>
      </c>
      <c r="T3179" s="872" t="s">
        <v>170</v>
      </c>
      <c r="U3179" s="872" t="s">
        <v>171</v>
      </c>
      <c r="V3179" s="902"/>
      <c r="W3179" s="902"/>
      <c r="X3179" s="874"/>
      <c r="Y3179" s="270"/>
      <c r="Z3179" s="270"/>
      <c r="AA3179" s="270"/>
    </row>
    <row r="3180" spans="3:27" ht="15" thickBot="1" x14ac:dyDescent="0.35">
      <c r="C3180" s="566" t="s">
        <v>109</v>
      </c>
      <c r="D3180" s="875" t="str">
        <f>VLOOKUP(C3180,'Airport Mapping'!$C$5:$D$39,2,FALSE)</f>
        <v xml:space="preserve"> </v>
      </c>
      <c r="E3180" s="567" t="s">
        <v>391</v>
      </c>
      <c r="F3180" s="567" t="s">
        <v>114</v>
      </c>
      <c r="G3180" s="450" t="str">
        <f t="shared" si="154"/>
        <v>Tenant D-Flight kitchens-Kitchen faucets</v>
      </c>
      <c r="H3180" s="567" t="s">
        <v>118</v>
      </c>
      <c r="I3180" s="877" t="s">
        <v>64</v>
      </c>
      <c r="J3180" s="878">
        <f>SUMIFS('Level of Efficiency Assumptions'!J:J,'Level of Efficiency Assumptions'!D:D,E3180,'Level of Efficiency Assumptions'!F:F,F3180,'Level of Efficiency Assumptions'!I:I,I3180)</f>
        <v>2</v>
      </c>
      <c r="K3180" s="383" t="s">
        <v>78</v>
      </c>
      <c r="L3180" s="253" t="s">
        <v>64</v>
      </c>
      <c r="M3180" s="879">
        <f>Q3180+Q3181</f>
        <v>0</v>
      </c>
      <c r="N3180" s="880">
        <f>IFERROR(M3180/M3183,"-")</f>
        <v>0</v>
      </c>
      <c r="O3180" s="881">
        <f>SUMIFS('Data Entry'!R:R,'Data Entry'!K:K,G3180)</f>
        <v>0</v>
      </c>
      <c r="P3180" s="266" t="s">
        <v>180</v>
      </c>
      <c r="Q3180" s="895">
        <v>0</v>
      </c>
      <c r="R3180" s="883"/>
      <c r="S3180" s="883"/>
      <c r="T3180" s="883"/>
      <c r="U3180" s="883"/>
      <c r="V3180" s="114" t="s">
        <v>182</v>
      </c>
      <c r="W3180" s="114"/>
      <c r="X3180" s="884"/>
      <c r="Y3180" s="270"/>
      <c r="Z3180" s="270"/>
      <c r="AA3180" s="270"/>
    </row>
    <row r="3181" spans="3:27" ht="15" thickBot="1" x14ac:dyDescent="0.35">
      <c r="C3181" s="494" t="s">
        <v>109</v>
      </c>
      <c r="D3181" s="577"/>
      <c r="E3181" s="577" t="s">
        <v>391</v>
      </c>
      <c r="F3181" s="577" t="s">
        <v>114</v>
      </c>
      <c r="G3181" s="450" t="str">
        <f t="shared" si="154"/>
        <v>Tenant D-Flight kitchens-Kitchen faucets</v>
      </c>
      <c r="H3181" s="577"/>
      <c r="I3181" s="887" t="s">
        <v>65</v>
      </c>
      <c r="J3181" s="878">
        <f>SUMIFS('Level of Efficiency Assumptions'!J:J,'Level of Efficiency Assumptions'!D:D,E3181,'Level of Efficiency Assumptions'!F:F,F3181,'Level of Efficiency Assumptions'!I:I,I3181)</f>
        <v>1</v>
      </c>
      <c r="K3181" s="383" t="s">
        <v>78</v>
      </c>
      <c r="L3181" s="255" t="s">
        <v>65</v>
      </c>
      <c r="M3181" s="879">
        <f>Q3182+Q3183</f>
        <v>1</v>
      </c>
      <c r="N3181" s="880">
        <f>IFERROR(M3181/M3183,"-")</f>
        <v>1</v>
      </c>
      <c r="O3181" s="881">
        <f>SUMIFS('Data Entry'!S:S,'Data Entry'!K:K,G3181)</f>
        <v>0</v>
      </c>
      <c r="P3181" s="266" t="s">
        <v>178</v>
      </c>
      <c r="Q3181" s="895">
        <v>0</v>
      </c>
      <c r="R3181" s="883"/>
      <c r="S3181" s="883"/>
      <c r="T3181" s="883"/>
      <c r="U3181" s="883"/>
      <c r="V3181" s="114" t="s">
        <v>184</v>
      </c>
      <c r="W3181" s="114"/>
      <c r="X3181" s="884"/>
      <c r="Y3181" s="270"/>
      <c r="Z3181" s="270"/>
      <c r="AA3181" s="270"/>
    </row>
    <row r="3182" spans="3:27" ht="15" thickBot="1" x14ac:dyDescent="0.35">
      <c r="C3182" s="501" t="s">
        <v>109</v>
      </c>
      <c r="D3182" s="116"/>
      <c r="E3182" s="116" t="s">
        <v>391</v>
      </c>
      <c r="F3182" s="116" t="s">
        <v>114</v>
      </c>
      <c r="G3182" s="450" t="str">
        <f t="shared" si="154"/>
        <v>Tenant D-Flight kitchens-Kitchen faucets</v>
      </c>
      <c r="H3182" s="116"/>
      <c r="I3182" s="889" t="s">
        <v>66</v>
      </c>
      <c r="J3182" s="890">
        <f>SUMIFS('Level of Efficiency Assumptions'!J:J,'Level of Efficiency Assumptions'!D:D,E3182,'Level of Efficiency Assumptions'!F:F,F3182,'Level of Efficiency Assumptions'!I:I,I3182)</f>
        <v>0.5</v>
      </c>
      <c r="K3182" s="383" t="s">
        <v>78</v>
      </c>
      <c r="L3182" s="257" t="s">
        <v>66</v>
      </c>
      <c r="M3182" s="879">
        <f>Q3184</f>
        <v>0</v>
      </c>
      <c r="N3182" s="880">
        <f>IFERROR(M3182/M3183,"-")</f>
        <v>0</v>
      </c>
      <c r="O3182" s="881">
        <f>SUMIFS('Data Entry'!T:T,'Data Entry'!K:K,G3182)</f>
        <v>0</v>
      </c>
      <c r="P3182" s="267" t="s">
        <v>176</v>
      </c>
      <c r="Q3182" s="895">
        <v>1</v>
      </c>
      <c r="R3182" s="883"/>
      <c r="S3182" s="883"/>
      <c r="T3182" s="883"/>
      <c r="U3182" s="883"/>
      <c r="V3182" s="114" t="s">
        <v>185</v>
      </c>
      <c r="W3182" s="114"/>
      <c r="X3182" s="884"/>
      <c r="Y3182" s="270"/>
      <c r="Z3182" s="270"/>
      <c r="AA3182" s="270"/>
    </row>
    <row r="3183" spans="3:27" x14ac:dyDescent="0.3">
      <c r="C3183" s="450"/>
      <c r="D3183" s="182"/>
      <c r="E3183" s="182"/>
      <c r="F3183" s="182"/>
      <c r="G3183" s="450" t="str">
        <f t="shared" si="154"/>
        <v>--</v>
      </c>
      <c r="H3183" s="182"/>
      <c r="I3183" s="440"/>
      <c r="J3183" s="892"/>
      <c r="K3183" s="259"/>
      <c r="L3183" s="259" t="s">
        <v>46</v>
      </c>
      <c r="M3183" s="893">
        <f>SUM(M3180:M3182)</f>
        <v>1</v>
      </c>
      <c r="N3183" s="894"/>
      <c r="O3183" s="894">
        <f>SUM(O3180:O3182)</f>
        <v>0</v>
      </c>
      <c r="P3183" s="256" t="s">
        <v>173</v>
      </c>
      <c r="Q3183" s="895">
        <v>0</v>
      </c>
      <c r="R3183" s="883"/>
      <c r="S3183" s="883"/>
      <c r="T3183" s="883"/>
      <c r="U3183" s="883"/>
      <c r="V3183" s="114" t="s">
        <v>186</v>
      </c>
      <c r="W3183" s="114"/>
      <c r="X3183" s="884"/>
      <c r="Y3183" s="270"/>
      <c r="Z3183" s="270"/>
      <c r="AA3183" s="270"/>
    </row>
    <row r="3184" spans="3:27" x14ac:dyDescent="0.3">
      <c r="C3184" s="450"/>
      <c r="D3184" s="182"/>
      <c r="E3184" s="182"/>
      <c r="F3184" s="182"/>
      <c r="G3184" s="450" t="str">
        <f t="shared" si="154"/>
        <v>--</v>
      </c>
      <c r="H3184" s="182"/>
      <c r="I3184" s="892"/>
      <c r="J3184" s="288"/>
      <c r="K3184" s="182"/>
      <c r="L3184" s="182"/>
      <c r="M3184" s="270"/>
      <c r="N3184" s="892"/>
      <c r="O3184" s="892"/>
      <c r="P3184" s="258" t="s">
        <v>172</v>
      </c>
      <c r="Q3184" s="895">
        <v>0</v>
      </c>
      <c r="R3184" s="883"/>
      <c r="S3184" s="883"/>
      <c r="T3184" s="883"/>
      <c r="U3184" s="883"/>
      <c r="V3184" s="114"/>
      <c r="W3184" s="114"/>
      <c r="X3184" s="884"/>
      <c r="Y3184" s="270"/>
      <c r="Z3184" s="270"/>
      <c r="AA3184" s="270"/>
    </row>
    <row r="3185" spans="3:31" x14ac:dyDescent="0.3">
      <c r="C3185" s="450"/>
      <c r="D3185" s="182"/>
      <c r="E3185" s="182"/>
      <c r="F3185" s="182"/>
      <c r="G3185" s="450" t="str">
        <f t="shared" si="154"/>
        <v>--</v>
      </c>
      <c r="H3185" s="182"/>
      <c r="I3185" s="892"/>
      <c r="J3185" s="288"/>
      <c r="K3185" s="182"/>
      <c r="L3185" s="182"/>
      <c r="M3185" s="270"/>
      <c r="N3185" s="892"/>
      <c r="O3185" s="892"/>
      <c r="P3185" s="263" t="s">
        <v>46</v>
      </c>
      <c r="Q3185" s="897">
        <f>SUM(Q3179:Q3184)</f>
        <v>1</v>
      </c>
      <c r="R3185" s="899"/>
      <c r="S3185" s="899"/>
      <c r="T3185" s="899"/>
      <c r="U3185" s="899"/>
      <c r="V3185" s="899"/>
      <c r="W3185" s="899"/>
      <c r="X3185" s="900"/>
      <c r="Y3185" s="270"/>
      <c r="Z3185" s="270"/>
      <c r="AA3185" s="270"/>
    </row>
    <row r="3186" spans="3:31" x14ac:dyDescent="0.3">
      <c r="C3186" s="450"/>
      <c r="D3186" s="182"/>
      <c r="E3186" s="182"/>
      <c r="F3186" s="182"/>
      <c r="G3186" s="450" t="str">
        <f t="shared" si="154"/>
        <v>--</v>
      </c>
      <c r="H3186" s="182"/>
      <c r="I3186" s="892"/>
      <c r="J3186" s="288"/>
      <c r="K3186" s="182"/>
      <c r="L3186" s="182"/>
      <c r="M3186" s="270"/>
      <c r="N3186" s="892"/>
      <c r="O3186" s="892"/>
      <c r="P3186" s="270"/>
      <c r="Q3186" s="270"/>
      <c r="R3186" s="270"/>
      <c r="S3186" s="270"/>
      <c r="T3186" s="270"/>
      <c r="U3186" s="270"/>
      <c r="V3186" s="270"/>
      <c r="W3186" s="270"/>
      <c r="X3186" s="270"/>
      <c r="Y3186" s="270"/>
      <c r="Z3186" s="270"/>
      <c r="AA3186" s="270"/>
    </row>
    <row r="3187" spans="3:31" x14ac:dyDescent="0.3">
      <c r="C3187" s="450"/>
      <c r="D3187" s="182"/>
      <c r="E3187" s="182"/>
      <c r="F3187" s="182"/>
      <c r="G3187" s="450" t="str">
        <f t="shared" si="154"/>
        <v>--</v>
      </c>
      <c r="H3187" s="182"/>
      <c r="I3187" s="892"/>
      <c r="J3187" s="288"/>
      <c r="K3187" s="182"/>
      <c r="L3187" s="182"/>
      <c r="M3187" s="270"/>
      <c r="N3187" s="892"/>
      <c r="O3187" s="892"/>
      <c r="P3187" s="268" t="s">
        <v>196</v>
      </c>
      <c r="Q3187" s="906"/>
      <c r="R3187" s="902"/>
      <c r="S3187" s="902"/>
      <c r="T3187" s="902"/>
      <c r="U3187" s="902"/>
      <c r="V3187" s="902"/>
      <c r="W3187" s="902"/>
      <c r="X3187" s="902"/>
      <c r="Y3187" s="902"/>
      <c r="Z3187" s="902"/>
      <c r="AA3187" s="874"/>
    </row>
    <row r="3188" spans="3:31" ht="15" thickBot="1" x14ac:dyDescent="0.35">
      <c r="C3188" s="450"/>
      <c r="D3188" s="182"/>
      <c r="E3188" s="182"/>
      <c r="F3188" s="182"/>
      <c r="G3188" s="450" t="str">
        <f t="shared" si="154"/>
        <v>--</v>
      </c>
      <c r="H3188" s="182"/>
      <c r="I3188" s="892"/>
      <c r="J3188" s="892"/>
      <c r="K3188" s="182"/>
      <c r="L3188" s="182"/>
      <c r="M3188" s="901" t="s">
        <v>155</v>
      </c>
      <c r="N3188" s="870" t="s">
        <v>188</v>
      </c>
      <c r="O3188" s="870"/>
      <c r="P3188" s="271" t="s">
        <v>203</v>
      </c>
      <c r="Q3188" s="871" t="s">
        <v>155</v>
      </c>
      <c r="R3188" s="114"/>
      <c r="S3188" s="114"/>
      <c r="T3188" s="907" t="s">
        <v>156</v>
      </c>
      <c r="U3188" s="114"/>
      <c r="V3188" s="114"/>
      <c r="W3188" s="114"/>
      <c r="X3188" s="114"/>
      <c r="Y3188" s="114"/>
      <c r="Z3188" s="114"/>
      <c r="AA3188" s="884"/>
    </row>
    <row r="3189" spans="3:31" ht="15" thickBot="1" x14ac:dyDescent="0.35">
      <c r="C3189" s="566" t="s">
        <v>109</v>
      </c>
      <c r="D3189" s="875" t="str">
        <f>VLOOKUP(C3189,'Airport Mapping'!$C$5:$D$39,2,FALSE)</f>
        <v xml:space="preserve"> </v>
      </c>
      <c r="E3189" s="567" t="s">
        <v>391</v>
      </c>
      <c r="F3189" s="567" t="s">
        <v>41</v>
      </c>
      <c r="G3189" s="450" t="str">
        <f t="shared" si="154"/>
        <v>Tenant D-Flight kitchens-Dishwashers</v>
      </c>
      <c r="H3189" s="567" t="s">
        <v>118</v>
      </c>
      <c r="I3189" s="877" t="s">
        <v>64</v>
      </c>
      <c r="J3189" s="878">
        <f>SUMIFS('Level of Efficiency Assumptions'!J:J,'Level of Efficiency Assumptions'!D:D,E3189,'Level of Efficiency Assumptions'!F:F,F3189,'Level of Efficiency Assumptions'!I:I,I3189)</f>
        <v>4.5</v>
      </c>
      <c r="K3189" s="383" t="s">
        <v>203</v>
      </c>
      <c r="L3189" s="253" t="s">
        <v>64</v>
      </c>
      <c r="M3189" s="879">
        <f>SUM(Q3189:Q3191)</f>
        <v>0</v>
      </c>
      <c r="N3189" s="880">
        <f>IFERROR(M3189/M3192,"-")</f>
        <v>0</v>
      </c>
      <c r="O3189" s="881">
        <f>SUMIFS('Data Entry'!R:R,'Data Entry'!K:K,G3189)</f>
        <v>0</v>
      </c>
      <c r="P3189" s="266" t="s">
        <v>204</v>
      </c>
      <c r="Q3189" s="895">
        <v>0</v>
      </c>
      <c r="R3189" s="114"/>
      <c r="S3189" s="905" t="s">
        <v>200</v>
      </c>
      <c r="T3189" s="895">
        <v>1</v>
      </c>
      <c r="U3189" s="114"/>
      <c r="V3189" s="114" t="s">
        <v>218</v>
      </c>
      <c r="W3189" s="114"/>
      <c r="X3189" s="114"/>
      <c r="Y3189" s="114"/>
      <c r="Z3189" s="114"/>
      <c r="AA3189" s="884"/>
    </row>
    <row r="3190" spans="3:31" ht="15" thickBot="1" x14ac:dyDescent="0.35">
      <c r="C3190" s="494" t="s">
        <v>109</v>
      </c>
      <c r="D3190" s="577"/>
      <c r="E3190" s="577" t="s">
        <v>391</v>
      </c>
      <c r="F3190" s="577" t="s">
        <v>41</v>
      </c>
      <c r="G3190" s="450" t="str">
        <f t="shared" si="154"/>
        <v>Tenant D-Flight kitchens-Dishwashers</v>
      </c>
      <c r="H3190" s="577"/>
      <c r="I3190" s="887" t="s">
        <v>65</v>
      </c>
      <c r="J3190" s="878">
        <f>SUMIFS('Level of Efficiency Assumptions'!J:J,'Level of Efficiency Assumptions'!D:D,E3190,'Level of Efficiency Assumptions'!F:F,F3190,'Level of Efficiency Assumptions'!I:I,I3190)</f>
        <v>2.5</v>
      </c>
      <c r="K3190" s="383" t="s">
        <v>203</v>
      </c>
      <c r="L3190" s="255" t="s">
        <v>65</v>
      </c>
      <c r="M3190" s="879">
        <f>Q3192+Q3193</f>
        <v>1</v>
      </c>
      <c r="N3190" s="880">
        <f>IFERROR(M3190/M3192,"-")</f>
        <v>1</v>
      </c>
      <c r="O3190" s="881">
        <f>SUMIFS('Data Entry'!S:S,'Data Entry'!K:K,G3190)</f>
        <v>0</v>
      </c>
      <c r="P3190" s="272" t="s">
        <v>205</v>
      </c>
      <c r="Q3190" s="895">
        <v>0</v>
      </c>
      <c r="R3190" s="114"/>
      <c r="S3190" s="908" t="s">
        <v>201</v>
      </c>
      <c r="T3190" s="895">
        <v>1</v>
      </c>
      <c r="U3190" s="114"/>
      <c r="V3190" s="114"/>
      <c r="W3190" s="114"/>
      <c r="X3190" s="114"/>
      <c r="Y3190" s="114"/>
      <c r="Z3190" s="114"/>
      <c r="AA3190" s="884"/>
    </row>
    <row r="3191" spans="3:31" ht="15" thickBot="1" x14ac:dyDescent="0.35">
      <c r="C3191" s="501" t="s">
        <v>109</v>
      </c>
      <c r="D3191" s="116"/>
      <c r="E3191" s="116" t="s">
        <v>391</v>
      </c>
      <c r="F3191" s="116" t="s">
        <v>41</v>
      </c>
      <c r="G3191" s="450" t="str">
        <f t="shared" si="154"/>
        <v>Tenant D-Flight kitchens-Dishwashers</v>
      </c>
      <c r="H3191" s="116"/>
      <c r="I3191" s="889" t="s">
        <v>66</v>
      </c>
      <c r="J3191" s="890">
        <f>SUMIFS('Level of Efficiency Assumptions'!J:J,'Level of Efficiency Assumptions'!D:D,E3191,'Level of Efficiency Assumptions'!F:F,F3191,'Level of Efficiency Assumptions'!I:I,I3191)</f>
        <v>1</v>
      </c>
      <c r="K3191" s="383" t="s">
        <v>203</v>
      </c>
      <c r="L3191" s="257" t="s">
        <v>66</v>
      </c>
      <c r="M3191" s="879">
        <f>Q3194+Q3195</f>
        <v>0</v>
      </c>
      <c r="N3191" s="880">
        <f>IFERROR(M3191/M3192,"-")</f>
        <v>0</v>
      </c>
      <c r="O3191" s="881">
        <f>SUMIFS('Data Entry'!T:T,'Data Entry'!K:K,G3191)</f>
        <v>0</v>
      </c>
      <c r="P3191" s="272" t="s">
        <v>206</v>
      </c>
      <c r="Q3191" s="895">
        <v>0</v>
      </c>
      <c r="R3191" s="114"/>
      <c r="S3191" s="908" t="s">
        <v>202</v>
      </c>
      <c r="T3191" s="895">
        <v>1</v>
      </c>
      <c r="U3191" s="114"/>
      <c r="V3191" s="114"/>
      <c r="W3191" s="114"/>
      <c r="X3191" s="114"/>
      <c r="Y3191" s="114"/>
      <c r="Z3191" s="114"/>
      <c r="AA3191" s="884"/>
    </row>
    <row r="3192" spans="3:31" x14ac:dyDescent="0.3">
      <c r="C3192" s="450"/>
      <c r="D3192" s="182"/>
      <c r="E3192" s="182"/>
      <c r="F3192" s="182"/>
      <c r="G3192" s="450" t="str">
        <f t="shared" si="154"/>
        <v>--</v>
      </c>
      <c r="H3192" s="182"/>
      <c r="I3192" s="440"/>
      <c r="J3192" s="892"/>
      <c r="K3192" s="259"/>
      <c r="L3192" s="259" t="s">
        <v>46</v>
      </c>
      <c r="M3192" s="893">
        <f>SUM(M3189:M3191)</f>
        <v>1</v>
      </c>
      <c r="N3192" s="894"/>
      <c r="O3192" s="894">
        <f>SUM(O3189:O3191)</f>
        <v>0</v>
      </c>
      <c r="P3192" s="267" t="s">
        <v>207</v>
      </c>
      <c r="Q3192" s="895">
        <v>1</v>
      </c>
      <c r="R3192" s="114"/>
      <c r="S3192" s="908" t="s">
        <v>199</v>
      </c>
      <c r="T3192" s="895">
        <v>1</v>
      </c>
      <c r="U3192" s="114"/>
      <c r="V3192" s="114"/>
      <c r="W3192" s="114"/>
      <c r="X3192" s="114"/>
      <c r="Y3192" s="114"/>
      <c r="Z3192" s="114"/>
      <c r="AA3192" s="884"/>
    </row>
    <row r="3193" spans="3:31" s="45" customFormat="1" x14ac:dyDescent="0.3">
      <c r="C3193" s="450"/>
      <c r="D3193" s="182"/>
      <c r="E3193" s="182"/>
      <c r="F3193" s="182"/>
      <c r="G3193" s="450" t="str">
        <f t="shared" si="154"/>
        <v>--</v>
      </c>
      <c r="H3193" s="182"/>
      <c r="I3193" s="892"/>
      <c r="J3193" s="288"/>
      <c r="K3193" s="182"/>
      <c r="L3193" s="182"/>
      <c r="M3193" s="270"/>
      <c r="N3193" s="892"/>
      <c r="O3193" s="892"/>
      <c r="P3193" s="267" t="s">
        <v>208</v>
      </c>
      <c r="Q3193" s="895">
        <v>0</v>
      </c>
      <c r="R3193" s="114"/>
      <c r="S3193" s="909" t="s">
        <v>198</v>
      </c>
      <c r="T3193" s="895">
        <v>1</v>
      </c>
      <c r="U3193" s="114"/>
      <c r="V3193" s="114"/>
      <c r="W3193" s="114"/>
      <c r="X3193" s="114"/>
      <c r="Y3193" s="114"/>
      <c r="Z3193" s="114"/>
      <c r="AA3193" s="884"/>
      <c r="AB3193" s="125"/>
      <c r="AC3193" s="85"/>
      <c r="AD3193" s="85"/>
      <c r="AE3193" s="85"/>
    </row>
    <row r="3194" spans="3:31" s="45" customFormat="1" x14ac:dyDescent="0.3">
      <c r="C3194" s="450"/>
      <c r="D3194" s="182"/>
      <c r="E3194" s="182"/>
      <c r="F3194" s="182"/>
      <c r="G3194" s="450" t="str">
        <f t="shared" si="154"/>
        <v>--</v>
      </c>
      <c r="H3194" s="182"/>
      <c r="I3194" s="892"/>
      <c r="J3194" s="288"/>
      <c r="K3194" s="182"/>
      <c r="L3194" s="182"/>
      <c r="M3194" s="270"/>
      <c r="N3194" s="892"/>
      <c r="O3194" s="892"/>
      <c r="P3194" s="269" t="s">
        <v>209</v>
      </c>
      <c r="Q3194" s="895">
        <v>0</v>
      </c>
      <c r="R3194" s="114"/>
      <c r="S3194" s="905" t="s">
        <v>197</v>
      </c>
      <c r="T3194" s="895">
        <v>1</v>
      </c>
      <c r="U3194" s="114"/>
      <c r="V3194" s="114"/>
      <c r="W3194" s="114"/>
      <c r="X3194" s="114"/>
      <c r="Y3194" s="114"/>
      <c r="Z3194" s="114"/>
      <c r="AA3194" s="884"/>
      <c r="AB3194" s="125"/>
      <c r="AC3194" s="85"/>
      <c r="AD3194" s="85"/>
      <c r="AE3194" s="85"/>
    </row>
    <row r="3195" spans="3:31" s="45" customFormat="1" x14ac:dyDescent="0.3">
      <c r="C3195" s="450"/>
      <c r="D3195" s="182"/>
      <c r="E3195" s="182"/>
      <c r="F3195" s="182"/>
      <c r="G3195" s="450" t="str">
        <f t="shared" si="154"/>
        <v>--</v>
      </c>
      <c r="H3195" s="182"/>
      <c r="I3195" s="892"/>
      <c r="J3195" s="288"/>
      <c r="K3195" s="182"/>
      <c r="L3195" s="182"/>
      <c r="M3195" s="270"/>
      <c r="N3195" s="892"/>
      <c r="O3195" s="892"/>
      <c r="P3195" s="269" t="s">
        <v>210</v>
      </c>
      <c r="Q3195" s="895">
        <v>0</v>
      </c>
      <c r="R3195" s="114"/>
      <c r="S3195" s="114" t="s">
        <v>216</v>
      </c>
      <c r="T3195" s="910">
        <f>(T3189*55)+(T3190*45)+(T3191*35)+(T3192*25)+(T3193*15)+(T3194*5)</f>
        <v>180</v>
      </c>
      <c r="U3195" s="1393" t="s">
        <v>217</v>
      </c>
      <c r="V3195" s="1393"/>
      <c r="W3195" s="1393"/>
      <c r="X3195" s="114"/>
      <c r="Y3195" s="114"/>
      <c r="Z3195" s="114"/>
      <c r="AA3195" s="884"/>
      <c r="AB3195" s="125"/>
      <c r="AC3195" s="85"/>
      <c r="AD3195" s="85"/>
      <c r="AE3195" s="85"/>
    </row>
    <row r="3196" spans="3:31" s="45" customFormat="1" x14ac:dyDescent="0.3">
      <c r="C3196" s="450"/>
      <c r="D3196" s="182"/>
      <c r="E3196" s="182"/>
      <c r="F3196" s="182"/>
      <c r="G3196" s="450" t="str">
        <f t="shared" si="154"/>
        <v>--</v>
      </c>
      <c r="H3196" s="182"/>
      <c r="I3196" s="892"/>
      <c r="J3196" s="288"/>
      <c r="K3196" s="182"/>
      <c r="L3196" s="182"/>
      <c r="M3196" s="270"/>
      <c r="N3196" s="892"/>
      <c r="O3196" s="892"/>
      <c r="P3196" s="263" t="s">
        <v>46</v>
      </c>
      <c r="Q3196" s="897">
        <f>SUM(Q3189:Q3195)</f>
        <v>1</v>
      </c>
      <c r="R3196" s="899"/>
      <c r="S3196" s="899"/>
      <c r="T3196" s="899"/>
      <c r="U3196" s="1394"/>
      <c r="V3196" s="1394"/>
      <c r="W3196" s="1394"/>
      <c r="X3196" s="899"/>
      <c r="Y3196" s="899"/>
      <c r="Z3196" s="899"/>
      <c r="AA3196" s="900"/>
      <c r="AB3196" s="125"/>
      <c r="AC3196" s="85"/>
      <c r="AD3196" s="85"/>
      <c r="AE3196" s="85"/>
    </row>
    <row r="3197" spans="3:31" x14ac:dyDescent="0.3">
      <c r="C3197" s="450"/>
      <c r="D3197" s="182"/>
      <c r="E3197" s="182"/>
      <c r="F3197" s="182"/>
      <c r="G3197" s="450" t="str">
        <f t="shared" si="154"/>
        <v>--</v>
      </c>
      <c r="H3197" s="182"/>
      <c r="I3197" s="892"/>
      <c r="J3197" s="288"/>
      <c r="K3197" s="182"/>
      <c r="L3197" s="182"/>
      <c r="M3197" s="270"/>
      <c r="N3197" s="892"/>
      <c r="O3197" s="892"/>
      <c r="P3197" s="114"/>
      <c r="Q3197" s="114"/>
      <c r="R3197" s="114"/>
      <c r="S3197" s="114"/>
      <c r="T3197" s="114"/>
      <c r="U3197" s="114"/>
      <c r="V3197" s="114"/>
      <c r="W3197" s="114"/>
      <c r="X3197" s="270"/>
      <c r="Y3197" s="270"/>
      <c r="Z3197" s="270"/>
      <c r="AA3197" s="270"/>
    </row>
    <row r="3198" spans="3:31" x14ac:dyDescent="0.3">
      <c r="C3198" s="450"/>
      <c r="D3198" s="182"/>
      <c r="E3198" s="182"/>
      <c r="F3198" s="182"/>
      <c r="G3198" s="450" t="str">
        <f t="shared" si="154"/>
        <v>--</v>
      </c>
      <c r="H3198" s="182"/>
      <c r="I3198" s="892"/>
      <c r="J3198" s="288"/>
      <c r="K3198" s="182"/>
      <c r="L3198" s="182"/>
      <c r="M3198" s="270"/>
      <c r="N3198" s="892"/>
      <c r="O3198" s="892"/>
      <c r="P3198" s="268" t="s">
        <v>174</v>
      </c>
      <c r="Q3198" s="911"/>
      <c r="R3198" s="872"/>
      <c r="S3198" s="874"/>
      <c r="T3198" s="270"/>
      <c r="U3198" s="270"/>
      <c r="V3198" s="270"/>
      <c r="W3198" s="270"/>
      <c r="X3198" s="270"/>
      <c r="Y3198" s="270"/>
      <c r="Z3198" s="270"/>
      <c r="AA3198" s="270"/>
    </row>
    <row r="3199" spans="3:31" ht="15" thickBot="1" x14ac:dyDescent="0.35">
      <c r="C3199" s="450"/>
      <c r="D3199" s="182"/>
      <c r="E3199" s="182"/>
      <c r="F3199" s="182"/>
      <c r="G3199" s="450" t="str">
        <f t="shared" si="154"/>
        <v>--</v>
      </c>
      <c r="H3199" s="182"/>
      <c r="I3199" s="892"/>
      <c r="J3199" s="892"/>
      <c r="K3199" s="182"/>
      <c r="L3199" s="182"/>
      <c r="M3199" s="901" t="s">
        <v>155</v>
      </c>
      <c r="N3199" s="870" t="s">
        <v>188</v>
      </c>
      <c r="O3199" s="870"/>
      <c r="P3199" s="273" t="s">
        <v>220</v>
      </c>
      <c r="Q3199" s="871" t="s">
        <v>155</v>
      </c>
      <c r="R3199" s="114"/>
      <c r="S3199" s="884"/>
      <c r="T3199" s="270"/>
      <c r="U3199" s="270"/>
      <c r="V3199" s="270"/>
      <c r="W3199" s="270"/>
      <c r="X3199" s="270"/>
      <c r="Y3199" s="270"/>
      <c r="Z3199" s="270"/>
      <c r="AA3199" s="270"/>
    </row>
    <row r="3200" spans="3:31" ht="15" thickBot="1" x14ac:dyDescent="0.35">
      <c r="C3200" s="566" t="s">
        <v>109</v>
      </c>
      <c r="D3200" s="875" t="str">
        <f>VLOOKUP(C3200,'Airport Mapping'!$C$5:$D$39,2,FALSE)</f>
        <v xml:space="preserve"> </v>
      </c>
      <c r="E3200" s="567" t="s">
        <v>391</v>
      </c>
      <c r="F3200" s="567" t="s">
        <v>20</v>
      </c>
      <c r="G3200" s="450" t="str">
        <f t="shared" si="154"/>
        <v>Tenant D-Flight kitchens-Ice machines</v>
      </c>
      <c r="H3200" s="567" t="s">
        <v>118</v>
      </c>
      <c r="I3200" s="877" t="s">
        <v>64</v>
      </c>
      <c r="J3200" s="878">
        <f>SUMIFS('Level of Efficiency Assumptions'!J:J,'Level of Efficiency Assumptions'!D:D,E3200,'Level of Efficiency Assumptions'!F:F,F3200,'Level of Efficiency Assumptions'!I:I,I3200)</f>
        <v>1.5</v>
      </c>
      <c r="K3200" s="383" t="s">
        <v>220</v>
      </c>
      <c r="L3200" s="253" t="s">
        <v>64</v>
      </c>
      <c r="M3200" s="879">
        <f>SUM(Q3200:Q3202)</f>
        <v>0</v>
      </c>
      <c r="N3200" s="880">
        <f>IFERROR(M3200/M3203,"-")</f>
        <v>0</v>
      </c>
      <c r="O3200" s="881">
        <f>SUMIFS('Data Entry'!R:R,'Data Entry'!K:K,G3200)</f>
        <v>0</v>
      </c>
      <c r="P3200" s="266" t="s">
        <v>204</v>
      </c>
      <c r="Q3200" s="895">
        <v>0</v>
      </c>
      <c r="R3200" s="114"/>
      <c r="S3200" s="884"/>
      <c r="T3200" s="270"/>
      <c r="U3200" s="270"/>
      <c r="V3200" s="270"/>
      <c r="W3200" s="912"/>
      <c r="X3200" s="270"/>
      <c r="Y3200" s="270"/>
      <c r="Z3200" s="270"/>
      <c r="AA3200" s="270"/>
    </row>
    <row r="3201" spans="3:27" ht="15" thickBot="1" x14ac:dyDescent="0.35">
      <c r="C3201" s="494" t="s">
        <v>109</v>
      </c>
      <c r="D3201" s="577"/>
      <c r="E3201" s="577" t="s">
        <v>391</v>
      </c>
      <c r="F3201" s="577" t="s">
        <v>20</v>
      </c>
      <c r="G3201" s="450" t="str">
        <f t="shared" si="154"/>
        <v>Tenant D-Flight kitchens-Ice machines</v>
      </c>
      <c r="H3201" s="577"/>
      <c r="I3201" s="887" t="s">
        <v>65</v>
      </c>
      <c r="J3201" s="878">
        <f>SUMIFS('Level of Efficiency Assumptions'!J:J,'Level of Efficiency Assumptions'!D:D,E3201,'Level of Efficiency Assumptions'!F:F,F3201,'Level of Efficiency Assumptions'!I:I,I3201)</f>
        <v>0.25</v>
      </c>
      <c r="K3201" s="383" t="s">
        <v>220</v>
      </c>
      <c r="L3201" s="255" t="s">
        <v>65</v>
      </c>
      <c r="M3201" s="879">
        <f>Q3203+Q3204</f>
        <v>1</v>
      </c>
      <c r="N3201" s="880">
        <f>IFERROR(M3201/M3203,"-")</f>
        <v>1</v>
      </c>
      <c r="O3201" s="881">
        <f>SUMIFS('Data Entry'!S:S,'Data Entry'!K:K,G3201)</f>
        <v>0</v>
      </c>
      <c r="P3201" s="272" t="s">
        <v>205</v>
      </c>
      <c r="Q3201" s="895">
        <v>0</v>
      </c>
      <c r="R3201" s="114"/>
      <c r="S3201" s="884"/>
      <c r="T3201" s="270"/>
      <c r="U3201" s="270"/>
      <c r="V3201" s="270"/>
      <c r="W3201" s="912"/>
      <c r="X3201" s="270"/>
      <c r="Y3201" s="270"/>
      <c r="Z3201" s="270"/>
      <c r="AA3201" s="270"/>
    </row>
    <row r="3202" spans="3:27" ht="15" thickBot="1" x14ac:dyDescent="0.35">
      <c r="C3202" s="501" t="s">
        <v>109</v>
      </c>
      <c r="D3202" s="116"/>
      <c r="E3202" s="116" t="s">
        <v>391</v>
      </c>
      <c r="F3202" s="116" t="s">
        <v>20</v>
      </c>
      <c r="G3202" s="450" t="str">
        <f t="shared" si="154"/>
        <v>Tenant D-Flight kitchens-Ice machines</v>
      </c>
      <c r="H3202" s="116"/>
      <c r="I3202" s="889" t="s">
        <v>66</v>
      </c>
      <c r="J3202" s="890">
        <f>SUMIFS('Level of Efficiency Assumptions'!J:J,'Level of Efficiency Assumptions'!D:D,E3202,'Level of Efficiency Assumptions'!F:F,F3202,'Level of Efficiency Assumptions'!I:I,I3202)</f>
        <v>0.12</v>
      </c>
      <c r="K3202" s="383" t="s">
        <v>220</v>
      </c>
      <c r="L3202" s="257" t="s">
        <v>66</v>
      </c>
      <c r="M3202" s="879">
        <f>Q3205+Q3206</f>
        <v>0</v>
      </c>
      <c r="N3202" s="880">
        <f>IFERROR(M3202/M3203,"-")</f>
        <v>0</v>
      </c>
      <c r="O3202" s="881">
        <f>SUMIFS('Data Entry'!T:T,'Data Entry'!K:K,G3202)</f>
        <v>0</v>
      </c>
      <c r="P3202" s="272" t="s">
        <v>206</v>
      </c>
      <c r="Q3202" s="895">
        <v>0</v>
      </c>
      <c r="R3202" s="114"/>
      <c r="S3202" s="884"/>
      <c r="T3202" s="270"/>
      <c r="U3202" s="270"/>
      <c r="V3202" s="270"/>
      <c r="W3202" s="280"/>
      <c r="X3202" s="270"/>
      <c r="Y3202" s="270"/>
      <c r="Z3202" s="270"/>
      <c r="AA3202" s="270"/>
    </row>
    <row r="3203" spans="3:27" x14ac:dyDescent="0.3">
      <c r="C3203" s="450"/>
      <c r="D3203" s="182"/>
      <c r="E3203" s="182"/>
      <c r="F3203" s="182"/>
      <c r="G3203" s="450" t="str">
        <f t="shared" si="154"/>
        <v>--</v>
      </c>
      <c r="H3203" s="182"/>
      <c r="I3203" s="440"/>
      <c r="J3203" s="892"/>
      <c r="K3203" s="259"/>
      <c r="L3203" s="259" t="s">
        <v>46</v>
      </c>
      <c r="M3203" s="893">
        <f>SUM(M3200:M3202)</f>
        <v>1</v>
      </c>
      <c r="N3203" s="894"/>
      <c r="O3203" s="894">
        <f>SUM(O3200:O3202)</f>
        <v>0</v>
      </c>
      <c r="P3203" s="274" t="s">
        <v>228</v>
      </c>
      <c r="Q3203" s="895">
        <v>1</v>
      </c>
      <c r="R3203" s="114"/>
      <c r="S3203" s="884"/>
      <c r="T3203" s="270"/>
      <c r="U3203" s="270"/>
      <c r="V3203" s="270"/>
      <c r="W3203" s="270"/>
      <c r="X3203" s="270"/>
      <c r="Y3203" s="270"/>
      <c r="Z3203" s="270"/>
      <c r="AA3203" s="270"/>
    </row>
    <row r="3204" spans="3:27" x14ac:dyDescent="0.3">
      <c r="C3204" s="450"/>
      <c r="D3204" s="182"/>
      <c r="E3204" s="182"/>
      <c r="F3204" s="182"/>
      <c r="G3204" s="450" t="str">
        <f t="shared" si="154"/>
        <v>--</v>
      </c>
      <c r="H3204" s="182"/>
      <c r="I3204" s="892"/>
      <c r="J3204" s="288"/>
      <c r="K3204" s="182"/>
      <c r="L3204" s="182"/>
      <c r="M3204" s="270"/>
      <c r="N3204" s="892"/>
      <c r="O3204" s="892"/>
      <c r="P3204" s="274" t="s">
        <v>227</v>
      </c>
      <c r="Q3204" s="895">
        <v>0</v>
      </c>
      <c r="R3204" s="114"/>
      <c r="S3204" s="884"/>
      <c r="T3204" s="270"/>
      <c r="U3204" s="270"/>
      <c r="V3204" s="270"/>
      <c r="W3204" s="270"/>
      <c r="X3204" s="270"/>
      <c r="Y3204" s="270"/>
      <c r="Z3204" s="270"/>
      <c r="AA3204" s="270"/>
    </row>
    <row r="3205" spans="3:27" x14ac:dyDescent="0.3">
      <c r="C3205" s="450"/>
      <c r="D3205" s="182"/>
      <c r="E3205" s="182"/>
      <c r="F3205" s="182"/>
      <c r="G3205" s="450" t="str">
        <f t="shared" si="154"/>
        <v>--</v>
      </c>
      <c r="H3205" s="182"/>
      <c r="I3205" s="892"/>
      <c r="J3205" s="288"/>
      <c r="K3205" s="182"/>
      <c r="L3205" s="182"/>
      <c r="M3205" s="270"/>
      <c r="N3205" s="892"/>
      <c r="O3205" s="892"/>
      <c r="P3205" s="275" t="s">
        <v>226</v>
      </c>
      <c r="Q3205" s="895">
        <v>0</v>
      </c>
      <c r="R3205" s="114"/>
      <c r="S3205" s="884"/>
      <c r="T3205" s="270"/>
      <c r="U3205" s="270"/>
      <c r="V3205" s="270"/>
      <c r="W3205" s="270"/>
      <c r="X3205" s="270"/>
      <c r="Y3205" s="270"/>
      <c r="Z3205" s="270"/>
      <c r="AA3205" s="270"/>
    </row>
    <row r="3206" spans="3:27" x14ac:dyDescent="0.3">
      <c r="C3206" s="450"/>
      <c r="D3206" s="182"/>
      <c r="E3206" s="182"/>
      <c r="F3206" s="182"/>
      <c r="G3206" s="450" t="str">
        <f t="shared" si="154"/>
        <v>--</v>
      </c>
      <c r="H3206" s="182"/>
      <c r="I3206" s="892"/>
      <c r="J3206" s="288"/>
      <c r="K3206" s="182"/>
      <c r="L3206" s="182"/>
      <c r="M3206" s="270"/>
      <c r="N3206" s="892"/>
      <c r="O3206" s="892"/>
      <c r="P3206" s="269" t="s">
        <v>225</v>
      </c>
      <c r="Q3206" s="895">
        <v>0</v>
      </c>
      <c r="R3206" s="114"/>
      <c r="S3206" s="884"/>
      <c r="T3206" s="270"/>
      <c r="U3206" s="270"/>
      <c r="V3206" s="270"/>
      <c r="W3206" s="270"/>
      <c r="X3206" s="270"/>
      <c r="Y3206" s="270"/>
      <c r="Z3206" s="270"/>
      <c r="AA3206" s="270"/>
    </row>
    <row r="3207" spans="3:27" x14ac:dyDescent="0.3">
      <c r="C3207" s="450"/>
      <c r="D3207" s="182"/>
      <c r="E3207" s="182"/>
      <c r="F3207" s="182"/>
      <c r="G3207" s="450" t="str">
        <f t="shared" si="154"/>
        <v>--</v>
      </c>
      <c r="H3207" s="182"/>
      <c r="I3207" s="892"/>
      <c r="J3207" s="288"/>
      <c r="K3207" s="182"/>
      <c r="L3207" s="182"/>
      <c r="M3207" s="270"/>
      <c r="N3207" s="892"/>
      <c r="O3207" s="892"/>
      <c r="P3207" s="263" t="s">
        <v>46</v>
      </c>
      <c r="Q3207" s="897">
        <f>SUM(Q3200:Q3206)</f>
        <v>1</v>
      </c>
      <c r="R3207" s="899"/>
      <c r="S3207" s="900"/>
      <c r="T3207" s="270"/>
      <c r="U3207" s="270"/>
      <c r="V3207" s="270"/>
      <c r="W3207" s="270"/>
      <c r="X3207" s="270"/>
      <c r="Y3207" s="270"/>
      <c r="Z3207" s="270"/>
      <c r="AA3207" s="270"/>
    </row>
    <row r="3208" spans="3:27" x14ac:dyDescent="0.3">
      <c r="C3208" s="450"/>
      <c r="D3208" s="182"/>
      <c r="E3208" s="182"/>
      <c r="F3208" s="182"/>
      <c r="G3208" s="450" t="str">
        <f t="shared" si="154"/>
        <v>--</v>
      </c>
      <c r="H3208" s="182"/>
      <c r="I3208" s="892"/>
      <c r="J3208" s="288"/>
      <c r="K3208" s="182"/>
      <c r="L3208" s="182"/>
      <c r="M3208" s="270"/>
      <c r="N3208" s="892"/>
      <c r="O3208" s="892"/>
      <c r="P3208" s="270"/>
      <c r="Q3208" s="270"/>
      <c r="R3208" s="270"/>
      <c r="S3208" s="270"/>
      <c r="T3208" s="270"/>
      <c r="U3208" s="270"/>
      <c r="V3208" s="270"/>
      <c r="W3208" s="270"/>
      <c r="X3208" s="270"/>
      <c r="Y3208" s="270"/>
      <c r="Z3208" s="270"/>
      <c r="AA3208" s="270"/>
    </row>
    <row r="3209" spans="3:27" ht="15" thickBot="1" x14ac:dyDescent="0.35">
      <c r="C3209" s="450"/>
      <c r="D3209" s="182"/>
      <c r="E3209" s="182"/>
      <c r="F3209" s="182"/>
      <c r="G3209" s="450" t="str">
        <f t="shared" si="154"/>
        <v>--</v>
      </c>
      <c r="H3209" s="182"/>
      <c r="I3209" s="892"/>
      <c r="J3209" s="892"/>
      <c r="K3209" s="182"/>
      <c r="L3209" s="182"/>
      <c r="M3209" s="901" t="s">
        <v>155</v>
      </c>
      <c r="N3209" s="870" t="s">
        <v>188</v>
      </c>
      <c r="O3209" s="870"/>
      <c r="P3209" s="285" t="s">
        <v>27</v>
      </c>
      <c r="Q3209" s="871" t="s">
        <v>155</v>
      </c>
      <c r="R3209" s="902"/>
      <c r="S3209" s="874"/>
      <c r="T3209" s="270"/>
      <c r="U3209" s="270"/>
      <c r="V3209" s="270"/>
      <c r="W3209" s="270"/>
      <c r="X3209" s="270"/>
      <c r="Y3209" s="270"/>
      <c r="Z3209" s="270"/>
      <c r="AA3209" s="270"/>
    </row>
    <row r="3210" spans="3:27" ht="15" thickBot="1" x14ac:dyDescent="0.35">
      <c r="C3210" s="566" t="s">
        <v>109</v>
      </c>
      <c r="D3210" s="875" t="str">
        <f>VLOOKUP(C3210,'Airport Mapping'!$C$5:$D$39,2,FALSE)</f>
        <v xml:space="preserve"> </v>
      </c>
      <c r="E3210" s="567" t="s">
        <v>44</v>
      </c>
      <c r="F3210" s="567" t="s">
        <v>27</v>
      </c>
      <c r="G3210" s="450" t="str">
        <f t="shared" si="154"/>
        <v xml:space="preserve">Tenant D-Aircraft-Aircraft cleaning </v>
      </c>
      <c r="H3210" s="567" t="s">
        <v>10</v>
      </c>
      <c r="I3210" s="877" t="s">
        <v>64</v>
      </c>
      <c r="J3210" s="878">
        <f>SUMIFS('Level of Efficiency Assumptions'!J:J,'Level of Efficiency Assumptions'!D:D,E3210,'Level of Efficiency Assumptions'!F:F,F3210,'Level of Efficiency Assumptions'!I:I,I3210)</f>
        <v>10</v>
      </c>
      <c r="K3210" s="383" t="s">
        <v>588</v>
      </c>
      <c r="L3210" s="253" t="s">
        <v>64</v>
      </c>
      <c r="M3210" s="879">
        <f>SUM(Q3210:Q3211)</f>
        <v>0</v>
      </c>
      <c r="N3210" s="880">
        <f>IFERROR(M3210/M3213,"-")</f>
        <v>0</v>
      </c>
      <c r="O3210" s="881">
        <f>SUMIFS('Data Entry'!R:R,'Data Entry'!K:K,G3210)</f>
        <v>0</v>
      </c>
      <c r="P3210" s="272"/>
      <c r="Q3210" s="895">
        <v>0</v>
      </c>
      <c r="R3210" s="114"/>
      <c r="S3210" s="884"/>
      <c r="T3210" s="270"/>
      <c r="U3210" s="270"/>
      <c r="V3210" s="270"/>
      <c r="W3210" s="270"/>
      <c r="X3210" s="270"/>
      <c r="Y3210" s="270"/>
      <c r="Z3210" s="270"/>
      <c r="AA3210" s="270"/>
    </row>
    <row r="3211" spans="3:27" ht="15" thickBot="1" x14ac:dyDescent="0.35">
      <c r="C3211" s="494" t="s">
        <v>109</v>
      </c>
      <c r="D3211" s="577"/>
      <c r="E3211" s="577" t="s">
        <v>44</v>
      </c>
      <c r="F3211" s="577" t="s">
        <v>27</v>
      </c>
      <c r="G3211" s="450" t="str">
        <f t="shared" si="154"/>
        <v xml:space="preserve">Tenant D-Aircraft-Aircraft cleaning </v>
      </c>
      <c r="H3211" s="577"/>
      <c r="I3211" s="887" t="s">
        <v>65</v>
      </c>
      <c r="J3211" s="878">
        <f>SUMIFS('Level of Efficiency Assumptions'!J:J,'Level of Efficiency Assumptions'!D:D,E3211,'Level of Efficiency Assumptions'!F:F,F3211,'Level of Efficiency Assumptions'!I:I,I3211)</f>
        <v>7.5</v>
      </c>
      <c r="K3211" s="383" t="s">
        <v>588</v>
      </c>
      <c r="L3211" s="255" t="s">
        <v>65</v>
      </c>
      <c r="M3211" s="879">
        <f>Q3212+Q3213</f>
        <v>1</v>
      </c>
      <c r="N3211" s="880">
        <f>IFERROR(M3211/M3213,"-")</f>
        <v>1</v>
      </c>
      <c r="O3211" s="881">
        <f>SUMIFS('Data Entry'!S:S,'Data Entry'!K:K,G3211)</f>
        <v>0</v>
      </c>
      <c r="P3211" s="272"/>
      <c r="Q3211" s="895">
        <v>0</v>
      </c>
      <c r="R3211" s="114"/>
      <c r="S3211" s="884"/>
      <c r="T3211" s="270"/>
      <c r="U3211" s="270"/>
      <c r="V3211" s="270"/>
      <c r="W3211" s="270"/>
      <c r="X3211" s="270"/>
      <c r="Y3211" s="270"/>
      <c r="Z3211" s="270"/>
      <c r="AA3211" s="270"/>
    </row>
    <row r="3212" spans="3:27" ht="15" thickBot="1" x14ac:dyDescent="0.35">
      <c r="C3212" s="501" t="s">
        <v>109</v>
      </c>
      <c r="D3212" s="116"/>
      <c r="E3212" s="116" t="s">
        <v>44</v>
      </c>
      <c r="F3212" s="116" t="s">
        <v>27</v>
      </c>
      <c r="G3212" s="450" t="str">
        <f t="shared" si="154"/>
        <v xml:space="preserve">Tenant D-Aircraft-Aircraft cleaning </v>
      </c>
      <c r="H3212" s="116"/>
      <c r="I3212" s="889" t="s">
        <v>66</v>
      </c>
      <c r="J3212" s="890">
        <f>SUMIFS('Level of Efficiency Assumptions'!J:J,'Level of Efficiency Assumptions'!D:D,E3212,'Level of Efficiency Assumptions'!F:F,F3212,'Level of Efficiency Assumptions'!I:I,I3212)</f>
        <v>5</v>
      </c>
      <c r="K3212" s="383" t="s">
        <v>588</v>
      </c>
      <c r="L3212" s="257" t="s">
        <v>66</v>
      </c>
      <c r="M3212" s="879">
        <f>Q3214+Q3215</f>
        <v>0</v>
      </c>
      <c r="N3212" s="880">
        <f>IFERROR(M3212/M3213,"-")</f>
        <v>0</v>
      </c>
      <c r="O3212" s="881">
        <f>SUMIFS('Data Entry'!T:T,'Data Entry'!K:K,G3212)</f>
        <v>0</v>
      </c>
      <c r="P3212" s="274"/>
      <c r="Q3212" s="895">
        <v>1</v>
      </c>
      <c r="R3212" s="114"/>
      <c r="S3212" s="884"/>
      <c r="T3212" s="270"/>
      <c r="U3212" s="270"/>
      <c r="V3212" s="270"/>
      <c r="W3212" s="270"/>
      <c r="X3212" s="270"/>
      <c r="Y3212" s="270"/>
      <c r="Z3212" s="270"/>
      <c r="AA3212" s="270"/>
    </row>
    <row r="3213" spans="3:27" x14ac:dyDescent="0.3">
      <c r="C3213" s="450"/>
      <c r="D3213" s="182"/>
      <c r="E3213" s="182"/>
      <c r="F3213" s="182"/>
      <c r="G3213" s="450" t="str">
        <f t="shared" si="154"/>
        <v>--</v>
      </c>
      <c r="H3213" s="182"/>
      <c r="I3213" s="440"/>
      <c r="J3213" s="892"/>
      <c r="K3213" s="259"/>
      <c r="L3213" s="259" t="s">
        <v>46</v>
      </c>
      <c r="M3213" s="893">
        <f>SUM(M3210:M3212)</f>
        <v>1</v>
      </c>
      <c r="N3213" s="894"/>
      <c r="O3213" s="894">
        <f>SUM(O3210:O3212)</f>
        <v>0</v>
      </c>
      <c r="P3213" s="274"/>
      <c r="Q3213" s="895">
        <v>0</v>
      </c>
      <c r="R3213" s="114"/>
      <c r="S3213" s="884"/>
      <c r="T3213" s="270"/>
      <c r="U3213" s="270"/>
      <c r="V3213" s="270"/>
      <c r="W3213" s="270"/>
      <c r="X3213" s="270"/>
      <c r="Y3213" s="270"/>
      <c r="Z3213" s="270"/>
      <c r="AA3213" s="270"/>
    </row>
    <row r="3214" spans="3:27" x14ac:dyDescent="0.3">
      <c r="C3214" s="450"/>
      <c r="D3214" s="182"/>
      <c r="E3214" s="182"/>
      <c r="F3214" s="182"/>
      <c r="G3214" s="450" t="str">
        <f t="shared" si="154"/>
        <v>--</v>
      </c>
      <c r="H3214" s="182"/>
      <c r="I3214" s="892"/>
      <c r="J3214" s="288"/>
      <c r="K3214" s="182"/>
      <c r="L3214" s="182"/>
      <c r="M3214" s="270"/>
      <c r="N3214" s="892"/>
      <c r="O3214" s="892"/>
      <c r="P3214" s="275"/>
      <c r="Q3214" s="895">
        <v>0</v>
      </c>
      <c r="R3214" s="114"/>
      <c r="S3214" s="884"/>
      <c r="T3214" s="270"/>
      <c r="U3214" s="270"/>
      <c r="V3214" s="270"/>
      <c r="W3214" s="270"/>
      <c r="X3214" s="270"/>
      <c r="Y3214" s="270"/>
      <c r="Z3214" s="270"/>
      <c r="AA3214" s="270"/>
    </row>
    <row r="3215" spans="3:27" x14ac:dyDescent="0.3">
      <c r="C3215" s="450"/>
      <c r="D3215" s="182"/>
      <c r="E3215" s="182"/>
      <c r="F3215" s="182"/>
      <c r="G3215" s="450" t="str">
        <f t="shared" si="154"/>
        <v>--</v>
      </c>
      <c r="H3215" s="182"/>
      <c r="I3215" s="892"/>
      <c r="J3215" s="288"/>
      <c r="K3215" s="182"/>
      <c r="L3215" s="182"/>
      <c r="M3215" s="270"/>
      <c r="N3215" s="892"/>
      <c r="O3215" s="892"/>
      <c r="P3215" s="269"/>
      <c r="Q3215" s="895">
        <v>0</v>
      </c>
      <c r="R3215" s="114"/>
      <c r="S3215" s="884"/>
      <c r="T3215" s="270"/>
      <c r="U3215" s="270"/>
      <c r="V3215" s="270"/>
      <c r="W3215" s="270"/>
      <c r="X3215" s="270"/>
      <c r="Y3215" s="270"/>
      <c r="Z3215" s="270"/>
      <c r="AA3215" s="270"/>
    </row>
    <row r="3216" spans="3:27" x14ac:dyDescent="0.3">
      <c r="C3216" s="450"/>
      <c r="D3216" s="182"/>
      <c r="E3216" s="182"/>
      <c r="F3216" s="182"/>
      <c r="G3216" s="450" t="str">
        <f t="shared" si="154"/>
        <v>--</v>
      </c>
      <c r="H3216" s="182"/>
      <c r="I3216" s="892"/>
      <c r="J3216" s="288"/>
      <c r="K3216" s="182"/>
      <c r="L3216" s="182"/>
      <c r="M3216" s="270"/>
      <c r="N3216" s="892"/>
      <c r="O3216" s="892"/>
      <c r="P3216" s="263" t="s">
        <v>46</v>
      </c>
      <c r="Q3216" s="897">
        <f>SUM(Q3210:Q3215)</f>
        <v>1</v>
      </c>
      <c r="R3216" s="899"/>
      <c r="S3216" s="900"/>
      <c r="T3216" s="270"/>
      <c r="U3216" s="270"/>
      <c r="V3216" s="270"/>
      <c r="W3216" s="270"/>
      <c r="X3216" s="270"/>
      <c r="Y3216" s="270"/>
      <c r="Z3216" s="270"/>
      <c r="AA3216" s="270"/>
    </row>
    <row r="3217" spans="3:28" x14ac:dyDescent="0.3">
      <c r="C3217" s="450"/>
      <c r="D3217" s="182"/>
      <c r="E3217" s="182"/>
      <c r="F3217" s="182"/>
      <c r="G3217" s="450" t="str">
        <f t="shared" si="154"/>
        <v>--</v>
      </c>
      <c r="H3217" s="182"/>
      <c r="I3217" s="892"/>
      <c r="J3217" s="288"/>
      <c r="K3217" s="182"/>
      <c r="L3217" s="182"/>
      <c r="M3217" s="270"/>
      <c r="N3217" s="892"/>
      <c r="O3217" s="892"/>
      <c r="P3217" s="270"/>
      <c r="Q3217" s="270"/>
      <c r="R3217" s="270"/>
      <c r="S3217" s="270"/>
      <c r="T3217" s="270"/>
      <c r="U3217" s="270"/>
      <c r="V3217" s="270"/>
      <c r="W3217" s="270"/>
      <c r="X3217" s="270"/>
      <c r="Y3217" s="270"/>
      <c r="Z3217" s="270"/>
      <c r="AA3217" s="270"/>
    </row>
    <row r="3218" spans="3:28" ht="15" thickBot="1" x14ac:dyDescent="0.35">
      <c r="C3218" s="450"/>
      <c r="D3218" s="182"/>
      <c r="E3218" s="182"/>
      <c r="F3218" s="182"/>
      <c r="G3218" s="450" t="str">
        <f t="shared" si="154"/>
        <v>--</v>
      </c>
      <c r="H3218" s="182"/>
      <c r="I3218" s="892"/>
      <c r="J3218" s="892"/>
      <c r="K3218" s="182"/>
      <c r="L3218" s="182"/>
      <c r="M3218" s="901" t="s">
        <v>155</v>
      </c>
      <c r="N3218" s="870" t="s">
        <v>188</v>
      </c>
      <c r="O3218" s="870"/>
      <c r="P3218" s="285" t="s">
        <v>28</v>
      </c>
      <c r="Q3218" s="871" t="s">
        <v>155</v>
      </c>
      <c r="R3218" s="902"/>
      <c r="S3218" s="874"/>
      <c r="T3218" s="270"/>
      <c r="U3218" s="270"/>
      <c r="V3218" s="270"/>
      <c r="W3218" s="270"/>
      <c r="X3218" s="270"/>
      <c r="Y3218" s="270"/>
      <c r="Z3218" s="270"/>
      <c r="AA3218" s="270"/>
    </row>
    <row r="3219" spans="3:28" ht="15" thickBot="1" x14ac:dyDescent="0.35">
      <c r="C3219" s="566" t="s">
        <v>109</v>
      </c>
      <c r="D3219" s="875" t="str">
        <f>VLOOKUP(C3219,'Airport Mapping'!$C$5:$D$39,2,FALSE)</f>
        <v xml:space="preserve"> </v>
      </c>
      <c r="E3219" s="567" t="s">
        <v>44</v>
      </c>
      <c r="F3219" s="567" t="s">
        <v>28</v>
      </c>
      <c r="G3219" s="450" t="str">
        <f t="shared" ref="G3219:G3282" si="155">C3219&amp;"-"&amp;E3219&amp;"-"&amp;F3219</f>
        <v>Tenant D-Aircraft-Onboard aircraft water</v>
      </c>
      <c r="H3219" s="567" t="s">
        <v>10</v>
      </c>
      <c r="I3219" s="877" t="s">
        <v>64</v>
      </c>
      <c r="J3219" s="878">
        <f>SUMIFS('Level of Efficiency Assumptions'!J:J,'Level of Efficiency Assumptions'!D:D,E3219,'Level of Efficiency Assumptions'!F:F,F3219,'Level of Efficiency Assumptions'!I:I,I3219)</f>
        <v>10</v>
      </c>
      <c r="K3219" s="383" t="s">
        <v>588</v>
      </c>
      <c r="L3219" s="253" t="s">
        <v>64</v>
      </c>
      <c r="M3219" s="879">
        <f>SUM(Q3219:Q3220)</f>
        <v>0</v>
      </c>
      <c r="N3219" s="880">
        <f>IFERROR(M3219/M3222,"-")</f>
        <v>0</v>
      </c>
      <c r="O3219" s="881">
        <f>SUMIFS('Data Entry'!R:R,'Data Entry'!K:K,G3219)</f>
        <v>0</v>
      </c>
      <c r="P3219" s="272"/>
      <c r="Q3219" s="895">
        <v>0</v>
      </c>
      <c r="R3219" s="114"/>
      <c r="S3219" s="884"/>
      <c r="T3219" s="270"/>
      <c r="U3219" s="270"/>
      <c r="V3219" s="270"/>
      <c r="W3219" s="270"/>
      <c r="X3219" s="270"/>
      <c r="Y3219" s="270"/>
      <c r="Z3219" s="270"/>
      <c r="AA3219" s="270"/>
    </row>
    <row r="3220" spans="3:28" ht="15" thickBot="1" x14ac:dyDescent="0.35">
      <c r="C3220" s="494" t="s">
        <v>109</v>
      </c>
      <c r="D3220" s="577"/>
      <c r="E3220" s="577" t="s">
        <v>44</v>
      </c>
      <c r="F3220" s="577" t="s">
        <v>28</v>
      </c>
      <c r="G3220" s="450" t="str">
        <f t="shared" si="155"/>
        <v>Tenant D-Aircraft-Onboard aircraft water</v>
      </c>
      <c r="H3220" s="577"/>
      <c r="I3220" s="887" t="s">
        <v>65</v>
      </c>
      <c r="J3220" s="878">
        <f>SUMIFS('Level of Efficiency Assumptions'!J:J,'Level of Efficiency Assumptions'!D:D,E3220,'Level of Efficiency Assumptions'!F:F,F3220,'Level of Efficiency Assumptions'!I:I,I3220)</f>
        <v>7.5</v>
      </c>
      <c r="K3220" s="383" t="s">
        <v>588</v>
      </c>
      <c r="L3220" s="255" t="s">
        <v>65</v>
      </c>
      <c r="M3220" s="879">
        <f>Q3221+Q3222</f>
        <v>1</v>
      </c>
      <c r="N3220" s="880">
        <f>IFERROR(M3220/M3222,"-")</f>
        <v>1</v>
      </c>
      <c r="O3220" s="881">
        <f>SUMIFS('Data Entry'!S:S,'Data Entry'!K:K,G3220)</f>
        <v>0</v>
      </c>
      <c r="P3220" s="272"/>
      <c r="Q3220" s="895">
        <v>0</v>
      </c>
      <c r="R3220" s="114"/>
      <c r="S3220" s="884"/>
      <c r="T3220" s="270"/>
      <c r="U3220" s="270"/>
      <c r="V3220" s="270"/>
      <c r="W3220" s="270"/>
      <c r="X3220" s="270"/>
      <c r="Y3220" s="270"/>
      <c r="Z3220" s="270"/>
      <c r="AA3220" s="270"/>
    </row>
    <row r="3221" spans="3:28" ht="15" thickBot="1" x14ac:dyDescent="0.35">
      <c r="C3221" s="501" t="s">
        <v>109</v>
      </c>
      <c r="D3221" s="116"/>
      <c r="E3221" s="116" t="s">
        <v>44</v>
      </c>
      <c r="F3221" s="116" t="s">
        <v>28</v>
      </c>
      <c r="G3221" s="450" t="str">
        <f t="shared" si="155"/>
        <v>Tenant D-Aircraft-Onboard aircraft water</v>
      </c>
      <c r="H3221" s="116"/>
      <c r="I3221" s="889" t="s">
        <v>66</v>
      </c>
      <c r="J3221" s="890">
        <f>SUMIFS('Level of Efficiency Assumptions'!J:J,'Level of Efficiency Assumptions'!D:D,E3221,'Level of Efficiency Assumptions'!F:F,F3221,'Level of Efficiency Assumptions'!I:I,I3221)</f>
        <v>5</v>
      </c>
      <c r="K3221" s="383" t="s">
        <v>588</v>
      </c>
      <c r="L3221" s="257" t="s">
        <v>66</v>
      </c>
      <c r="M3221" s="879">
        <f>Q3223+Q3224</f>
        <v>0</v>
      </c>
      <c r="N3221" s="880">
        <f>IFERROR(M3221/M3222,"-")</f>
        <v>0</v>
      </c>
      <c r="O3221" s="881">
        <f>SUMIFS('Data Entry'!T:T,'Data Entry'!K:K,G3221)</f>
        <v>0</v>
      </c>
      <c r="P3221" s="274"/>
      <c r="Q3221" s="895">
        <v>1</v>
      </c>
      <c r="R3221" s="114"/>
      <c r="S3221" s="884"/>
      <c r="T3221" s="270"/>
      <c r="U3221" s="270"/>
      <c r="V3221" s="270"/>
      <c r="W3221" s="270"/>
      <c r="X3221" s="270"/>
      <c r="Y3221" s="270"/>
      <c r="Z3221" s="270"/>
      <c r="AA3221" s="270"/>
    </row>
    <row r="3222" spans="3:28" x14ac:dyDescent="0.3">
      <c r="C3222" s="450"/>
      <c r="D3222" s="182"/>
      <c r="E3222" s="182"/>
      <c r="F3222" s="182"/>
      <c r="G3222" s="450" t="str">
        <f t="shared" si="155"/>
        <v>--</v>
      </c>
      <c r="H3222" s="182"/>
      <c r="I3222" s="440"/>
      <c r="J3222" s="892"/>
      <c r="K3222" s="259"/>
      <c r="L3222" s="259" t="s">
        <v>46</v>
      </c>
      <c r="M3222" s="893">
        <f>SUM(M3219:M3221)</f>
        <v>1</v>
      </c>
      <c r="N3222" s="894"/>
      <c r="O3222" s="894">
        <f>SUM(O3219:O3221)</f>
        <v>0</v>
      </c>
      <c r="P3222" s="274"/>
      <c r="Q3222" s="895">
        <v>0</v>
      </c>
      <c r="R3222" s="114"/>
      <c r="S3222" s="884"/>
      <c r="T3222" s="270"/>
      <c r="U3222" s="270"/>
      <c r="V3222" s="270"/>
      <c r="W3222" s="270"/>
      <c r="X3222" s="270"/>
      <c r="Y3222" s="270"/>
      <c r="Z3222" s="270"/>
      <c r="AA3222" s="270"/>
    </row>
    <row r="3223" spans="3:28" x14ac:dyDescent="0.3">
      <c r="C3223" s="450"/>
      <c r="D3223" s="182"/>
      <c r="E3223" s="182"/>
      <c r="F3223" s="182"/>
      <c r="G3223" s="450" t="str">
        <f t="shared" si="155"/>
        <v>--</v>
      </c>
      <c r="H3223" s="182"/>
      <c r="I3223" s="892"/>
      <c r="J3223" s="288"/>
      <c r="K3223" s="182"/>
      <c r="L3223" s="182"/>
      <c r="M3223" s="270"/>
      <c r="N3223" s="892"/>
      <c r="O3223" s="892"/>
      <c r="P3223" s="275"/>
      <c r="Q3223" s="895">
        <v>0</v>
      </c>
      <c r="R3223" s="114"/>
      <c r="S3223" s="884"/>
      <c r="T3223" s="270"/>
      <c r="U3223" s="270"/>
      <c r="V3223" s="270"/>
      <c r="W3223" s="270"/>
      <c r="X3223" s="270"/>
      <c r="Y3223" s="270"/>
      <c r="Z3223" s="270"/>
      <c r="AA3223" s="270"/>
    </row>
    <row r="3224" spans="3:28" x14ac:dyDescent="0.3">
      <c r="C3224" s="450"/>
      <c r="D3224" s="182"/>
      <c r="E3224" s="182"/>
      <c r="F3224" s="182"/>
      <c r="G3224" s="450" t="str">
        <f t="shared" si="155"/>
        <v>--</v>
      </c>
      <c r="H3224" s="182"/>
      <c r="I3224" s="892"/>
      <c r="J3224" s="288"/>
      <c r="K3224" s="182"/>
      <c r="L3224" s="182"/>
      <c r="M3224" s="270"/>
      <c r="N3224" s="892"/>
      <c r="O3224" s="892"/>
      <c r="P3224" s="269"/>
      <c r="Q3224" s="895">
        <v>0</v>
      </c>
      <c r="R3224" s="114"/>
      <c r="S3224" s="884"/>
      <c r="T3224" s="270"/>
      <c r="U3224" s="270"/>
      <c r="V3224" s="270"/>
      <c r="W3224" s="270"/>
      <c r="X3224" s="270"/>
      <c r="Y3224" s="270"/>
      <c r="Z3224" s="270"/>
      <c r="AA3224" s="270"/>
    </row>
    <row r="3225" spans="3:28" x14ac:dyDescent="0.3">
      <c r="C3225" s="450"/>
      <c r="D3225" s="182"/>
      <c r="E3225" s="182"/>
      <c r="F3225" s="182"/>
      <c r="G3225" s="450" t="str">
        <f t="shared" si="155"/>
        <v>--</v>
      </c>
      <c r="H3225" s="182"/>
      <c r="I3225" s="892"/>
      <c r="J3225" s="288"/>
      <c r="K3225" s="182"/>
      <c r="L3225" s="182"/>
      <c r="M3225" s="270"/>
      <c r="N3225" s="892"/>
      <c r="O3225" s="892"/>
      <c r="P3225" s="263" t="s">
        <v>46</v>
      </c>
      <c r="Q3225" s="897">
        <f>SUM(Q3219:Q3224)</f>
        <v>1</v>
      </c>
      <c r="R3225" s="899"/>
      <c r="S3225" s="900"/>
      <c r="T3225" s="270"/>
      <c r="U3225" s="270"/>
      <c r="V3225" s="270"/>
      <c r="W3225" s="270"/>
      <c r="X3225" s="270"/>
      <c r="Y3225" s="270"/>
      <c r="Z3225" s="270"/>
      <c r="AA3225" s="270"/>
    </row>
    <row r="3226" spans="3:28" x14ac:dyDescent="0.3">
      <c r="C3226" s="450"/>
      <c r="D3226" s="182"/>
      <c r="E3226" s="182"/>
      <c r="F3226" s="182"/>
      <c r="G3226" s="450" t="str">
        <f t="shared" si="155"/>
        <v>--</v>
      </c>
      <c r="H3226" s="182"/>
      <c r="I3226" s="892"/>
      <c r="J3226" s="288"/>
      <c r="K3226" s="182"/>
      <c r="L3226" s="182"/>
      <c r="M3226" s="270"/>
      <c r="N3226" s="892"/>
      <c r="O3226" s="892"/>
      <c r="P3226" s="270"/>
      <c r="Q3226" s="270"/>
      <c r="R3226" s="270"/>
      <c r="S3226" s="270"/>
      <c r="T3226" s="270"/>
      <c r="U3226" s="270"/>
      <c r="V3226" s="270"/>
      <c r="W3226" s="270"/>
      <c r="X3226" s="270"/>
      <c r="Y3226" s="270"/>
      <c r="Z3226" s="270"/>
      <c r="AA3226" s="270"/>
    </row>
    <row r="3227" spans="3:28" ht="15" thickBot="1" x14ac:dyDescent="0.35">
      <c r="C3227" s="450"/>
      <c r="D3227" s="182"/>
      <c r="E3227" s="182"/>
      <c r="F3227" s="182"/>
      <c r="G3227" s="450" t="str">
        <f t="shared" si="155"/>
        <v>--</v>
      </c>
      <c r="H3227" s="182"/>
      <c r="I3227" s="892"/>
      <c r="J3227" s="892"/>
      <c r="K3227" s="182"/>
      <c r="L3227" s="182"/>
      <c r="M3227" s="901" t="s">
        <v>155</v>
      </c>
      <c r="N3227" s="870" t="s">
        <v>188</v>
      </c>
      <c r="O3227" s="870"/>
      <c r="P3227" s="276" t="s">
        <v>29</v>
      </c>
      <c r="Q3227" s="871" t="s">
        <v>155</v>
      </c>
      <c r="R3227" s="902"/>
      <c r="S3227" s="874"/>
      <c r="T3227" s="270"/>
      <c r="U3227" s="270"/>
      <c r="V3227" s="270"/>
      <c r="W3227" s="270"/>
      <c r="X3227" s="270"/>
      <c r="Y3227" s="270"/>
      <c r="Z3227" s="270"/>
      <c r="AA3227" s="270"/>
    </row>
    <row r="3228" spans="3:28" ht="15" thickBot="1" x14ac:dyDescent="0.35">
      <c r="C3228" s="566" t="s">
        <v>109</v>
      </c>
      <c r="D3228" s="875" t="str">
        <f>VLOOKUP(C3228,'Airport Mapping'!$C$5:$D$39,2,FALSE)</f>
        <v xml:space="preserve"> </v>
      </c>
      <c r="E3228" s="567" t="s">
        <v>44</v>
      </c>
      <c r="F3228" s="567" t="s">
        <v>29</v>
      </c>
      <c r="G3228" s="450" t="str">
        <f t="shared" si="155"/>
        <v>Tenant D-Aircraft-Deicing</v>
      </c>
      <c r="H3228" s="567" t="s">
        <v>10</v>
      </c>
      <c r="I3228" s="877" t="s">
        <v>64</v>
      </c>
      <c r="J3228" s="878">
        <f>SUMIFS('Level of Efficiency Assumptions'!J:J,'Level of Efficiency Assumptions'!D:D,E3228,'Level of Efficiency Assumptions'!F:F,F3228,'Level of Efficiency Assumptions'!I:I,I3228)</f>
        <v>20</v>
      </c>
      <c r="K3228" s="383" t="s">
        <v>588</v>
      </c>
      <c r="L3228" s="253" t="s">
        <v>64</v>
      </c>
      <c r="M3228" s="879">
        <f>SUM(Q3228:Q3229)</f>
        <v>0</v>
      </c>
      <c r="N3228" s="880">
        <f>IFERROR(M3228/M3231,"-")</f>
        <v>0</v>
      </c>
      <c r="O3228" s="881">
        <f>SUMIFS('Data Entry'!R:R,'Data Entry'!K:K,G3228)</f>
        <v>0</v>
      </c>
      <c r="P3228" s="272"/>
      <c r="Q3228" s="895">
        <v>0</v>
      </c>
      <c r="R3228" s="114"/>
      <c r="S3228" s="884"/>
      <c r="T3228" s="270"/>
      <c r="U3228" s="270"/>
      <c r="V3228" s="270"/>
      <c r="W3228" s="270"/>
      <c r="X3228" s="270"/>
      <c r="Y3228" s="270"/>
      <c r="Z3228" s="270"/>
      <c r="AA3228" s="114"/>
      <c r="AB3228" s="85"/>
    </row>
    <row r="3229" spans="3:28" ht="15" thickBot="1" x14ac:dyDescent="0.35">
      <c r="C3229" s="494" t="s">
        <v>109</v>
      </c>
      <c r="D3229" s="577"/>
      <c r="E3229" s="577" t="s">
        <v>44</v>
      </c>
      <c r="F3229" s="577" t="s">
        <v>29</v>
      </c>
      <c r="G3229" s="450" t="str">
        <f t="shared" si="155"/>
        <v>Tenant D-Aircraft-Deicing</v>
      </c>
      <c r="H3229" s="577"/>
      <c r="I3229" s="887" t="s">
        <v>65</v>
      </c>
      <c r="J3229" s="878">
        <f>SUMIFS('Level of Efficiency Assumptions'!J:J,'Level of Efficiency Assumptions'!D:D,E3229,'Level of Efficiency Assumptions'!F:F,F3229,'Level of Efficiency Assumptions'!I:I,I3229)</f>
        <v>10</v>
      </c>
      <c r="K3229" s="383" t="s">
        <v>588</v>
      </c>
      <c r="L3229" s="255" t="s">
        <v>65</v>
      </c>
      <c r="M3229" s="879">
        <f>Q3230+Q3231</f>
        <v>1</v>
      </c>
      <c r="N3229" s="880">
        <f>IFERROR(M3229/M3231,"-")</f>
        <v>1</v>
      </c>
      <c r="O3229" s="881">
        <f>SUMIFS('Data Entry'!S:S,'Data Entry'!K:K,G3229)</f>
        <v>0</v>
      </c>
      <c r="P3229" s="272"/>
      <c r="Q3229" s="895">
        <v>0</v>
      </c>
      <c r="R3229" s="114"/>
      <c r="S3229" s="884"/>
      <c r="T3229" s="270"/>
      <c r="U3229" s="270"/>
      <c r="V3229" s="270"/>
      <c r="W3229" s="270"/>
      <c r="X3229" s="270"/>
      <c r="Y3229" s="270"/>
      <c r="Z3229" s="270"/>
      <c r="AA3229" s="114"/>
      <c r="AB3229" s="85"/>
    </row>
    <row r="3230" spans="3:28" ht="15" thickBot="1" x14ac:dyDescent="0.35">
      <c r="C3230" s="501" t="s">
        <v>109</v>
      </c>
      <c r="D3230" s="116"/>
      <c r="E3230" s="116" t="s">
        <v>44</v>
      </c>
      <c r="F3230" s="116" t="s">
        <v>29</v>
      </c>
      <c r="G3230" s="450" t="str">
        <f t="shared" si="155"/>
        <v>Tenant D-Aircraft-Deicing</v>
      </c>
      <c r="H3230" s="116"/>
      <c r="I3230" s="889" t="s">
        <v>66</v>
      </c>
      <c r="J3230" s="890">
        <f>SUMIFS('Level of Efficiency Assumptions'!J:J,'Level of Efficiency Assumptions'!D:D,E3230,'Level of Efficiency Assumptions'!F:F,F3230,'Level of Efficiency Assumptions'!I:I,I3230)</f>
        <v>5</v>
      </c>
      <c r="K3230" s="383" t="s">
        <v>588</v>
      </c>
      <c r="L3230" s="257" t="s">
        <v>66</v>
      </c>
      <c r="M3230" s="879">
        <f>Q3232+Q3233</f>
        <v>0</v>
      </c>
      <c r="N3230" s="880">
        <f>IFERROR(M3230/M3231,"-")</f>
        <v>0</v>
      </c>
      <c r="O3230" s="881">
        <f>SUMIFS('Data Entry'!T:T,'Data Entry'!K:K,G3230)</f>
        <v>0</v>
      </c>
      <c r="P3230" s="274"/>
      <c r="Q3230" s="895">
        <v>1</v>
      </c>
      <c r="R3230" s="114"/>
      <c r="S3230" s="884"/>
      <c r="T3230" s="270"/>
      <c r="U3230" s="270"/>
      <c r="V3230" s="270"/>
      <c r="W3230" s="270"/>
      <c r="X3230" s="270"/>
      <c r="Y3230" s="114"/>
      <c r="Z3230" s="114"/>
      <c r="AA3230" s="114"/>
      <c r="AB3230" s="85"/>
    </row>
    <row r="3231" spans="3:28" x14ac:dyDescent="0.3">
      <c r="C3231" s="450"/>
      <c r="D3231" s="182"/>
      <c r="E3231" s="182"/>
      <c r="F3231" s="182"/>
      <c r="G3231" s="450" t="str">
        <f t="shared" si="155"/>
        <v>--</v>
      </c>
      <c r="H3231" s="182"/>
      <c r="I3231" s="440"/>
      <c r="J3231" s="892"/>
      <c r="K3231" s="259"/>
      <c r="L3231" s="259" t="s">
        <v>46</v>
      </c>
      <c r="M3231" s="893">
        <f>SUM(M3228:M3230)</f>
        <v>1</v>
      </c>
      <c r="N3231" s="894"/>
      <c r="O3231" s="894">
        <f>SUM(O3228:O3230)</f>
        <v>0</v>
      </c>
      <c r="P3231" s="274"/>
      <c r="Q3231" s="895">
        <v>0</v>
      </c>
      <c r="R3231" s="114"/>
      <c r="S3231" s="884"/>
      <c r="T3231" s="270"/>
      <c r="U3231" s="270"/>
      <c r="V3231" s="270"/>
      <c r="W3231" s="270"/>
      <c r="X3231" s="270"/>
      <c r="Y3231" s="114"/>
      <c r="Z3231" s="114"/>
      <c r="AA3231" s="114"/>
      <c r="AB3231" s="85"/>
    </row>
    <row r="3232" spans="3:28" x14ac:dyDescent="0.3">
      <c r="C3232" s="450"/>
      <c r="D3232" s="182"/>
      <c r="E3232" s="182"/>
      <c r="F3232" s="182"/>
      <c r="G3232" s="450" t="str">
        <f t="shared" si="155"/>
        <v>--</v>
      </c>
      <c r="H3232" s="182"/>
      <c r="I3232" s="892"/>
      <c r="J3232" s="288"/>
      <c r="K3232" s="182"/>
      <c r="L3232" s="182"/>
      <c r="M3232" s="270"/>
      <c r="N3232" s="892"/>
      <c r="O3232" s="892"/>
      <c r="P3232" s="275"/>
      <c r="Q3232" s="895">
        <v>0</v>
      </c>
      <c r="R3232" s="114"/>
      <c r="S3232" s="884"/>
      <c r="T3232" s="270"/>
      <c r="U3232" s="270"/>
      <c r="V3232" s="270"/>
      <c r="W3232" s="270"/>
      <c r="X3232" s="270"/>
      <c r="Y3232" s="114"/>
      <c r="Z3232" s="114"/>
      <c r="AA3232" s="270"/>
    </row>
    <row r="3233" spans="3:27" x14ac:dyDescent="0.3">
      <c r="C3233" s="450"/>
      <c r="D3233" s="182"/>
      <c r="E3233" s="182"/>
      <c r="F3233" s="182"/>
      <c r="G3233" s="450" t="str">
        <f t="shared" si="155"/>
        <v>--</v>
      </c>
      <c r="H3233" s="182"/>
      <c r="I3233" s="892"/>
      <c r="J3233" s="288"/>
      <c r="K3233" s="182"/>
      <c r="L3233" s="182"/>
      <c r="M3233" s="270"/>
      <c r="N3233" s="892"/>
      <c r="O3233" s="892"/>
      <c r="P3233" s="269"/>
      <c r="Q3233" s="895">
        <v>0</v>
      </c>
      <c r="R3233" s="114"/>
      <c r="S3233" s="884"/>
      <c r="T3233" s="270"/>
      <c r="U3233" s="270"/>
      <c r="V3233" s="270"/>
      <c r="W3233" s="270"/>
      <c r="X3233" s="270"/>
      <c r="Y3233" s="114"/>
      <c r="Z3233" s="114"/>
      <c r="AA3233" s="270"/>
    </row>
    <row r="3234" spans="3:27" x14ac:dyDescent="0.3">
      <c r="C3234" s="450"/>
      <c r="D3234" s="182"/>
      <c r="E3234" s="182"/>
      <c r="F3234" s="182"/>
      <c r="G3234" s="450" t="str">
        <f t="shared" si="155"/>
        <v>--</v>
      </c>
      <c r="H3234" s="182"/>
      <c r="I3234" s="892"/>
      <c r="J3234" s="288"/>
      <c r="K3234" s="182"/>
      <c r="L3234" s="182"/>
      <c r="M3234" s="270"/>
      <c r="N3234" s="892"/>
      <c r="O3234" s="892"/>
      <c r="P3234" s="263" t="s">
        <v>46</v>
      </c>
      <c r="Q3234" s="897">
        <f>SUM(Q3228:Q3233)</f>
        <v>1</v>
      </c>
      <c r="R3234" s="899"/>
      <c r="S3234" s="900"/>
      <c r="T3234" s="270"/>
      <c r="U3234" s="270"/>
      <c r="V3234" s="270"/>
      <c r="W3234" s="270"/>
      <c r="X3234" s="270"/>
      <c r="Y3234" s="270"/>
      <c r="Z3234" s="270"/>
      <c r="AA3234" s="270"/>
    </row>
    <row r="3235" spans="3:27" x14ac:dyDescent="0.3">
      <c r="C3235" s="450"/>
      <c r="D3235" s="182"/>
      <c r="E3235" s="182"/>
      <c r="F3235" s="182"/>
      <c r="G3235" s="450" t="str">
        <f t="shared" si="155"/>
        <v>--</v>
      </c>
      <c r="H3235" s="182"/>
      <c r="I3235" s="892"/>
      <c r="J3235" s="288"/>
      <c r="K3235" s="182"/>
      <c r="L3235" s="182"/>
      <c r="M3235" s="270"/>
      <c r="N3235" s="892"/>
      <c r="O3235" s="892"/>
      <c r="P3235" s="270"/>
      <c r="Q3235" s="270"/>
      <c r="R3235" s="270"/>
      <c r="S3235" s="270"/>
      <c r="T3235" s="270"/>
      <c r="U3235" s="270"/>
      <c r="V3235" s="270"/>
      <c r="W3235" s="270"/>
      <c r="X3235" s="270"/>
      <c r="Y3235" s="270"/>
      <c r="Z3235" s="270"/>
      <c r="AA3235" s="270"/>
    </row>
    <row r="3236" spans="3:27" x14ac:dyDescent="0.3">
      <c r="C3236" s="450"/>
      <c r="D3236" s="182"/>
      <c r="E3236" s="182"/>
      <c r="F3236" s="182"/>
      <c r="G3236" s="450" t="str">
        <f t="shared" si="155"/>
        <v>--</v>
      </c>
      <c r="H3236" s="182"/>
      <c r="I3236" s="892"/>
      <c r="J3236" s="288"/>
      <c r="K3236" s="182"/>
      <c r="L3236" s="182"/>
      <c r="M3236" s="270"/>
      <c r="N3236" s="892"/>
      <c r="O3236" s="892"/>
      <c r="P3236" s="276" t="s">
        <v>42</v>
      </c>
      <c r="Q3236" s="902"/>
      <c r="R3236" s="902"/>
      <c r="S3236" s="902"/>
      <c r="T3236" s="271"/>
      <c r="U3236" s="114"/>
      <c r="V3236" s="114"/>
      <c r="W3236" s="270"/>
      <c r="X3236" s="270"/>
      <c r="Y3236" s="270"/>
      <c r="Z3236" s="270"/>
      <c r="AA3236" s="270"/>
    </row>
    <row r="3237" spans="3:27" ht="15" thickBot="1" x14ac:dyDescent="0.35">
      <c r="C3237" s="450"/>
      <c r="D3237" s="182"/>
      <c r="E3237" s="182"/>
      <c r="F3237" s="182"/>
      <c r="G3237" s="450" t="str">
        <f t="shared" si="155"/>
        <v>--</v>
      </c>
      <c r="H3237" s="182"/>
      <c r="I3237" s="892"/>
      <c r="J3237" s="892"/>
      <c r="K3237" s="182"/>
      <c r="L3237" s="182"/>
      <c r="M3237" s="901" t="s">
        <v>155</v>
      </c>
      <c r="N3237" s="870" t="s">
        <v>188</v>
      </c>
      <c r="O3237" s="870"/>
      <c r="P3237" s="277" t="s">
        <v>818</v>
      </c>
      <c r="Q3237" s="871" t="s">
        <v>155</v>
      </c>
      <c r="R3237" s="114"/>
      <c r="S3237" s="114"/>
      <c r="T3237" s="271"/>
      <c r="U3237" s="114"/>
      <c r="V3237" s="114"/>
      <c r="W3237" s="270"/>
      <c r="X3237" s="270"/>
      <c r="Y3237" s="270"/>
      <c r="Z3237" s="270"/>
      <c r="AA3237" s="270"/>
    </row>
    <row r="3238" spans="3:27" ht="15" thickBot="1" x14ac:dyDescent="0.35">
      <c r="C3238" s="566" t="s">
        <v>109</v>
      </c>
      <c r="D3238" s="875" t="str">
        <f>VLOOKUP(C3238,'Airport Mapping'!$C$5:$D$39,2,FALSE)</f>
        <v xml:space="preserve"> </v>
      </c>
      <c r="E3238" s="567" t="s">
        <v>39</v>
      </c>
      <c r="F3238" s="567" t="s">
        <v>42</v>
      </c>
      <c r="G3238" s="450" t="str">
        <f t="shared" si="155"/>
        <v>Tenant D-Landscaping-Outdoor irrigation</v>
      </c>
      <c r="H3238" s="567" t="s">
        <v>32</v>
      </c>
      <c r="I3238" s="877" t="s">
        <v>64</v>
      </c>
      <c r="J3238" s="878">
        <f>SUMIFS('Level of Efficiency Assumptions'!J:J,'Level of Efficiency Assumptions'!D:D,E3238,'Level of Efficiency Assumptions'!F:F,F3238,'Level of Efficiency Assumptions'!I:I,I3238)</f>
        <v>28.6</v>
      </c>
      <c r="K3238" s="383" t="s">
        <v>816</v>
      </c>
      <c r="L3238" s="253" t="s">
        <v>64</v>
      </c>
      <c r="M3238" s="879">
        <f>SUM(Q3238:Q3239)</f>
        <v>0</v>
      </c>
      <c r="N3238" s="880">
        <f>IFERROR(M3238/M3241,"-")</f>
        <v>0</v>
      </c>
      <c r="O3238" s="881">
        <f>SUMIFS('Data Entry'!R:R,'Data Entry'!K:K,G3238)</f>
        <v>0</v>
      </c>
      <c r="P3238" s="272" t="s">
        <v>237</v>
      </c>
      <c r="Q3238" s="895">
        <v>0</v>
      </c>
      <c r="R3238" s="114"/>
      <c r="S3238" s="114"/>
      <c r="T3238" s="271"/>
      <c r="U3238" s="114"/>
      <c r="V3238" s="114"/>
      <c r="W3238" s="270"/>
      <c r="X3238" s="270"/>
      <c r="Y3238" s="270"/>
      <c r="Z3238" s="270"/>
      <c r="AA3238" s="270"/>
    </row>
    <row r="3239" spans="3:27" ht="15" thickBot="1" x14ac:dyDescent="0.35">
      <c r="C3239" s="494" t="s">
        <v>109</v>
      </c>
      <c r="D3239" s="577"/>
      <c r="E3239" s="577" t="s">
        <v>39</v>
      </c>
      <c r="F3239" s="577" t="s">
        <v>42</v>
      </c>
      <c r="G3239" s="450" t="str">
        <f t="shared" si="155"/>
        <v>Tenant D-Landscaping-Outdoor irrigation</v>
      </c>
      <c r="H3239" s="577"/>
      <c r="I3239" s="887" t="s">
        <v>65</v>
      </c>
      <c r="J3239" s="878">
        <f>SUMIFS('Level of Efficiency Assumptions'!J:J,'Level of Efficiency Assumptions'!D:D,E3239,'Level of Efficiency Assumptions'!F:F,F3239,'Level of Efficiency Assumptions'!I:I,I3239)</f>
        <v>13.980821518350929</v>
      </c>
      <c r="K3239" s="383" t="s">
        <v>816</v>
      </c>
      <c r="L3239" s="255" t="s">
        <v>65</v>
      </c>
      <c r="M3239" s="879">
        <f>Q3240+Q3241</f>
        <v>1</v>
      </c>
      <c r="N3239" s="880">
        <f>IFERROR(M3239/M3241,"-")</f>
        <v>1</v>
      </c>
      <c r="O3239" s="881">
        <f>SUMIFS('Data Entry'!S:S,'Data Entry'!K:K,G3239)</f>
        <v>0</v>
      </c>
      <c r="P3239" s="272" t="s">
        <v>232</v>
      </c>
      <c r="Q3239" s="895">
        <v>0</v>
      </c>
      <c r="R3239" s="114"/>
      <c r="S3239" s="114"/>
      <c r="T3239" s="271"/>
      <c r="U3239" s="114"/>
      <c r="V3239" s="114"/>
      <c r="W3239" s="270"/>
      <c r="X3239" s="270"/>
      <c r="Y3239" s="270"/>
      <c r="Z3239" s="270"/>
      <c r="AA3239" s="270"/>
    </row>
    <row r="3240" spans="3:27" ht="15" thickBot="1" x14ac:dyDescent="0.35">
      <c r="C3240" s="501" t="s">
        <v>109</v>
      </c>
      <c r="D3240" s="116"/>
      <c r="E3240" s="116" t="s">
        <v>39</v>
      </c>
      <c r="F3240" s="116" t="s">
        <v>42</v>
      </c>
      <c r="G3240" s="450" t="str">
        <f t="shared" si="155"/>
        <v>Tenant D-Landscaping-Outdoor irrigation</v>
      </c>
      <c r="H3240" s="116"/>
      <c r="I3240" s="889" t="s">
        <v>66</v>
      </c>
      <c r="J3240" s="890">
        <f>SUMIFS('Level of Efficiency Assumptions'!J:J,'Level of Efficiency Assumptions'!D:D,E3240,'Level of Efficiency Assumptions'!F:F,F3240,'Level of Efficiency Assumptions'!I:I,I3240)</f>
        <v>0.59137254901960778</v>
      </c>
      <c r="K3240" s="383" t="s">
        <v>816</v>
      </c>
      <c r="L3240" s="257" t="s">
        <v>66</v>
      </c>
      <c r="M3240" s="879">
        <f>Q3242+Q3243</f>
        <v>0</v>
      </c>
      <c r="N3240" s="880">
        <f>IFERROR(M3240/M3241,"-")</f>
        <v>0</v>
      </c>
      <c r="O3240" s="881">
        <f>SUMIFS('Data Entry'!T:T,'Data Entry'!K:K,G3240)</f>
        <v>0</v>
      </c>
      <c r="P3240" s="274" t="s">
        <v>231</v>
      </c>
      <c r="Q3240" s="895">
        <v>1</v>
      </c>
      <c r="R3240" s="114"/>
      <c r="S3240" s="114"/>
      <c r="T3240" s="271"/>
      <c r="U3240" s="114"/>
      <c r="V3240" s="114"/>
      <c r="W3240" s="270"/>
      <c r="X3240" s="270"/>
      <c r="Y3240" s="270"/>
      <c r="Z3240" s="270"/>
      <c r="AA3240" s="270"/>
    </row>
    <row r="3241" spans="3:27" x14ac:dyDescent="0.3">
      <c r="C3241" s="450"/>
      <c r="D3241" s="182"/>
      <c r="E3241" s="182"/>
      <c r="F3241" s="182"/>
      <c r="G3241" s="450" t="str">
        <f t="shared" si="155"/>
        <v>--</v>
      </c>
      <c r="H3241" s="182"/>
      <c r="I3241" s="440"/>
      <c r="J3241" s="892"/>
      <c r="K3241" s="259"/>
      <c r="L3241" s="259" t="s">
        <v>46</v>
      </c>
      <c r="M3241" s="893">
        <f>SUM(M3238:M3240)</f>
        <v>1</v>
      </c>
      <c r="N3241" s="894"/>
      <c r="O3241" s="894">
        <f>SUM(O3238:O3240)</f>
        <v>0</v>
      </c>
      <c r="P3241" s="274" t="s">
        <v>230</v>
      </c>
      <c r="Q3241" s="895">
        <v>0</v>
      </c>
      <c r="R3241" s="114"/>
      <c r="S3241" s="114"/>
      <c r="T3241" s="271"/>
      <c r="U3241" s="114"/>
      <c r="V3241" s="114"/>
      <c r="W3241" s="270"/>
      <c r="X3241" s="270"/>
      <c r="Y3241" s="270"/>
      <c r="Z3241" s="270"/>
      <c r="AA3241" s="270"/>
    </row>
    <row r="3242" spans="3:27" x14ac:dyDescent="0.3">
      <c r="C3242" s="450"/>
      <c r="D3242" s="182"/>
      <c r="E3242" s="182"/>
      <c r="F3242" s="182"/>
      <c r="G3242" s="450" t="str">
        <f t="shared" si="155"/>
        <v>--</v>
      </c>
      <c r="H3242" s="182"/>
      <c r="I3242" s="892"/>
      <c r="J3242" s="288"/>
      <c r="K3242" s="182"/>
      <c r="L3242" s="182"/>
      <c r="M3242" s="270"/>
      <c r="N3242" s="892"/>
      <c r="O3242" s="892"/>
      <c r="P3242" s="275" t="s">
        <v>229</v>
      </c>
      <c r="Q3242" s="895">
        <v>0</v>
      </c>
      <c r="R3242" s="114"/>
      <c r="S3242" s="114"/>
      <c r="T3242" s="271"/>
      <c r="U3242" s="114"/>
      <c r="V3242" s="114"/>
      <c r="W3242" s="270"/>
      <c r="X3242" s="270"/>
      <c r="Y3242" s="270"/>
      <c r="Z3242" s="270"/>
      <c r="AA3242" s="270"/>
    </row>
    <row r="3243" spans="3:27" x14ac:dyDescent="0.3">
      <c r="C3243" s="450"/>
      <c r="D3243" s="182"/>
      <c r="E3243" s="182"/>
      <c r="F3243" s="182"/>
      <c r="G3243" s="450" t="str">
        <f t="shared" si="155"/>
        <v>--</v>
      </c>
      <c r="H3243" s="182"/>
      <c r="I3243" s="892"/>
      <c r="J3243" s="288"/>
      <c r="K3243" s="182"/>
      <c r="L3243" s="182"/>
      <c r="M3243" s="270"/>
      <c r="N3243" s="892"/>
      <c r="O3243" s="892"/>
      <c r="P3243" s="269" t="s">
        <v>225</v>
      </c>
      <c r="Q3243" s="895">
        <v>0</v>
      </c>
      <c r="R3243" s="114"/>
      <c r="S3243" s="114"/>
      <c r="T3243" s="271"/>
      <c r="U3243" s="114"/>
      <c r="V3243" s="114"/>
      <c r="W3243" s="270"/>
      <c r="X3243" s="270"/>
      <c r="Y3243" s="270"/>
      <c r="Z3243" s="270"/>
      <c r="AA3243" s="270"/>
    </row>
    <row r="3244" spans="3:27" x14ac:dyDescent="0.3">
      <c r="C3244" s="450"/>
      <c r="D3244" s="182"/>
      <c r="E3244" s="182"/>
      <c r="F3244" s="182"/>
      <c r="G3244" s="450" t="str">
        <f t="shared" si="155"/>
        <v>--</v>
      </c>
      <c r="H3244" s="182"/>
      <c r="I3244" s="892"/>
      <c r="J3244" s="288"/>
      <c r="K3244" s="182"/>
      <c r="L3244" s="182"/>
      <c r="M3244" s="270"/>
      <c r="N3244" s="892"/>
      <c r="O3244" s="892"/>
      <c r="P3244" s="263" t="s">
        <v>46</v>
      </c>
      <c r="Q3244" s="897">
        <f>SUM(Q3238:Q3243)</f>
        <v>1</v>
      </c>
      <c r="R3244" s="899"/>
      <c r="S3244" s="899"/>
      <c r="T3244" s="271"/>
      <c r="U3244" s="114"/>
      <c r="V3244" s="114"/>
      <c r="W3244" s="270"/>
      <c r="X3244" s="270"/>
      <c r="Y3244" s="270"/>
      <c r="Z3244" s="270"/>
      <c r="AA3244" s="270"/>
    </row>
    <row r="3245" spans="3:27" x14ac:dyDescent="0.3">
      <c r="C3245" s="450"/>
      <c r="D3245" s="182"/>
      <c r="E3245" s="182"/>
      <c r="F3245" s="182"/>
      <c r="G3245" s="450" t="str">
        <f t="shared" si="155"/>
        <v>--</v>
      </c>
      <c r="H3245" s="182"/>
      <c r="I3245" s="892"/>
      <c r="J3245" s="288"/>
      <c r="K3245" s="182"/>
      <c r="L3245" s="182"/>
      <c r="M3245" s="270"/>
      <c r="N3245" s="892"/>
      <c r="O3245" s="892"/>
      <c r="P3245" s="270"/>
      <c r="Q3245" s="270"/>
      <c r="R3245" s="270"/>
      <c r="S3245" s="270"/>
      <c r="T3245" s="270"/>
      <c r="U3245" s="270"/>
      <c r="V3245" s="270"/>
      <c r="W3245" s="270"/>
      <c r="X3245" s="270"/>
      <c r="Y3245" s="270"/>
      <c r="Z3245" s="270"/>
      <c r="AA3245" s="270"/>
    </row>
    <row r="3246" spans="3:27" ht="15" thickBot="1" x14ac:dyDescent="0.35">
      <c r="C3246" s="450"/>
      <c r="D3246" s="182"/>
      <c r="E3246" s="182"/>
      <c r="F3246" s="182"/>
      <c r="G3246" s="450" t="str">
        <f t="shared" si="155"/>
        <v>--</v>
      </c>
      <c r="H3246" s="182"/>
      <c r="I3246" s="892"/>
      <c r="J3246" s="892"/>
      <c r="K3246" s="182"/>
      <c r="L3246" s="182"/>
      <c r="M3246" s="901" t="s">
        <v>155</v>
      </c>
      <c r="N3246" s="870" t="s">
        <v>188</v>
      </c>
      <c r="O3246" s="870"/>
      <c r="P3246" s="276" t="s">
        <v>111</v>
      </c>
      <c r="Q3246" s="871" t="s">
        <v>155</v>
      </c>
      <c r="R3246" s="902"/>
      <c r="S3246" s="874"/>
      <c r="T3246" s="270"/>
      <c r="U3246" s="270"/>
      <c r="V3246" s="270"/>
      <c r="W3246" s="270"/>
      <c r="X3246" s="270"/>
      <c r="Y3246" s="270"/>
      <c r="Z3246" s="270"/>
      <c r="AA3246" s="270"/>
    </row>
    <row r="3247" spans="3:27" ht="15" thickBot="1" x14ac:dyDescent="0.35">
      <c r="C3247" s="566" t="s">
        <v>109</v>
      </c>
      <c r="D3247" s="875" t="str">
        <f>VLOOKUP(C3247,'Airport Mapping'!$C$5:$D$39,2,FALSE)</f>
        <v xml:space="preserve"> </v>
      </c>
      <c r="E3247" s="567" t="s">
        <v>43</v>
      </c>
      <c r="F3247" s="567" t="s">
        <v>111</v>
      </c>
      <c r="G3247" s="450" t="str">
        <f t="shared" si="155"/>
        <v>Tenant D-Maintenance-Boiler</v>
      </c>
      <c r="H3247" s="567" t="s">
        <v>424</v>
      </c>
      <c r="I3247" s="877" t="s">
        <v>64</v>
      </c>
      <c r="J3247" s="878">
        <f>SUMIFS('Level of Efficiency Assumptions'!J:J,'Level of Efficiency Assumptions'!D:D,E3247,'Level of Efficiency Assumptions'!F:F,F3247,'Level of Efficiency Assumptions'!I:I,I3247)</f>
        <v>100</v>
      </c>
      <c r="K3247" s="383" t="s">
        <v>585</v>
      </c>
      <c r="L3247" s="253" t="s">
        <v>64</v>
      </c>
      <c r="M3247" s="879">
        <f>SUM(Q3247:Q3248)</f>
        <v>0</v>
      </c>
      <c r="N3247" s="880">
        <f>IFERROR(M3247/M3250,"-")</f>
        <v>0</v>
      </c>
      <c r="O3247" s="881">
        <f>SUMIFS('Data Entry'!R:R,'Data Entry'!K:K,G3247)</f>
        <v>0</v>
      </c>
      <c r="P3247" s="272"/>
      <c r="Q3247" s="895">
        <v>0</v>
      </c>
      <c r="R3247" s="114"/>
      <c r="S3247" s="884"/>
      <c r="T3247" s="270"/>
      <c r="U3247" s="270"/>
      <c r="V3247" s="270"/>
      <c r="W3247" s="270"/>
      <c r="X3247" s="270"/>
      <c r="Y3247" s="270"/>
      <c r="Z3247" s="270"/>
      <c r="AA3247" s="270"/>
    </row>
    <row r="3248" spans="3:27" ht="15" thickBot="1" x14ac:dyDescent="0.35">
      <c r="C3248" s="494" t="s">
        <v>109</v>
      </c>
      <c r="D3248" s="577"/>
      <c r="E3248" s="577" t="s">
        <v>43</v>
      </c>
      <c r="F3248" s="577" t="s">
        <v>111</v>
      </c>
      <c r="G3248" s="450" t="str">
        <f t="shared" si="155"/>
        <v>Tenant D-Maintenance-Boiler</v>
      </c>
      <c r="H3248" s="577"/>
      <c r="I3248" s="887" t="s">
        <v>65</v>
      </c>
      <c r="J3248" s="878">
        <f>SUMIFS('Level of Efficiency Assumptions'!J:J,'Level of Efficiency Assumptions'!D:D,E3248,'Level of Efficiency Assumptions'!F:F,F3248,'Level of Efficiency Assumptions'!I:I,I3248)</f>
        <v>75</v>
      </c>
      <c r="K3248" s="383" t="s">
        <v>585</v>
      </c>
      <c r="L3248" s="255" t="s">
        <v>65</v>
      </c>
      <c r="M3248" s="879">
        <f>Q3249+Q3250</f>
        <v>1</v>
      </c>
      <c r="N3248" s="880">
        <f>IFERROR(M3248/M3250,"-")</f>
        <v>1</v>
      </c>
      <c r="O3248" s="881">
        <f>SUMIFS('Data Entry'!S:S,'Data Entry'!K:K,G3248)</f>
        <v>0</v>
      </c>
      <c r="P3248" s="272"/>
      <c r="Q3248" s="895">
        <v>0</v>
      </c>
      <c r="R3248" s="114"/>
      <c r="S3248" s="884"/>
      <c r="T3248" s="270"/>
      <c r="U3248" s="270"/>
      <c r="V3248" s="270"/>
      <c r="W3248" s="270"/>
      <c r="X3248" s="270"/>
      <c r="Y3248" s="270"/>
      <c r="Z3248" s="270"/>
      <c r="AA3248" s="270"/>
    </row>
    <row r="3249" spans="3:27" ht="15" thickBot="1" x14ac:dyDescent="0.35">
      <c r="C3249" s="501" t="s">
        <v>109</v>
      </c>
      <c r="D3249" s="116"/>
      <c r="E3249" s="116" t="s">
        <v>43</v>
      </c>
      <c r="F3249" s="116" t="s">
        <v>111</v>
      </c>
      <c r="G3249" s="450" t="str">
        <f t="shared" si="155"/>
        <v>Tenant D-Maintenance-Boiler</v>
      </c>
      <c r="H3249" s="116"/>
      <c r="I3249" s="889" t="s">
        <v>66</v>
      </c>
      <c r="J3249" s="890">
        <f>SUMIFS('Level of Efficiency Assumptions'!J:J,'Level of Efficiency Assumptions'!D:D,E3249,'Level of Efficiency Assumptions'!F:F,F3249,'Level of Efficiency Assumptions'!I:I,I3249)</f>
        <v>50</v>
      </c>
      <c r="K3249" s="383" t="s">
        <v>585</v>
      </c>
      <c r="L3249" s="257" t="s">
        <v>66</v>
      </c>
      <c r="M3249" s="879">
        <f>Q3251+Q3252</f>
        <v>0</v>
      </c>
      <c r="N3249" s="880">
        <f>IFERROR(M3249/M3250,"-")</f>
        <v>0</v>
      </c>
      <c r="O3249" s="881">
        <f>SUMIFS('Data Entry'!T:T,'Data Entry'!K:K,G3249)</f>
        <v>0</v>
      </c>
      <c r="P3249" s="274"/>
      <c r="Q3249" s="895">
        <v>1</v>
      </c>
      <c r="R3249" s="114"/>
      <c r="S3249" s="884"/>
      <c r="T3249" s="270"/>
      <c r="U3249" s="270"/>
      <c r="V3249" s="270"/>
      <c r="W3249" s="270"/>
      <c r="X3249" s="270"/>
      <c r="Y3249" s="270"/>
      <c r="Z3249" s="270"/>
      <c r="AA3249" s="270"/>
    </row>
    <row r="3250" spans="3:27" x14ac:dyDescent="0.3">
      <c r="C3250" s="450"/>
      <c r="D3250" s="182"/>
      <c r="E3250" s="182"/>
      <c r="F3250" s="182"/>
      <c r="G3250" s="450" t="str">
        <f t="shared" si="155"/>
        <v>--</v>
      </c>
      <c r="H3250" s="182"/>
      <c r="I3250" s="440"/>
      <c r="J3250" s="892"/>
      <c r="K3250" s="259"/>
      <c r="L3250" s="259" t="s">
        <v>46</v>
      </c>
      <c r="M3250" s="893">
        <f>SUM(M3247:M3249)</f>
        <v>1</v>
      </c>
      <c r="N3250" s="894"/>
      <c r="O3250" s="894">
        <f>SUM(O3247:O3249)</f>
        <v>0</v>
      </c>
      <c r="P3250" s="274"/>
      <c r="Q3250" s="895">
        <v>0</v>
      </c>
      <c r="R3250" s="114"/>
      <c r="S3250" s="884"/>
      <c r="T3250" s="270"/>
      <c r="U3250" s="270"/>
      <c r="V3250" s="270"/>
      <c r="W3250" s="270"/>
      <c r="X3250" s="270"/>
      <c r="Y3250" s="270"/>
      <c r="Z3250" s="270"/>
      <c r="AA3250" s="270"/>
    </row>
    <row r="3251" spans="3:27" x14ac:dyDescent="0.3">
      <c r="C3251" s="450"/>
      <c r="D3251" s="182"/>
      <c r="E3251" s="182"/>
      <c r="F3251" s="182"/>
      <c r="G3251" s="450" t="str">
        <f t="shared" si="155"/>
        <v>--</v>
      </c>
      <c r="H3251" s="182"/>
      <c r="I3251" s="892"/>
      <c r="J3251" s="288"/>
      <c r="K3251" s="182"/>
      <c r="L3251" s="182"/>
      <c r="M3251" s="270"/>
      <c r="N3251" s="892"/>
      <c r="O3251" s="892"/>
      <c r="P3251" s="275"/>
      <c r="Q3251" s="895">
        <v>0</v>
      </c>
      <c r="R3251" s="114"/>
      <c r="S3251" s="884"/>
      <c r="T3251" s="270"/>
      <c r="U3251" s="270"/>
      <c r="V3251" s="270"/>
      <c r="W3251" s="270"/>
      <c r="X3251" s="270"/>
      <c r="Y3251" s="270"/>
      <c r="Z3251" s="270"/>
      <c r="AA3251" s="270"/>
    </row>
    <row r="3252" spans="3:27" x14ac:dyDescent="0.3">
      <c r="C3252" s="450"/>
      <c r="D3252" s="182"/>
      <c r="E3252" s="182"/>
      <c r="F3252" s="182"/>
      <c r="G3252" s="450" t="str">
        <f t="shared" si="155"/>
        <v>--</v>
      </c>
      <c r="H3252" s="182"/>
      <c r="I3252" s="892"/>
      <c r="J3252" s="288"/>
      <c r="K3252" s="182"/>
      <c r="L3252" s="182"/>
      <c r="M3252" s="270"/>
      <c r="N3252" s="892"/>
      <c r="O3252" s="892"/>
      <c r="P3252" s="269"/>
      <c r="Q3252" s="895">
        <v>0</v>
      </c>
      <c r="R3252" s="114"/>
      <c r="S3252" s="884"/>
      <c r="T3252" s="270"/>
      <c r="U3252" s="270"/>
      <c r="V3252" s="270"/>
      <c r="W3252" s="270"/>
      <c r="X3252" s="270"/>
      <c r="Y3252" s="270"/>
      <c r="Z3252" s="270"/>
      <c r="AA3252" s="270"/>
    </row>
    <row r="3253" spans="3:27" x14ac:dyDescent="0.3">
      <c r="C3253" s="450"/>
      <c r="D3253" s="182"/>
      <c r="E3253" s="182"/>
      <c r="F3253" s="182"/>
      <c r="G3253" s="450" t="str">
        <f t="shared" si="155"/>
        <v>--</v>
      </c>
      <c r="H3253" s="182"/>
      <c r="I3253" s="892"/>
      <c r="J3253" s="288"/>
      <c r="K3253" s="182"/>
      <c r="L3253" s="182"/>
      <c r="M3253" s="270"/>
      <c r="N3253" s="892"/>
      <c r="O3253" s="892"/>
      <c r="P3253" s="263" t="s">
        <v>46</v>
      </c>
      <c r="Q3253" s="897">
        <f>SUM(Q3247:Q3252)</f>
        <v>1</v>
      </c>
      <c r="R3253" s="899"/>
      <c r="S3253" s="900"/>
      <c r="T3253" s="270"/>
      <c r="U3253" s="270"/>
      <c r="V3253" s="270"/>
      <c r="W3253" s="270"/>
      <c r="X3253" s="270"/>
      <c r="Y3253" s="270"/>
      <c r="Z3253" s="270"/>
      <c r="AA3253" s="270"/>
    </row>
    <row r="3254" spans="3:27" x14ac:dyDescent="0.3">
      <c r="C3254" s="225"/>
      <c r="D3254" s="288"/>
      <c r="E3254" s="288"/>
      <c r="F3254" s="288"/>
      <c r="G3254" s="450" t="str">
        <f t="shared" si="155"/>
        <v>--</v>
      </c>
      <c r="H3254" s="182"/>
      <c r="I3254" s="892"/>
      <c r="J3254" s="288"/>
      <c r="K3254" s="182"/>
      <c r="L3254" s="182"/>
      <c r="M3254" s="270"/>
      <c r="N3254" s="892"/>
      <c r="O3254" s="892"/>
      <c r="P3254" s="259"/>
      <c r="Q3254" s="114"/>
      <c r="R3254" s="270"/>
      <c r="S3254" s="270"/>
      <c r="T3254" s="270"/>
      <c r="U3254" s="270"/>
      <c r="V3254" s="270"/>
      <c r="W3254" s="270"/>
      <c r="X3254" s="270"/>
      <c r="Y3254" s="270"/>
      <c r="Z3254" s="270"/>
      <c r="AA3254" s="270"/>
    </row>
    <row r="3255" spans="3:27" ht="15" thickBot="1" x14ac:dyDescent="0.35">
      <c r="C3255" s="450"/>
      <c r="D3255" s="182"/>
      <c r="E3255" s="182"/>
      <c r="F3255" s="182"/>
      <c r="G3255" s="450" t="str">
        <f t="shared" si="155"/>
        <v>--</v>
      </c>
      <c r="H3255" s="182"/>
      <c r="I3255" s="892"/>
      <c r="J3255" s="892"/>
      <c r="K3255" s="182"/>
      <c r="L3255" s="182"/>
      <c r="M3255" s="901" t="s">
        <v>155</v>
      </c>
      <c r="N3255" s="870" t="s">
        <v>188</v>
      </c>
      <c r="O3255" s="870"/>
      <c r="P3255" s="276" t="s">
        <v>9</v>
      </c>
      <c r="Q3255" s="871" t="s">
        <v>155</v>
      </c>
      <c r="R3255" s="902"/>
      <c r="S3255" s="874"/>
      <c r="T3255" s="270"/>
      <c r="U3255" s="270"/>
      <c r="V3255" s="270"/>
      <c r="W3255" s="270"/>
      <c r="X3255" s="270"/>
      <c r="Y3255" s="270"/>
      <c r="Z3255" s="270"/>
      <c r="AA3255" s="270"/>
    </row>
    <row r="3256" spans="3:27" ht="15" thickBot="1" x14ac:dyDescent="0.35">
      <c r="C3256" s="566" t="s">
        <v>109</v>
      </c>
      <c r="D3256" s="875" t="str">
        <f>VLOOKUP(C3256,'Airport Mapping'!$C$5:$D$39,2,FALSE)</f>
        <v xml:space="preserve"> </v>
      </c>
      <c r="E3256" s="567" t="s">
        <v>43</v>
      </c>
      <c r="F3256" s="567" t="s">
        <v>25</v>
      </c>
      <c r="G3256" s="450" t="str">
        <f t="shared" si="155"/>
        <v>Tenant D-Maintenance-Fleet vehicle washing</v>
      </c>
      <c r="H3256" s="567" t="s">
        <v>10</v>
      </c>
      <c r="I3256" s="877" t="s">
        <v>64</v>
      </c>
      <c r="J3256" s="878">
        <f>SUMIFS('Level of Efficiency Assumptions'!J:J,'Level of Efficiency Assumptions'!D:D,E3256,'Level of Efficiency Assumptions'!F:F,F3256,'Level of Efficiency Assumptions'!I:I,I3256)</f>
        <v>10</v>
      </c>
      <c r="K3256" s="383" t="s">
        <v>588</v>
      </c>
      <c r="L3256" s="253" t="s">
        <v>64</v>
      </c>
      <c r="M3256" s="879">
        <f>SUM(Q3256:Q3257)</f>
        <v>0</v>
      </c>
      <c r="N3256" s="880">
        <f>IFERROR(M3256/M3259,"-")</f>
        <v>0</v>
      </c>
      <c r="O3256" s="881">
        <f>SUMIFS('Data Entry'!R:R,'Data Entry'!K:K,G3256)</f>
        <v>0</v>
      </c>
      <c r="P3256" s="272"/>
      <c r="Q3256" s="895">
        <v>0</v>
      </c>
      <c r="R3256" s="114"/>
      <c r="S3256" s="884"/>
      <c r="T3256" s="270"/>
      <c r="U3256" s="270"/>
      <c r="V3256" s="270"/>
      <c r="W3256" s="270"/>
      <c r="X3256" s="270"/>
      <c r="Y3256" s="270"/>
      <c r="Z3256" s="270"/>
      <c r="AA3256" s="270"/>
    </row>
    <row r="3257" spans="3:27" ht="15" thickBot="1" x14ac:dyDescent="0.35">
      <c r="C3257" s="494" t="s">
        <v>109</v>
      </c>
      <c r="D3257" s="577"/>
      <c r="E3257" s="577" t="s">
        <v>43</v>
      </c>
      <c r="F3257" s="577" t="s">
        <v>25</v>
      </c>
      <c r="G3257" s="450" t="str">
        <f t="shared" si="155"/>
        <v>Tenant D-Maintenance-Fleet vehicle washing</v>
      </c>
      <c r="H3257" s="577"/>
      <c r="I3257" s="887" t="s">
        <v>65</v>
      </c>
      <c r="J3257" s="878">
        <f>SUMIFS('Level of Efficiency Assumptions'!J:J,'Level of Efficiency Assumptions'!D:D,E3257,'Level of Efficiency Assumptions'!F:F,F3257,'Level of Efficiency Assumptions'!I:I,I3257)</f>
        <v>7.5</v>
      </c>
      <c r="K3257" s="383" t="s">
        <v>588</v>
      </c>
      <c r="L3257" s="255" t="s">
        <v>65</v>
      </c>
      <c r="M3257" s="879">
        <f>Q3258+Q3259</f>
        <v>1</v>
      </c>
      <c r="N3257" s="880">
        <f>IFERROR(M3257/M3259,"-")</f>
        <v>1</v>
      </c>
      <c r="O3257" s="881">
        <f>SUMIFS('Data Entry'!S:S,'Data Entry'!K:K,G3257)</f>
        <v>0</v>
      </c>
      <c r="P3257" s="272"/>
      <c r="Q3257" s="895">
        <v>0</v>
      </c>
      <c r="R3257" s="114"/>
      <c r="S3257" s="884"/>
      <c r="T3257" s="270"/>
      <c r="U3257" s="270"/>
      <c r="V3257" s="270"/>
      <c r="W3257" s="270"/>
      <c r="X3257" s="270"/>
      <c r="Y3257" s="270"/>
      <c r="Z3257" s="270"/>
      <c r="AA3257" s="270"/>
    </row>
    <row r="3258" spans="3:27" ht="15" thickBot="1" x14ac:dyDescent="0.35">
      <c r="C3258" s="501" t="s">
        <v>109</v>
      </c>
      <c r="D3258" s="116"/>
      <c r="E3258" s="116" t="s">
        <v>43</v>
      </c>
      <c r="F3258" s="116" t="s">
        <v>25</v>
      </c>
      <c r="G3258" s="450" t="str">
        <f t="shared" si="155"/>
        <v>Tenant D-Maintenance-Fleet vehicle washing</v>
      </c>
      <c r="H3258" s="116"/>
      <c r="I3258" s="889" t="s">
        <v>66</v>
      </c>
      <c r="J3258" s="890">
        <f>SUMIFS('Level of Efficiency Assumptions'!J:J,'Level of Efficiency Assumptions'!D:D,E3258,'Level of Efficiency Assumptions'!F:F,F3258,'Level of Efficiency Assumptions'!I:I,I3258)</f>
        <v>5</v>
      </c>
      <c r="K3258" s="383" t="s">
        <v>588</v>
      </c>
      <c r="L3258" s="257" t="s">
        <v>66</v>
      </c>
      <c r="M3258" s="879">
        <f>Q3260+Q3261</f>
        <v>0</v>
      </c>
      <c r="N3258" s="880">
        <f>IFERROR(M3258/M3259,"-")</f>
        <v>0</v>
      </c>
      <c r="O3258" s="881">
        <f>SUMIFS('Data Entry'!T:T,'Data Entry'!K:K,G3258)</f>
        <v>0</v>
      </c>
      <c r="P3258" s="274"/>
      <c r="Q3258" s="895">
        <v>1</v>
      </c>
      <c r="R3258" s="114"/>
      <c r="S3258" s="884"/>
      <c r="T3258" s="270"/>
      <c r="U3258" s="270"/>
      <c r="V3258" s="270"/>
      <c r="W3258" s="270"/>
      <c r="X3258" s="270"/>
      <c r="Y3258" s="270"/>
      <c r="Z3258" s="270"/>
      <c r="AA3258" s="270"/>
    </row>
    <row r="3259" spans="3:27" x14ac:dyDescent="0.3">
      <c r="C3259" s="450"/>
      <c r="D3259" s="182"/>
      <c r="E3259" s="182"/>
      <c r="F3259" s="182"/>
      <c r="G3259" s="450" t="str">
        <f t="shared" si="155"/>
        <v>--</v>
      </c>
      <c r="H3259" s="182"/>
      <c r="I3259" s="440"/>
      <c r="J3259" s="892"/>
      <c r="K3259" s="259"/>
      <c r="L3259" s="259" t="s">
        <v>46</v>
      </c>
      <c r="M3259" s="893">
        <f>SUM(M3256:M3258)</f>
        <v>1</v>
      </c>
      <c r="N3259" s="894"/>
      <c r="O3259" s="894">
        <f>SUM(O3256:O3258)</f>
        <v>0</v>
      </c>
      <c r="P3259" s="274"/>
      <c r="Q3259" s="895">
        <v>0</v>
      </c>
      <c r="R3259" s="114"/>
      <c r="S3259" s="884"/>
      <c r="T3259" s="270"/>
      <c r="U3259" s="270"/>
      <c r="V3259" s="270"/>
      <c r="W3259" s="270"/>
      <c r="X3259" s="270"/>
      <c r="Y3259" s="270"/>
      <c r="Z3259" s="270"/>
      <c r="AA3259" s="270"/>
    </row>
    <row r="3260" spans="3:27" x14ac:dyDescent="0.3">
      <c r="C3260" s="450"/>
      <c r="D3260" s="182"/>
      <c r="E3260" s="182"/>
      <c r="F3260" s="182"/>
      <c r="G3260" s="450" t="str">
        <f t="shared" si="155"/>
        <v>--</v>
      </c>
      <c r="H3260" s="182"/>
      <c r="I3260" s="892"/>
      <c r="J3260" s="288"/>
      <c r="K3260" s="182"/>
      <c r="L3260" s="182"/>
      <c r="M3260" s="270"/>
      <c r="N3260" s="892"/>
      <c r="O3260" s="892"/>
      <c r="P3260" s="275"/>
      <c r="Q3260" s="895">
        <v>0</v>
      </c>
      <c r="R3260" s="114"/>
      <c r="S3260" s="884"/>
      <c r="T3260" s="270"/>
      <c r="U3260" s="270"/>
      <c r="V3260" s="270"/>
      <c r="W3260" s="270"/>
      <c r="X3260" s="270"/>
      <c r="Y3260" s="270"/>
      <c r="Z3260" s="270"/>
      <c r="AA3260" s="270"/>
    </row>
    <row r="3261" spans="3:27" x14ac:dyDescent="0.3">
      <c r="C3261" s="450"/>
      <c r="D3261" s="182"/>
      <c r="E3261" s="182"/>
      <c r="F3261" s="182"/>
      <c r="G3261" s="450" t="str">
        <f t="shared" si="155"/>
        <v>--</v>
      </c>
      <c r="H3261" s="182"/>
      <c r="I3261" s="892"/>
      <c r="J3261" s="288"/>
      <c r="K3261" s="182"/>
      <c r="L3261" s="182"/>
      <c r="M3261" s="270"/>
      <c r="N3261" s="892"/>
      <c r="O3261" s="892"/>
      <c r="P3261" s="269"/>
      <c r="Q3261" s="895">
        <v>0</v>
      </c>
      <c r="R3261" s="114"/>
      <c r="S3261" s="884"/>
      <c r="T3261" s="270"/>
      <c r="U3261" s="270"/>
      <c r="V3261" s="270"/>
      <c r="W3261" s="270"/>
      <c r="X3261" s="270"/>
      <c r="Y3261" s="270"/>
      <c r="Z3261" s="270"/>
      <c r="AA3261" s="270"/>
    </row>
    <row r="3262" spans="3:27" x14ac:dyDescent="0.3">
      <c r="C3262" s="450"/>
      <c r="D3262" s="182"/>
      <c r="E3262" s="182"/>
      <c r="F3262" s="182"/>
      <c r="G3262" s="450" t="str">
        <f t="shared" si="155"/>
        <v>--</v>
      </c>
      <c r="H3262" s="182"/>
      <c r="I3262" s="892"/>
      <c r="J3262" s="288"/>
      <c r="K3262" s="182"/>
      <c r="L3262" s="182"/>
      <c r="M3262" s="270"/>
      <c r="N3262" s="892"/>
      <c r="O3262" s="892"/>
      <c r="P3262" s="263" t="s">
        <v>46</v>
      </c>
      <c r="Q3262" s="897">
        <f>SUM(Q3256:Q3261)</f>
        <v>1</v>
      </c>
      <c r="R3262" s="899"/>
      <c r="S3262" s="900"/>
      <c r="T3262" s="270"/>
      <c r="U3262" s="270"/>
      <c r="V3262" s="270"/>
      <c r="W3262" s="270"/>
      <c r="X3262" s="270"/>
      <c r="Y3262" s="270"/>
      <c r="Z3262" s="270"/>
      <c r="AA3262" s="270"/>
    </row>
    <row r="3263" spans="3:27" x14ac:dyDescent="0.3">
      <c r="C3263" s="450"/>
      <c r="D3263" s="182"/>
      <c r="E3263" s="182"/>
      <c r="F3263" s="182"/>
      <c r="G3263" s="450" t="str">
        <f t="shared" si="155"/>
        <v>--</v>
      </c>
      <c r="H3263" s="182"/>
      <c r="I3263" s="892"/>
      <c r="J3263" s="288"/>
      <c r="K3263" s="182"/>
      <c r="L3263" s="182"/>
      <c r="M3263" s="270"/>
      <c r="N3263" s="892"/>
      <c r="O3263" s="892"/>
      <c r="P3263" s="259"/>
      <c r="Q3263" s="114"/>
      <c r="R3263" s="114"/>
      <c r="S3263" s="114"/>
      <c r="T3263" s="270"/>
      <c r="U3263" s="270"/>
      <c r="V3263" s="270"/>
      <c r="W3263" s="270"/>
      <c r="X3263" s="270"/>
      <c r="Y3263" s="270"/>
      <c r="Z3263" s="270"/>
      <c r="AA3263" s="270"/>
    </row>
    <row r="3264" spans="3:27" ht="15" thickBot="1" x14ac:dyDescent="0.35">
      <c r="C3264" s="450"/>
      <c r="D3264" s="182"/>
      <c r="E3264" s="182"/>
      <c r="F3264" s="182"/>
      <c r="G3264" s="450" t="str">
        <f t="shared" si="155"/>
        <v>--</v>
      </c>
      <c r="H3264" s="182"/>
      <c r="I3264" s="892"/>
      <c r="J3264" s="892"/>
      <c r="K3264" s="182"/>
      <c r="L3264" s="182"/>
      <c r="M3264" s="901" t="s">
        <v>155</v>
      </c>
      <c r="N3264" s="870" t="s">
        <v>188</v>
      </c>
      <c r="O3264" s="870"/>
      <c r="P3264" s="276" t="s">
        <v>426</v>
      </c>
      <c r="Q3264" s="871" t="s">
        <v>155</v>
      </c>
      <c r="R3264" s="902"/>
      <c r="S3264" s="874"/>
      <c r="T3264" s="270"/>
      <c r="U3264" s="270"/>
      <c r="V3264" s="270"/>
      <c r="W3264" s="270"/>
      <c r="X3264" s="270"/>
      <c r="Y3264" s="270"/>
      <c r="Z3264" s="270"/>
      <c r="AA3264" s="270"/>
    </row>
    <row r="3265" spans="3:27" ht="15" thickBot="1" x14ac:dyDescent="0.35">
      <c r="C3265" s="566" t="s">
        <v>109</v>
      </c>
      <c r="D3265" s="875" t="str">
        <f>VLOOKUP(C3265,'Airport Mapping'!$C$5:$D$39,2,FALSE)</f>
        <v xml:space="preserve"> </v>
      </c>
      <c r="E3265" s="567" t="s">
        <v>43</v>
      </c>
      <c r="F3265" s="567" t="s">
        <v>426</v>
      </c>
      <c r="G3265" s="450" t="str">
        <f t="shared" si="155"/>
        <v>Tenant D-Maintenance-Pavement cleaning</v>
      </c>
      <c r="H3265" s="567" t="s">
        <v>10</v>
      </c>
      <c r="I3265" s="877" t="s">
        <v>64</v>
      </c>
      <c r="J3265" s="878">
        <f>SUMIFS('Level of Efficiency Assumptions'!J:J,'Level of Efficiency Assumptions'!D:D,E3265,'Level of Efficiency Assumptions'!F:F,F3265,'Level of Efficiency Assumptions'!I:I,I3265)</f>
        <v>10</v>
      </c>
      <c r="K3265" s="383" t="s">
        <v>588</v>
      </c>
      <c r="L3265" s="253" t="s">
        <v>64</v>
      </c>
      <c r="M3265" s="879">
        <f>SUM(Q3265:Q3266)</f>
        <v>0</v>
      </c>
      <c r="N3265" s="880">
        <f>IFERROR(M3265/M3268,"-")</f>
        <v>0</v>
      </c>
      <c r="O3265" s="881">
        <f>SUMIFS('Data Entry'!R:R,'Data Entry'!K:K,G3265)</f>
        <v>0</v>
      </c>
      <c r="P3265" s="272"/>
      <c r="Q3265" s="895">
        <v>0</v>
      </c>
      <c r="R3265" s="114"/>
      <c r="S3265" s="884"/>
      <c r="T3265" s="270"/>
      <c r="U3265" s="270"/>
      <c r="V3265" s="270"/>
      <c r="W3265" s="270"/>
      <c r="X3265" s="270"/>
      <c r="Y3265" s="270"/>
      <c r="Z3265" s="270"/>
      <c r="AA3265" s="270"/>
    </row>
    <row r="3266" spans="3:27" ht="15" thickBot="1" x14ac:dyDescent="0.35">
      <c r="C3266" s="494" t="s">
        <v>109</v>
      </c>
      <c r="D3266" s="577"/>
      <c r="E3266" s="577" t="s">
        <v>43</v>
      </c>
      <c r="F3266" s="577" t="s">
        <v>426</v>
      </c>
      <c r="G3266" s="450" t="str">
        <f t="shared" si="155"/>
        <v>Tenant D-Maintenance-Pavement cleaning</v>
      </c>
      <c r="H3266" s="577"/>
      <c r="I3266" s="887" t="s">
        <v>65</v>
      </c>
      <c r="J3266" s="878">
        <f>SUMIFS('Level of Efficiency Assumptions'!J:J,'Level of Efficiency Assumptions'!D:D,E3266,'Level of Efficiency Assumptions'!F:F,F3266,'Level of Efficiency Assumptions'!I:I,I3266)</f>
        <v>7.5</v>
      </c>
      <c r="K3266" s="383" t="s">
        <v>588</v>
      </c>
      <c r="L3266" s="255" t="s">
        <v>65</v>
      </c>
      <c r="M3266" s="879">
        <f>Q3267+Q3268</f>
        <v>1</v>
      </c>
      <c r="N3266" s="880">
        <f>IFERROR(M3266/M3268,"-")</f>
        <v>1</v>
      </c>
      <c r="O3266" s="881">
        <f>SUMIFS('Data Entry'!S:S,'Data Entry'!K:K,G3266)</f>
        <v>0</v>
      </c>
      <c r="P3266" s="272"/>
      <c r="Q3266" s="895">
        <v>0</v>
      </c>
      <c r="R3266" s="114"/>
      <c r="S3266" s="884"/>
      <c r="T3266" s="270"/>
      <c r="U3266" s="270"/>
      <c r="V3266" s="270"/>
      <c r="W3266" s="270"/>
      <c r="X3266" s="270"/>
      <c r="Y3266" s="270"/>
      <c r="Z3266" s="270"/>
      <c r="AA3266" s="270"/>
    </row>
    <row r="3267" spans="3:27" ht="15" thickBot="1" x14ac:dyDescent="0.35">
      <c r="C3267" s="501" t="s">
        <v>109</v>
      </c>
      <c r="D3267" s="116"/>
      <c r="E3267" s="116" t="s">
        <v>43</v>
      </c>
      <c r="F3267" s="116" t="s">
        <v>426</v>
      </c>
      <c r="G3267" s="450" t="str">
        <f t="shared" si="155"/>
        <v>Tenant D-Maintenance-Pavement cleaning</v>
      </c>
      <c r="H3267" s="116"/>
      <c r="I3267" s="889" t="s">
        <v>66</v>
      </c>
      <c r="J3267" s="890">
        <f>SUMIFS('Level of Efficiency Assumptions'!J:J,'Level of Efficiency Assumptions'!D:D,E3267,'Level of Efficiency Assumptions'!F:F,F3267,'Level of Efficiency Assumptions'!I:I,I3267)</f>
        <v>5</v>
      </c>
      <c r="K3267" s="383" t="s">
        <v>588</v>
      </c>
      <c r="L3267" s="257" t="s">
        <v>66</v>
      </c>
      <c r="M3267" s="879">
        <f>Q3269+Q3270</f>
        <v>0</v>
      </c>
      <c r="N3267" s="880">
        <f>IFERROR(M3267/M3268,"-")</f>
        <v>0</v>
      </c>
      <c r="O3267" s="881">
        <f>SUMIFS('Data Entry'!T:T,'Data Entry'!K:K,G3267)</f>
        <v>0</v>
      </c>
      <c r="P3267" s="274"/>
      <c r="Q3267" s="895">
        <v>1</v>
      </c>
      <c r="R3267" s="114"/>
      <c r="S3267" s="884"/>
      <c r="T3267" s="270"/>
      <c r="U3267" s="270"/>
      <c r="V3267" s="270"/>
      <c r="W3267" s="270"/>
      <c r="X3267" s="270"/>
      <c r="Y3267" s="270"/>
      <c r="Z3267" s="270"/>
      <c r="AA3267" s="270"/>
    </row>
    <row r="3268" spans="3:27" x14ac:dyDescent="0.3">
      <c r="C3268" s="450"/>
      <c r="D3268" s="182"/>
      <c r="E3268" s="182"/>
      <c r="F3268" s="182"/>
      <c r="G3268" s="450" t="str">
        <f t="shared" si="155"/>
        <v>--</v>
      </c>
      <c r="H3268" s="182"/>
      <c r="I3268" s="440"/>
      <c r="J3268" s="892"/>
      <c r="K3268" s="259"/>
      <c r="L3268" s="259" t="s">
        <v>46</v>
      </c>
      <c r="M3268" s="893">
        <f>SUM(M3265:M3267)</f>
        <v>1</v>
      </c>
      <c r="N3268" s="894"/>
      <c r="O3268" s="894">
        <f>SUM(O3265:O3267)</f>
        <v>0</v>
      </c>
      <c r="P3268" s="274"/>
      <c r="Q3268" s="895">
        <v>0</v>
      </c>
      <c r="R3268" s="114"/>
      <c r="S3268" s="884"/>
      <c r="T3268" s="270"/>
      <c r="U3268" s="270"/>
      <c r="V3268" s="270"/>
      <c r="W3268" s="270"/>
      <c r="X3268" s="270"/>
      <c r="Y3268" s="270"/>
      <c r="Z3268" s="270"/>
      <c r="AA3268" s="270"/>
    </row>
    <row r="3269" spans="3:27" x14ac:dyDescent="0.3">
      <c r="C3269" s="450"/>
      <c r="D3269" s="182"/>
      <c r="E3269" s="182"/>
      <c r="F3269" s="182"/>
      <c r="G3269" s="450" t="str">
        <f t="shared" si="155"/>
        <v>--</v>
      </c>
      <c r="H3269" s="182"/>
      <c r="I3269" s="892"/>
      <c r="J3269" s="288"/>
      <c r="K3269" s="182"/>
      <c r="L3269" s="182"/>
      <c r="M3269" s="270"/>
      <c r="N3269" s="892"/>
      <c r="O3269" s="892"/>
      <c r="P3269" s="275"/>
      <c r="Q3269" s="895">
        <v>0</v>
      </c>
      <c r="R3269" s="114"/>
      <c r="S3269" s="884"/>
      <c r="T3269" s="270"/>
      <c r="U3269" s="270"/>
      <c r="V3269" s="270"/>
      <c r="W3269" s="270"/>
      <c r="X3269" s="270"/>
      <c r="Y3269" s="270"/>
      <c r="Z3269" s="270"/>
      <c r="AA3269" s="270"/>
    </row>
    <row r="3270" spans="3:27" x14ac:dyDescent="0.3">
      <c r="C3270" s="450"/>
      <c r="D3270" s="182"/>
      <c r="E3270" s="182"/>
      <c r="F3270" s="182"/>
      <c r="G3270" s="450" t="str">
        <f t="shared" si="155"/>
        <v>--</v>
      </c>
      <c r="H3270" s="182"/>
      <c r="I3270" s="892"/>
      <c r="J3270" s="288"/>
      <c r="K3270" s="182"/>
      <c r="L3270" s="182"/>
      <c r="M3270" s="270"/>
      <c r="N3270" s="892"/>
      <c r="O3270" s="892"/>
      <c r="P3270" s="269"/>
      <c r="Q3270" s="895">
        <v>0</v>
      </c>
      <c r="R3270" s="114"/>
      <c r="S3270" s="884"/>
      <c r="T3270" s="270"/>
      <c r="U3270" s="270"/>
      <c r="V3270" s="270"/>
      <c r="W3270" s="270"/>
      <c r="X3270" s="270"/>
      <c r="Y3270" s="270"/>
      <c r="Z3270" s="270"/>
      <c r="AA3270" s="270"/>
    </row>
    <row r="3271" spans="3:27" x14ac:dyDescent="0.3">
      <c r="C3271" s="450"/>
      <c r="D3271" s="182"/>
      <c r="E3271" s="182"/>
      <c r="F3271" s="182"/>
      <c r="G3271" s="450" t="str">
        <f t="shared" si="155"/>
        <v>--</v>
      </c>
      <c r="H3271" s="182"/>
      <c r="I3271" s="892"/>
      <c r="J3271" s="288"/>
      <c r="K3271" s="182"/>
      <c r="L3271" s="182"/>
      <c r="M3271" s="270"/>
      <c r="N3271" s="892"/>
      <c r="O3271" s="892"/>
      <c r="P3271" s="263" t="s">
        <v>46</v>
      </c>
      <c r="Q3271" s="897">
        <f>SUM(Q3265:Q3270)</f>
        <v>1</v>
      </c>
      <c r="R3271" s="899"/>
      <c r="S3271" s="900"/>
      <c r="T3271" s="270"/>
      <c r="U3271" s="270"/>
      <c r="V3271" s="270"/>
      <c r="W3271" s="270"/>
      <c r="X3271" s="270"/>
      <c r="Y3271" s="270"/>
      <c r="Z3271" s="270"/>
      <c r="AA3271" s="270"/>
    </row>
    <row r="3272" spans="3:27" x14ac:dyDescent="0.3">
      <c r="C3272" s="450"/>
      <c r="D3272" s="182"/>
      <c r="E3272" s="182"/>
      <c r="F3272" s="182"/>
      <c r="G3272" s="450" t="str">
        <f t="shared" si="155"/>
        <v>--</v>
      </c>
      <c r="H3272" s="182"/>
      <c r="I3272" s="892"/>
      <c r="J3272" s="288"/>
      <c r="K3272" s="182"/>
      <c r="L3272" s="270"/>
      <c r="M3272" s="270"/>
      <c r="N3272" s="923"/>
      <c r="O3272" s="923"/>
      <c r="P3272" s="270"/>
      <c r="Q3272" s="270"/>
      <c r="R3272" s="270"/>
      <c r="S3272" s="270"/>
      <c r="T3272" s="270"/>
      <c r="U3272" s="270"/>
      <c r="V3272" s="270"/>
      <c r="W3272" s="270"/>
      <c r="X3272" s="270"/>
      <c r="Y3272" s="270"/>
      <c r="Z3272" s="270"/>
      <c r="AA3272" s="270"/>
    </row>
    <row r="3273" spans="3:27" ht="15" thickBot="1" x14ac:dyDescent="0.35">
      <c r="C3273" s="450"/>
      <c r="D3273" s="182"/>
      <c r="E3273" s="182"/>
      <c r="F3273" s="182"/>
      <c r="G3273" s="450" t="str">
        <f t="shared" si="155"/>
        <v>--</v>
      </c>
      <c r="H3273" s="182"/>
      <c r="I3273" s="892"/>
      <c r="J3273" s="892"/>
      <c r="K3273" s="182"/>
      <c r="L3273" s="182"/>
      <c r="M3273" s="901" t="s">
        <v>155</v>
      </c>
      <c r="N3273" s="870" t="s">
        <v>188</v>
      </c>
      <c r="O3273" s="870"/>
      <c r="P3273" s="276" t="s">
        <v>52</v>
      </c>
      <c r="Q3273" s="871" t="s">
        <v>155</v>
      </c>
      <c r="R3273" s="902"/>
      <c r="S3273" s="874"/>
      <c r="T3273" s="270"/>
      <c r="U3273" s="270"/>
      <c r="V3273" s="270"/>
      <c r="W3273" s="270"/>
      <c r="X3273" s="270"/>
      <c r="Y3273" s="270"/>
      <c r="Z3273" s="270"/>
      <c r="AA3273" s="270"/>
    </row>
    <row r="3274" spans="3:27" ht="15" thickBot="1" x14ac:dyDescent="0.35">
      <c r="C3274" s="566" t="s">
        <v>109</v>
      </c>
      <c r="D3274" s="875" t="str">
        <f>VLOOKUP(C3274,'Airport Mapping'!$C$5:$D$39,2,FALSE)</f>
        <v xml:space="preserve"> </v>
      </c>
      <c r="E3274" s="567" t="s">
        <v>8</v>
      </c>
      <c r="F3274" s="567" t="s">
        <v>52</v>
      </c>
      <c r="G3274" s="450" t="str">
        <f t="shared" si="155"/>
        <v>Tenant D-Other-Other 1</v>
      </c>
      <c r="H3274" s="567" t="s">
        <v>362</v>
      </c>
      <c r="I3274" s="877" t="s">
        <v>64</v>
      </c>
      <c r="J3274" s="878">
        <f>SUMIFS('Level of Efficiency Assumptions'!J:J,'Level of Efficiency Assumptions'!D:D,E3274,'Level of Efficiency Assumptions'!F:F,F3274,'Level of Efficiency Assumptions'!I:I,I3274)</f>
        <v>10</v>
      </c>
      <c r="K3274" s="383" t="s">
        <v>588</v>
      </c>
      <c r="L3274" s="253" t="s">
        <v>64</v>
      </c>
      <c r="M3274" s="879">
        <f>SUM(Q3274:Q3274)</f>
        <v>0</v>
      </c>
      <c r="N3274" s="880">
        <f>IFERROR(M3274/M3277,"-")</f>
        <v>0</v>
      </c>
      <c r="O3274" s="881">
        <f>SUMIFS('Data Entry'!R:R,'Data Entry'!K:K,G3274)</f>
        <v>0</v>
      </c>
      <c r="P3274" s="272" t="s">
        <v>129</v>
      </c>
      <c r="Q3274" s="895">
        <v>0</v>
      </c>
      <c r="R3274" s="114"/>
      <c r="S3274" s="884"/>
      <c r="T3274" s="270"/>
      <c r="U3274" s="270"/>
      <c r="V3274" s="270"/>
      <c r="W3274" s="270"/>
      <c r="X3274" s="270"/>
      <c r="Y3274" s="270"/>
      <c r="Z3274" s="270"/>
      <c r="AA3274" s="270"/>
    </row>
    <row r="3275" spans="3:27" ht="15" thickBot="1" x14ac:dyDescent="0.35">
      <c r="C3275" s="494" t="s">
        <v>109</v>
      </c>
      <c r="D3275" s="577"/>
      <c r="E3275" s="577" t="s">
        <v>8</v>
      </c>
      <c r="F3275" s="577" t="s">
        <v>52</v>
      </c>
      <c r="G3275" s="450" t="str">
        <f t="shared" si="155"/>
        <v>Tenant D-Other-Other 1</v>
      </c>
      <c r="H3275" s="577"/>
      <c r="I3275" s="887" t="s">
        <v>65</v>
      </c>
      <c r="J3275" s="878">
        <f>SUMIFS('Level of Efficiency Assumptions'!J:J,'Level of Efficiency Assumptions'!D:D,E3275,'Level of Efficiency Assumptions'!F:F,F3275,'Level of Efficiency Assumptions'!I:I,I3275)</f>
        <v>7.5</v>
      </c>
      <c r="K3275" s="383" t="s">
        <v>588</v>
      </c>
      <c r="L3275" s="255" t="s">
        <v>65</v>
      </c>
      <c r="M3275" s="879">
        <f t="shared" ref="M3275:M3276" si="156">SUM(Q3275:Q3275)</f>
        <v>1</v>
      </c>
      <c r="N3275" s="880">
        <f>IFERROR(M3275/M3277,"-")</f>
        <v>1</v>
      </c>
      <c r="O3275" s="881">
        <f>SUMIFS('Data Entry'!S:S,'Data Entry'!K:K,G3275)</f>
        <v>0</v>
      </c>
      <c r="P3275" s="274" t="s">
        <v>233</v>
      </c>
      <c r="Q3275" s="895">
        <v>1</v>
      </c>
      <c r="R3275" s="114"/>
      <c r="S3275" s="884"/>
      <c r="T3275" s="270"/>
      <c r="U3275" s="270"/>
      <c r="V3275" s="270"/>
      <c r="W3275" s="270"/>
      <c r="X3275" s="270"/>
      <c r="Y3275" s="270"/>
      <c r="Z3275" s="270"/>
      <c r="AA3275" s="270"/>
    </row>
    <row r="3276" spans="3:27" ht="15" thickBot="1" x14ac:dyDescent="0.35">
      <c r="C3276" s="501" t="s">
        <v>109</v>
      </c>
      <c r="D3276" s="116"/>
      <c r="E3276" s="116" t="s">
        <v>8</v>
      </c>
      <c r="F3276" s="116" t="s">
        <v>52</v>
      </c>
      <c r="G3276" s="450" t="str">
        <f t="shared" si="155"/>
        <v>Tenant D-Other-Other 1</v>
      </c>
      <c r="H3276" s="116"/>
      <c r="I3276" s="889" t="s">
        <v>66</v>
      </c>
      <c r="J3276" s="890">
        <f>SUMIFS('Level of Efficiency Assumptions'!J:J,'Level of Efficiency Assumptions'!D:D,E3276,'Level of Efficiency Assumptions'!F:F,F3276,'Level of Efficiency Assumptions'!I:I,I3276)</f>
        <v>5</v>
      </c>
      <c r="K3276" s="383" t="s">
        <v>588</v>
      </c>
      <c r="L3276" s="257" t="s">
        <v>66</v>
      </c>
      <c r="M3276" s="879">
        <f t="shared" si="156"/>
        <v>0</v>
      </c>
      <c r="N3276" s="880">
        <f>IFERROR(M3276/M3277,"-")</f>
        <v>0</v>
      </c>
      <c r="O3276" s="881">
        <f>SUMIFS('Data Entry'!T:T,'Data Entry'!K:K,G3276)</f>
        <v>0</v>
      </c>
      <c r="P3276" s="269" t="s">
        <v>234</v>
      </c>
      <c r="Q3276" s="895">
        <v>0</v>
      </c>
      <c r="R3276" s="114"/>
      <c r="S3276" s="884"/>
      <c r="T3276" s="270"/>
      <c r="U3276" s="270"/>
      <c r="V3276" s="270"/>
      <c r="W3276" s="270"/>
      <c r="X3276" s="270"/>
      <c r="Y3276" s="270"/>
      <c r="Z3276" s="270"/>
      <c r="AA3276" s="270"/>
    </row>
    <row r="3277" spans="3:27" x14ac:dyDescent="0.3">
      <c r="C3277" s="450"/>
      <c r="D3277" s="182"/>
      <c r="E3277" s="182"/>
      <c r="F3277" s="182"/>
      <c r="G3277" s="450" t="str">
        <f t="shared" si="155"/>
        <v>--</v>
      </c>
      <c r="H3277" s="182"/>
      <c r="I3277" s="440"/>
      <c r="J3277" s="892"/>
      <c r="K3277" s="259"/>
      <c r="L3277" s="259" t="s">
        <v>46</v>
      </c>
      <c r="M3277" s="893">
        <f>SUM(M3274:M3276)</f>
        <v>1</v>
      </c>
      <c r="N3277" s="894"/>
      <c r="O3277" s="894">
        <f>SUM(O3274:O3276)</f>
        <v>0</v>
      </c>
      <c r="P3277" s="263" t="s">
        <v>46</v>
      </c>
      <c r="Q3277" s="897">
        <f>SUM(Q3274:Q3276)</f>
        <v>1</v>
      </c>
      <c r="R3277" s="899"/>
      <c r="S3277" s="900"/>
      <c r="T3277" s="270"/>
      <c r="U3277" s="270"/>
      <c r="V3277" s="270"/>
      <c r="W3277" s="270"/>
      <c r="X3277" s="270"/>
      <c r="Y3277" s="270"/>
      <c r="Z3277" s="270"/>
      <c r="AA3277" s="270"/>
    </row>
    <row r="3278" spans="3:27" x14ac:dyDescent="0.3">
      <c r="C3278" s="450"/>
      <c r="D3278" s="182"/>
      <c r="E3278" s="182"/>
      <c r="F3278" s="182"/>
      <c r="G3278" s="450" t="str">
        <f t="shared" si="155"/>
        <v>--</v>
      </c>
      <c r="H3278" s="182"/>
      <c r="I3278" s="892"/>
      <c r="J3278" s="288"/>
      <c r="K3278" s="182"/>
      <c r="L3278" s="182"/>
      <c r="M3278" s="270"/>
      <c r="N3278" s="892"/>
      <c r="O3278" s="892"/>
      <c r="P3278" s="270"/>
      <c r="Q3278" s="270"/>
      <c r="R3278" s="270"/>
      <c r="S3278" s="270"/>
      <c r="T3278" s="270"/>
      <c r="U3278" s="270"/>
      <c r="V3278" s="270"/>
      <c r="W3278" s="270"/>
      <c r="X3278" s="270"/>
      <c r="Y3278" s="270"/>
      <c r="Z3278" s="270"/>
      <c r="AA3278" s="270"/>
    </row>
    <row r="3279" spans="3:27" ht="15" thickBot="1" x14ac:dyDescent="0.35">
      <c r="C3279" s="450"/>
      <c r="D3279" s="182"/>
      <c r="E3279" s="182"/>
      <c r="F3279" s="182"/>
      <c r="G3279" s="450" t="str">
        <f t="shared" si="155"/>
        <v>--</v>
      </c>
      <c r="H3279" s="182"/>
      <c r="I3279" s="892"/>
      <c r="J3279" s="892"/>
      <c r="K3279" s="182"/>
      <c r="L3279" s="182"/>
      <c r="M3279" s="901" t="s">
        <v>155</v>
      </c>
      <c r="N3279" s="870" t="s">
        <v>188</v>
      </c>
      <c r="O3279" s="870"/>
      <c r="P3279" s="276" t="s">
        <v>53</v>
      </c>
      <c r="Q3279" s="871" t="s">
        <v>155</v>
      </c>
      <c r="R3279" s="902"/>
      <c r="S3279" s="874"/>
      <c r="T3279" s="270"/>
      <c r="U3279" s="270"/>
      <c r="V3279" s="270"/>
      <c r="W3279" s="270"/>
      <c r="X3279" s="270"/>
      <c r="Y3279" s="270"/>
      <c r="Z3279" s="270"/>
      <c r="AA3279" s="270"/>
    </row>
    <row r="3280" spans="3:27" ht="15" thickBot="1" x14ac:dyDescent="0.35">
      <c r="C3280" s="566" t="s">
        <v>109</v>
      </c>
      <c r="D3280" s="875" t="str">
        <f>VLOOKUP(C3280,'Airport Mapping'!$C$5:$D$39,2,FALSE)</f>
        <v xml:space="preserve"> </v>
      </c>
      <c r="E3280" s="567" t="s">
        <v>8</v>
      </c>
      <c r="F3280" s="567" t="s">
        <v>53</v>
      </c>
      <c r="G3280" s="450" t="str">
        <f t="shared" si="155"/>
        <v>Tenant D-Other-Other 2</v>
      </c>
      <c r="H3280" s="567" t="s">
        <v>363</v>
      </c>
      <c r="I3280" s="877" t="s">
        <v>64</v>
      </c>
      <c r="J3280" s="878">
        <f>SUMIFS('Level of Efficiency Assumptions'!J:J,'Level of Efficiency Assumptions'!D:D,E3280,'Level of Efficiency Assumptions'!F:F,F3280,'Level of Efficiency Assumptions'!I:I,I3280)</f>
        <v>10</v>
      </c>
      <c r="K3280" s="383" t="s">
        <v>588</v>
      </c>
      <c r="L3280" s="253" t="s">
        <v>64</v>
      </c>
      <c r="M3280" s="879">
        <f>SUM(Q3280:Q3280)</f>
        <v>0</v>
      </c>
      <c r="N3280" s="880">
        <f>IFERROR(M3280/M3283,"-")</f>
        <v>0</v>
      </c>
      <c r="O3280" s="881">
        <f>SUMIFS('Data Entry'!R:R,'Data Entry'!K:K,G3280)</f>
        <v>0</v>
      </c>
      <c r="P3280" s="272" t="s">
        <v>129</v>
      </c>
      <c r="Q3280" s="895">
        <v>0</v>
      </c>
      <c r="R3280" s="114"/>
      <c r="S3280" s="884"/>
      <c r="T3280" s="270"/>
      <c r="U3280" s="270"/>
      <c r="V3280" s="270"/>
      <c r="W3280" s="270"/>
      <c r="X3280" s="270"/>
      <c r="Y3280" s="270"/>
      <c r="Z3280" s="270"/>
      <c r="AA3280" s="270"/>
    </row>
    <row r="3281" spans="3:27" ht="15" thickBot="1" x14ac:dyDescent="0.35">
      <c r="C3281" s="494" t="s">
        <v>109</v>
      </c>
      <c r="D3281" s="577"/>
      <c r="E3281" s="577" t="s">
        <v>8</v>
      </c>
      <c r="F3281" s="577" t="s">
        <v>53</v>
      </c>
      <c r="G3281" s="450" t="str">
        <f t="shared" si="155"/>
        <v>Tenant D-Other-Other 2</v>
      </c>
      <c r="H3281" s="577"/>
      <c r="I3281" s="887" t="s">
        <v>65</v>
      </c>
      <c r="J3281" s="878">
        <f>SUMIFS('Level of Efficiency Assumptions'!J:J,'Level of Efficiency Assumptions'!D:D,E3281,'Level of Efficiency Assumptions'!F:F,F3281,'Level of Efficiency Assumptions'!I:I,I3281)</f>
        <v>7.5</v>
      </c>
      <c r="K3281" s="383" t="s">
        <v>588</v>
      </c>
      <c r="L3281" s="255" t="s">
        <v>65</v>
      </c>
      <c r="M3281" s="879">
        <f t="shared" ref="M3281:M3282" si="157">SUM(Q3281:Q3281)</f>
        <v>1</v>
      </c>
      <c r="N3281" s="880">
        <f>IFERROR(M3281/M3283,"-")</f>
        <v>1</v>
      </c>
      <c r="O3281" s="881">
        <f>SUMIFS('Data Entry'!S:S,'Data Entry'!K:K,G3281)</f>
        <v>0</v>
      </c>
      <c r="P3281" s="274" t="s">
        <v>233</v>
      </c>
      <c r="Q3281" s="895">
        <v>1</v>
      </c>
      <c r="R3281" s="114"/>
      <c r="S3281" s="884"/>
      <c r="T3281" s="270"/>
      <c r="U3281" s="270"/>
      <c r="V3281" s="270"/>
      <c r="W3281" s="270"/>
      <c r="X3281" s="270"/>
      <c r="Y3281" s="270"/>
      <c r="Z3281" s="270"/>
      <c r="AA3281" s="270"/>
    </row>
    <row r="3282" spans="3:27" ht="15" thickBot="1" x14ac:dyDescent="0.35">
      <c r="C3282" s="501" t="s">
        <v>109</v>
      </c>
      <c r="D3282" s="116"/>
      <c r="E3282" s="116" t="s">
        <v>8</v>
      </c>
      <c r="F3282" s="116" t="s">
        <v>53</v>
      </c>
      <c r="G3282" s="450" t="str">
        <f t="shared" si="155"/>
        <v>Tenant D-Other-Other 2</v>
      </c>
      <c r="H3282" s="116"/>
      <c r="I3282" s="889" t="s">
        <v>66</v>
      </c>
      <c r="J3282" s="890">
        <f>SUMIFS('Level of Efficiency Assumptions'!J:J,'Level of Efficiency Assumptions'!D:D,E3282,'Level of Efficiency Assumptions'!F:F,F3282,'Level of Efficiency Assumptions'!I:I,I3282)</f>
        <v>5</v>
      </c>
      <c r="K3282" s="383" t="s">
        <v>588</v>
      </c>
      <c r="L3282" s="257" t="s">
        <v>66</v>
      </c>
      <c r="M3282" s="879">
        <f t="shared" si="157"/>
        <v>0</v>
      </c>
      <c r="N3282" s="880">
        <f>IFERROR(M3282/M3283,"-")</f>
        <v>0</v>
      </c>
      <c r="O3282" s="881">
        <f>SUMIFS('Data Entry'!T:T,'Data Entry'!K:K,G3282)</f>
        <v>0</v>
      </c>
      <c r="P3282" s="269" t="s">
        <v>234</v>
      </c>
      <c r="Q3282" s="895">
        <v>0</v>
      </c>
      <c r="R3282" s="114"/>
      <c r="S3282" s="884"/>
      <c r="T3282" s="270"/>
      <c r="U3282" s="270"/>
      <c r="V3282" s="270"/>
      <c r="W3282" s="270"/>
      <c r="X3282" s="270"/>
      <c r="Y3282" s="270"/>
      <c r="Z3282" s="270"/>
      <c r="AA3282" s="270"/>
    </row>
    <row r="3283" spans="3:27" x14ac:dyDescent="0.3">
      <c r="C3283" s="450"/>
      <c r="D3283" s="182"/>
      <c r="E3283" s="182"/>
      <c r="F3283" s="182"/>
      <c r="G3283" s="450" t="str">
        <f t="shared" ref="G3283:G3343" si="158">C3283&amp;"-"&amp;E3283&amp;"-"&amp;F3283</f>
        <v>--</v>
      </c>
      <c r="H3283" s="182"/>
      <c r="I3283" s="440"/>
      <c r="J3283" s="892"/>
      <c r="K3283" s="259"/>
      <c r="L3283" s="259" t="s">
        <v>46</v>
      </c>
      <c r="M3283" s="893">
        <f>SUM(M3280:M3282)</f>
        <v>1</v>
      </c>
      <c r="N3283" s="894"/>
      <c r="O3283" s="894">
        <f>SUM(O3280:O3282)</f>
        <v>0</v>
      </c>
      <c r="P3283" s="263" t="s">
        <v>46</v>
      </c>
      <c r="Q3283" s="897">
        <f>SUM(Q3280:Q3282)</f>
        <v>1</v>
      </c>
      <c r="R3283" s="899"/>
      <c r="S3283" s="900"/>
      <c r="T3283" s="270"/>
      <c r="U3283" s="270"/>
      <c r="V3283" s="270"/>
      <c r="W3283" s="270"/>
      <c r="X3283" s="270"/>
      <c r="Y3283" s="270"/>
      <c r="Z3283" s="270"/>
      <c r="AA3283" s="270"/>
    </row>
    <row r="3284" spans="3:27" x14ac:dyDescent="0.3">
      <c r="C3284" s="450"/>
      <c r="D3284" s="182"/>
      <c r="E3284" s="182"/>
      <c r="F3284" s="182"/>
      <c r="G3284" s="450" t="str">
        <f t="shared" si="158"/>
        <v>--</v>
      </c>
      <c r="H3284" s="182"/>
      <c r="I3284" s="892"/>
      <c r="J3284" s="288"/>
      <c r="K3284" s="182"/>
      <c r="L3284" s="182"/>
      <c r="M3284" s="270"/>
      <c r="N3284" s="892"/>
      <c r="O3284" s="892"/>
      <c r="P3284" s="270"/>
      <c r="Q3284" s="270"/>
      <c r="R3284" s="270"/>
      <c r="S3284" s="270"/>
      <c r="T3284" s="270"/>
      <c r="U3284" s="270"/>
      <c r="V3284" s="270"/>
      <c r="W3284" s="270"/>
      <c r="X3284" s="270"/>
      <c r="Y3284" s="270"/>
      <c r="Z3284" s="270"/>
      <c r="AA3284" s="270"/>
    </row>
    <row r="3285" spans="3:27" ht="15" thickBot="1" x14ac:dyDescent="0.35">
      <c r="C3285" s="450"/>
      <c r="D3285" s="182"/>
      <c r="E3285" s="182"/>
      <c r="F3285" s="182"/>
      <c r="G3285" s="450" t="str">
        <f t="shared" si="158"/>
        <v>--</v>
      </c>
      <c r="H3285" s="182"/>
      <c r="I3285" s="892"/>
      <c r="J3285" s="892"/>
      <c r="K3285" s="182"/>
      <c r="L3285" s="182"/>
      <c r="M3285" s="901" t="s">
        <v>155</v>
      </c>
      <c r="N3285" s="870" t="s">
        <v>188</v>
      </c>
      <c r="O3285" s="870"/>
      <c r="P3285" s="276" t="s">
        <v>54</v>
      </c>
      <c r="Q3285" s="871" t="s">
        <v>155</v>
      </c>
      <c r="R3285" s="902"/>
      <c r="S3285" s="874"/>
      <c r="T3285" s="270"/>
      <c r="U3285" s="270"/>
      <c r="V3285" s="270"/>
      <c r="W3285" s="270"/>
      <c r="X3285" s="270"/>
      <c r="Y3285" s="270"/>
      <c r="Z3285" s="270"/>
      <c r="AA3285" s="270"/>
    </row>
    <row r="3286" spans="3:27" ht="15" thickBot="1" x14ac:dyDescent="0.35">
      <c r="C3286" s="566" t="s">
        <v>109</v>
      </c>
      <c r="D3286" s="875" t="str">
        <f>VLOOKUP(C3286,'Airport Mapping'!$C$5:$D$39,2,FALSE)</f>
        <v xml:space="preserve"> </v>
      </c>
      <c r="E3286" s="567" t="s">
        <v>8</v>
      </c>
      <c r="F3286" s="567" t="s">
        <v>54</v>
      </c>
      <c r="G3286" s="450" t="str">
        <f t="shared" si="158"/>
        <v>Tenant D-Other-Other 3</v>
      </c>
      <c r="H3286" s="567" t="s">
        <v>364</v>
      </c>
      <c r="I3286" s="877" t="s">
        <v>64</v>
      </c>
      <c r="J3286" s="878">
        <f>SUMIFS('Level of Efficiency Assumptions'!J:J,'Level of Efficiency Assumptions'!D:D,E3286,'Level of Efficiency Assumptions'!F:F,F3286,'Level of Efficiency Assumptions'!I:I,I3286)</f>
        <v>10</v>
      </c>
      <c r="K3286" s="383" t="s">
        <v>588</v>
      </c>
      <c r="L3286" s="253" t="s">
        <v>64</v>
      </c>
      <c r="M3286" s="879">
        <f>SUM(Q3286:Q3286)</f>
        <v>0</v>
      </c>
      <c r="N3286" s="880">
        <f>IFERROR(M3286/M3289,"-")</f>
        <v>0</v>
      </c>
      <c r="O3286" s="881">
        <f>SUMIFS('Data Entry'!R:R,'Data Entry'!K:K,G3286)</f>
        <v>0</v>
      </c>
      <c r="P3286" s="272" t="s">
        <v>129</v>
      </c>
      <c r="Q3286" s="895">
        <v>0</v>
      </c>
      <c r="R3286" s="114"/>
      <c r="S3286" s="884"/>
      <c r="T3286" s="270"/>
      <c r="U3286" s="270"/>
      <c r="V3286" s="270"/>
      <c r="W3286" s="270"/>
      <c r="X3286" s="270"/>
      <c r="Y3286" s="270"/>
      <c r="Z3286" s="270"/>
      <c r="AA3286" s="270"/>
    </row>
    <row r="3287" spans="3:27" ht="15" thickBot="1" x14ac:dyDescent="0.35">
      <c r="C3287" s="494" t="s">
        <v>109</v>
      </c>
      <c r="D3287" s="577"/>
      <c r="E3287" s="577" t="s">
        <v>8</v>
      </c>
      <c r="F3287" s="577" t="s">
        <v>54</v>
      </c>
      <c r="G3287" s="450" t="str">
        <f t="shared" si="158"/>
        <v>Tenant D-Other-Other 3</v>
      </c>
      <c r="H3287" s="577"/>
      <c r="I3287" s="887" t="s">
        <v>65</v>
      </c>
      <c r="J3287" s="878">
        <f>SUMIFS('Level of Efficiency Assumptions'!J:J,'Level of Efficiency Assumptions'!D:D,E3287,'Level of Efficiency Assumptions'!F:F,F3287,'Level of Efficiency Assumptions'!I:I,I3287)</f>
        <v>7.5</v>
      </c>
      <c r="K3287" s="383" t="s">
        <v>588</v>
      </c>
      <c r="L3287" s="255" t="s">
        <v>65</v>
      </c>
      <c r="M3287" s="879">
        <f t="shared" ref="M3287:M3288" si="159">SUM(Q3287:Q3287)</f>
        <v>1</v>
      </c>
      <c r="N3287" s="880">
        <f>IFERROR(M3287/M3289,"-")</f>
        <v>1</v>
      </c>
      <c r="O3287" s="881">
        <f>SUMIFS('Data Entry'!S:S,'Data Entry'!K:K,G3287)</f>
        <v>0</v>
      </c>
      <c r="P3287" s="274" t="s">
        <v>233</v>
      </c>
      <c r="Q3287" s="895">
        <v>1</v>
      </c>
      <c r="R3287" s="114"/>
      <c r="S3287" s="884"/>
      <c r="T3287" s="270"/>
      <c r="U3287" s="270"/>
      <c r="V3287" s="270"/>
      <c r="W3287" s="270"/>
      <c r="X3287" s="270"/>
      <c r="Y3287" s="270"/>
      <c r="Z3287" s="270"/>
      <c r="AA3287" s="270"/>
    </row>
    <row r="3288" spans="3:27" ht="15" thickBot="1" x14ac:dyDescent="0.35">
      <c r="C3288" s="501" t="s">
        <v>109</v>
      </c>
      <c r="D3288" s="116"/>
      <c r="E3288" s="116" t="s">
        <v>8</v>
      </c>
      <c r="F3288" s="116" t="s">
        <v>54</v>
      </c>
      <c r="G3288" s="450" t="str">
        <f t="shared" si="158"/>
        <v>Tenant D-Other-Other 3</v>
      </c>
      <c r="H3288" s="116"/>
      <c r="I3288" s="889" t="s">
        <v>66</v>
      </c>
      <c r="J3288" s="890">
        <f>SUMIFS('Level of Efficiency Assumptions'!J:J,'Level of Efficiency Assumptions'!D:D,E3288,'Level of Efficiency Assumptions'!F:F,F3288,'Level of Efficiency Assumptions'!I:I,I3288)</f>
        <v>5</v>
      </c>
      <c r="K3288" s="383" t="s">
        <v>588</v>
      </c>
      <c r="L3288" s="257" t="s">
        <v>66</v>
      </c>
      <c r="M3288" s="879">
        <f t="shared" si="159"/>
        <v>0</v>
      </c>
      <c r="N3288" s="880">
        <f>IFERROR(M3288/M3289,"-")</f>
        <v>0</v>
      </c>
      <c r="O3288" s="881">
        <f>SUMIFS('Data Entry'!T:T,'Data Entry'!K:K,G3288)</f>
        <v>0</v>
      </c>
      <c r="P3288" s="269" t="s">
        <v>234</v>
      </c>
      <c r="Q3288" s="895">
        <v>0</v>
      </c>
      <c r="R3288" s="114"/>
      <c r="S3288" s="884"/>
      <c r="T3288" s="270"/>
      <c r="U3288" s="270"/>
      <c r="V3288" s="270"/>
      <c r="W3288" s="270"/>
      <c r="X3288" s="270"/>
      <c r="Y3288" s="270"/>
      <c r="Z3288" s="270"/>
      <c r="AA3288" s="270"/>
    </row>
    <row r="3289" spans="3:27" x14ac:dyDescent="0.3">
      <c r="C3289" s="450"/>
      <c r="D3289" s="182"/>
      <c r="E3289" s="182"/>
      <c r="F3289" s="182"/>
      <c r="G3289" s="450" t="str">
        <f t="shared" si="158"/>
        <v>--</v>
      </c>
      <c r="H3289" s="182"/>
      <c r="I3289" s="440"/>
      <c r="J3289" s="892"/>
      <c r="K3289" s="259"/>
      <c r="L3289" s="259" t="s">
        <v>46</v>
      </c>
      <c r="M3289" s="893">
        <f>SUM(M3286:M3288)</f>
        <v>1</v>
      </c>
      <c r="N3289" s="894"/>
      <c r="O3289" s="894">
        <f>SUM(O3286:O3288)</f>
        <v>0</v>
      </c>
      <c r="P3289" s="263" t="s">
        <v>46</v>
      </c>
      <c r="Q3289" s="897">
        <f>SUM(Q3286:Q3288)</f>
        <v>1</v>
      </c>
      <c r="R3289" s="899"/>
      <c r="S3289" s="900"/>
      <c r="T3289" s="270"/>
      <c r="U3289" s="270"/>
      <c r="V3289" s="270"/>
      <c r="W3289" s="270"/>
      <c r="X3289" s="270"/>
      <c r="Y3289" s="270"/>
      <c r="Z3289" s="270"/>
      <c r="AA3289" s="270"/>
    </row>
    <row r="3290" spans="3:27" ht="15" thickBot="1" x14ac:dyDescent="0.35">
      <c r="C3290" s="451"/>
      <c r="D3290" s="184"/>
      <c r="E3290" s="184"/>
      <c r="F3290" s="184"/>
      <c r="G3290" s="450" t="str">
        <f t="shared" si="158"/>
        <v>--</v>
      </c>
      <c r="H3290" s="184"/>
      <c r="I3290" s="184"/>
      <c r="J3290" s="184"/>
      <c r="K3290" s="184"/>
      <c r="L3290" s="184"/>
      <c r="M3290" s="924"/>
      <c r="N3290" s="281"/>
      <c r="O3290" s="925"/>
      <c r="P3290" s="278"/>
      <c r="Q3290" s="278"/>
      <c r="R3290" s="278"/>
      <c r="S3290" s="278"/>
      <c r="T3290" s="278"/>
      <c r="U3290" s="278"/>
      <c r="V3290" s="270"/>
      <c r="W3290" s="270"/>
      <c r="X3290" s="270"/>
      <c r="Y3290" s="270"/>
      <c r="Z3290" s="270"/>
      <c r="AA3290" s="270"/>
    </row>
    <row r="3291" spans="3:27" x14ac:dyDescent="0.3">
      <c r="C3291" s="450"/>
      <c r="D3291" s="182"/>
      <c r="E3291" s="182"/>
      <c r="F3291" s="182"/>
      <c r="G3291" s="450" t="str">
        <f t="shared" si="158"/>
        <v>--</v>
      </c>
      <c r="H3291" s="182"/>
      <c r="I3291" s="182"/>
      <c r="J3291" s="182"/>
      <c r="K3291" s="182"/>
      <c r="L3291" s="182"/>
      <c r="M3291" s="181"/>
      <c r="N3291" s="892"/>
      <c r="O3291" s="440"/>
      <c r="P3291" s="270"/>
      <c r="Q3291" s="270"/>
      <c r="R3291" s="270"/>
      <c r="S3291" s="270"/>
      <c r="T3291" s="270"/>
      <c r="U3291" s="270"/>
      <c r="V3291" s="270"/>
      <c r="W3291" s="270"/>
      <c r="X3291" s="270"/>
      <c r="Y3291" s="270"/>
      <c r="Z3291" s="270"/>
      <c r="AA3291" s="270"/>
    </row>
    <row r="3292" spans="3:27" ht="15" thickBot="1" x14ac:dyDescent="0.35">
      <c r="C3292" s="450"/>
      <c r="D3292" s="182"/>
      <c r="E3292" s="182"/>
      <c r="F3292" s="182"/>
      <c r="G3292" s="450" t="str">
        <f t="shared" si="158"/>
        <v>--</v>
      </c>
      <c r="H3292" s="182"/>
      <c r="I3292" s="892"/>
      <c r="J3292" s="892"/>
      <c r="K3292" s="182"/>
      <c r="L3292" s="182"/>
      <c r="M3292" s="901" t="s">
        <v>155</v>
      </c>
      <c r="N3292" s="870" t="s">
        <v>188</v>
      </c>
      <c r="O3292" s="870"/>
      <c r="P3292" s="252" t="s">
        <v>158</v>
      </c>
      <c r="Q3292" s="871" t="s">
        <v>155</v>
      </c>
      <c r="R3292" s="872" t="s">
        <v>168</v>
      </c>
      <c r="S3292" s="872" t="s">
        <v>169</v>
      </c>
      <c r="T3292" s="873"/>
      <c r="U3292" s="874"/>
      <c r="V3292" s="270"/>
      <c r="W3292" s="270"/>
      <c r="X3292" s="270"/>
      <c r="Y3292" s="114"/>
      <c r="Z3292" s="270"/>
      <c r="AA3292" s="270"/>
    </row>
    <row r="3293" spans="3:27" ht="15" thickBot="1" x14ac:dyDescent="0.35">
      <c r="C3293" s="566" t="s">
        <v>110</v>
      </c>
      <c r="D3293" s="875" t="str">
        <f>VLOOKUP(C3293,'Airport Mapping'!$C$5:$D$39,2,FALSE)</f>
        <v xml:space="preserve"> </v>
      </c>
      <c r="E3293" s="567" t="s">
        <v>37</v>
      </c>
      <c r="F3293" s="567" t="s">
        <v>2</v>
      </c>
      <c r="G3293" s="450" t="str">
        <f t="shared" si="158"/>
        <v>Tenant E-Restrooms-Toilets</v>
      </c>
      <c r="H3293" s="567" t="s">
        <v>6</v>
      </c>
      <c r="I3293" s="877" t="s">
        <v>64</v>
      </c>
      <c r="J3293" s="878">
        <f>SUMIFS('Level of Efficiency Assumptions'!J:J,'Level of Efficiency Assumptions'!D:D,E3293,'Level of Efficiency Assumptions'!F:F,F3293,'Level of Efficiency Assumptions'!I:I,I3293)</f>
        <v>3.5</v>
      </c>
      <c r="K3293" s="383" t="s">
        <v>68</v>
      </c>
      <c r="L3293" s="253" t="s">
        <v>64</v>
      </c>
      <c r="M3293" s="879">
        <f>Q3293+Q3299</f>
        <v>0</v>
      </c>
      <c r="N3293" s="880">
        <f>IFERROR(M3293/M3296,"-")</f>
        <v>0</v>
      </c>
      <c r="O3293" s="881">
        <f>SUMIFS('Data Entry'!R:R,'Data Entry'!K:K,G3293)</f>
        <v>0</v>
      </c>
      <c r="P3293" s="254" t="s">
        <v>159</v>
      </c>
      <c r="Q3293" s="882">
        <v>0</v>
      </c>
      <c r="R3293" s="883"/>
      <c r="S3293" s="883"/>
      <c r="T3293" s="114" t="s">
        <v>182</v>
      </c>
      <c r="U3293" s="884"/>
      <c r="V3293" s="270"/>
      <c r="W3293" s="270"/>
      <c r="X3293" s="270"/>
      <c r="Y3293" s="114"/>
      <c r="Z3293" s="270"/>
      <c r="AA3293" s="270"/>
    </row>
    <row r="3294" spans="3:27" ht="15" thickBot="1" x14ac:dyDescent="0.35">
      <c r="C3294" s="494" t="s">
        <v>110</v>
      </c>
      <c r="D3294" s="577"/>
      <c r="E3294" s="577" t="s">
        <v>37</v>
      </c>
      <c r="F3294" s="577" t="s">
        <v>2</v>
      </c>
      <c r="G3294" s="450" t="str">
        <f t="shared" si="158"/>
        <v>Tenant E-Restrooms-Toilets</v>
      </c>
      <c r="H3294" s="577"/>
      <c r="I3294" s="887" t="s">
        <v>65</v>
      </c>
      <c r="J3294" s="878">
        <f>SUMIFS('Level of Efficiency Assumptions'!J:J,'Level of Efficiency Assumptions'!D:D,E3294,'Level of Efficiency Assumptions'!F:F,F3294,'Level of Efficiency Assumptions'!I:I,I3294)</f>
        <v>1.6</v>
      </c>
      <c r="K3294" s="383" t="s">
        <v>68</v>
      </c>
      <c r="L3294" s="255" t="s">
        <v>65</v>
      </c>
      <c r="M3294" s="879">
        <f>Q3294+Q3297+Q3300</f>
        <v>1</v>
      </c>
      <c r="N3294" s="880">
        <f>IFERROR(M3294/M3296,"-")</f>
        <v>1</v>
      </c>
      <c r="O3294" s="881">
        <f>SUMIFS('Data Entry'!S:S,'Data Entry'!K:K,G3294)</f>
        <v>0</v>
      </c>
      <c r="P3294" s="256" t="s">
        <v>161</v>
      </c>
      <c r="Q3294" s="882">
        <v>1</v>
      </c>
      <c r="R3294" s="883"/>
      <c r="S3294" s="883"/>
      <c r="T3294" s="114" t="s">
        <v>184</v>
      </c>
      <c r="U3294" s="884"/>
      <c r="V3294" s="270"/>
      <c r="W3294" s="270"/>
      <c r="X3294" s="270"/>
      <c r="Y3294" s="114"/>
      <c r="Z3294" s="270"/>
      <c r="AA3294" s="270"/>
    </row>
    <row r="3295" spans="3:27" ht="15" thickBot="1" x14ac:dyDescent="0.35">
      <c r="C3295" s="501" t="s">
        <v>110</v>
      </c>
      <c r="D3295" s="116"/>
      <c r="E3295" s="116" t="s">
        <v>37</v>
      </c>
      <c r="F3295" s="116" t="s">
        <v>2</v>
      </c>
      <c r="G3295" s="450" t="str">
        <f t="shared" si="158"/>
        <v>Tenant E-Restrooms-Toilets</v>
      </c>
      <c r="H3295" s="116"/>
      <c r="I3295" s="889" t="s">
        <v>66</v>
      </c>
      <c r="J3295" s="890">
        <f>SUMIFS('Level of Efficiency Assumptions'!J:J,'Level of Efficiency Assumptions'!D:D,E3295,'Level of Efficiency Assumptions'!F:F,F3295,'Level of Efficiency Assumptions'!I:I,I3295)</f>
        <v>1.28</v>
      </c>
      <c r="K3295" s="383" t="s">
        <v>68</v>
      </c>
      <c r="L3295" s="257" t="s">
        <v>66</v>
      </c>
      <c r="M3295" s="879">
        <f>Q3295+Q3296+Q3298+Q3301+Q3302</f>
        <v>0</v>
      </c>
      <c r="N3295" s="880">
        <f>IFERROR(M3295/M3296,"-")</f>
        <v>0</v>
      </c>
      <c r="O3295" s="881">
        <f>SUMIFS('Data Entry'!T:T,'Data Entry'!K:K,G3295)</f>
        <v>0</v>
      </c>
      <c r="P3295" s="258" t="s">
        <v>163</v>
      </c>
      <c r="Q3295" s="882">
        <v>0</v>
      </c>
      <c r="R3295" s="883"/>
      <c r="S3295" s="883"/>
      <c r="T3295" s="891"/>
      <c r="U3295" s="884"/>
      <c r="V3295" s="270"/>
      <c r="W3295" s="270"/>
      <c r="X3295" s="270"/>
      <c r="Y3295" s="114"/>
      <c r="Z3295" s="270"/>
      <c r="AA3295" s="270"/>
    </row>
    <row r="3296" spans="3:27" x14ac:dyDescent="0.3">
      <c r="C3296" s="450"/>
      <c r="D3296" s="182"/>
      <c r="E3296" s="182"/>
      <c r="F3296" s="182"/>
      <c r="G3296" s="450" t="str">
        <f t="shared" si="158"/>
        <v>--</v>
      </c>
      <c r="H3296" s="182"/>
      <c r="I3296" s="440"/>
      <c r="J3296" s="892"/>
      <c r="K3296" s="259"/>
      <c r="L3296" s="259" t="s">
        <v>46</v>
      </c>
      <c r="M3296" s="893">
        <f>SUM(M3293:M3295)</f>
        <v>1</v>
      </c>
      <c r="N3296" s="894"/>
      <c r="O3296" s="894">
        <f>SUM(O3293:O3295)</f>
        <v>0</v>
      </c>
      <c r="P3296" s="258" t="s">
        <v>165</v>
      </c>
      <c r="Q3296" s="882">
        <v>0</v>
      </c>
      <c r="R3296" s="883"/>
      <c r="S3296" s="883"/>
      <c r="T3296" s="891"/>
      <c r="U3296" s="884"/>
      <c r="V3296" s="270"/>
      <c r="W3296" s="270"/>
      <c r="X3296" s="270"/>
      <c r="Y3296" s="114"/>
      <c r="Z3296" s="270"/>
      <c r="AA3296" s="270"/>
    </row>
    <row r="3297" spans="3:27" ht="15" thickBot="1" x14ac:dyDescent="0.35">
      <c r="C3297" s="450"/>
      <c r="D3297" s="182"/>
      <c r="E3297" s="182"/>
      <c r="F3297" s="182"/>
      <c r="G3297" s="450" t="str">
        <f t="shared" si="158"/>
        <v>--</v>
      </c>
      <c r="H3297" s="182"/>
      <c r="I3297" s="892"/>
      <c r="J3297" s="288"/>
      <c r="K3297" s="182"/>
      <c r="L3297" s="181"/>
      <c r="M3297" s="181"/>
      <c r="N3297" s="892"/>
      <c r="O3297" s="892"/>
      <c r="P3297" s="256" t="s">
        <v>166</v>
      </c>
      <c r="Q3297" s="895">
        <v>0</v>
      </c>
      <c r="R3297" s="883"/>
      <c r="S3297" s="883"/>
      <c r="T3297" s="891"/>
      <c r="U3297" s="896"/>
      <c r="V3297" s="891"/>
      <c r="W3297" s="270"/>
      <c r="X3297" s="270"/>
      <c r="Y3297" s="114"/>
      <c r="Z3297" s="270"/>
      <c r="AA3297" s="270"/>
    </row>
    <row r="3298" spans="3:27" x14ac:dyDescent="0.3">
      <c r="C3298" s="450"/>
      <c r="D3298" s="182"/>
      <c r="E3298" s="182"/>
      <c r="F3298" s="182"/>
      <c r="G3298" s="450" t="str">
        <f t="shared" si="158"/>
        <v>--</v>
      </c>
      <c r="H3298" s="182"/>
      <c r="I3298" s="892"/>
      <c r="J3298" s="288"/>
      <c r="K3298" s="182"/>
      <c r="L3298" s="1384" t="s">
        <v>377</v>
      </c>
      <c r="M3298" s="1385"/>
      <c r="N3298" s="1385"/>
      <c r="O3298" s="1386"/>
      <c r="P3298" s="258" t="s">
        <v>167</v>
      </c>
      <c r="Q3298" s="895">
        <v>0</v>
      </c>
      <c r="R3298" s="883"/>
      <c r="S3298" s="883"/>
      <c r="T3298" s="891"/>
      <c r="U3298" s="896"/>
      <c r="V3298" s="891"/>
      <c r="W3298" s="270"/>
      <c r="X3298" s="270"/>
      <c r="Y3298" s="270"/>
      <c r="Z3298" s="270"/>
      <c r="AA3298" s="270"/>
    </row>
    <row r="3299" spans="3:27" x14ac:dyDescent="0.3">
      <c r="C3299" s="450"/>
      <c r="D3299" s="182"/>
      <c r="E3299" s="182"/>
      <c r="F3299" s="182"/>
      <c r="G3299" s="450" t="str">
        <f t="shared" si="158"/>
        <v>--</v>
      </c>
      <c r="H3299" s="182"/>
      <c r="I3299" s="892"/>
      <c r="J3299" s="288"/>
      <c r="K3299" s="182"/>
      <c r="L3299" s="1387"/>
      <c r="M3299" s="1388"/>
      <c r="N3299" s="1388"/>
      <c r="O3299" s="1389"/>
      <c r="P3299" s="254" t="s">
        <v>160</v>
      </c>
      <c r="Q3299" s="895">
        <v>0</v>
      </c>
      <c r="R3299" s="891"/>
      <c r="S3299" s="891"/>
      <c r="T3299" s="891"/>
      <c r="U3299" s="896"/>
      <c r="V3299" s="891"/>
      <c r="W3299" s="270"/>
      <c r="X3299" s="270"/>
      <c r="Y3299" s="270"/>
      <c r="Z3299" s="270"/>
      <c r="AA3299" s="270"/>
    </row>
    <row r="3300" spans="3:27" x14ac:dyDescent="0.3">
      <c r="C3300" s="450"/>
      <c r="D3300" s="182"/>
      <c r="E3300" s="182"/>
      <c r="F3300" s="182"/>
      <c r="G3300" s="450" t="str">
        <f t="shared" si="158"/>
        <v>--</v>
      </c>
      <c r="H3300" s="182"/>
      <c r="I3300" s="892"/>
      <c r="J3300" s="288"/>
      <c r="K3300" s="182"/>
      <c r="L3300" s="1387"/>
      <c r="M3300" s="1388"/>
      <c r="N3300" s="1388"/>
      <c r="O3300" s="1389"/>
      <c r="P3300" s="256" t="s">
        <v>162</v>
      </c>
      <c r="Q3300" s="895">
        <v>0</v>
      </c>
      <c r="R3300" s="891"/>
      <c r="S3300" s="891"/>
      <c r="T3300" s="891"/>
      <c r="U3300" s="896"/>
      <c r="V3300" s="891"/>
      <c r="W3300" s="270"/>
      <c r="X3300" s="270"/>
      <c r="Y3300" s="270"/>
      <c r="Z3300" s="270"/>
      <c r="AA3300" s="270"/>
    </row>
    <row r="3301" spans="3:27" ht="15" thickBot="1" x14ac:dyDescent="0.35">
      <c r="C3301" s="450"/>
      <c r="D3301" s="182"/>
      <c r="E3301" s="182"/>
      <c r="F3301" s="182"/>
      <c r="G3301" s="450" t="str">
        <f t="shared" si="158"/>
        <v>--</v>
      </c>
      <c r="H3301" s="182"/>
      <c r="I3301" s="892"/>
      <c r="J3301" s="288"/>
      <c r="K3301" s="182"/>
      <c r="L3301" s="1390"/>
      <c r="M3301" s="1391"/>
      <c r="N3301" s="1391"/>
      <c r="O3301" s="1392"/>
      <c r="P3301" s="258" t="s">
        <v>164</v>
      </c>
      <c r="Q3301" s="895">
        <v>0</v>
      </c>
      <c r="R3301" s="114"/>
      <c r="S3301" s="891"/>
      <c r="T3301" s="114"/>
      <c r="U3301" s="884"/>
      <c r="V3301" s="114"/>
      <c r="W3301" s="270"/>
      <c r="X3301" s="270"/>
      <c r="Y3301" s="270"/>
      <c r="Z3301" s="270"/>
      <c r="AA3301" s="270"/>
    </row>
    <row r="3302" spans="3:27" x14ac:dyDescent="0.3">
      <c r="C3302" s="450"/>
      <c r="D3302" s="182"/>
      <c r="E3302" s="182"/>
      <c r="F3302" s="182"/>
      <c r="G3302" s="450" t="str">
        <f t="shared" si="158"/>
        <v>--</v>
      </c>
      <c r="H3302" s="182"/>
      <c r="I3302" s="892"/>
      <c r="J3302" s="288"/>
      <c r="K3302" s="182"/>
      <c r="L3302" s="181"/>
      <c r="M3302" s="181"/>
      <c r="N3302" s="892"/>
      <c r="O3302" s="892"/>
      <c r="P3302" s="258" t="s">
        <v>187</v>
      </c>
      <c r="Q3302" s="895">
        <v>0</v>
      </c>
      <c r="R3302" s="114"/>
      <c r="S3302" s="891"/>
      <c r="T3302" s="114"/>
      <c r="U3302" s="884"/>
      <c r="V3302" s="114"/>
      <c r="W3302" s="270"/>
      <c r="X3302" s="270"/>
      <c r="Y3302" s="270"/>
      <c r="Z3302" s="270"/>
      <c r="AA3302" s="270"/>
    </row>
    <row r="3303" spans="3:27" x14ac:dyDescent="0.3">
      <c r="C3303" s="450"/>
      <c r="D3303" s="182"/>
      <c r="E3303" s="182"/>
      <c r="F3303" s="182"/>
      <c r="G3303" s="450" t="str">
        <f t="shared" si="158"/>
        <v>--</v>
      </c>
      <c r="H3303" s="182"/>
      <c r="I3303" s="892"/>
      <c r="J3303" s="288"/>
      <c r="K3303" s="182"/>
      <c r="L3303" s="181"/>
      <c r="M3303" s="181"/>
      <c r="N3303" s="892"/>
      <c r="O3303" s="892"/>
      <c r="P3303" s="263" t="s">
        <v>46</v>
      </c>
      <c r="Q3303" s="897">
        <f>SUM(Q3293:Q3302)</f>
        <v>1</v>
      </c>
      <c r="R3303" s="898"/>
      <c r="S3303" s="898"/>
      <c r="T3303" s="899"/>
      <c r="U3303" s="900"/>
      <c r="V3303" s="114"/>
      <c r="W3303" s="270"/>
      <c r="X3303" s="270"/>
      <c r="Y3303" s="270"/>
      <c r="Z3303" s="270"/>
      <c r="AA3303" s="270"/>
    </row>
    <row r="3304" spans="3:27" x14ac:dyDescent="0.3">
      <c r="C3304" s="450"/>
      <c r="D3304" s="182"/>
      <c r="E3304" s="182"/>
      <c r="F3304" s="182"/>
      <c r="G3304" s="450" t="str">
        <f t="shared" si="158"/>
        <v>--</v>
      </c>
      <c r="H3304" s="182"/>
      <c r="I3304" s="892"/>
      <c r="J3304" s="288"/>
      <c r="K3304" s="182"/>
      <c r="L3304" s="181"/>
      <c r="M3304" s="181"/>
      <c r="N3304" s="892"/>
      <c r="O3304" s="892"/>
      <c r="P3304" s="114"/>
      <c r="Q3304" s="114"/>
      <c r="R3304" s="891"/>
      <c r="S3304" s="891"/>
      <c r="T3304" s="114"/>
      <c r="U3304" s="114"/>
      <c r="V3304" s="114"/>
      <c r="W3304" s="270"/>
      <c r="X3304" s="270"/>
      <c r="Y3304" s="270"/>
      <c r="Z3304" s="270"/>
      <c r="AA3304" s="270"/>
    </row>
    <row r="3305" spans="3:27" ht="15" thickBot="1" x14ac:dyDescent="0.35">
      <c r="C3305" s="450"/>
      <c r="D3305" s="182"/>
      <c r="E3305" s="182"/>
      <c r="F3305" s="182"/>
      <c r="G3305" s="450" t="str">
        <f t="shared" si="158"/>
        <v>--</v>
      </c>
      <c r="H3305" s="182"/>
      <c r="I3305" s="892"/>
      <c r="J3305" s="892"/>
      <c r="K3305" s="182"/>
      <c r="L3305" s="182"/>
      <c r="M3305" s="901" t="s">
        <v>155</v>
      </c>
      <c r="N3305" s="870" t="s">
        <v>188</v>
      </c>
      <c r="O3305" s="870"/>
      <c r="P3305" s="252" t="s">
        <v>175</v>
      </c>
      <c r="Q3305" s="871" t="s">
        <v>155</v>
      </c>
      <c r="R3305" s="872" t="s">
        <v>168</v>
      </c>
      <c r="S3305" s="872" t="s">
        <v>169</v>
      </c>
      <c r="T3305" s="902"/>
      <c r="U3305" s="903"/>
      <c r="V3305" s="270"/>
      <c r="W3305" s="270"/>
      <c r="X3305" s="270"/>
      <c r="Y3305" s="270"/>
      <c r="Z3305" s="270"/>
      <c r="AA3305" s="270"/>
    </row>
    <row r="3306" spans="3:27" ht="15" thickBot="1" x14ac:dyDescent="0.35">
      <c r="C3306" s="566" t="s">
        <v>110</v>
      </c>
      <c r="D3306" s="875" t="str">
        <f>VLOOKUP(C3306,'Airport Mapping'!$C$5:$D$39,2,FALSE)</f>
        <v xml:space="preserve"> </v>
      </c>
      <c r="E3306" s="567" t="s">
        <v>37</v>
      </c>
      <c r="F3306" s="567" t="s">
        <v>4</v>
      </c>
      <c r="G3306" s="450" t="str">
        <f t="shared" si="158"/>
        <v>Tenant E-Restrooms-Urinals</v>
      </c>
      <c r="H3306" s="567" t="s">
        <v>6</v>
      </c>
      <c r="I3306" s="877" t="s">
        <v>64</v>
      </c>
      <c r="J3306" s="878">
        <f>SUMIFS('Level of Efficiency Assumptions'!J:J,'Level of Efficiency Assumptions'!D:D,E3306,'Level of Efficiency Assumptions'!F:F,F3306,'Level of Efficiency Assumptions'!I:I,I3306)</f>
        <v>2</v>
      </c>
      <c r="K3306" s="383" t="s">
        <v>68</v>
      </c>
      <c r="L3306" s="253" t="s">
        <v>64</v>
      </c>
      <c r="M3306" s="879">
        <f>Q3306+Q3307</f>
        <v>0</v>
      </c>
      <c r="N3306" s="880">
        <f>IFERROR(M3306/M3309,"-")</f>
        <v>0</v>
      </c>
      <c r="O3306" s="881">
        <f>SUMIFS('Data Entry'!R:R,'Data Entry'!K:K,G3306)</f>
        <v>0</v>
      </c>
      <c r="P3306" s="254" t="s">
        <v>177</v>
      </c>
      <c r="Q3306" s="882">
        <v>0</v>
      </c>
      <c r="R3306" s="883"/>
      <c r="S3306" s="883"/>
      <c r="T3306" s="114"/>
      <c r="U3306" s="904"/>
      <c r="V3306" s="270"/>
      <c r="W3306" s="270"/>
      <c r="X3306" s="270"/>
      <c r="Y3306" s="270"/>
      <c r="Z3306" s="270"/>
      <c r="AA3306" s="270"/>
    </row>
    <row r="3307" spans="3:27" ht="15" thickBot="1" x14ac:dyDescent="0.35">
      <c r="C3307" s="494" t="s">
        <v>110</v>
      </c>
      <c r="D3307" s="577"/>
      <c r="E3307" s="577" t="s">
        <v>37</v>
      </c>
      <c r="F3307" s="577" t="s">
        <v>4</v>
      </c>
      <c r="G3307" s="450" t="str">
        <f t="shared" si="158"/>
        <v>Tenant E-Restrooms-Urinals</v>
      </c>
      <c r="H3307" s="577"/>
      <c r="I3307" s="887" t="s">
        <v>65</v>
      </c>
      <c r="J3307" s="878">
        <f>SUMIFS('Level of Efficiency Assumptions'!J:J,'Level of Efficiency Assumptions'!D:D,E3307,'Level of Efficiency Assumptions'!F:F,F3307,'Level of Efficiency Assumptions'!I:I,I3307)</f>
        <v>1</v>
      </c>
      <c r="K3307" s="383" t="s">
        <v>68</v>
      </c>
      <c r="L3307" s="255" t="s">
        <v>65</v>
      </c>
      <c r="M3307" s="879">
        <f>Q3308+Q3309</f>
        <v>1</v>
      </c>
      <c r="N3307" s="880">
        <f>IFERROR(M3307/M3309,"-")</f>
        <v>1</v>
      </c>
      <c r="O3307" s="881">
        <f>SUMIFS('Data Entry'!S:S,'Data Entry'!K:K,G3307)</f>
        <v>0</v>
      </c>
      <c r="P3307" s="254" t="s">
        <v>179</v>
      </c>
      <c r="Q3307" s="882">
        <v>0</v>
      </c>
      <c r="R3307" s="883"/>
      <c r="S3307" s="883"/>
      <c r="T3307" s="114"/>
      <c r="U3307" s="904"/>
      <c r="V3307" s="270"/>
      <c r="W3307" s="270"/>
      <c r="X3307" s="270"/>
      <c r="Y3307" s="270"/>
      <c r="Z3307" s="270"/>
      <c r="AA3307" s="270"/>
    </row>
    <row r="3308" spans="3:27" ht="15" thickBot="1" x14ac:dyDescent="0.35">
      <c r="C3308" s="501" t="s">
        <v>110</v>
      </c>
      <c r="D3308" s="116"/>
      <c r="E3308" s="116" t="s">
        <v>37</v>
      </c>
      <c r="F3308" s="116" t="s">
        <v>4</v>
      </c>
      <c r="G3308" s="450" t="str">
        <f t="shared" si="158"/>
        <v>Tenant E-Restrooms-Urinals</v>
      </c>
      <c r="H3308" s="116"/>
      <c r="I3308" s="889" t="s">
        <v>66</v>
      </c>
      <c r="J3308" s="890">
        <f>SUMIFS('Level of Efficiency Assumptions'!J:J,'Level of Efficiency Assumptions'!D:D,E3308,'Level of Efficiency Assumptions'!F:F,F3308,'Level of Efficiency Assumptions'!I:I,I3308)</f>
        <v>0.125</v>
      </c>
      <c r="K3308" s="383" t="s">
        <v>68</v>
      </c>
      <c r="L3308" s="257" t="s">
        <v>66</v>
      </c>
      <c r="M3308" s="879">
        <f>Q3310+Q3311</f>
        <v>0</v>
      </c>
      <c r="N3308" s="880">
        <f>IFERROR(M3308/M3309,"-")</f>
        <v>0</v>
      </c>
      <c r="O3308" s="881">
        <f>SUMIFS('Data Entry'!T:T,'Data Entry'!K:K,G3308)</f>
        <v>0</v>
      </c>
      <c r="P3308" s="256" t="s">
        <v>189</v>
      </c>
      <c r="Q3308" s="882">
        <v>0</v>
      </c>
      <c r="R3308" s="883"/>
      <c r="S3308" s="883"/>
      <c r="T3308" s="114"/>
      <c r="U3308" s="904"/>
      <c r="V3308" s="270"/>
      <c r="W3308" s="270"/>
      <c r="X3308" s="270"/>
      <c r="Y3308" s="270"/>
      <c r="Z3308" s="270"/>
      <c r="AA3308" s="270"/>
    </row>
    <row r="3309" spans="3:27" x14ac:dyDescent="0.3">
      <c r="C3309" s="450"/>
      <c r="D3309" s="182"/>
      <c r="E3309" s="182"/>
      <c r="F3309" s="182"/>
      <c r="G3309" s="450" t="str">
        <f t="shared" si="158"/>
        <v>--</v>
      </c>
      <c r="H3309" s="182"/>
      <c r="I3309" s="440"/>
      <c r="J3309" s="892"/>
      <c r="K3309" s="259"/>
      <c r="L3309" s="259" t="s">
        <v>46</v>
      </c>
      <c r="M3309" s="893">
        <f>SUM(M3306:M3308)</f>
        <v>1</v>
      </c>
      <c r="N3309" s="894"/>
      <c r="O3309" s="894">
        <f>SUM(O3306:O3308)</f>
        <v>0</v>
      </c>
      <c r="P3309" s="256" t="s">
        <v>181</v>
      </c>
      <c r="Q3309" s="882">
        <v>1</v>
      </c>
      <c r="R3309" s="883"/>
      <c r="S3309" s="883"/>
      <c r="T3309" s="114"/>
      <c r="U3309" s="264"/>
      <c r="V3309" s="270"/>
      <c r="W3309" s="270"/>
      <c r="X3309" s="270"/>
      <c r="Y3309" s="270"/>
      <c r="Z3309" s="270"/>
      <c r="AA3309" s="270"/>
    </row>
    <row r="3310" spans="3:27" x14ac:dyDescent="0.3">
      <c r="C3310" s="450"/>
      <c r="D3310" s="182"/>
      <c r="E3310" s="182"/>
      <c r="F3310" s="182"/>
      <c r="G3310" s="450" t="str">
        <f t="shared" si="158"/>
        <v>--</v>
      </c>
      <c r="H3310" s="182"/>
      <c r="I3310" s="892"/>
      <c r="J3310" s="288"/>
      <c r="K3310" s="182"/>
      <c r="L3310" s="181"/>
      <c r="M3310" s="181"/>
      <c r="N3310" s="892"/>
      <c r="O3310" s="892"/>
      <c r="P3310" s="258" t="s">
        <v>183</v>
      </c>
      <c r="Q3310" s="882">
        <v>0</v>
      </c>
      <c r="R3310" s="883"/>
      <c r="S3310" s="883"/>
      <c r="T3310" s="114"/>
      <c r="U3310" s="884"/>
      <c r="V3310" s="114"/>
      <c r="W3310" s="270"/>
      <c r="X3310" s="270"/>
      <c r="Y3310" s="270"/>
      <c r="Z3310" s="270"/>
      <c r="AA3310" s="270"/>
    </row>
    <row r="3311" spans="3:27" x14ac:dyDescent="0.3">
      <c r="C3311" s="450"/>
      <c r="D3311" s="182"/>
      <c r="E3311" s="182"/>
      <c r="F3311" s="182"/>
      <c r="G3311" s="450" t="str">
        <f t="shared" si="158"/>
        <v>--</v>
      </c>
      <c r="H3311" s="182"/>
      <c r="I3311" s="892"/>
      <c r="J3311" s="288"/>
      <c r="K3311" s="182"/>
      <c r="L3311" s="181"/>
      <c r="M3311" s="181"/>
      <c r="N3311" s="892"/>
      <c r="O3311" s="892"/>
      <c r="P3311" s="258" t="s">
        <v>190</v>
      </c>
      <c r="Q3311" s="882">
        <v>0</v>
      </c>
      <c r="R3311" s="114"/>
      <c r="S3311" s="114"/>
      <c r="T3311" s="114"/>
      <c r="U3311" s="884"/>
      <c r="V3311" s="114"/>
      <c r="W3311" s="270"/>
      <c r="X3311" s="270"/>
      <c r="Y3311" s="270"/>
      <c r="Z3311" s="270"/>
      <c r="AA3311" s="270"/>
    </row>
    <row r="3312" spans="3:27" x14ac:dyDescent="0.3">
      <c r="C3312" s="450"/>
      <c r="D3312" s="182"/>
      <c r="E3312" s="182"/>
      <c r="F3312" s="182"/>
      <c r="G3312" s="450" t="str">
        <f t="shared" si="158"/>
        <v>--</v>
      </c>
      <c r="H3312" s="182"/>
      <c r="I3312" s="892"/>
      <c r="J3312" s="288"/>
      <c r="K3312" s="182"/>
      <c r="L3312" s="181"/>
      <c r="M3312" s="181"/>
      <c r="N3312" s="892"/>
      <c r="O3312" s="892"/>
      <c r="P3312" s="263" t="s">
        <v>46</v>
      </c>
      <c r="Q3312" s="897">
        <f>SUM(Q3306:Q3311)</f>
        <v>1</v>
      </c>
      <c r="R3312" s="899"/>
      <c r="S3312" s="899"/>
      <c r="T3312" s="899"/>
      <c r="U3312" s="900"/>
      <c r="V3312" s="114"/>
      <c r="W3312" s="270"/>
      <c r="X3312" s="270"/>
      <c r="Y3312" s="270"/>
      <c r="Z3312" s="270"/>
      <c r="AA3312" s="270"/>
    </row>
    <row r="3313" spans="3:27" x14ac:dyDescent="0.3">
      <c r="C3313" s="450"/>
      <c r="D3313" s="182"/>
      <c r="E3313" s="182"/>
      <c r="F3313" s="182"/>
      <c r="G3313" s="450" t="str">
        <f t="shared" si="158"/>
        <v>--</v>
      </c>
      <c r="H3313" s="182"/>
      <c r="I3313" s="892"/>
      <c r="J3313" s="288"/>
      <c r="K3313" s="182"/>
      <c r="L3313" s="181"/>
      <c r="M3313" s="181"/>
      <c r="N3313" s="892"/>
      <c r="O3313" s="892"/>
      <c r="P3313" s="262"/>
      <c r="Q3313" s="114"/>
      <c r="R3313" s="114"/>
      <c r="S3313" s="114"/>
      <c r="T3313" s="114"/>
      <c r="U3313" s="114"/>
      <c r="V3313" s="114"/>
      <c r="W3313" s="270"/>
      <c r="X3313" s="270"/>
      <c r="Y3313" s="270"/>
      <c r="Z3313" s="270"/>
      <c r="AA3313" s="270"/>
    </row>
    <row r="3314" spans="3:27" ht="15" thickBot="1" x14ac:dyDescent="0.35">
      <c r="C3314" s="450"/>
      <c r="D3314" s="182"/>
      <c r="E3314" s="182"/>
      <c r="F3314" s="182"/>
      <c r="G3314" s="450" t="str">
        <f t="shared" si="158"/>
        <v>--</v>
      </c>
      <c r="H3314" s="182"/>
      <c r="I3314" s="892"/>
      <c r="J3314" s="892"/>
      <c r="K3314" s="182"/>
      <c r="L3314" s="182"/>
      <c r="M3314" s="901" t="s">
        <v>155</v>
      </c>
      <c r="N3314" s="870" t="s">
        <v>188</v>
      </c>
      <c r="O3314" s="870"/>
      <c r="P3314" s="265" t="s">
        <v>33</v>
      </c>
      <c r="Q3314" s="871" t="s">
        <v>155</v>
      </c>
      <c r="R3314" s="872" t="s">
        <v>168</v>
      </c>
      <c r="S3314" s="872" t="s">
        <v>169</v>
      </c>
      <c r="T3314" s="872" t="s">
        <v>170</v>
      </c>
      <c r="U3314" s="872" t="s">
        <v>171</v>
      </c>
      <c r="V3314" s="902"/>
      <c r="W3314" s="902"/>
      <c r="X3314" s="874"/>
      <c r="Y3314" s="270"/>
      <c r="Z3314" s="270"/>
      <c r="AA3314" s="270"/>
    </row>
    <row r="3315" spans="3:27" ht="15" thickBot="1" x14ac:dyDescent="0.35">
      <c r="C3315" s="566" t="s">
        <v>110</v>
      </c>
      <c r="D3315" s="875" t="str">
        <f>VLOOKUP(C3315,'Airport Mapping'!$C$5:$D$39,2,FALSE)</f>
        <v xml:space="preserve"> </v>
      </c>
      <c r="E3315" s="567" t="s">
        <v>37</v>
      </c>
      <c r="F3315" s="567" t="s">
        <v>33</v>
      </c>
      <c r="G3315" s="450" t="str">
        <f t="shared" si="158"/>
        <v>Tenant E-Restrooms-Faucets</v>
      </c>
      <c r="H3315" s="567" t="s">
        <v>6</v>
      </c>
      <c r="I3315" s="877" t="s">
        <v>64</v>
      </c>
      <c r="J3315" s="878">
        <f>SUMIFS('Level of Efficiency Assumptions'!J:J,'Level of Efficiency Assumptions'!D:D,E3315,'Level of Efficiency Assumptions'!F:F,F3315,'Level of Efficiency Assumptions'!I:I,I3315)</f>
        <v>2</v>
      </c>
      <c r="K3315" s="383" t="s">
        <v>78</v>
      </c>
      <c r="L3315" s="253" t="s">
        <v>64</v>
      </c>
      <c r="M3315" s="879">
        <f>Q3315+Q3316</f>
        <v>0</v>
      </c>
      <c r="N3315" s="880">
        <f>IFERROR(M3315/M3318,"-")</f>
        <v>0</v>
      </c>
      <c r="O3315" s="881">
        <f>SUMIFS('Data Entry'!R:R,'Data Entry'!K:K,G3315)</f>
        <v>0</v>
      </c>
      <c r="P3315" s="266" t="s">
        <v>180</v>
      </c>
      <c r="Q3315" s="895">
        <v>0</v>
      </c>
      <c r="R3315" s="883"/>
      <c r="S3315" s="883"/>
      <c r="T3315" s="883"/>
      <c r="U3315" s="883"/>
      <c r="V3315" s="114" t="s">
        <v>182</v>
      </c>
      <c r="W3315" s="114"/>
      <c r="X3315" s="884"/>
      <c r="Y3315" s="270"/>
      <c r="Z3315" s="270"/>
      <c r="AA3315" s="270"/>
    </row>
    <row r="3316" spans="3:27" ht="15" thickBot="1" x14ac:dyDescent="0.35">
      <c r="C3316" s="494" t="s">
        <v>110</v>
      </c>
      <c r="D3316" s="577"/>
      <c r="E3316" s="577" t="s">
        <v>37</v>
      </c>
      <c r="F3316" s="577" t="s">
        <v>33</v>
      </c>
      <c r="G3316" s="450" t="str">
        <f t="shared" si="158"/>
        <v>Tenant E-Restrooms-Faucets</v>
      </c>
      <c r="H3316" s="577"/>
      <c r="I3316" s="887" t="s">
        <v>65</v>
      </c>
      <c r="J3316" s="878">
        <f>SUMIFS('Level of Efficiency Assumptions'!J:J,'Level of Efficiency Assumptions'!D:D,E3316,'Level of Efficiency Assumptions'!F:F,F3316,'Level of Efficiency Assumptions'!I:I,I3316)</f>
        <v>1</v>
      </c>
      <c r="K3316" s="383" t="s">
        <v>78</v>
      </c>
      <c r="L3316" s="255" t="s">
        <v>65</v>
      </c>
      <c r="M3316" s="879">
        <f>Q3317+Q3318</f>
        <v>1</v>
      </c>
      <c r="N3316" s="880">
        <f>IFERROR(M3316/M3318,"-")</f>
        <v>1</v>
      </c>
      <c r="O3316" s="881">
        <f>SUMIFS('Data Entry'!S:S,'Data Entry'!K:K,G3316)</f>
        <v>0</v>
      </c>
      <c r="P3316" s="266" t="s">
        <v>178</v>
      </c>
      <c r="Q3316" s="895">
        <v>0</v>
      </c>
      <c r="R3316" s="883"/>
      <c r="S3316" s="883"/>
      <c r="T3316" s="883"/>
      <c r="U3316" s="883"/>
      <c r="V3316" s="114" t="s">
        <v>184</v>
      </c>
      <c r="W3316" s="114"/>
      <c r="X3316" s="884"/>
      <c r="Y3316" s="270"/>
      <c r="Z3316" s="270"/>
      <c r="AA3316" s="270"/>
    </row>
    <row r="3317" spans="3:27" ht="15" thickBot="1" x14ac:dyDescent="0.35">
      <c r="C3317" s="501" t="s">
        <v>110</v>
      </c>
      <c r="D3317" s="116"/>
      <c r="E3317" s="116" t="s">
        <v>37</v>
      </c>
      <c r="F3317" s="116" t="s">
        <v>33</v>
      </c>
      <c r="G3317" s="450" t="str">
        <f t="shared" si="158"/>
        <v>Tenant E-Restrooms-Faucets</v>
      </c>
      <c r="H3317" s="116"/>
      <c r="I3317" s="889" t="s">
        <v>66</v>
      </c>
      <c r="J3317" s="890">
        <f>SUMIFS('Level of Efficiency Assumptions'!J:J,'Level of Efficiency Assumptions'!D:D,E3317,'Level of Efficiency Assumptions'!F:F,F3317,'Level of Efficiency Assumptions'!I:I,I3317)</f>
        <v>0.5</v>
      </c>
      <c r="K3317" s="383" t="s">
        <v>78</v>
      </c>
      <c r="L3317" s="257" t="s">
        <v>66</v>
      </c>
      <c r="M3317" s="879">
        <f>Q3319</f>
        <v>0</v>
      </c>
      <c r="N3317" s="880">
        <f>IFERROR(M3317/M3318,"-")</f>
        <v>0</v>
      </c>
      <c r="O3317" s="881">
        <f>SUMIFS('Data Entry'!T:T,'Data Entry'!K:K,G3317)</f>
        <v>0</v>
      </c>
      <c r="P3317" s="267" t="s">
        <v>176</v>
      </c>
      <c r="Q3317" s="895">
        <v>1</v>
      </c>
      <c r="R3317" s="883"/>
      <c r="S3317" s="883"/>
      <c r="T3317" s="883"/>
      <c r="U3317" s="883"/>
      <c r="V3317" s="114" t="s">
        <v>185</v>
      </c>
      <c r="W3317" s="114"/>
      <c r="X3317" s="884"/>
      <c r="Y3317" s="270"/>
      <c r="Z3317" s="270"/>
      <c r="AA3317" s="270"/>
    </row>
    <row r="3318" spans="3:27" x14ac:dyDescent="0.3">
      <c r="C3318" s="450"/>
      <c r="D3318" s="182"/>
      <c r="E3318" s="182"/>
      <c r="F3318" s="182"/>
      <c r="G3318" s="450" t="str">
        <f t="shared" si="158"/>
        <v>--</v>
      </c>
      <c r="H3318" s="182"/>
      <c r="I3318" s="440"/>
      <c r="J3318" s="892"/>
      <c r="K3318" s="259"/>
      <c r="L3318" s="259" t="s">
        <v>46</v>
      </c>
      <c r="M3318" s="893">
        <f>SUM(M3315:M3317)</f>
        <v>1</v>
      </c>
      <c r="N3318" s="894"/>
      <c r="O3318" s="894">
        <f>SUM(O3315:O3317)</f>
        <v>0</v>
      </c>
      <c r="P3318" s="256" t="s">
        <v>173</v>
      </c>
      <c r="Q3318" s="895">
        <v>0</v>
      </c>
      <c r="R3318" s="883"/>
      <c r="S3318" s="883"/>
      <c r="T3318" s="883"/>
      <c r="U3318" s="883"/>
      <c r="V3318" s="114" t="s">
        <v>186</v>
      </c>
      <c r="W3318" s="114"/>
      <c r="X3318" s="884"/>
      <c r="Y3318" s="270"/>
      <c r="Z3318" s="270"/>
      <c r="AA3318" s="270"/>
    </row>
    <row r="3319" spans="3:27" x14ac:dyDescent="0.3">
      <c r="C3319" s="450"/>
      <c r="D3319" s="182"/>
      <c r="E3319" s="182"/>
      <c r="F3319" s="182"/>
      <c r="G3319" s="450" t="str">
        <f t="shared" si="158"/>
        <v>--</v>
      </c>
      <c r="H3319" s="182"/>
      <c r="I3319" s="892"/>
      <c r="J3319" s="288"/>
      <c r="K3319" s="182"/>
      <c r="L3319" s="114"/>
      <c r="M3319" s="114"/>
      <c r="N3319" s="905"/>
      <c r="O3319" s="905"/>
      <c r="P3319" s="258" t="s">
        <v>172</v>
      </c>
      <c r="Q3319" s="895">
        <v>0</v>
      </c>
      <c r="R3319" s="883"/>
      <c r="S3319" s="883"/>
      <c r="T3319" s="883"/>
      <c r="U3319" s="883"/>
      <c r="V3319" s="114"/>
      <c r="W3319" s="114"/>
      <c r="X3319" s="884"/>
      <c r="Y3319" s="270"/>
      <c r="Z3319" s="270"/>
      <c r="AA3319" s="270"/>
    </row>
    <row r="3320" spans="3:27" x14ac:dyDescent="0.3">
      <c r="C3320" s="450"/>
      <c r="D3320" s="182"/>
      <c r="E3320" s="182"/>
      <c r="F3320" s="182"/>
      <c r="G3320" s="450" t="str">
        <f t="shared" si="158"/>
        <v>--</v>
      </c>
      <c r="H3320" s="182"/>
      <c r="I3320" s="892"/>
      <c r="J3320" s="288"/>
      <c r="K3320" s="182"/>
      <c r="L3320" s="181"/>
      <c r="M3320" s="181"/>
      <c r="N3320" s="892"/>
      <c r="O3320" s="892"/>
      <c r="P3320" s="263" t="s">
        <v>46</v>
      </c>
      <c r="Q3320" s="897">
        <f>SUM(Q3314:Q3319)</f>
        <v>1</v>
      </c>
      <c r="R3320" s="899"/>
      <c r="S3320" s="899"/>
      <c r="T3320" s="899"/>
      <c r="U3320" s="899"/>
      <c r="V3320" s="899"/>
      <c r="W3320" s="899"/>
      <c r="X3320" s="900"/>
      <c r="Y3320" s="270"/>
      <c r="Z3320" s="270"/>
      <c r="AA3320" s="270"/>
    </row>
    <row r="3321" spans="3:27" x14ac:dyDescent="0.3">
      <c r="C3321" s="450"/>
      <c r="D3321" s="182"/>
      <c r="E3321" s="182"/>
      <c r="F3321" s="182"/>
      <c r="G3321" s="450" t="str">
        <f t="shared" si="158"/>
        <v>--</v>
      </c>
      <c r="H3321" s="182"/>
      <c r="I3321" s="892"/>
      <c r="J3321" s="288"/>
      <c r="K3321" s="182"/>
      <c r="L3321" s="181"/>
      <c r="M3321" s="181"/>
      <c r="N3321" s="892"/>
      <c r="O3321" s="892"/>
      <c r="P3321" s="262"/>
      <c r="Q3321" s="114"/>
      <c r="R3321" s="114"/>
      <c r="S3321" s="114"/>
      <c r="T3321" s="114"/>
      <c r="U3321" s="114"/>
      <c r="V3321" s="114"/>
      <c r="W3321" s="270"/>
      <c r="X3321" s="270"/>
      <c r="Y3321" s="270"/>
      <c r="Z3321" s="270"/>
      <c r="AA3321" s="270"/>
    </row>
    <row r="3322" spans="3:27" ht="15" thickBot="1" x14ac:dyDescent="0.35">
      <c r="C3322" s="450"/>
      <c r="D3322" s="182"/>
      <c r="E3322" s="182"/>
      <c r="F3322" s="182"/>
      <c r="G3322" s="450" t="str">
        <f t="shared" si="158"/>
        <v>--</v>
      </c>
      <c r="H3322" s="182"/>
      <c r="I3322" s="892"/>
      <c r="J3322" s="892"/>
      <c r="K3322" s="182"/>
      <c r="L3322" s="182"/>
      <c r="M3322" s="901" t="s">
        <v>155</v>
      </c>
      <c r="N3322" s="870" t="s">
        <v>188</v>
      </c>
      <c r="O3322" s="870"/>
      <c r="P3322" s="265" t="s">
        <v>33</v>
      </c>
      <c r="Q3322" s="871" t="s">
        <v>155</v>
      </c>
      <c r="R3322" s="872" t="s">
        <v>168</v>
      </c>
      <c r="S3322" s="872" t="s">
        <v>169</v>
      </c>
      <c r="T3322" s="872" t="s">
        <v>170</v>
      </c>
      <c r="U3322" s="872" t="s">
        <v>171</v>
      </c>
      <c r="V3322" s="902"/>
      <c r="W3322" s="902"/>
      <c r="X3322" s="874"/>
      <c r="Y3322" s="270"/>
      <c r="Z3322" s="270"/>
      <c r="AA3322" s="270"/>
    </row>
    <row r="3323" spans="3:27" ht="15" thickBot="1" x14ac:dyDescent="0.35">
      <c r="C3323" s="566" t="s">
        <v>110</v>
      </c>
      <c r="D3323" s="875" t="str">
        <f>VLOOKUP(C3323,'Airport Mapping'!$C$5:$D$39,2,FALSE)</f>
        <v xml:space="preserve"> </v>
      </c>
      <c r="E3323" s="567" t="s">
        <v>5</v>
      </c>
      <c r="F3323" s="567" t="s">
        <v>33</v>
      </c>
      <c r="G3323" s="450" t="str">
        <f t="shared" si="158"/>
        <v>Tenant E-Break rooms-Faucets</v>
      </c>
      <c r="H3323" s="567" t="s">
        <v>6</v>
      </c>
      <c r="I3323" s="877" t="s">
        <v>64</v>
      </c>
      <c r="J3323" s="878">
        <f>SUMIFS('Level of Efficiency Assumptions'!J:J,'Level of Efficiency Assumptions'!D:D,E3323,'Level of Efficiency Assumptions'!F:F,F3323,'Level of Efficiency Assumptions'!I:I,I3323)</f>
        <v>2</v>
      </c>
      <c r="K3323" s="383" t="s">
        <v>78</v>
      </c>
      <c r="L3323" s="253" t="s">
        <v>64</v>
      </c>
      <c r="M3323" s="879">
        <f>Q3323+Q3324</f>
        <v>0</v>
      </c>
      <c r="N3323" s="880">
        <f>IFERROR(M3323/M3326,"-")</f>
        <v>0</v>
      </c>
      <c r="O3323" s="881">
        <f>SUMIFS('Data Entry'!R:R,'Data Entry'!K:K,G3323)</f>
        <v>0</v>
      </c>
      <c r="P3323" s="266" t="s">
        <v>180</v>
      </c>
      <c r="Q3323" s="895">
        <v>0</v>
      </c>
      <c r="R3323" s="883"/>
      <c r="S3323" s="883"/>
      <c r="T3323" s="883"/>
      <c r="U3323" s="883"/>
      <c r="V3323" s="114" t="s">
        <v>182</v>
      </c>
      <c r="W3323" s="114"/>
      <c r="X3323" s="884"/>
      <c r="Y3323" s="270"/>
      <c r="Z3323" s="270"/>
      <c r="AA3323" s="270"/>
    </row>
    <row r="3324" spans="3:27" ht="15" thickBot="1" x14ac:dyDescent="0.35">
      <c r="C3324" s="494" t="s">
        <v>110</v>
      </c>
      <c r="D3324" s="577"/>
      <c r="E3324" s="577" t="s">
        <v>5</v>
      </c>
      <c r="F3324" s="577" t="s">
        <v>33</v>
      </c>
      <c r="G3324" s="450" t="str">
        <f t="shared" si="158"/>
        <v>Tenant E-Break rooms-Faucets</v>
      </c>
      <c r="H3324" s="577"/>
      <c r="I3324" s="887" t="s">
        <v>65</v>
      </c>
      <c r="J3324" s="878">
        <f>SUMIFS('Level of Efficiency Assumptions'!J:J,'Level of Efficiency Assumptions'!D:D,E3324,'Level of Efficiency Assumptions'!F:F,F3324,'Level of Efficiency Assumptions'!I:I,I3324)</f>
        <v>1</v>
      </c>
      <c r="K3324" s="383" t="s">
        <v>78</v>
      </c>
      <c r="L3324" s="255" t="s">
        <v>65</v>
      </c>
      <c r="M3324" s="879">
        <f>Q3325+Q3326</f>
        <v>1</v>
      </c>
      <c r="N3324" s="880">
        <f>IFERROR(M3324/M3326,"-")</f>
        <v>1</v>
      </c>
      <c r="O3324" s="881">
        <f>SUMIFS('Data Entry'!S:S,'Data Entry'!K:K,G3324)</f>
        <v>0</v>
      </c>
      <c r="P3324" s="266" t="s">
        <v>178</v>
      </c>
      <c r="Q3324" s="895">
        <v>0</v>
      </c>
      <c r="R3324" s="883"/>
      <c r="S3324" s="883"/>
      <c r="T3324" s="883"/>
      <c r="U3324" s="883"/>
      <c r="V3324" s="114" t="s">
        <v>184</v>
      </c>
      <c r="W3324" s="114"/>
      <c r="X3324" s="884"/>
      <c r="Y3324" s="270"/>
      <c r="Z3324" s="270"/>
      <c r="AA3324" s="270"/>
    </row>
    <row r="3325" spans="3:27" ht="15" thickBot="1" x14ac:dyDescent="0.35">
      <c r="C3325" s="501" t="s">
        <v>110</v>
      </c>
      <c r="D3325" s="116"/>
      <c r="E3325" s="116" t="s">
        <v>5</v>
      </c>
      <c r="F3325" s="116" t="s">
        <v>33</v>
      </c>
      <c r="G3325" s="450" t="str">
        <f t="shared" si="158"/>
        <v>Tenant E-Break rooms-Faucets</v>
      </c>
      <c r="H3325" s="116"/>
      <c r="I3325" s="889" t="s">
        <v>66</v>
      </c>
      <c r="J3325" s="890">
        <f>SUMIFS('Level of Efficiency Assumptions'!J:J,'Level of Efficiency Assumptions'!D:D,E3325,'Level of Efficiency Assumptions'!F:F,F3325,'Level of Efficiency Assumptions'!I:I,I3325)</f>
        <v>0.5</v>
      </c>
      <c r="K3325" s="383" t="s">
        <v>78</v>
      </c>
      <c r="L3325" s="257" t="s">
        <v>66</v>
      </c>
      <c r="M3325" s="879">
        <f>Q3327</f>
        <v>0</v>
      </c>
      <c r="N3325" s="880">
        <f>IFERROR(M3325/M3326,"-")</f>
        <v>0</v>
      </c>
      <c r="O3325" s="881">
        <f>SUMIFS('Data Entry'!T:T,'Data Entry'!K:K,G3325)</f>
        <v>0</v>
      </c>
      <c r="P3325" s="267" t="s">
        <v>176</v>
      </c>
      <c r="Q3325" s="895">
        <v>1</v>
      </c>
      <c r="R3325" s="883"/>
      <c r="S3325" s="883"/>
      <c r="T3325" s="883"/>
      <c r="U3325" s="883"/>
      <c r="V3325" s="114" t="s">
        <v>185</v>
      </c>
      <c r="W3325" s="114"/>
      <c r="X3325" s="884"/>
      <c r="Y3325" s="270"/>
      <c r="Z3325" s="270"/>
      <c r="AA3325" s="270"/>
    </row>
    <row r="3326" spans="3:27" x14ac:dyDescent="0.3">
      <c r="C3326" s="450"/>
      <c r="D3326" s="182"/>
      <c r="E3326" s="182"/>
      <c r="F3326" s="182"/>
      <c r="G3326" s="450" t="str">
        <f t="shared" si="158"/>
        <v>--</v>
      </c>
      <c r="H3326" s="182"/>
      <c r="I3326" s="440"/>
      <c r="J3326" s="892"/>
      <c r="K3326" s="259"/>
      <c r="L3326" s="259" t="s">
        <v>46</v>
      </c>
      <c r="M3326" s="893">
        <f>SUM(M3323:M3325)</f>
        <v>1</v>
      </c>
      <c r="N3326" s="894"/>
      <c r="O3326" s="894">
        <f>SUM(O3323:O3325)</f>
        <v>0</v>
      </c>
      <c r="P3326" s="256" t="s">
        <v>173</v>
      </c>
      <c r="Q3326" s="895">
        <v>0</v>
      </c>
      <c r="R3326" s="883"/>
      <c r="S3326" s="883"/>
      <c r="T3326" s="883"/>
      <c r="U3326" s="883"/>
      <c r="V3326" s="114" t="s">
        <v>186</v>
      </c>
      <c r="W3326" s="114"/>
      <c r="X3326" s="884"/>
      <c r="Y3326" s="270"/>
      <c r="Z3326" s="270"/>
      <c r="AA3326" s="270"/>
    </row>
    <row r="3327" spans="3:27" x14ac:dyDescent="0.3">
      <c r="C3327" s="450"/>
      <c r="D3327" s="182"/>
      <c r="E3327" s="182"/>
      <c r="F3327" s="182"/>
      <c r="G3327" s="450" t="str">
        <f t="shared" si="158"/>
        <v>--</v>
      </c>
      <c r="H3327" s="182"/>
      <c r="I3327" s="892"/>
      <c r="J3327" s="288"/>
      <c r="K3327" s="182"/>
      <c r="L3327" s="182"/>
      <c r="M3327" s="270"/>
      <c r="N3327" s="892"/>
      <c r="O3327" s="892"/>
      <c r="P3327" s="258" t="s">
        <v>172</v>
      </c>
      <c r="Q3327" s="895">
        <v>0</v>
      </c>
      <c r="R3327" s="883"/>
      <c r="S3327" s="883"/>
      <c r="T3327" s="883"/>
      <c r="U3327" s="883"/>
      <c r="V3327" s="114"/>
      <c r="W3327" s="114"/>
      <c r="X3327" s="884"/>
      <c r="Y3327" s="270"/>
      <c r="Z3327" s="270"/>
      <c r="AA3327" s="270"/>
    </row>
    <row r="3328" spans="3:27" x14ac:dyDescent="0.3">
      <c r="C3328" s="450"/>
      <c r="D3328" s="182"/>
      <c r="E3328" s="182"/>
      <c r="F3328" s="182"/>
      <c r="G3328" s="450" t="str">
        <f t="shared" si="158"/>
        <v>--</v>
      </c>
      <c r="H3328" s="182"/>
      <c r="I3328" s="892"/>
      <c r="J3328" s="288"/>
      <c r="K3328" s="182"/>
      <c r="L3328" s="182"/>
      <c r="M3328" s="270"/>
      <c r="N3328" s="892"/>
      <c r="O3328" s="892"/>
      <c r="P3328" s="263" t="s">
        <v>46</v>
      </c>
      <c r="Q3328" s="897">
        <f>SUM(Q3322:Q3327)</f>
        <v>1</v>
      </c>
      <c r="R3328" s="899"/>
      <c r="S3328" s="899"/>
      <c r="T3328" s="899"/>
      <c r="U3328" s="899"/>
      <c r="V3328" s="899"/>
      <c r="W3328" s="899"/>
      <c r="X3328" s="900"/>
      <c r="Y3328" s="270"/>
      <c r="Z3328" s="270"/>
      <c r="AA3328" s="270"/>
    </row>
    <row r="3329" spans="3:27" x14ac:dyDescent="0.3">
      <c r="C3329" s="450"/>
      <c r="D3329" s="182"/>
      <c r="E3329" s="182"/>
      <c r="F3329" s="182"/>
      <c r="G3329" s="450" t="str">
        <f t="shared" si="158"/>
        <v>--</v>
      </c>
      <c r="H3329" s="182"/>
      <c r="I3329" s="892"/>
      <c r="J3329" s="288"/>
      <c r="K3329" s="182"/>
      <c r="L3329" s="182"/>
      <c r="M3329" s="270"/>
      <c r="N3329" s="892"/>
      <c r="O3329" s="892"/>
      <c r="P3329" s="259"/>
      <c r="Q3329" s="114"/>
      <c r="R3329" s="114"/>
      <c r="S3329" s="114"/>
      <c r="T3329" s="114"/>
      <c r="U3329" s="114"/>
      <c r="V3329" s="114"/>
      <c r="W3329" s="270"/>
      <c r="X3329" s="270"/>
      <c r="Y3329" s="270"/>
      <c r="Z3329" s="270"/>
      <c r="AA3329" s="270"/>
    </row>
    <row r="3330" spans="3:27" ht="15" thickBot="1" x14ac:dyDescent="0.35">
      <c r="C3330" s="450"/>
      <c r="D3330" s="182"/>
      <c r="E3330" s="182"/>
      <c r="F3330" s="182"/>
      <c r="G3330" s="450" t="str">
        <f t="shared" si="158"/>
        <v>--</v>
      </c>
      <c r="H3330" s="182"/>
      <c r="I3330" s="892"/>
      <c r="J3330" s="892"/>
      <c r="K3330" s="182"/>
      <c r="L3330" s="182"/>
      <c r="M3330" s="901" t="s">
        <v>155</v>
      </c>
      <c r="N3330" s="870" t="s">
        <v>188</v>
      </c>
      <c r="O3330" s="870"/>
      <c r="P3330" s="265" t="s">
        <v>33</v>
      </c>
      <c r="Q3330" s="871" t="s">
        <v>155</v>
      </c>
      <c r="R3330" s="872" t="s">
        <v>168</v>
      </c>
      <c r="S3330" s="872" t="s">
        <v>169</v>
      </c>
      <c r="T3330" s="872" t="s">
        <v>170</v>
      </c>
      <c r="U3330" s="872" t="s">
        <v>171</v>
      </c>
      <c r="V3330" s="902"/>
      <c r="W3330" s="902"/>
      <c r="X3330" s="874"/>
      <c r="Y3330" s="270"/>
      <c r="Z3330" s="270"/>
      <c r="AA3330" s="270"/>
    </row>
    <row r="3331" spans="3:27" ht="15" thickBot="1" x14ac:dyDescent="0.35">
      <c r="C3331" s="566" t="s">
        <v>110</v>
      </c>
      <c r="D3331" s="875" t="str">
        <f>VLOOKUP(C3331,'Airport Mapping'!$C$5:$D$39,2,FALSE)</f>
        <v xml:space="preserve"> </v>
      </c>
      <c r="E3331" s="567" t="s">
        <v>391</v>
      </c>
      <c r="F3331" s="567" t="s">
        <v>114</v>
      </c>
      <c r="G3331" s="450" t="str">
        <f t="shared" si="158"/>
        <v>Tenant E-Flight kitchens-Kitchen faucets</v>
      </c>
      <c r="H3331" s="567" t="s">
        <v>118</v>
      </c>
      <c r="I3331" s="877" t="s">
        <v>64</v>
      </c>
      <c r="J3331" s="878">
        <f>SUMIFS('Level of Efficiency Assumptions'!J:J,'Level of Efficiency Assumptions'!D:D,E3331,'Level of Efficiency Assumptions'!F:F,F3331,'Level of Efficiency Assumptions'!I:I,I3331)</f>
        <v>2</v>
      </c>
      <c r="K3331" s="383" t="s">
        <v>78</v>
      </c>
      <c r="L3331" s="253" t="s">
        <v>64</v>
      </c>
      <c r="M3331" s="879">
        <f>Q3331+Q3332</f>
        <v>0</v>
      </c>
      <c r="N3331" s="880">
        <f>IFERROR(M3331/M3334,"-")</f>
        <v>0</v>
      </c>
      <c r="O3331" s="881">
        <f>SUMIFS('Data Entry'!R:R,'Data Entry'!K:K,G3331)</f>
        <v>0</v>
      </c>
      <c r="P3331" s="266" t="s">
        <v>180</v>
      </c>
      <c r="Q3331" s="895">
        <v>0</v>
      </c>
      <c r="R3331" s="883"/>
      <c r="S3331" s="883"/>
      <c r="T3331" s="883"/>
      <c r="U3331" s="883"/>
      <c r="V3331" s="114" t="s">
        <v>182</v>
      </c>
      <c r="W3331" s="114"/>
      <c r="X3331" s="884"/>
      <c r="Y3331" s="270"/>
      <c r="Z3331" s="270"/>
      <c r="AA3331" s="270"/>
    </row>
    <row r="3332" spans="3:27" ht="15" thickBot="1" x14ac:dyDescent="0.35">
      <c r="C3332" s="494" t="s">
        <v>110</v>
      </c>
      <c r="D3332" s="577"/>
      <c r="E3332" s="577" t="s">
        <v>391</v>
      </c>
      <c r="F3332" s="577" t="s">
        <v>114</v>
      </c>
      <c r="G3332" s="450" t="str">
        <f t="shared" si="158"/>
        <v>Tenant E-Flight kitchens-Kitchen faucets</v>
      </c>
      <c r="H3332" s="577"/>
      <c r="I3332" s="887" t="s">
        <v>65</v>
      </c>
      <c r="J3332" s="878">
        <f>SUMIFS('Level of Efficiency Assumptions'!J:J,'Level of Efficiency Assumptions'!D:D,E3332,'Level of Efficiency Assumptions'!F:F,F3332,'Level of Efficiency Assumptions'!I:I,I3332)</f>
        <v>1</v>
      </c>
      <c r="K3332" s="383" t="s">
        <v>78</v>
      </c>
      <c r="L3332" s="255" t="s">
        <v>65</v>
      </c>
      <c r="M3332" s="879">
        <f>Q3333+Q3334</f>
        <v>1</v>
      </c>
      <c r="N3332" s="880">
        <f>IFERROR(M3332/M3334,"-")</f>
        <v>1</v>
      </c>
      <c r="O3332" s="881">
        <f>SUMIFS('Data Entry'!S:S,'Data Entry'!K:K,G3332)</f>
        <v>0</v>
      </c>
      <c r="P3332" s="266" t="s">
        <v>178</v>
      </c>
      <c r="Q3332" s="895">
        <v>0</v>
      </c>
      <c r="R3332" s="883"/>
      <c r="S3332" s="883"/>
      <c r="T3332" s="883"/>
      <c r="U3332" s="883"/>
      <c r="V3332" s="114" t="s">
        <v>184</v>
      </c>
      <c r="W3332" s="114"/>
      <c r="X3332" s="884"/>
      <c r="Y3332" s="270"/>
      <c r="Z3332" s="270"/>
      <c r="AA3332" s="270"/>
    </row>
    <row r="3333" spans="3:27" ht="15" thickBot="1" x14ac:dyDescent="0.35">
      <c r="C3333" s="501" t="s">
        <v>110</v>
      </c>
      <c r="D3333" s="116"/>
      <c r="E3333" s="116" t="s">
        <v>391</v>
      </c>
      <c r="F3333" s="116" t="s">
        <v>114</v>
      </c>
      <c r="G3333" s="450" t="str">
        <f t="shared" si="158"/>
        <v>Tenant E-Flight kitchens-Kitchen faucets</v>
      </c>
      <c r="H3333" s="116"/>
      <c r="I3333" s="889" t="s">
        <v>66</v>
      </c>
      <c r="J3333" s="890">
        <f>SUMIFS('Level of Efficiency Assumptions'!J:J,'Level of Efficiency Assumptions'!D:D,E3333,'Level of Efficiency Assumptions'!F:F,F3333,'Level of Efficiency Assumptions'!I:I,I3333)</f>
        <v>0.5</v>
      </c>
      <c r="K3333" s="383" t="s">
        <v>78</v>
      </c>
      <c r="L3333" s="257" t="s">
        <v>66</v>
      </c>
      <c r="M3333" s="879">
        <f>Q3335</f>
        <v>0</v>
      </c>
      <c r="N3333" s="880">
        <f>IFERROR(M3333/M3334,"-")</f>
        <v>0</v>
      </c>
      <c r="O3333" s="881">
        <f>SUMIFS('Data Entry'!T:T,'Data Entry'!K:K,G3333)</f>
        <v>0</v>
      </c>
      <c r="P3333" s="267" t="s">
        <v>176</v>
      </c>
      <c r="Q3333" s="895">
        <v>1</v>
      </c>
      <c r="R3333" s="883"/>
      <c r="S3333" s="883"/>
      <c r="T3333" s="883"/>
      <c r="U3333" s="883"/>
      <c r="V3333" s="114" t="s">
        <v>185</v>
      </c>
      <c r="W3333" s="114"/>
      <c r="X3333" s="884"/>
      <c r="Y3333" s="270"/>
      <c r="Z3333" s="270"/>
      <c r="AA3333" s="270"/>
    </row>
    <row r="3334" spans="3:27" x14ac:dyDescent="0.3">
      <c r="C3334" s="450"/>
      <c r="D3334" s="182"/>
      <c r="E3334" s="182"/>
      <c r="F3334" s="182"/>
      <c r="G3334" s="450" t="str">
        <f t="shared" si="158"/>
        <v>--</v>
      </c>
      <c r="H3334" s="182"/>
      <c r="I3334" s="440"/>
      <c r="J3334" s="892"/>
      <c r="K3334" s="259"/>
      <c r="L3334" s="259" t="s">
        <v>46</v>
      </c>
      <c r="M3334" s="893">
        <f>SUM(M3331:M3333)</f>
        <v>1</v>
      </c>
      <c r="N3334" s="894"/>
      <c r="O3334" s="894">
        <f>SUM(O3331:O3333)</f>
        <v>0</v>
      </c>
      <c r="P3334" s="256" t="s">
        <v>173</v>
      </c>
      <c r="Q3334" s="895">
        <v>0</v>
      </c>
      <c r="R3334" s="883"/>
      <c r="S3334" s="883"/>
      <c r="T3334" s="883"/>
      <c r="U3334" s="883"/>
      <c r="V3334" s="114" t="s">
        <v>186</v>
      </c>
      <c r="W3334" s="114"/>
      <c r="X3334" s="884"/>
      <c r="Y3334" s="270"/>
      <c r="Z3334" s="270"/>
      <c r="AA3334" s="270"/>
    </row>
    <row r="3335" spans="3:27" x14ac:dyDescent="0.3">
      <c r="C3335" s="450"/>
      <c r="D3335" s="182"/>
      <c r="E3335" s="182"/>
      <c r="F3335" s="182"/>
      <c r="G3335" s="450" t="str">
        <f t="shared" si="158"/>
        <v>--</v>
      </c>
      <c r="H3335" s="182"/>
      <c r="I3335" s="892"/>
      <c r="J3335" s="288"/>
      <c r="K3335" s="182"/>
      <c r="L3335" s="182"/>
      <c r="M3335" s="270"/>
      <c r="N3335" s="892"/>
      <c r="O3335" s="892"/>
      <c r="P3335" s="258" t="s">
        <v>172</v>
      </c>
      <c r="Q3335" s="895">
        <v>0</v>
      </c>
      <c r="R3335" s="883"/>
      <c r="S3335" s="883"/>
      <c r="T3335" s="883"/>
      <c r="U3335" s="883"/>
      <c r="V3335" s="114"/>
      <c r="W3335" s="114"/>
      <c r="X3335" s="884"/>
      <c r="Y3335" s="270"/>
      <c r="Z3335" s="270"/>
      <c r="AA3335" s="270"/>
    </row>
    <row r="3336" spans="3:27" x14ac:dyDescent="0.3">
      <c r="C3336" s="450"/>
      <c r="D3336" s="182"/>
      <c r="E3336" s="182"/>
      <c r="F3336" s="182"/>
      <c r="G3336" s="450" t="str">
        <f t="shared" si="158"/>
        <v>--</v>
      </c>
      <c r="H3336" s="182"/>
      <c r="I3336" s="892"/>
      <c r="J3336" s="288"/>
      <c r="K3336" s="182"/>
      <c r="L3336" s="182"/>
      <c r="M3336" s="270"/>
      <c r="N3336" s="892"/>
      <c r="O3336" s="892"/>
      <c r="P3336" s="263" t="s">
        <v>46</v>
      </c>
      <c r="Q3336" s="897">
        <f>SUM(Q3330:Q3335)</f>
        <v>1</v>
      </c>
      <c r="R3336" s="899"/>
      <c r="S3336" s="899"/>
      <c r="T3336" s="899"/>
      <c r="U3336" s="899"/>
      <c r="V3336" s="899"/>
      <c r="W3336" s="899"/>
      <c r="X3336" s="900"/>
      <c r="Y3336" s="270"/>
      <c r="Z3336" s="270"/>
      <c r="AA3336" s="270"/>
    </row>
    <row r="3337" spans="3:27" x14ac:dyDescent="0.3">
      <c r="C3337" s="450"/>
      <c r="D3337" s="182"/>
      <c r="E3337" s="182"/>
      <c r="F3337" s="182"/>
      <c r="G3337" s="450" t="str">
        <f t="shared" si="158"/>
        <v>--</v>
      </c>
      <c r="H3337" s="182"/>
      <c r="I3337" s="892"/>
      <c r="J3337" s="288"/>
      <c r="K3337" s="182"/>
      <c r="L3337" s="182"/>
      <c r="M3337" s="270"/>
      <c r="N3337" s="892"/>
      <c r="O3337" s="892"/>
      <c r="P3337" s="270"/>
      <c r="Q3337" s="270"/>
      <c r="R3337" s="270"/>
      <c r="S3337" s="270"/>
      <c r="T3337" s="270"/>
      <c r="U3337" s="270"/>
      <c r="V3337" s="270"/>
      <c r="W3337" s="270"/>
      <c r="X3337" s="270"/>
      <c r="Y3337" s="270"/>
      <c r="Z3337" s="270"/>
      <c r="AA3337" s="270"/>
    </row>
    <row r="3338" spans="3:27" x14ac:dyDescent="0.3">
      <c r="C3338" s="450"/>
      <c r="D3338" s="182"/>
      <c r="E3338" s="182"/>
      <c r="F3338" s="182"/>
      <c r="G3338" s="450" t="str">
        <f t="shared" si="158"/>
        <v>--</v>
      </c>
      <c r="H3338" s="182"/>
      <c r="I3338" s="892"/>
      <c r="J3338" s="288"/>
      <c r="K3338" s="182"/>
      <c r="L3338" s="182"/>
      <c r="M3338" s="270"/>
      <c r="N3338" s="892"/>
      <c r="O3338" s="892"/>
      <c r="P3338" s="268" t="s">
        <v>196</v>
      </c>
      <c r="Q3338" s="906"/>
      <c r="R3338" s="902"/>
      <c r="S3338" s="902"/>
      <c r="T3338" s="902"/>
      <c r="U3338" s="902"/>
      <c r="V3338" s="902"/>
      <c r="W3338" s="902"/>
      <c r="X3338" s="902"/>
      <c r="Y3338" s="902"/>
      <c r="Z3338" s="902"/>
      <c r="AA3338" s="874"/>
    </row>
    <row r="3339" spans="3:27" ht="15" thickBot="1" x14ac:dyDescent="0.35">
      <c r="C3339" s="450"/>
      <c r="D3339" s="182"/>
      <c r="E3339" s="182"/>
      <c r="F3339" s="182"/>
      <c r="G3339" s="450" t="str">
        <f t="shared" si="158"/>
        <v>--</v>
      </c>
      <c r="H3339" s="182"/>
      <c r="I3339" s="892"/>
      <c r="J3339" s="892"/>
      <c r="K3339" s="182"/>
      <c r="L3339" s="182"/>
      <c r="M3339" s="901" t="s">
        <v>155</v>
      </c>
      <c r="N3339" s="870" t="s">
        <v>188</v>
      </c>
      <c r="O3339" s="870"/>
      <c r="P3339" s="271" t="s">
        <v>203</v>
      </c>
      <c r="Q3339" s="871" t="s">
        <v>155</v>
      </c>
      <c r="R3339" s="114"/>
      <c r="S3339" s="114"/>
      <c r="T3339" s="907" t="s">
        <v>156</v>
      </c>
      <c r="U3339" s="114"/>
      <c r="V3339" s="114"/>
      <c r="W3339" s="114"/>
      <c r="X3339" s="114"/>
      <c r="Y3339" s="114"/>
      <c r="Z3339" s="114"/>
      <c r="AA3339" s="884"/>
    </row>
    <row r="3340" spans="3:27" ht="15" thickBot="1" x14ac:dyDescent="0.35">
      <c r="C3340" s="566" t="s">
        <v>110</v>
      </c>
      <c r="D3340" s="875" t="str">
        <f>VLOOKUP(C3340,'Airport Mapping'!$C$5:$D$39,2,FALSE)</f>
        <v xml:space="preserve"> </v>
      </c>
      <c r="E3340" s="567" t="s">
        <v>391</v>
      </c>
      <c r="F3340" s="567" t="s">
        <v>41</v>
      </c>
      <c r="G3340" s="450" t="str">
        <f t="shared" si="158"/>
        <v>Tenant E-Flight kitchens-Dishwashers</v>
      </c>
      <c r="H3340" s="567" t="s">
        <v>118</v>
      </c>
      <c r="I3340" s="877" t="s">
        <v>64</v>
      </c>
      <c r="J3340" s="878">
        <f>SUMIFS('Level of Efficiency Assumptions'!J:J,'Level of Efficiency Assumptions'!D:D,E3340,'Level of Efficiency Assumptions'!F:F,F3340,'Level of Efficiency Assumptions'!I:I,I3340)</f>
        <v>4.5</v>
      </c>
      <c r="K3340" s="383" t="s">
        <v>203</v>
      </c>
      <c r="L3340" s="253" t="s">
        <v>64</v>
      </c>
      <c r="M3340" s="879">
        <f>SUM(Q3340:Q3342)</f>
        <v>0</v>
      </c>
      <c r="N3340" s="880">
        <f>IFERROR(M3340/M3343,"-")</f>
        <v>0</v>
      </c>
      <c r="O3340" s="881">
        <f>SUMIFS('Data Entry'!R:R,'Data Entry'!K:K,G3340)</f>
        <v>0</v>
      </c>
      <c r="P3340" s="266" t="s">
        <v>204</v>
      </c>
      <c r="Q3340" s="895">
        <v>0</v>
      </c>
      <c r="R3340" s="114"/>
      <c r="S3340" s="905" t="s">
        <v>200</v>
      </c>
      <c r="T3340" s="895">
        <v>1</v>
      </c>
      <c r="U3340" s="114"/>
      <c r="V3340" s="114" t="s">
        <v>218</v>
      </c>
      <c r="W3340" s="114"/>
      <c r="X3340" s="114"/>
      <c r="Y3340" s="114"/>
      <c r="Z3340" s="114"/>
      <c r="AA3340" s="884"/>
    </row>
    <row r="3341" spans="3:27" ht="15" thickBot="1" x14ac:dyDescent="0.35">
      <c r="C3341" s="494" t="s">
        <v>110</v>
      </c>
      <c r="D3341" s="577"/>
      <c r="E3341" s="577" t="s">
        <v>391</v>
      </c>
      <c r="F3341" s="577" t="s">
        <v>41</v>
      </c>
      <c r="G3341" s="450" t="str">
        <f t="shared" si="158"/>
        <v>Tenant E-Flight kitchens-Dishwashers</v>
      </c>
      <c r="H3341" s="577"/>
      <c r="I3341" s="887" t="s">
        <v>65</v>
      </c>
      <c r="J3341" s="878">
        <f>SUMIFS('Level of Efficiency Assumptions'!J:J,'Level of Efficiency Assumptions'!D:D,E3341,'Level of Efficiency Assumptions'!F:F,F3341,'Level of Efficiency Assumptions'!I:I,I3341)</f>
        <v>2.5</v>
      </c>
      <c r="K3341" s="383" t="s">
        <v>203</v>
      </c>
      <c r="L3341" s="255" t="s">
        <v>65</v>
      </c>
      <c r="M3341" s="879">
        <f>Q3343+Q3344</f>
        <v>1</v>
      </c>
      <c r="N3341" s="880">
        <f>IFERROR(M3341/M3343,"-")</f>
        <v>1</v>
      </c>
      <c r="O3341" s="881">
        <f>SUMIFS('Data Entry'!S:S,'Data Entry'!K:K,G3341)</f>
        <v>0</v>
      </c>
      <c r="P3341" s="272" t="s">
        <v>205</v>
      </c>
      <c r="Q3341" s="895">
        <v>0</v>
      </c>
      <c r="R3341" s="114"/>
      <c r="S3341" s="908" t="s">
        <v>201</v>
      </c>
      <c r="T3341" s="895">
        <v>1</v>
      </c>
      <c r="U3341" s="114"/>
      <c r="V3341" s="114"/>
      <c r="W3341" s="114"/>
      <c r="X3341" s="114"/>
      <c r="Y3341" s="114"/>
      <c r="Z3341" s="114"/>
      <c r="AA3341" s="884"/>
    </row>
    <row r="3342" spans="3:27" ht="15" thickBot="1" x14ac:dyDescent="0.35">
      <c r="C3342" s="501" t="s">
        <v>110</v>
      </c>
      <c r="D3342" s="116"/>
      <c r="E3342" s="116" t="s">
        <v>391</v>
      </c>
      <c r="F3342" s="116" t="s">
        <v>41</v>
      </c>
      <c r="G3342" s="450" t="str">
        <f t="shared" si="158"/>
        <v>Tenant E-Flight kitchens-Dishwashers</v>
      </c>
      <c r="H3342" s="116"/>
      <c r="I3342" s="889" t="s">
        <v>66</v>
      </c>
      <c r="J3342" s="890">
        <f>SUMIFS('Level of Efficiency Assumptions'!J:J,'Level of Efficiency Assumptions'!D:D,E3342,'Level of Efficiency Assumptions'!F:F,F3342,'Level of Efficiency Assumptions'!I:I,I3342)</f>
        <v>1</v>
      </c>
      <c r="K3342" s="383" t="s">
        <v>203</v>
      </c>
      <c r="L3342" s="257" t="s">
        <v>66</v>
      </c>
      <c r="M3342" s="879">
        <f>Q3345+Q3346</f>
        <v>0</v>
      </c>
      <c r="N3342" s="880">
        <f>IFERROR(M3342/M3343,"-")</f>
        <v>0</v>
      </c>
      <c r="O3342" s="881">
        <f>SUMIFS('Data Entry'!T:T,'Data Entry'!K:K,G3342)</f>
        <v>0</v>
      </c>
      <c r="P3342" s="272" t="s">
        <v>206</v>
      </c>
      <c r="Q3342" s="895">
        <v>0</v>
      </c>
      <c r="R3342" s="114"/>
      <c r="S3342" s="908" t="s">
        <v>202</v>
      </c>
      <c r="T3342" s="895">
        <v>1</v>
      </c>
      <c r="U3342" s="114"/>
      <c r="V3342" s="114"/>
      <c r="W3342" s="114"/>
      <c r="X3342" s="114"/>
      <c r="Y3342" s="114"/>
      <c r="Z3342" s="114"/>
      <c r="AA3342" s="884"/>
    </row>
    <row r="3343" spans="3:27" x14ac:dyDescent="0.3">
      <c r="C3343" s="450"/>
      <c r="D3343" s="182"/>
      <c r="E3343" s="182"/>
      <c r="F3343" s="182"/>
      <c r="G3343" s="450" t="str">
        <f t="shared" si="158"/>
        <v>--</v>
      </c>
      <c r="H3343" s="182"/>
      <c r="I3343" s="440"/>
      <c r="J3343" s="892"/>
      <c r="K3343" s="259"/>
      <c r="L3343" s="259" t="s">
        <v>46</v>
      </c>
      <c r="M3343" s="893">
        <f>SUM(M3340:M3342)</f>
        <v>1</v>
      </c>
      <c r="N3343" s="894"/>
      <c r="O3343" s="894">
        <f>SUM(O3340:O3342)</f>
        <v>0</v>
      </c>
      <c r="P3343" s="267" t="s">
        <v>207</v>
      </c>
      <c r="Q3343" s="895">
        <v>1</v>
      </c>
      <c r="R3343" s="114"/>
      <c r="S3343" s="908" t="s">
        <v>199</v>
      </c>
      <c r="T3343" s="895">
        <v>1</v>
      </c>
      <c r="U3343" s="114"/>
      <c r="V3343" s="114"/>
      <c r="W3343" s="114"/>
      <c r="X3343" s="114"/>
      <c r="Y3343" s="114"/>
      <c r="Z3343" s="114"/>
      <c r="AA3343" s="884"/>
    </row>
    <row r="3344" spans="3:27" x14ac:dyDescent="0.3">
      <c r="C3344" s="450"/>
      <c r="D3344" s="182"/>
      <c r="E3344" s="182"/>
      <c r="F3344" s="182"/>
      <c r="G3344" s="450" t="str">
        <f t="shared" ref="G3344:G3407" si="160">C3344&amp;"-"&amp;E3344&amp;"-"&amp;F3344</f>
        <v>--</v>
      </c>
      <c r="H3344" s="182"/>
      <c r="I3344" s="892"/>
      <c r="J3344" s="288"/>
      <c r="K3344" s="182"/>
      <c r="L3344" s="182"/>
      <c r="M3344" s="270"/>
      <c r="N3344" s="892"/>
      <c r="O3344" s="892"/>
      <c r="P3344" s="267" t="s">
        <v>208</v>
      </c>
      <c r="Q3344" s="895">
        <v>0</v>
      </c>
      <c r="R3344" s="114"/>
      <c r="S3344" s="909" t="s">
        <v>198</v>
      </c>
      <c r="T3344" s="895">
        <v>1</v>
      </c>
      <c r="U3344" s="114"/>
      <c r="V3344" s="114"/>
      <c r="W3344" s="114"/>
      <c r="X3344" s="114"/>
      <c r="Y3344" s="114"/>
      <c r="Z3344" s="114"/>
      <c r="AA3344" s="884"/>
    </row>
    <row r="3345" spans="3:27" x14ac:dyDescent="0.3">
      <c r="C3345" s="450"/>
      <c r="D3345" s="182"/>
      <c r="E3345" s="182"/>
      <c r="F3345" s="182"/>
      <c r="G3345" s="450" t="str">
        <f t="shared" si="160"/>
        <v>--</v>
      </c>
      <c r="H3345" s="182"/>
      <c r="I3345" s="892"/>
      <c r="J3345" s="288"/>
      <c r="K3345" s="182"/>
      <c r="L3345" s="182"/>
      <c r="M3345" s="270"/>
      <c r="N3345" s="892"/>
      <c r="O3345" s="892"/>
      <c r="P3345" s="269" t="s">
        <v>209</v>
      </c>
      <c r="Q3345" s="895">
        <v>0</v>
      </c>
      <c r="R3345" s="114"/>
      <c r="S3345" s="905" t="s">
        <v>197</v>
      </c>
      <c r="T3345" s="895">
        <v>1</v>
      </c>
      <c r="U3345" s="114"/>
      <c r="V3345" s="114"/>
      <c r="W3345" s="114"/>
      <c r="X3345" s="114"/>
      <c r="Y3345" s="114"/>
      <c r="Z3345" s="114"/>
      <c r="AA3345" s="884"/>
    </row>
    <row r="3346" spans="3:27" x14ac:dyDescent="0.3">
      <c r="C3346" s="450"/>
      <c r="D3346" s="182"/>
      <c r="E3346" s="182"/>
      <c r="F3346" s="182"/>
      <c r="G3346" s="450" t="str">
        <f t="shared" si="160"/>
        <v>--</v>
      </c>
      <c r="H3346" s="182"/>
      <c r="I3346" s="892"/>
      <c r="J3346" s="288"/>
      <c r="K3346" s="182"/>
      <c r="L3346" s="182"/>
      <c r="M3346" s="270"/>
      <c r="N3346" s="892"/>
      <c r="O3346" s="892"/>
      <c r="P3346" s="269" t="s">
        <v>210</v>
      </c>
      <c r="Q3346" s="895">
        <v>0</v>
      </c>
      <c r="R3346" s="114"/>
      <c r="S3346" s="114" t="s">
        <v>216</v>
      </c>
      <c r="T3346" s="910">
        <f>(T3340*55)+(T3341*45)+(T3342*35)+(T3343*25)+(T3344*15)+(T3345*5)</f>
        <v>180</v>
      </c>
      <c r="U3346" s="1393" t="s">
        <v>217</v>
      </c>
      <c r="V3346" s="1393"/>
      <c r="W3346" s="1393"/>
      <c r="X3346" s="114"/>
      <c r="Y3346" s="114"/>
      <c r="Z3346" s="114"/>
      <c r="AA3346" s="884"/>
    </row>
    <row r="3347" spans="3:27" x14ac:dyDescent="0.3">
      <c r="C3347" s="450"/>
      <c r="D3347" s="182"/>
      <c r="E3347" s="182"/>
      <c r="F3347" s="182"/>
      <c r="G3347" s="450" t="str">
        <f t="shared" si="160"/>
        <v>--</v>
      </c>
      <c r="H3347" s="182"/>
      <c r="I3347" s="892"/>
      <c r="J3347" s="288"/>
      <c r="K3347" s="182"/>
      <c r="L3347" s="182"/>
      <c r="M3347" s="270"/>
      <c r="N3347" s="892"/>
      <c r="O3347" s="892"/>
      <c r="P3347" s="263" t="s">
        <v>46</v>
      </c>
      <c r="Q3347" s="897">
        <f>SUM(Q3340:Q3346)</f>
        <v>1</v>
      </c>
      <c r="R3347" s="899"/>
      <c r="S3347" s="899"/>
      <c r="T3347" s="899"/>
      <c r="U3347" s="1394"/>
      <c r="V3347" s="1394"/>
      <c r="W3347" s="1394"/>
      <c r="X3347" s="899"/>
      <c r="Y3347" s="899"/>
      <c r="Z3347" s="899"/>
      <c r="AA3347" s="900"/>
    </row>
    <row r="3348" spans="3:27" x14ac:dyDescent="0.3">
      <c r="C3348" s="450"/>
      <c r="D3348" s="182"/>
      <c r="E3348" s="182"/>
      <c r="F3348" s="182"/>
      <c r="G3348" s="450" t="str">
        <f t="shared" si="160"/>
        <v>--</v>
      </c>
      <c r="H3348" s="182"/>
      <c r="I3348" s="892"/>
      <c r="J3348" s="288"/>
      <c r="K3348" s="182"/>
      <c r="L3348" s="182"/>
      <c r="M3348" s="270"/>
      <c r="N3348" s="892"/>
      <c r="O3348" s="892"/>
      <c r="P3348" s="114"/>
      <c r="Q3348" s="114"/>
      <c r="R3348" s="114"/>
      <c r="S3348" s="114"/>
      <c r="T3348" s="114"/>
      <c r="U3348" s="114"/>
      <c r="V3348" s="114"/>
      <c r="W3348" s="114"/>
      <c r="X3348" s="270"/>
      <c r="Y3348" s="270"/>
      <c r="Z3348" s="270"/>
      <c r="AA3348" s="270"/>
    </row>
    <row r="3349" spans="3:27" x14ac:dyDescent="0.3">
      <c r="C3349" s="450"/>
      <c r="D3349" s="182"/>
      <c r="E3349" s="182"/>
      <c r="F3349" s="182"/>
      <c r="G3349" s="450" t="str">
        <f t="shared" si="160"/>
        <v>--</v>
      </c>
      <c r="H3349" s="182"/>
      <c r="I3349" s="892"/>
      <c r="J3349" s="288"/>
      <c r="K3349" s="182"/>
      <c r="L3349" s="182"/>
      <c r="M3349" s="270"/>
      <c r="N3349" s="892"/>
      <c r="O3349" s="892"/>
      <c r="P3349" s="268" t="s">
        <v>174</v>
      </c>
      <c r="Q3349" s="911"/>
      <c r="R3349" s="872"/>
      <c r="S3349" s="874"/>
      <c r="T3349" s="270"/>
      <c r="U3349" s="270"/>
      <c r="V3349" s="270"/>
      <c r="W3349" s="270"/>
      <c r="X3349" s="270"/>
      <c r="Y3349" s="270"/>
      <c r="Z3349" s="270"/>
      <c r="AA3349" s="270"/>
    </row>
    <row r="3350" spans="3:27" ht="15" thickBot="1" x14ac:dyDescent="0.35">
      <c r="C3350" s="450"/>
      <c r="D3350" s="182"/>
      <c r="E3350" s="182"/>
      <c r="F3350" s="182"/>
      <c r="G3350" s="450" t="str">
        <f t="shared" si="160"/>
        <v>--</v>
      </c>
      <c r="H3350" s="182"/>
      <c r="I3350" s="892"/>
      <c r="J3350" s="892"/>
      <c r="K3350" s="182"/>
      <c r="L3350" s="182"/>
      <c r="M3350" s="901" t="s">
        <v>155</v>
      </c>
      <c r="N3350" s="870" t="s">
        <v>188</v>
      </c>
      <c r="O3350" s="870"/>
      <c r="P3350" s="273" t="s">
        <v>220</v>
      </c>
      <c r="Q3350" s="871" t="s">
        <v>155</v>
      </c>
      <c r="R3350" s="114"/>
      <c r="S3350" s="884"/>
      <c r="T3350" s="270"/>
      <c r="U3350" s="270"/>
      <c r="V3350" s="270"/>
      <c r="W3350" s="270"/>
      <c r="X3350" s="270"/>
      <c r="Y3350" s="270"/>
      <c r="Z3350" s="270"/>
      <c r="AA3350" s="270"/>
    </row>
    <row r="3351" spans="3:27" ht="15" thickBot="1" x14ac:dyDescent="0.35">
      <c r="C3351" s="566" t="s">
        <v>110</v>
      </c>
      <c r="D3351" s="875" t="str">
        <f>VLOOKUP(C3351,'Airport Mapping'!$C$5:$D$39,2,FALSE)</f>
        <v xml:space="preserve"> </v>
      </c>
      <c r="E3351" s="567" t="s">
        <v>391</v>
      </c>
      <c r="F3351" s="567" t="s">
        <v>20</v>
      </c>
      <c r="G3351" s="450" t="str">
        <f t="shared" si="160"/>
        <v>Tenant E-Flight kitchens-Ice machines</v>
      </c>
      <c r="H3351" s="567" t="s">
        <v>118</v>
      </c>
      <c r="I3351" s="877" t="s">
        <v>64</v>
      </c>
      <c r="J3351" s="878">
        <f>SUMIFS('Level of Efficiency Assumptions'!J:J,'Level of Efficiency Assumptions'!D:D,E3351,'Level of Efficiency Assumptions'!F:F,F3351,'Level of Efficiency Assumptions'!I:I,I3351)</f>
        <v>1.5</v>
      </c>
      <c r="K3351" s="383" t="s">
        <v>220</v>
      </c>
      <c r="L3351" s="253" t="s">
        <v>64</v>
      </c>
      <c r="M3351" s="879">
        <f>SUM(Q3351:Q3353)</f>
        <v>0</v>
      </c>
      <c r="N3351" s="880">
        <f>IFERROR(M3351/M3354,"-")</f>
        <v>0</v>
      </c>
      <c r="O3351" s="881">
        <f>SUMIFS('Data Entry'!R:R,'Data Entry'!K:K,G3351)</f>
        <v>0</v>
      </c>
      <c r="P3351" s="266" t="s">
        <v>204</v>
      </c>
      <c r="Q3351" s="895">
        <v>0</v>
      </c>
      <c r="R3351" s="114"/>
      <c r="S3351" s="884"/>
      <c r="T3351" s="270"/>
      <c r="U3351" s="270"/>
      <c r="V3351" s="270"/>
      <c r="W3351" s="912"/>
      <c r="X3351" s="270"/>
      <c r="Y3351" s="270"/>
      <c r="Z3351" s="270"/>
      <c r="AA3351" s="270"/>
    </row>
    <row r="3352" spans="3:27" ht="15" thickBot="1" x14ac:dyDescent="0.35">
      <c r="C3352" s="494" t="s">
        <v>110</v>
      </c>
      <c r="D3352" s="577"/>
      <c r="E3352" s="577" t="s">
        <v>391</v>
      </c>
      <c r="F3352" s="577" t="s">
        <v>20</v>
      </c>
      <c r="G3352" s="450" t="str">
        <f t="shared" si="160"/>
        <v>Tenant E-Flight kitchens-Ice machines</v>
      </c>
      <c r="H3352" s="577"/>
      <c r="I3352" s="887" t="s">
        <v>65</v>
      </c>
      <c r="J3352" s="878">
        <f>SUMIFS('Level of Efficiency Assumptions'!J:J,'Level of Efficiency Assumptions'!D:D,E3352,'Level of Efficiency Assumptions'!F:F,F3352,'Level of Efficiency Assumptions'!I:I,I3352)</f>
        <v>0.25</v>
      </c>
      <c r="K3352" s="383" t="s">
        <v>220</v>
      </c>
      <c r="L3352" s="255" t="s">
        <v>65</v>
      </c>
      <c r="M3352" s="879">
        <f>Q3354+Q3355</f>
        <v>1</v>
      </c>
      <c r="N3352" s="880">
        <f>IFERROR(M3352/M3354,"-")</f>
        <v>1</v>
      </c>
      <c r="O3352" s="881">
        <f>SUMIFS('Data Entry'!S:S,'Data Entry'!K:K,G3352)</f>
        <v>0</v>
      </c>
      <c r="P3352" s="272" t="s">
        <v>205</v>
      </c>
      <c r="Q3352" s="895">
        <v>0</v>
      </c>
      <c r="R3352" s="114"/>
      <c r="S3352" s="884"/>
      <c r="T3352" s="270"/>
      <c r="U3352" s="270"/>
      <c r="V3352" s="270"/>
      <c r="W3352" s="912"/>
      <c r="X3352" s="270"/>
      <c r="Y3352" s="270"/>
      <c r="Z3352" s="270"/>
      <c r="AA3352" s="270"/>
    </row>
    <row r="3353" spans="3:27" ht="15" thickBot="1" x14ac:dyDescent="0.35">
      <c r="C3353" s="501" t="s">
        <v>110</v>
      </c>
      <c r="D3353" s="116"/>
      <c r="E3353" s="116" t="s">
        <v>391</v>
      </c>
      <c r="F3353" s="116" t="s">
        <v>20</v>
      </c>
      <c r="G3353" s="450" t="str">
        <f t="shared" si="160"/>
        <v>Tenant E-Flight kitchens-Ice machines</v>
      </c>
      <c r="H3353" s="116"/>
      <c r="I3353" s="889" t="s">
        <v>66</v>
      </c>
      <c r="J3353" s="890">
        <f>SUMIFS('Level of Efficiency Assumptions'!J:J,'Level of Efficiency Assumptions'!D:D,E3353,'Level of Efficiency Assumptions'!F:F,F3353,'Level of Efficiency Assumptions'!I:I,I3353)</f>
        <v>0.12</v>
      </c>
      <c r="K3353" s="383" t="s">
        <v>220</v>
      </c>
      <c r="L3353" s="257" t="s">
        <v>66</v>
      </c>
      <c r="M3353" s="879">
        <f>Q3356+Q3357</f>
        <v>0</v>
      </c>
      <c r="N3353" s="880">
        <f>IFERROR(M3353/M3354,"-")</f>
        <v>0</v>
      </c>
      <c r="O3353" s="881">
        <f>SUMIFS('Data Entry'!T:T,'Data Entry'!K:K,G3353)</f>
        <v>0</v>
      </c>
      <c r="P3353" s="272" t="s">
        <v>206</v>
      </c>
      <c r="Q3353" s="895">
        <v>0</v>
      </c>
      <c r="R3353" s="114"/>
      <c r="S3353" s="884"/>
      <c r="T3353" s="270"/>
      <c r="U3353" s="270"/>
      <c r="V3353" s="270"/>
      <c r="W3353" s="280"/>
      <c r="X3353" s="270"/>
      <c r="Y3353" s="270"/>
      <c r="Z3353" s="270"/>
      <c r="AA3353" s="270"/>
    </row>
    <row r="3354" spans="3:27" x14ac:dyDescent="0.3">
      <c r="C3354" s="450"/>
      <c r="D3354" s="182"/>
      <c r="E3354" s="182"/>
      <c r="F3354" s="182"/>
      <c r="G3354" s="450" t="str">
        <f t="shared" si="160"/>
        <v>--</v>
      </c>
      <c r="H3354" s="182"/>
      <c r="I3354" s="440"/>
      <c r="J3354" s="892"/>
      <c r="K3354" s="259"/>
      <c r="L3354" s="259" t="s">
        <v>46</v>
      </c>
      <c r="M3354" s="893">
        <f>SUM(M3351:M3353)</f>
        <v>1</v>
      </c>
      <c r="N3354" s="894"/>
      <c r="O3354" s="894">
        <f>SUM(O3351:O3353)</f>
        <v>0</v>
      </c>
      <c r="P3354" s="274" t="s">
        <v>228</v>
      </c>
      <c r="Q3354" s="895">
        <v>1</v>
      </c>
      <c r="R3354" s="114"/>
      <c r="S3354" s="884"/>
      <c r="T3354" s="270"/>
      <c r="U3354" s="270"/>
      <c r="V3354" s="270"/>
      <c r="W3354" s="270"/>
      <c r="X3354" s="270"/>
      <c r="Y3354" s="270"/>
      <c r="Z3354" s="270"/>
      <c r="AA3354" s="270"/>
    </row>
    <row r="3355" spans="3:27" x14ac:dyDescent="0.3">
      <c r="C3355" s="450"/>
      <c r="D3355" s="182"/>
      <c r="E3355" s="182"/>
      <c r="F3355" s="182"/>
      <c r="G3355" s="450" t="str">
        <f t="shared" si="160"/>
        <v>--</v>
      </c>
      <c r="H3355" s="182"/>
      <c r="I3355" s="892"/>
      <c r="J3355" s="288"/>
      <c r="K3355" s="182"/>
      <c r="L3355" s="182"/>
      <c r="M3355" s="270"/>
      <c r="N3355" s="892"/>
      <c r="O3355" s="892"/>
      <c r="P3355" s="274" t="s">
        <v>227</v>
      </c>
      <c r="Q3355" s="895">
        <v>0</v>
      </c>
      <c r="R3355" s="114"/>
      <c r="S3355" s="884"/>
      <c r="T3355" s="270"/>
      <c r="U3355" s="270"/>
      <c r="V3355" s="270"/>
      <c r="W3355" s="270"/>
      <c r="X3355" s="270"/>
      <c r="Y3355" s="270"/>
      <c r="Z3355" s="270"/>
      <c r="AA3355" s="270"/>
    </row>
    <row r="3356" spans="3:27" x14ac:dyDescent="0.3">
      <c r="C3356" s="450"/>
      <c r="D3356" s="182"/>
      <c r="E3356" s="182"/>
      <c r="F3356" s="182"/>
      <c r="G3356" s="450" t="str">
        <f t="shared" si="160"/>
        <v>--</v>
      </c>
      <c r="H3356" s="182"/>
      <c r="I3356" s="892"/>
      <c r="J3356" s="288"/>
      <c r="K3356" s="182"/>
      <c r="L3356" s="182"/>
      <c r="M3356" s="270"/>
      <c r="N3356" s="892"/>
      <c r="O3356" s="892"/>
      <c r="P3356" s="275" t="s">
        <v>226</v>
      </c>
      <c r="Q3356" s="895">
        <v>0</v>
      </c>
      <c r="R3356" s="114"/>
      <c r="S3356" s="884"/>
      <c r="T3356" s="270"/>
      <c r="U3356" s="270"/>
      <c r="V3356" s="270"/>
      <c r="W3356" s="270"/>
      <c r="X3356" s="270"/>
      <c r="Y3356" s="270"/>
      <c r="Z3356" s="270"/>
      <c r="AA3356" s="270"/>
    </row>
    <row r="3357" spans="3:27" x14ac:dyDescent="0.3">
      <c r="C3357" s="450"/>
      <c r="D3357" s="182"/>
      <c r="E3357" s="182"/>
      <c r="F3357" s="182"/>
      <c r="G3357" s="450" t="str">
        <f t="shared" si="160"/>
        <v>--</v>
      </c>
      <c r="H3357" s="182"/>
      <c r="I3357" s="892"/>
      <c r="J3357" s="288"/>
      <c r="K3357" s="182"/>
      <c r="L3357" s="182"/>
      <c r="M3357" s="270"/>
      <c r="N3357" s="892"/>
      <c r="O3357" s="892"/>
      <c r="P3357" s="269" t="s">
        <v>225</v>
      </c>
      <c r="Q3357" s="895">
        <v>0</v>
      </c>
      <c r="R3357" s="114"/>
      <c r="S3357" s="884"/>
      <c r="T3357" s="270"/>
      <c r="U3357" s="270"/>
      <c r="V3357" s="270"/>
      <c r="W3357" s="270"/>
      <c r="X3357" s="270"/>
      <c r="Y3357" s="270"/>
      <c r="Z3357" s="270"/>
      <c r="AA3357" s="270"/>
    </row>
    <row r="3358" spans="3:27" x14ac:dyDescent="0.3">
      <c r="C3358" s="450"/>
      <c r="D3358" s="182"/>
      <c r="E3358" s="182"/>
      <c r="F3358" s="182"/>
      <c r="G3358" s="450" t="str">
        <f t="shared" si="160"/>
        <v>--</v>
      </c>
      <c r="H3358" s="182"/>
      <c r="I3358" s="892"/>
      <c r="J3358" s="288"/>
      <c r="K3358" s="182"/>
      <c r="L3358" s="182"/>
      <c r="M3358" s="270"/>
      <c r="N3358" s="892"/>
      <c r="O3358" s="892"/>
      <c r="P3358" s="263" t="s">
        <v>46</v>
      </c>
      <c r="Q3358" s="897">
        <f>SUM(Q3351:Q3357)</f>
        <v>1</v>
      </c>
      <c r="R3358" s="899"/>
      <c r="S3358" s="900"/>
      <c r="T3358" s="270"/>
      <c r="U3358" s="270"/>
      <c r="V3358" s="270"/>
      <c r="W3358" s="270"/>
      <c r="X3358" s="270"/>
      <c r="Y3358" s="270"/>
      <c r="Z3358" s="270"/>
      <c r="AA3358" s="270"/>
    </row>
    <row r="3359" spans="3:27" x14ac:dyDescent="0.3">
      <c r="C3359" s="450"/>
      <c r="D3359" s="182"/>
      <c r="E3359" s="182"/>
      <c r="F3359" s="182"/>
      <c r="G3359" s="450" t="str">
        <f t="shared" si="160"/>
        <v>--</v>
      </c>
      <c r="H3359" s="182"/>
      <c r="I3359" s="892"/>
      <c r="J3359" s="288"/>
      <c r="K3359" s="182"/>
      <c r="L3359" s="182"/>
      <c r="M3359" s="270"/>
      <c r="N3359" s="892"/>
      <c r="O3359" s="892"/>
      <c r="P3359" s="270"/>
      <c r="Q3359" s="270"/>
      <c r="R3359" s="270"/>
      <c r="S3359" s="270"/>
      <c r="T3359" s="270"/>
      <c r="U3359" s="270"/>
      <c r="V3359" s="270"/>
      <c r="W3359" s="270"/>
      <c r="X3359" s="270"/>
      <c r="Y3359" s="270"/>
      <c r="Z3359" s="270"/>
      <c r="AA3359" s="270"/>
    </row>
    <row r="3360" spans="3:27" ht="15" thickBot="1" x14ac:dyDescent="0.35">
      <c r="C3360" s="450"/>
      <c r="D3360" s="182"/>
      <c r="E3360" s="182"/>
      <c r="F3360" s="182"/>
      <c r="G3360" s="450" t="str">
        <f t="shared" si="160"/>
        <v>--</v>
      </c>
      <c r="H3360" s="182"/>
      <c r="I3360" s="892"/>
      <c r="J3360" s="892"/>
      <c r="K3360" s="182"/>
      <c r="L3360" s="182"/>
      <c r="M3360" s="901" t="s">
        <v>155</v>
      </c>
      <c r="N3360" s="870" t="s">
        <v>188</v>
      </c>
      <c r="O3360" s="870"/>
      <c r="P3360" s="285" t="s">
        <v>27</v>
      </c>
      <c r="Q3360" s="871" t="s">
        <v>155</v>
      </c>
      <c r="R3360" s="902"/>
      <c r="S3360" s="874"/>
      <c r="T3360" s="270"/>
      <c r="U3360" s="270"/>
      <c r="V3360" s="270"/>
      <c r="W3360" s="270"/>
      <c r="X3360" s="270"/>
      <c r="Y3360" s="270"/>
      <c r="Z3360" s="270"/>
      <c r="AA3360" s="270"/>
    </row>
    <row r="3361" spans="3:27" ht="15" thickBot="1" x14ac:dyDescent="0.35">
      <c r="C3361" s="566" t="s">
        <v>110</v>
      </c>
      <c r="D3361" s="875" t="str">
        <f>VLOOKUP(C3361,'Airport Mapping'!$C$5:$D$39,2,FALSE)</f>
        <v xml:space="preserve"> </v>
      </c>
      <c r="E3361" s="567" t="s">
        <v>44</v>
      </c>
      <c r="F3361" s="567" t="s">
        <v>27</v>
      </c>
      <c r="G3361" s="450" t="str">
        <f t="shared" si="160"/>
        <v xml:space="preserve">Tenant E-Aircraft-Aircraft cleaning </v>
      </c>
      <c r="H3361" s="567" t="s">
        <v>10</v>
      </c>
      <c r="I3361" s="877" t="s">
        <v>64</v>
      </c>
      <c r="J3361" s="878">
        <f>SUMIFS('Level of Efficiency Assumptions'!J:J,'Level of Efficiency Assumptions'!D:D,E3361,'Level of Efficiency Assumptions'!F:F,F3361,'Level of Efficiency Assumptions'!I:I,I3361)</f>
        <v>10</v>
      </c>
      <c r="K3361" s="383" t="s">
        <v>588</v>
      </c>
      <c r="L3361" s="253" t="s">
        <v>64</v>
      </c>
      <c r="M3361" s="879">
        <f>SUM(Q3361:Q3362)</f>
        <v>0</v>
      </c>
      <c r="N3361" s="880">
        <f>IFERROR(M3361/M3364,"-")</f>
        <v>0</v>
      </c>
      <c r="O3361" s="881">
        <f>SUMIFS('Data Entry'!R:R,'Data Entry'!K:K,G3361)</f>
        <v>0</v>
      </c>
      <c r="P3361" s="272"/>
      <c r="Q3361" s="895">
        <v>0</v>
      </c>
      <c r="R3361" s="114"/>
      <c r="S3361" s="884"/>
      <c r="T3361" s="270"/>
      <c r="U3361" s="270"/>
      <c r="V3361" s="270"/>
      <c r="W3361" s="270"/>
      <c r="X3361" s="270"/>
      <c r="Y3361" s="270"/>
      <c r="Z3361" s="270"/>
      <c r="AA3361" s="270"/>
    </row>
    <row r="3362" spans="3:27" ht="15" thickBot="1" x14ac:dyDescent="0.35">
      <c r="C3362" s="494" t="s">
        <v>110</v>
      </c>
      <c r="D3362" s="577"/>
      <c r="E3362" s="577" t="s">
        <v>44</v>
      </c>
      <c r="F3362" s="577" t="s">
        <v>27</v>
      </c>
      <c r="G3362" s="450" t="str">
        <f t="shared" si="160"/>
        <v xml:space="preserve">Tenant E-Aircraft-Aircraft cleaning </v>
      </c>
      <c r="H3362" s="577"/>
      <c r="I3362" s="887" t="s">
        <v>65</v>
      </c>
      <c r="J3362" s="878">
        <f>SUMIFS('Level of Efficiency Assumptions'!J:J,'Level of Efficiency Assumptions'!D:D,E3362,'Level of Efficiency Assumptions'!F:F,F3362,'Level of Efficiency Assumptions'!I:I,I3362)</f>
        <v>7.5</v>
      </c>
      <c r="K3362" s="383" t="s">
        <v>588</v>
      </c>
      <c r="L3362" s="255" t="s">
        <v>65</v>
      </c>
      <c r="M3362" s="879">
        <f>Q3363+Q3364</f>
        <v>1</v>
      </c>
      <c r="N3362" s="880">
        <f>IFERROR(M3362/M3364,"-")</f>
        <v>1</v>
      </c>
      <c r="O3362" s="881">
        <f>SUMIFS('Data Entry'!S:S,'Data Entry'!K:K,G3362)</f>
        <v>0</v>
      </c>
      <c r="P3362" s="272"/>
      <c r="Q3362" s="895">
        <v>0</v>
      </c>
      <c r="R3362" s="114"/>
      <c r="S3362" s="884"/>
      <c r="T3362" s="270"/>
      <c r="U3362" s="270"/>
      <c r="V3362" s="270"/>
      <c r="W3362" s="270"/>
      <c r="X3362" s="270"/>
      <c r="Y3362" s="270"/>
      <c r="Z3362" s="270"/>
      <c r="AA3362" s="270"/>
    </row>
    <row r="3363" spans="3:27" ht="15" thickBot="1" x14ac:dyDescent="0.35">
      <c r="C3363" s="501" t="s">
        <v>110</v>
      </c>
      <c r="D3363" s="116"/>
      <c r="E3363" s="116" t="s">
        <v>44</v>
      </c>
      <c r="F3363" s="116" t="s">
        <v>27</v>
      </c>
      <c r="G3363" s="450" t="str">
        <f t="shared" si="160"/>
        <v xml:space="preserve">Tenant E-Aircraft-Aircraft cleaning </v>
      </c>
      <c r="H3363" s="116"/>
      <c r="I3363" s="889" t="s">
        <v>66</v>
      </c>
      <c r="J3363" s="890">
        <f>SUMIFS('Level of Efficiency Assumptions'!J:J,'Level of Efficiency Assumptions'!D:D,E3363,'Level of Efficiency Assumptions'!F:F,F3363,'Level of Efficiency Assumptions'!I:I,I3363)</f>
        <v>5</v>
      </c>
      <c r="K3363" s="383" t="s">
        <v>588</v>
      </c>
      <c r="L3363" s="257" t="s">
        <v>66</v>
      </c>
      <c r="M3363" s="879">
        <f>Q3365+Q3366</f>
        <v>0</v>
      </c>
      <c r="N3363" s="880">
        <f>IFERROR(M3363/M3364,"-")</f>
        <v>0</v>
      </c>
      <c r="O3363" s="881">
        <f>SUMIFS('Data Entry'!T:T,'Data Entry'!K:K,G3363)</f>
        <v>0</v>
      </c>
      <c r="P3363" s="274"/>
      <c r="Q3363" s="895">
        <v>1</v>
      </c>
      <c r="R3363" s="114"/>
      <c r="S3363" s="884"/>
      <c r="T3363" s="270"/>
      <c r="U3363" s="270"/>
      <c r="V3363" s="270"/>
      <c r="W3363" s="270"/>
      <c r="X3363" s="270"/>
      <c r="Y3363" s="270"/>
      <c r="Z3363" s="270"/>
      <c r="AA3363" s="270"/>
    </row>
    <row r="3364" spans="3:27" x14ac:dyDescent="0.3">
      <c r="C3364" s="450"/>
      <c r="D3364" s="182"/>
      <c r="E3364" s="182"/>
      <c r="F3364" s="182"/>
      <c r="G3364" s="450" t="str">
        <f t="shared" si="160"/>
        <v>--</v>
      </c>
      <c r="H3364" s="182"/>
      <c r="I3364" s="440"/>
      <c r="J3364" s="892"/>
      <c r="K3364" s="259"/>
      <c r="L3364" s="259" t="s">
        <v>46</v>
      </c>
      <c r="M3364" s="893">
        <f>SUM(M3361:M3363)</f>
        <v>1</v>
      </c>
      <c r="N3364" s="894"/>
      <c r="O3364" s="894">
        <f>SUM(O3361:O3363)</f>
        <v>0</v>
      </c>
      <c r="P3364" s="274"/>
      <c r="Q3364" s="895">
        <v>0</v>
      </c>
      <c r="R3364" s="114"/>
      <c r="S3364" s="884"/>
      <c r="T3364" s="270"/>
      <c r="U3364" s="270"/>
      <c r="V3364" s="270"/>
      <c r="W3364" s="270"/>
      <c r="X3364" s="270"/>
      <c r="Y3364" s="270"/>
      <c r="Z3364" s="270"/>
      <c r="AA3364" s="270"/>
    </row>
    <row r="3365" spans="3:27" x14ac:dyDescent="0.3">
      <c r="C3365" s="450"/>
      <c r="D3365" s="182"/>
      <c r="E3365" s="182"/>
      <c r="F3365" s="182"/>
      <c r="G3365" s="450" t="str">
        <f t="shared" si="160"/>
        <v>--</v>
      </c>
      <c r="H3365" s="182"/>
      <c r="I3365" s="892"/>
      <c r="J3365" s="288"/>
      <c r="K3365" s="182"/>
      <c r="L3365" s="182"/>
      <c r="M3365" s="270"/>
      <c r="N3365" s="892"/>
      <c r="O3365" s="892"/>
      <c r="P3365" s="275"/>
      <c r="Q3365" s="895">
        <v>0</v>
      </c>
      <c r="R3365" s="114"/>
      <c r="S3365" s="884"/>
      <c r="T3365" s="270"/>
      <c r="U3365" s="270"/>
      <c r="V3365" s="270"/>
      <c r="W3365" s="270"/>
      <c r="X3365" s="270"/>
      <c r="Y3365" s="270"/>
      <c r="Z3365" s="270"/>
      <c r="AA3365" s="270"/>
    </row>
    <row r="3366" spans="3:27" x14ac:dyDescent="0.3">
      <c r="C3366" s="450"/>
      <c r="D3366" s="182"/>
      <c r="E3366" s="182"/>
      <c r="F3366" s="182"/>
      <c r="G3366" s="450" t="str">
        <f t="shared" si="160"/>
        <v>--</v>
      </c>
      <c r="H3366" s="182"/>
      <c r="I3366" s="892"/>
      <c r="J3366" s="288"/>
      <c r="K3366" s="182"/>
      <c r="L3366" s="182"/>
      <c r="M3366" s="270"/>
      <c r="N3366" s="892"/>
      <c r="O3366" s="892"/>
      <c r="P3366" s="269"/>
      <c r="Q3366" s="895">
        <v>0</v>
      </c>
      <c r="R3366" s="114"/>
      <c r="S3366" s="884"/>
      <c r="T3366" s="270"/>
      <c r="U3366" s="270"/>
      <c r="V3366" s="270"/>
      <c r="W3366" s="270"/>
      <c r="X3366" s="270"/>
      <c r="Y3366" s="270"/>
      <c r="Z3366" s="270"/>
      <c r="AA3366" s="270"/>
    </row>
    <row r="3367" spans="3:27" x14ac:dyDescent="0.3">
      <c r="C3367" s="450"/>
      <c r="D3367" s="182"/>
      <c r="E3367" s="182"/>
      <c r="F3367" s="182"/>
      <c r="G3367" s="450" t="str">
        <f t="shared" si="160"/>
        <v>--</v>
      </c>
      <c r="H3367" s="182"/>
      <c r="I3367" s="892"/>
      <c r="J3367" s="288"/>
      <c r="K3367" s="182"/>
      <c r="L3367" s="182"/>
      <c r="M3367" s="270"/>
      <c r="N3367" s="892"/>
      <c r="O3367" s="892"/>
      <c r="P3367" s="263" t="s">
        <v>46</v>
      </c>
      <c r="Q3367" s="897">
        <f>SUM(Q3361:Q3366)</f>
        <v>1</v>
      </c>
      <c r="R3367" s="899"/>
      <c r="S3367" s="900"/>
      <c r="T3367" s="270"/>
      <c r="U3367" s="270"/>
      <c r="V3367" s="270"/>
      <c r="W3367" s="270"/>
      <c r="X3367" s="270"/>
      <c r="Y3367" s="270"/>
      <c r="Z3367" s="270"/>
      <c r="AA3367" s="270"/>
    </row>
    <row r="3368" spans="3:27" x14ac:dyDescent="0.3">
      <c r="C3368" s="450"/>
      <c r="D3368" s="182"/>
      <c r="E3368" s="182"/>
      <c r="F3368" s="182"/>
      <c r="G3368" s="450" t="str">
        <f t="shared" si="160"/>
        <v>--</v>
      </c>
      <c r="H3368" s="182"/>
      <c r="I3368" s="892"/>
      <c r="J3368" s="288"/>
      <c r="K3368" s="182"/>
      <c r="L3368" s="182"/>
      <c r="M3368" s="270"/>
      <c r="N3368" s="892"/>
      <c r="O3368" s="892"/>
      <c r="P3368" s="270"/>
      <c r="Q3368" s="270"/>
      <c r="R3368" s="270"/>
      <c r="S3368" s="270"/>
      <c r="T3368" s="270"/>
      <c r="U3368" s="270"/>
      <c r="V3368" s="270"/>
      <c r="W3368" s="270"/>
      <c r="X3368" s="270"/>
      <c r="Y3368" s="270"/>
      <c r="Z3368" s="270"/>
      <c r="AA3368" s="270"/>
    </row>
    <row r="3369" spans="3:27" ht="15" thickBot="1" x14ac:dyDescent="0.35">
      <c r="C3369" s="450"/>
      <c r="D3369" s="182"/>
      <c r="E3369" s="182"/>
      <c r="F3369" s="182"/>
      <c r="G3369" s="450" t="str">
        <f t="shared" si="160"/>
        <v>--</v>
      </c>
      <c r="H3369" s="182"/>
      <c r="I3369" s="892"/>
      <c r="J3369" s="892"/>
      <c r="K3369" s="182"/>
      <c r="L3369" s="182"/>
      <c r="M3369" s="901" t="s">
        <v>155</v>
      </c>
      <c r="N3369" s="870" t="s">
        <v>188</v>
      </c>
      <c r="O3369" s="870"/>
      <c r="P3369" s="285" t="s">
        <v>28</v>
      </c>
      <c r="Q3369" s="871" t="s">
        <v>155</v>
      </c>
      <c r="R3369" s="902"/>
      <c r="S3369" s="874"/>
      <c r="T3369" s="270"/>
      <c r="U3369" s="270"/>
      <c r="V3369" s="270"/>
      <c r="W3369" s="270"/>
      <c r="X3369" s="270"/>
      <c r="Y3369" s="270"/>
      <c r="Z3369" s="270"/>
      <c r="AA3369" s="270"/>
    </row>
    <row r="3370" spans="3:27" ht="15" thickBot="1" x14ac:dyDescent="0.35">
      <c r="C3370" s="566" t="s">
        <v>110</v>
      </c>
      <c r="D3370" s="875" t="str">
        <f>VLOOKUP(C3370,'Airport Mapping'!$C$5:$D$39,2,FALSE)</f>
        <v xml:space="preserve"> </v>
      </c>
      <c r="E3370" s="567" t="s">
        <v>44</v>
      </c>
      <c r="F3370" s="567" t="s">
        <v>28</v>
      </c>
      <c r="G3370" s="450" t="str">
        <f t="shared" si="160"/>
        <v>Tenant E-Aircraft-Onboard aircraft water</v>
      </c>
      <c r="H3370" s="567" t="s">
        <v>10</v>
      </c>
      <c r="I3370" s="877" t="s">
        <v>64</v>
      </c>
      <c r="J3370" s="878">
        <f>SUMIFS('Level of Efficiency Assumptions'!J:J,'Level of Efficiency Assumptions'!D:D,E3370,'Level of Efficiency Assumptions'!F:F,F3370,'Level of Efficiency Assumptions'!I:I,I3370)</f>
        <v>10</v>
      </c>
      <c r="K3370" s="383" t="s">
        <v>588</v>
      </c>
      <c r="L3370" s="253" t="s">
        <v>64</v>
      </c>
      <c r="M3370" s="879">
        <f>SUM(Q3370:Q3371)</f>
        <v>0</v>
      </c>
      <c r="N3370" s="880">
        <f>IFERROR(M3370/M3373,"-")</f>
        <v>0</v>
      </c>
      <c r="O3370" s="881">
        <f>SUMIFS('Data Entry'!R:R,'Data Entry'!K:K,G3370)</f>
        <v>0</v>
      </c>
      <c r="P3370" s="272"/>
      <c r="Q3370" s="895">
        <v>0</v>
      </c>
      <c r="R3370" s="114"/>
      <c r="S3370" s="884"/>
      <c r="T3370" s="270"/>
      <c r="U3370" s="270"/>
      <c r="V3370" s="270"/>
      <c r="W3370" s="270"/>
      <c r="X3370" s="270"/>
      <c r="Y3370" s="270"/>
      <c r="Z3370" s="270"/>
      <c r="AA3370" s="270"/>
    </row>
    <row r="3371" spans="3:27" ht="15" thickBot="1" x14ac:dyDescent="0.35">
      <c r="C3371" s="494" t="s">
        <v>110</v>
      </c>
      <c r="D3371" s="577"/>
      <c r="E3371" s="577" t="s">
        <v>44</v>
      </c>
      <c r="F3371" s="577" t="s">
        <v>28</v>
      </c>
      <c r="G3371" s="450" t="str">
        <f t="shared" si="160"/>
        <v>Tenant E-Aircraft-Onboard aircraft water</v>
      </c>
      <c r="H3371" s="577"/>
      <c r="I3371" s="887" t="s">
        <v>65</v>
      </c>
      <c r="J3371" s="878">
        <f>SUMIFS('Level of Efficiency Assumptions'!J:J,'Level of Efficiency Assumptions'!D:D,E3371,'Level of Efficiency Assumptions'!F:F,F3371,'Level of Efficiency Assumptions'!I:I,I3371)</f>
        <v>7.5</v>
      </c>
      <c r="K3371" s="383" t="s">
        <v>588</v>
      </c>
      <c r="L3371" s="255" t="s">
        <v>65</v>
      </c>
      <c r="M3371" s="879">
        <f>Q3372+Q3373</f>
        <v>1</v>
      </c>
      <c r="N3371" s="880">
        <f>IFERROR(M3371/M3373,"-")</f>
        <v>1</v>
      </c>
      <c r="O3371" s="881">
        <f>SUMIFS('Data Entry'!S:S,'Data Entry'!K:K,G3371)</f>
        <v>0</v>
      </c>
      <c r="P3371" s="272"/>
      <c r="Q3371" s="895">
        <v>0</v>
      </c>
      <c r="R3371" s="114"/>
      <c r="S3371" s="884"/>
      <c r="T3371" s="270"/>
      <c r="U3371" s="270"/>
      <c r="V3371" s="270"/>
      <c r="W3371" s="270"/>
      <c r="X3371" s="270"/>
      <c r="Y3371" s="270"/>
      <c r="Z3371" s="270"/>
      <c r="AA3371" s="270"/>
    </row>
    <row r="3372" spans="3:27" ht="15" thickBot="1" x14ac:dyDescent="0.35">
      <c r="C3372" s="501" t="s">
        <v>110</v>
      </c>
      <c r="D3372" s="116"/>
      <c r="E3372" s="116" t="s">
        <v>44</v>
      </c>
      <c r="F3372" s="116" t="s">
        <v>28</v>
      </c>
      <c r="G3372" s="450" t="str">
        <f t="shared" si="160"/>
        <v>Tenant E-Aircraft-Onboard aircraft water</v>
      </c>
      <c r="H3372" s="116"/>
      <c r="I3372" s="889" t="s">
        <v>66</v>
      </c>
      <c r="J3372" s="890">
        <f>SUMIFS('Level of Efficiency Assumptions'!J:J,'Level of Efficiency Assumptions'!D:D,E3372,'Level of Efficiency Assumptions'!F:F,F3372,'Level of Efficiency Assumptions'!I:I,I3372)</f>
        <v>5</v>
      </c>
      <c r="K3372" s="383" t="s">
        <v>588</v>
      </c>
      <c r="L3372" s="257" t="s">
        <v>66</v>
      </c>
      <c r="M3372" s="879">
        <f>Q3374+Q3375</f>
        <v>0</v>
      </c>
      <c r="N3372" s="880">
        <f>IFERROR(M3372/M3373,"-")</f>
        <v>0</v>
      </c>
      <c r="O3372" s="881">
        <f>SUMIFS('Data Entry'!T:T,'Data Entry'!K:K,G3372)</f>
        <v>0</v>
      </c>
      <c r="P3372" s="274"/>
      <c r="Q3372" s="895">
        <v>1</v>
      </c>
      <c r="R3372" s="114"/>
      <c r="S3372" s="884"/>
      <c r="T3372" s="270"/>
      <c r="U3372" s="270"/>
      <c r="V3372" s="270"/>
      <c r="W3372" s="270"/>
      <c r="X3372" s="270"/>
      <c r="Y3372" s="270"/>
      <c r="Z3372" s="270"/>
      <c r="AA3372" s="270"/>
    </row>
    <row r="3373" spans="3:27" x14ac:dyDescent="0.3">
      <c r="C3373" s="450"/>
      <c r="D3373" s="182"/>
      <c r="E3373" s="182"/>
      <c r="F3373" s="182"/>
      <c r="G3373" s="450" t="str">
        <f t="shared" si="160"/>
        <v>--</v>
      </c>
      <c r="H3373" s="182"/>
      <c r="I3373" s="440"/>
      <c r="J3373" s="892"/>
      <c r="K3373" s="259"/>
      <c r="L3373" s="259" t="s">
        <v>46</v>
      </c>
      <c r="M3373" s="893">
        <f>SUM(M3370:M3372)</f>
        <v>1</v>
      </c>
      <c r="N3373" s="894"/>
      <c r="O3373" s="894">
        <f>SUM(O3370:O3372)</f>
        <v>0</v>
      </c>
      <c r="P3373" s="274"/>
      <c r="Q3373" s="895">
        <v>0</v>
      </c>
      <c r="R3373" s="114"/>
      <c r="S3373" s="884"/>
      <c r="T3373" s="270"/>
      <c r="U3373" s="270"/>
      <c r="V3373" s="270"/>
      <c r="W3373" s="270"/>
      <c r="X3373" s="270"/>
      <c r="Y3373" s="270"/>
      <c r="Z3373" s="270"/>
      <c r="AA3373" s="270"/>
    </row>
    <row r="3374" spans="3:27" x14ac:dyDescent="0.3">
      <c r="C3374" s="450"/>
      <c r="D3374" s="182"/>
      <c r="E3374" s="182"/>
      <c r="F3374" s="182"/>
      <c r="G3374" s="450" t="str">
        <f t="shared" si="160"/>
        <v>--</v>
      </c>
      <c r="H3374" s="182"/>
      <c r="I3374" s="892"/>
      <c r="J3374" s="288"/>
      <c r="K3374" s="182"/>
      <c r="L3374" s="182"/>
      <c r="M3374" s="270"/>
      <c r="N3374" s="892"/>
      <c r="O3374" s="892"/>
      <c r="P3374" s="275"/>
      <c r="Q3374" s="895">
        <v>0</v>
      </c>
      <c r="R3374" s="114"/>
      <c r="S3374" s="884"/>
      <c r="T3374" s="270"/>
      <c r="U3374" s="270"/>
      <c r="V3374" s="270"/>
      <c r="W3374" s="270"/>
      <c r="X3374" s="270"/>
      <c r="Y3374" s="270"/>
      <c r="Z3374" s="270"/>
      <c r="AA3374" s="270"/>
    </row>
    <row r="3375" spans="3:27" x14ac:dyDescent="0.3">
      <c r="C3375" s="450"/>
      <c r="D3375" s="182"/>
      <c r="E3375" s="182"/>
      <c r="F3375" s="182"/>
      <c r="G3375" s="450" t="str">
        <f t="shared" si="160"/>
        <v>--</v>
      </c>
      <c r="H3375" s="182"/>
      <c r="I3375" s="892"/>
      <c r="J3375" s="288"/>
      <c r="K3375" s="182"/>
      <c r="L3375" s="182"/>
      <c r="M3375" s="270"/>
      <c r="N3375" s="892"/>
      <c r="O3375" s="892"/>
      <c r="P3375" s="269"/>
      <c r="Q3375" s="895">
        <v>0</v>
      </c>
      <c r="R3375" s="114"/>
      <c r="S3375" s="884"/>
      <c r="T3375" s="270"/>
      <c r="U3375" s="270"/>
      <c r="V3375" s="270"/>
      <c r="W3375" s="270"/>
      <c r="X3375" s="270"/>
      <c r="Y3375" s="270"/>
      <c r="Z3375" s="270"/>
      <c r="AA3375" s="270"/>
    </row>
    <row r="3376" spans="3:27" x14ac:dyDescent="0.3">
      <c r="C3376" s="450"/>
      <c r="D3376" s="182"/>
      <c r="E3376" s="182"/>
      <c r="F3376" s="182"/>
      <c r="G3376" s="450" t="str">
        <f t="shared" si="160"/>
        <v>--</v>
      </c>
      <c r="H3376" s="182"/>
      <c r="I3376" s="892"/>
      <c r="J3376" s="288"/>
      <c r="K3376" s="182"/>
      <c r="L3376" s="182"/>
      <c r="M3376" s="270"/>
      <c r="N3376" s="892"/>
      <c r="O3376" s="892"/>
      <c r="P3376" s="263" t="s">
        <v>46</v>
      </c>
      <c r="Q3376" s="897">
        <f>SUM(Q3370:Q3375)</f>
        <v>1</v>
      </c>
      <c r="R3376" s="899"/>
      <c r="S3376" s="900"/>
      <c r="T3376" s="270"/>
      <c r="U3376" s="270"/>
      <c r="V3376" s="270"/>
      <c r="W3376" s="270"/>
      <c r="X3376" s="270"/>
      <c r="Y3376" s="270"/>
      <c r="Z3376" s="270"/>
      <c r="AA3376" s="270"/>
    </row>
    <row r="3377" spans="3:28" x14ac:dyDescent="0.3">
      <c r="C3377" s="450"/>
      <c r="D3377" s="182"/>
      <c r="E3377" s="182"/>
      <c r="F3377" s="182"/>
      <c r="G3377" s="450" t="str">
        <f t="shared" si="160"/>
        <v>--</v>
      </c>
      <c r="H3377" s="182"/>
      <c r="I3377" s="892"/>
      <c r="J3377" s="288"/>
      <c r="K3377" s="182"/>
      <c r="L3377" s="182"/>
      <c r="M3377" s="270"/>
      <c r="N3377" s="892"/>
      <c r="O3377" s="892"/>
      <c r="P3377" s="270"/>
      <c r="Q3377" s="270"/>
      <c r="R3377" s="270"/>
      <c r="S3377" s="270"/>
      <c r="T3377" s="270"/>
      <c r="U3377" s="270"/>
      <c r="V3377" s="270"/>
      <c r="W3377" s="270"/>
      <c r="X3377" s="270"/>
      <c r="Y3377" s="270"/>
      <c r="Z3377" s="270"/>
      <c r="AA3377" s="270"/>
    </row>
    <row r="3378" spans="3:28" ht="15" thickBot="1" x14ac:dyDescent="0.35">
      <c r="C3378" s="450"/>
      <c r="D3378" s="182"/>
      <c r="E3378" s="182"/>
      <c r="F3378" s="182"/>
      <c r="G3378" s="450" t="str">
        <f t="shared" si="160"/>
        <v>--</v>
      </c>
      <c r="H3378" s="182"/>
      <c r="I3378" s="892"/>
      <c r="J3378" s="892"/>
      <c r="K3378" s="182"/>
      <c r="L3378" s="182"/>
      <c r="M3378" s="901" t="s">
        <v>155</v>
      </c>
      <c r="N3378" s="870" t="s">
        <v>188</v>
      </c>
      <c r="O3378" s="870"/>
      <c r="P3378" s="276" t="s">
        <v>29</v>
      </c>
      <c r="Q3378" s="871" t="s">
        <v>155</v>
      </c>
      <c r="R3378" s="902"/>
      <c r="S3378" s="874"/>
      <c r="T3378" s="270"/>
      <c r="U3378" s="270"/>
      <c r="V3378" s="270"/>
      <c r="W3378" s="270"/>
      <c r="X3378" s="270"/>
      <c r="Y3378" s="270"/>
      <c r="Z3378" s="270"/>
      <c r="AA3378" s="270"/>
    </row>
    <row r="3379" spans="3:28" ht="15" thickBot="1" x14ac:dyDescent="0.35">
      <c r="C3379" s="566" t="s">
        <v>110</v>
      </c>
      <c r="D3379" s="875" t="str">
        <f>VLOOKUP(C3379,'Airport Mapping'!$C$5:$D$39,2,FALSE)</f>
        <v xml:space="preserve"> </v>
      </c>
      <c r="E3379" s="567" t="s">
        <v>44</v>
      </c>
      <c r="F3379" s="567" t="s">
        <v>29</v>
      </c>
      <c r="G3379" s="450" t="str">
        <f t="shared" si="160"/>
        <v>Tenant E-Aircraft-Deicing</v>
      </c>
      <c r="H3379" s="567" t="s">
        <v>10</v>
      </c>
      <c r="I3379" s="877" t="s">
        <v>64</v>
      </c>
      <c r="J3379" s="878">
        <f>SUMIFS('Level of Efficiency Assumptions'!J:J,'Level of Efficiency Assumptions'!D:D,E3379,'Level of Efficiency Assumptions'!F:F,F3379,'Level of Efficiency Assumptions'!I:I,I3379)</f>
        <v>20</v>
      </c>
      <c r="K3379" s="383" t="s">
        <v>588</v>
      </c>
      <c r="L3379" s="253" t="s">
        <v>64</v>
      </c>
      <c r="M3379" s="879">
        <f>SUM(Q3379:Q3380)</f>
        <v>0</v>
      </c>
      <c r="N3379" s="880">
        <f>IFERROR(M3379/M3382,"-")</f>
        <v>0</v>
      </c>
      <c r="O3379" s="881">
        <f>SUMIFS('Data Entry'!R:R,'Data Entry'!K:K,G3379)</f>
        <v>0</v>
      </c>
      <c r="P3379" s="272"/>
      <c r="Q3379" s="895">
        <v>0</v>
      </c>
      <c r="R3379" s="114"/>
      <c r="S3379" s="884"/>
      <c r="T3379" s="270"/>
      <c r="U3379" s="270"/>
      <c r="V3379" s="270"/>
      <c r="W3379" s="270"/>
      <c r="X3379" s="270"/>
      <c r="Y3379" s="270"/>
      <c r="Z3379" s="270"/>
      <c r="AA3379" s="114"/>
      <c r="AB3379" s="85"/>
    </row>
    <row r="3380" spans="3:28" ht="15" thickBot="1" x14ac:dyDescent="0.35">
      <c r="C3380" s="494" t="s">
        <v>110</v>
      </c>
      <c r="D3380" s="577"/>
      <c r="E3380" s="577" t="s">
        <v>44</v>
      </c>
      <c r="F3380" s="577" t="s">
        <v>29</v>
      </c>
      <c r="G3380" s="450" t="str">
        <f t="shared" si="160"/>
        <v>Tenant E-Aircraft-Deicing</v>
      </c>
      <c r="H3380" s="577"/>
      <c r="I3380" s="887" t="s">
        <v>65</v>
      </c>
      <c r="J3380" s="878">
        <f>SUMIFS('Level of Efficiency Assumptions'!J:J,'Level of Efficiency Assumptions'!D:D,E3380,'Level of Efficiency Assumptions'!F:F,F3380,'Level of Efficiency Assumptions'!I:I,I3380)</f>
        <v>10</v>
      </c>
      <c r="K3380" s="383" t="s">
        <v>588</v>
      </c>
      <c r="L3380" s="255" t="s">
        <v>65</v>
      </c>
      <c r="M3380" s="879">
        <f>Q3381+Q3382</f>
        <v>1</v>
      </c>
      <c r="N3380" s="880">
        <f>IFERROR(M3380/M3382,"-")</f>
        <v>1</v>
      </c>
      <c r="O3380" s="881">
        <f>SUMIFS('Data Entry'!S:S,'Data Entry'!K:K,G3380)</f>
        <v>0</v>
      </c>
      <c r="P3380" s="272"/>
      <c r="Q3380" s="895">
        <v>0</v>
      </c>
      <c r="R3380" s="114"/>
      <c r="S3380" s="884"/>
      <c r="T3380" s="270"/>
      <c r="U3380" s="270"/>
      <c r="V3380" s="270"/>
      <c r="W3380" s="270"/>
      <c r="X3380" s="270"/>
      <c r="Y3380" s="270"/>
      <c r="Z3380" s="270"/>
      <c r="AA3380" s="114"/>
      <c r="AB3380" s="85"/>
    </row>
    <row r="3381" spans="3:28" ht="15" thickBot="1" x14ac:dyDescent="0.35">
      <c r="C3381" s="501" t="s">
        <v>110</v>
      </c>
      <c r="D3381" s="116"/>
      <c r="E3381" s="116" t="s">
        <v>44</v>
      </c>
      <c r="F3381" s="116" t="s">
        <v>29</v>
      </c>
      <c r="G3381" s="450" t="str">
        <f t="shared" si="160"/>
        <v>Tenant E-Aircraft-Deicing</v>
      </c>
      <c r="H3381" s="116"/>
      <c r="I3381" s="889" t="s">
        <v>66</v>
      </c>
      <c r="J3381" s="890">
        <f>SUMIFS('Level of Efficiency Assumptions'!J:J,'Level of Efficiency Assumptions'!D:D,E3381,'Level of Efficiency Assumptions'!F:F,F3381,'Level of Efficiency Assumptions'!I:I,I3381)</f>
        <v>5</v>
      </c>
      <c r="K3381" s="383" t="s">
        <v>588</v>
      </c>
      <c r="L3381" s="257" t="s">
        <v>66</v>
      </c>
      <c r="M3381" s="879">
        <f>Q3383+Q3384</f>
        <v>0</v>
      </c>
      <c r="N3381" s="880">
        <f>IFERROR(M3381/M3382,"-")</f>
        <v>0</v>
      </c>
      <c r="O3381" s="881">
        <f>SUMIFS('Data Entry'!T:T,'Data Entry'!K:K,G3381)</f>
        <v>0</v>
      </c>
      <c r="P3381" s="274"/>
      <c r="Q3381" s="895">
        <v>1</v>
      </c>
      <c r="R3381" s="114"/>
      <c r="S3381" s="884"/>
      <c r="T3381" s="270"/>
      <c r="U3381" s="270"/>
      <c r="V3381" s="270"/>
      <c r="W3381" s="270"/>
      <c r="X3381" s="270"/>
      <c r="Y3381" s="114"/>
      <c r="Z3381" s="114"/>
      <c r="AA3381" s="114"/>
      <c r="AB3381" s="85"/>
    </row>
    <row r="3382" spans="3:28" x14ac:dyDescent="0.3">
      <c r="C3382" s="450"/>
      <c r="D3382" s="182"/>
      <c r="E3382" s="182"/>
      <c r="F3382" s="182"/>
      <c r="G3382" s="450" t="str">
        <f t="shared" si="160"/>
        <v>--</v>
      </c>
      <c r="H3382" s="182"/>
      <c r="I3382" s="440"/>
      <c r="J3382" s="892"/>
      <c r="K3382" s="259"/>
      <c r="L3382" s="259" t="s">
        <v>46</v>
      </c>
      <c r="M3382" s="893">
        <f>SUM(M3379:M3381)</f>
        <v>1</v>
      </c>
      <c r="N3382" s="894"/>
      <c r="O3382" s="894">
        <f>SUM(O3379:O3381)</f>
        <v>0</v>
      </c>
      <c r="P3382" s="274"/>
      <c r="Q3382" s="895">
        <v>0</v>
      </c>
      <c r="R3382" s="114"/>
      <c r="S3382" s="884"/>
      <c r="T3382" s="270"/>
      <c r="U3382" s="270"/>
      <c r="V3382" s="270"/>
      <c r="W3382" s="270"/>
      <c r="X3382" s="270"/>
      <c r="Y3382" s="114"/>
      <c r="Z3382" s="114"/>
      <c r="AA3382" s="114"/>
      <c r="AB3382" s="85"/>
    </row>
    <row r="3383" spans="3:28" x14ac:dyDescent="0.3">
      <c r="C3383" s="450"/>
      <c r="D3383" s="182"/>
      <c r="E3383" s="182"/>
      <c r="F3383" s="182"/>
      <c r="G3383" s="450" t="str">
        <f t="shared" si="160"/>
        <v>--</v>
      </c>
      <c r="H3383" s="182"/>
      <c r="I3383" s="892"/>
      <c r="J3383" s="288"/>
      <c r="K3383" s="182"/>
      <c r="L3383" s="182"/>
      <c r="M3383" s="270"/>
      <c r="N3383" s="892"/>
      <c r="O3383" s="892"/>
      <c r="P3383" s="275"/>
      <c r="Q3383" s="895">
        <v>0</v>
      </c>
      <c r="R3383" s="114"/>
      <c r="S3383" s="884"/>
      <c r="T3383" s="270"/>
      <c r="U3383" s="270"/>
      <c r="V3383" s="270"/>
      <c r="W3383" s="270"/>
      <c r="X3383" s="270"/>
      <c r="Y3383" s="114"/>
      <c r="Z3383" s="114"/>
      <c r="AA3383" s="270"/>
    </row>
    <row r="3384" spans="3:28" x14ac:dyDescent="0.3">
      <c r="C3384" s="450"/>
      <c r="D3384" s="182"/>
      <c r="E3384" s="182"/>
      <c r="F3384" s="182"/>
      <c r="G3384" s="450" t="str">
        <f t="shared" si="160"/>
        <v>--</v>
      </c>
      <c r="H3384" s="182"/>
      <c r="I3384" s="892"/>
      <c r="J3384" s="288"/>
      <c r="K3384" s="182"/>
      <c r="L3384" s="182"/>
      <c r="M3384" s="270"/>
      <c r="N3384" s="892"/>
      <c r="O3384" s="892"/>
      <c r="P3384" s="269"/>
      <c r="Q3384" s="895">
        <v>0</v>
      </c>
      <c r="R3384" s="114"/>
      <c r="S3384" s="884"/>
      <c r="T3384" s="270"/>
      <c r="U3384" s="270"/>
      <c r="V3384" s="270"/>
      <c r="W3384" s="270"/>
      <c r="X3384" s="270"/>
      <c r="Y3384" s="114"/>
      <c r="Z3384" s="114"/>
      <c r="AA3384" s="270"/>
    </row>
    <row r="3385" spans="3:28" x14ac:dyDescent="0.3">
      <c r="C3385" s="450"/>
      <c r="D3385" s="182"/>
      <c r="E3385" s="182"/>
      <c r="F3385" s="182"/>
      <c r="G3385" s="450" t="str">
        <f t="shared" si="160"/>
        <v>--</v>
      </c>
      <c r="H3385" s="182"/>
      <c r="I3385" s="892"/>
      <c r="J3385" s="288"/>
      <c r="K3385" s="182"/>
      <c r="L3385" s="182"/>
      <c r="M3385" s="270"/>
      <c r="N3385" s="892"/>
      <c r="O3385" s="892"/>
      <c r="P3385" s="263" t="s">
        <v>46</v>
      </c>
      <c r="Q3385" s="897">
        <f>SUM(Q3379:Q3384)</f>
        <v>1</v>
      </c>
      <c r="R3385" s="899"/>
      <c r="S3385" s="900"/>
      <c r="T3385" s="270"/>
      <c r="U3385" s="270"/>
      <c r="V3385" s="270"/>
      <c r="W3385" s="270"/>
      <c r="X3385" s="270"/>
      <c r="Y3385" s="270"/>
      <c r="Z3385" s="270"/>
      <c r="AA3385" s="270"/>
    </row>
    <row r="3386" spans="3:28" x14ac:dyDescent="0.3">
      <c r="C3386" s="450"/>
      <c r="D3386" s="182"/>
      <c r="E3386" s="182"/>
      <c r="F3386" s="182"/>
      <c r="G3386" s="450" t="str">
        <f t="shared" si="160"/>
        <v>--</v>
      </c>
      <c r="H3386" s="182"/>
      <c r="I3386" s="892"/>
      <c r="J3386" s="288"/>
      <c r="K3386" s="182"/>
      <c r="L3386" s="182"/>
      <c r="M3386" s="270"/>
      <c r="N3386" s="892"/>
      <c r="O3386" s="892"/>
      <c r="P3386" s="270"/>
      <c r="Q3386" s="270"/>
      <c r="R3386" s="270"/>
      <c r="S3386" s="270"/>
      <c r="T3386" s="270"/>
      <c r="U3386" s="270"/>
      <c r="V3386" s="270"/>
      <c r="W3386" s="270"/>
      <c r="X3386" s="270"/>
      <c r="Y3386" s="270"/>
      <c r="Z3386" s="270"/>
      <c r="AA3386" s="270"/>
    </row>
    <row r="3387" spans="3:28" x14ac:dyDescent="0.3">
      <c r="C3387" s="450"/>
      <c r="D3387" s="182"/>
      <c r="E3387" s="182"/>
      <c r="F3387" s="182"/>
      <c r="G3387" s="450" t="str">
        <f t="shared" si="160"/>
        <v>--</v>
      </c>
      <c r="H3387" s="182"/>
      <c r="I3387" s="892"/>
      <c r="J3387" s="288"/>
      <c r="K3387" s="182"/>
      <c r="L3387" s="182"/>
      <c r="M3387" s="270"/>
      <c r="N3387" s="892"/>
      <c r="O3387" s="892"/>
      <c r="P3387" s="276" t="s">
        <v>42</v>
      </c>
      <c r="Q3387" s="902"/>
      <c r="R3387" s="902"/>
      <c r="S3387" s="902"/>
      <c r="T3387" s="271"/>
      <c r="U3387" s="114"/>
      <c r="V3387" s="114"/>
      <c r="W3387" s="270"/>
      <c r="X3387" s="270"/>
      <c r="Y3387" s="270"/>
      <c r="Z3387" s="270"/>
      <c r="AA3387" s="270"/>
    </row>
    <row r="3388" spans="3:28" ht="15" thickBot="1" x14ac:dyDescent="0.35">
      <c r="C3388" s="450"/>
      <c r="D3388" s="182"/>
      <c r="E3388" s="182"/>
      <c r="F3388" s="182"/>
      <c r="G3388" s="450" t="str">
        <f t="shared" si="160"/>
        <v>--</v>
      </c>
      <c r="H3388" s="182"/>
      <c r="I3388" s="892"/>
      <c r="J3388" s="892"/>
      <c r="K3388" s="182"/>
      <c r="L3388" s="182"/>
      <c r="M3388" s="901" t="s">
        <v>155</v>
      </c>
      <c r="N3388" s="870" t="s">
        <v>188</v>
      </c>
      <c r="O3388" s="870"/>
      <c r="P3388" s="277" t="s">
        <v>818</v>
      </c>
      <c r="Q3388" s="871" t="s">
        <v>155</v>
      </c>
      <c r="R3388" s="114"/>
      <c r="S3388" s="114"/>
      <c r="T3388" s="271"/>
      <c r="U3388" s="114"/>
      <c r="V3388" s="114"/>
      <c r="W3388" s="270"/>
      <c r="X3388" s="270"/>
      <c r="Y3388" s="270"/>
      <c r="Z3388" s="270"/>
      <c r="AA3388" s="270"/>
    </row>
    <row r="3389" spans="3:28" ht="15" thickBot="1" x14ac:dyDescent="0.35">
      <c r="C3389" s="566" t="s">
        <v>110</v>
      </c>
      <c r="D3389" s="875" t="str">
        <f>VLOOKUP(C3389,'Airport Mapping'!$C$5:$D$39,2,FALSE)</f>
        <v xml:space="preserve"> </v>
      </c>
      <c r="E3389" s="567" t="s">
        <v>39</v>
      </c>
      <c r="F3389" s="567" t="s">
        <v>42</v>
      </c>
      <c r="G3389" s="450" t="str">
        <f t="shared" si="160"/>
        <v>Tenant E-Landscaping-Outdoor irrigation</v>
      </c>
      <c r="H3389" s="567" t="s">
        <v>32</v>
      </c>
      <c r="I3389" s="877" t="s">
        <v>64</v>
      </c>
      <c r="J3389" s="878">
        <f>SUMIFS('Level of Efficiency Assumptions'!J:J,'Level of Efficiency Assumptions'!D:D,E3389,'Level of Efficiency Assumptions'!F:F,F3389,'Level of Efficiency Assumptions'!I:I,I3389)</f>
        <v>28.6</v>
      </c>
      <c r="K3389" s="383" t="s">
        <v>816</v>
      </c>
      <c r="L3389" s="253" t="s">
        <v>64</v>
      </c>
      <c r="M3389" s="879">
        <f>SUM(Q3389:Q3390)</f>
        <v>0</v>
      </c>
      <c r="N3389" s="880">
        <f>IFERROR(M3389/M3392,"-")</f>
        <v>0</v>
      </c>
      <c r="O3389" s="881">
        <f>SUMIFS('Data Entry'!R:R,'Data Entry'!K:K,G3389)</f>
        <v>0</v>
      </c>
      <c r="P3389" s="272" t="s">
        <v>237</v>
      </c>
      <c r="Q3389" s="895">
        <v>0</v>
      </c>
      <c r="R3389" s="114"/>
      <c r="S3389" s="114"/>
      <c r="T3389" s="271"/>
      <c r="U3389" s="114"/>
      <c r="V3389" s="114"/>
      <c r="W3389" s="270"/>
      <c r="X3389" s="270"/>
      <c r="Y3389" s="270"/>
      <c r="Z3389" s="270"/>
      <c r="AA3389" s="270"/>
    </row>
    <row r="3390" spans="3:28" ht="15" thickBot="1" x14ac:dyDescent="0.35">
      <c r="C3390" s="494" t="s">
        <v>110</v>
      </c>
      <c r="D3390" s="577"/>
      <c r="E3390" s="577" t="s">
        <v>39</v>
      </c>
      <c r="F3390" s="577" t="s">
        <v>42</v>
      </c>
      <c r="G3390" s="450" t="str">
        <f t="shared" si="160"/>
        <v>Tenant E-Landscaping-Outdoor irrigation</v>
      </c>
      <c r="H3390" s="577"/>
      <c r="I3390" s="887" t="s">
        <v>65</v>
      </c>
      <c r="J3390" s="878">
        <f>SUMIFS('Level of Efficiency Assumptions'!J:J,'Level of Efficiency Assumptions'!D:D,E3390,'Level of Efficiency Assumptions'!F:F,F3390,'Level of Efficiency Assumptions'!I:I,I3390)</f>
        <v>13.980821518350929</v>
      </c>
      <c r="K3390" s="383" t="s">
        <v>816</v>
      </c>
      <c r="L3390" s="255" t="s">
        <v>65</v>
      </c>
      <c r="M3390" s="879">
        <f>Q3391+Q3392</f>
        <v>1</v>
      </c>
      <c r="N3390" s="880">
        <f>IFERROR(M3390/M3392,"-")</f>
        <v>1</v>
      </c>
      <c r="O3390" s="881">
        <f>SUMIFS('Data Entry'!S:S,'Data Entry'!K:K,G3390)</f>
        <v>0</v>
      </c>
      <c r="P3390" s="272" t="s">
        <v>232</v>
      </c>
      <c r="Q3390" s="895">
        <v>0</v>
      </c>
      <c r="R3390" s="114"/>
      <c r="S3390" s="114"/>
      <c r="T3390" s="271"/>
      <c r="U3390" s="114"/>
      <c r="V3390" s="114"/>
      <c r="W3390" s="270"/>
      <c r="X3390" s="270"/>
      <c r="Y3390" s="270"/>
      <c r="Z3390" s="270"/>
      <c r="AA3390" s="270"/>
    </row>
    <row r="3391" spans="3:28" ht="15" thickBot="1" x14ac:dyDescent="0.35">
      <c r="C3391" s="501" t="s">
        <v>110</v>
      </c>
      <c r="D3391" s="116"/>
      <c r="E3391" s="116" t="s">
        <v>39</v>
      </c>
      <c r="F3391" s="116" t="s">
        <v>42</v>
      </c>
      <c r="G3391" s="450" t="str">
        <f t="shared" si="160"/>
        <v>Tenant E-Landscaping-Outdoor irrigation</v>
      </c>
      <c r="H3391" s="116"/>
      <c r="I3391" s="889" t="s">
        <v>66</v>
      </c>
      <c r="J3391" s="890">
        <f>SUMIFS('Level of Efficiency Assumptions'!J:J,'Level of Efficiency Assumptions'!D:D,E3391,'Level of Efficiency Assumptions'!F:F,F3391,'Level of Efficiency Assumptions'!I:I,I3391)</f>
        <v>0.59137254901960778</v>
      </c>
      <c r="K3391" s="383" t="s">
        <v>816</v>
      </c>
      <c r="L3391" s="257" t="s">
        <v>66</v>
      </c>
      <c r="M3391" s="879">
        <f>Q3393+Q3394</f>
        <v>0</v>
      </c>
      <c r="N3391" s="880">
        <f>IFERROR(M3391/M3392,"-")</f>
        <v>0</v>
      </c>
      <c r="O3391" s="881">
        <f>SUMIFS('Data Entry'!T:T,'Data Entry'!K:K,G3391)</f>
        <v>0</v>
      </c>
      <c r="P3391" s="274" t="s">
        <v>231</v>
      </c>
      <c r="Q3391" s="895">
        <v>1</v>
      </c>
      <c r="R3391" s="114"/>
      <c r="S3391" s="114"/>
      <c r="T3391" s="271"/>
      <c r="U3391" s="114"/>
      <c r="V3391" s="114"/>
      <c r="W3391" s="270"/>
      <c r="X3391" s="270"/>
      <c r="Y3391" s="270"/>
      <c r="Z3391" s="270"/>
      <c r="AA3391" s="270"/>
    </row>
    <row r="3392" spans="3:28" x14ac:dyDescent="0.3">
      <c r="C3392" s="450"/>
      <c r="D3392" s="182"/>
      <c r="E3392" s="182"/>
      <c r="F3392" s="182"/>
      <c r="G3392" s="450" t="str">
        <f t="shared" si="160"/>
        <v>--</v>
      </c>
      <c r="H3392" s="182"/>
      <c r="I3392" s="440"/>
      <c r="J3392" s="892"/>
      <c r="K3392" s="259"/>
      <c r="L3392" s="259" t="s">
        <v>46</v>
      </c>
      <c r="M3392" s="893">
        <f>SUM(M3389:M3391)</f>
        <v>1</v>
      </c>
      <c r="N3392" s="894"/>
      <c r="O3392" s="894">
        <f>SUM(O3389:O3391)</f>
        <v>0</v>
      </c>
      <c r="P3392" s="274" t="s">
        <v>230</v>
      </c>
      <c r="Q3392" s="895">
        <v>0</v>
      </c>
      <c r="R3392" s="114"/>
      <c r="S3392" s="114"/>
      <c r="T3392" s="271"/>
      <c r="U3392" s="114"/>
      <c r="V3392" s="114"/>
      <c r="W3392" s="270"/>
      <c r="X3392" s="270"/>
      <c r="Y3392" s="270"/>
      <c r="Z3392" s="270"/>
      <c r="AA3392" s="270"/>
    </row>
    <row r="3393" spans="3:27" x14ac:dyDescent="0.3">
      <c r="C3393" s="450"/>
      <c r="D3393" s="182"/>
      <c r="E3393" s="182"/>
      <c r="F3393" s="182"/>
      <c r="G3393" s="450" t="str">
        <f t="shared" si="160"/>
        <v>--</v>
      </c>
      <c r="H3393" s="182"/>
      <c r="I3393" s="892"/>
      <c r="J3393" s="288"/>
      <c r="K3393" s="182"/>
      <c r="L3393" s="182"/>
      <c r="M3393" s="270"/>
      <c r="N3393" s="892"/>
      <c r="O3393" s="892"/>
      <c r="P3393" s="275" t="s">
        <v>229</v>
      </c>
      <c r="Q3393" s="895">
        <v>0</v>
      </c>
      <c r="R3393" s="114"/>
      <c r="S3393" s="114"/>
      <c r="T3393" s="271"/>
      <c r="U3393" s="114"/>
      <c r="V3393" s="114"/>
      <c r="W3393" s="270"/>
      <c r="X3393" s="270"/>
      <c r="Y3393" s="270"/>
      <c r="Z3393" s="270"/>
      <c r="AA3393" s="270"/>
    </row>
    <row r="3394" spans="3:27" x14ac:dyDescent="0.3">
      <c r="C3394" s="450"/>
      <c r="D3394" s="182"/>
      <c r="E3394" s="182"/>
      <c r="F3394" s="182"/>
      <c r="G3394" s="450" t="str">
        <f t="shared" si="160"/>
        <v>--</v>
      </c>
      <c r="H3394" s="182"/>
      <c r="I3394" s="892"/>
      <c r="J3394" s="288"/>
      <c r="K3394" s="182"/>
      <c r="L3394" s="182"/>
      <c r="M3394" s="270"/>
      <c r="N3394" s="892"/>
      <c r="O3394" s="892"/>
      <c r="P3394" s="269" t="s">
        <v>225</v>
      </c>
      <c r="Q3394" s="895">
        <v>0</v>
      </c>
      <c r="R3394" s="114"/>
      <c r="S3394" s="114"/>
      <c r="T3394" s="271"/>
      <c r="U3394" s="114"/>
      <c r="V3394" s="114"/>
      <c r="W3394" s="270"/>
      <c r="X3394" s="270"/>
      <c r="Y3394" s="270"/>
      <c r="Z3394" s="270"/>
      <c r="AA3394" s="270"/>
    </row>
    <row r="3395" spans="3:27" x14ac:dyDescent="0.3">
      <c r="C3395" s="450"/>
      <c r="D3395" s="182"/>
      <c r="E3395" s="182"/>
      <c r="F3395" s="182"/>
      <c r="G3395" s="450" t="str">
        <f t="shared" si="160"/>
        <v>--</v>
      </c>
      <c r="H3395" s="182"/>
      <c r="I3395" s="892"/>
      <c r="J3395" s="288"/>
      <c r="K3395" s="182"/>
      <c r="L3395" s="182"/>
      <c r="M3395" s="270"/>
      <c r="N3395" s="892"/>
      <c r="O3395" s="892"/>
      <c r="P3395" s="263" t="s">
        <v>46</v>
      </c>
      <c r="Q3395" s="897">
        <f>SUM(Q3389:Q3394)</f>
        <v>1</v>
      </c>
      <c r="R3395" s="899"/>
      <c r="S3395" s="899"/>
      <c r="T3395" s="271"/>
      <c r="U3395" s="114"/>
      <c r="V3395" s="114"/>
      <c r="W3395" s="270"/>
      <c r="X3395" s="270"/>
      <c r="Y3395" s="270"/>
      <c r="Z3395" s="270"/>
      <c r="AA3395" s="270"/>
    </row>
    <row r="3396" spans="3:27" x14ac:dyDescent="0.3">
      <c r="C3396" s="450"/>
      <c r="D3396" s="182"/>
      <c r="E3396" s="182"/>
      <c r="F3396" s="182"/>
      <c r="G3396" s="450" t="str">
        <f t="shared" si="160"/>
        <v>--</v>
      </c>
      <c r="H3396" s="182"/>
      <c r="I3396" s="892"/>
      <c r="J3396" s="288"/>
      <c r="K3396" s="182"/>
      <c r="L3396" s="182"/>
      <c r="M3396" s="270"/>
      <c r="N3396" s="892"/>
      <c r="O3396" s="892"/>
      <c r="P3396" s="270"/>
      <c r="Q3396" s="270"/>
      <c r="R3396" s="270"/>
      <c r="S3396" s="270"/>
      <c r="T3396" s="270"/>
      <c r="U3396" s="270"/>
      <c r="V3396" s="270"/>
      <c r="W3396" s="270"/>
      <c r="X3396" s="270"/>
      <c r="Y3396" s="270"/>
      <c r="Z3396" s="270"/>
      <c r="AA3396" s="270"/>
    </row>
    <row r="3397" spans="3:27" ht="15" thickBot="1" x14ac:dyDescent="0.35">
      <c r="C3397" s="450"/>
      <c r="D3397" s="182"/>
      <c r="E3397" s="182"/>
      <c r="F3397" s="182"/>
      <c r="G3397" s="450" t="str">
        <f t="shared" si="160"/>
        <v>--</v>
      </c>
      <c r="H3397" s="182"/>
      <c r="I3397" s="892"/>
      <c r="J3397" s="892"/>
      <c r="K3397" s="182"/>
      <c r="L3397" s="182"/>
      <c r="M3397" s="901" t="s">
        <v>155</v>
      </c>
      <c r="N3397" s="870" t="s">
        <v>188</v>
      </c>
      <c r="O3397" s="870"/>
      <c r="P3397" s="276" t="s">
        <v>111</v>
      </c>
      <c r="Q3397" s="871" t="s">
        <v>155</v>
      </c>
      <c r="R3397" s="902"/>
      <c r="S3397" s="874"/>
      <c r="T3397" s="270"/>
      <c r="U3397" s="270"/>
      <c r="V3397" s="270"/>
      <c r="W3397" s="270"/>
      <c r="X3397" s="270"/>
      <c r="Y3397" s="270"/>
      <c r="Z3397" s="270"/>
      <c r="AA3397" s="270"/>
    </row>
    <row r="3398" spans="3:27" ht="15" thickBot="1" x14ac:dyDescent="0.35">
      <c r="C3398" s="566" t="s">
        <v>110</v>
      </c>
      <c r="D3398" s="875" t="str">
        <f>VLOOKUP(C3398,'Airport Mapping'!$C$5:$D$39,2,FALSE)</f>
        <v xml:space="preserve"> </v>
      </c>
      <c r="E3398" s="567" t="s">
        <v>43</v>
      </c>
      <c r="F3398" s="567" t="s">
        <v>111</v>
      </c>
      <c r="G3398" s="450" t="str">
        <f t="shared" si="160"/>
        <v>Tenant E-Maintenance-Boiler</v>
      </c>
      <c r="H3398" s="567" t="s">
        <v>424</v>
      </c>
      <c r="I3398" s="877" t="s">
        <v>64</v>
      </c>
      <c r="J3398" s="878">
        <f>SUMIFS('Level of Efficiency Assumptions'!J:J,'Level of Efficiency Assumptions'!D:D,E3398,'Level of Efficiency Assumptions'!F:F,F3398,'Level of Efficiency Assumptions'!I:I,I3398)</f>
        <v>100</v>
      </c>
      <c r="K3398" s="383" t="s">
        <v>585</v>
      </c>
      <c r="L3398" s="253" t="s">
        <v>64</v>
      </c>
      <c r="M3398" s="879">
        <f>SUM(Q3398:Q3399)</f>
        <v>0</v>
      </c>
      <c r="N3398" s="880">
        <f>IFERROR(M3398/M3401,"-")</f>
        <v>0</v>
      </c>
      <c r="O3398" s="881">
        <f>SUMIFS('Data Entry'!R:R,'Data Entry'!K:K,G3398)</f>
        <v>0</v>
      </c>
      <c r="P3398" s="272"/>
      <c r="Q3398" s="895">
        <v>0</v>
      </c>
      <c r="R3398" s="114"/>
      <c r="S3398" s="884"/>
      <c r="T3398" s="270"/>
      <c r="U3398" s="270"/>
      <c r="V3398" s="270"/>
      <c r="W3398" s="270"/>
      <c r="X3398" s="270"/>
      <c r="Y3398" s="270"/>
      <c r="Z3398" s="270"/>
      <c r="AA3398" s="270"/>
    </row>
    <row r="3399" spans="3:27" ht="15" thickBot="1" x14ac:dyDescent="0.35">
      <c r="C3399" s="494" t="s">
        <v>110</v>
      </c>
      <c r="D3399" s="577"/>
      <c r="E3399" s="577" t="s">
        <v>43</v>
      </c>
      <c r="F3399" s="577" t="s">
        <v>111</v>
      </c>
      <c r="G3399" s="450" t="str">
        <f t="shared" si="160"/>
        <v>Tenant E-Maintenance-Boiler</v>
      </c>
      <c r="H3399" s="577"/>
      <c r="I3399" s="887" t="s">
        <v>65</v>
      </c>
      <c r="J3399" s="878">
        <f>SUMIFS('Level of Efficiency Assumptions'!J:J,'Level of Efficiency Assumptions'!D:D,E3399,'Level of Efficiency Assumptions'!F:F,F3399,'Level of Efficiency Assumptions'!I:I,I3399)</f>
        <v>75</v>
      </c>
      <c r="K3399" s="383" t="s">
        <v>585</v>
      </c>
      <c r="L3399" s="255" t="s">
        <v>65</v>
      </c>
      <c r="M3399" s="879">
        <f>Q3400+Q3401</f>
        <v>1</v>
      </c>
      <c r="N3399" s="880">
        <f>IFERROR(M3399/M3401,"-")</f>
        <v>1</v>
      </c>
      <c r="O3399" s="881">
        <f>SUMIFS('Data Entry'!S:S,'Data Entry'!K:K,G3399)</f>
        <v>0</v>
      </c>
      <c r="P3399" s="272"/>
      <c r="Q3399" s="895">
        <v>0</v>
      </c>
      <c r="R3399" s="114"/>
      <c r="S3399" s="884"/>
      <c r="T3399" s="270"/>
      <c r="U3399" s="270"/>
      <c r="V3399" s="270"/>
      <c r="W3399" s="270"/>
      <c r="X3399" s="270"/>
      <c r="Y3399" s="270"/>
      <c r="Z3399" s="270"/>
      <c r="AA3399" s="270"/>
    </row>
    <row r="3400" spans="3:27" ht="15" thickBot="1" x14ac:dyDescent="0.35">
      <c r="C3400" s="501" t="s">
        <v>110</v>
      </c>
      <c r="D3400" s="116"/>
      <c r="E3400" s="116" t="s">
        <v>43</v>
      </c>
      <c r="F3400" s="116" t="s">
        <v>111</v>
      </c>
      <c r="G3400" s="450" t="str">
        <f t="shared" si="160"/>
        <v>Tenant E-Maintenance-Boiler</v>
      </c>
      <c r="H3400" s="116"/>
      <c r="I3400" s="889" t="s">
        <v>66</v>
      </c>
      <c r="J3400" s="890">
        <f>SUMIFS('Level of Efficiency Assumptions'!J:J,'Level of Efficiency Assumptions'!D:D,E3400,'Level of Efficiency Assumptions'!F:F,F3400,'Level of Efficiency Assumptions'!I:I,I3400)</f>
        <v>50</v>
      </c>
      <c r="K3400" s="383" t="s">
        <v>585</v>
      </c>
      <c r="L3400" s="257" t="s">
        <v>66</v>
      </c>
      <c r="M3400" s="879">
        <f>Q3402+Q3403</f>
        <v>0</v>
      </c>
      <c r="N3400" s="880">
        <f>IFERROR(M3400/M3401,"-")</f>
        <v>0</v>
      </c>
      <c r="O3400" s="881">
        <f>SUMIFS('Data Entry'!T:T,'Data Entry'!K:K,G3400)</f>
        <v>0</v>
      </c>
      <c r="P3400" s="274"/>
      <c r="Q3400" s="895">
        <v>1</v>
      </c>
      <c r="R3400" s="114"/>
      <c r="S3400" s="884"/>
      <c r="T3400" s="270"/>
      <c r="U3400" s="270"/>
      <c r="V3400" s="270"/>
      <c r="W3400" s="270"/>
      <c r="X3400" s="270"/>
      <c r="Y3400" s="270"/>
      <c r="Z3400" s="270"/>
      <c r="AA3400" s="270"/>
    </row>
    <row r="3401" spans="3:27" x14ac:dyDescent="0.3">
      <c r="C3401" s="450"/>
      <c r="D3401" s="182"/>
      <c r="E3401" s="182"/>
      <c r="F3401" s="182"/>
      <c r="G3401" s="450" t="str">
        <f t="shared" si="160"/>
        <v>--</v>
      </c>
      <c r="H3401" s="182"/>
      <c r="I3401" s="440"/>
      <c r="J3401" s="892"/>
      <c r="K3401" s="259"/>
      <c r="L3401" s="259" t="s">
        <v>46</v>
      </c>
      <c r="M3401" s="893">
        <f>SUM(M3398:M3400)</f>
        <v>1</v>
      </c>
      <c r="N3401" s="894"/>
      <c r="O3401" s="894">
        <f>SUM(O3398:O3400)</f>
        <v>0</v>
      </c>
      <c r="P3401" s="274"/>
      <c r="Q3401" s="895">
        <v>0</v>
      </c>
      <c r="R3401" s="114"/>
      <c r="S3401" s="884"/>
      <c r="T3401" s="270"/>
      <c r="U3401" s="270"/>
      <c r="V3401" s="270"/>
      <c r="W3401" s="270"/>
      <c r="X3401" s="270"/>
      <c r="Y3401" s="270"/>
      <c r="Z3401" s="270"/>
      <c r="AA3401" s="270"/>
    </row>
    <row r="3402" spans="3:27" x14ac:dyDescent="0.3">
      <c r="C3402" s="450"/>
      <c r="D3402" s="182"/>
      <c r="E3402" s="182"/>
      <c r="F3402" s="182"/>
      <c r="G3402" s="450" t="str">
        <f t="shared" si="160"/>
        <v>--</v>
      </c>
      <c r="H3402" s="182"/>
      <c r="I3402" s="892"/>
      <c r="J3402" s="288"/>
      <c r="K3402" s="182"/>
      <c r="L3402" s="182"/>
      <c r="M3402" s="270"/>
      <c r="N3402" s="892"/>
      <c r="O3402" s="892"/>
      <c r="P3402" s="275"/>
      <c r="Q3402" s="895">
        <v>0</v>
      </c>
      <c r="R3402" s="114"/>
      <c r="S3402" s="884"/>
      <c r="T3402" s="270"/>
      <c r="U3402" s="270"/>
      <c r="V3402" s="270"/>
      <c r="W3402" s="270"/>
      <c r="X3402" s="270"/>
      <c r="Y3402" s="270"/>
      <c r="Z3402" s="270"/>
      <c r="AA3402" s="270"/>
    </row>
    <row r="3403" spans="3:27" x14ac:dyDescent="0.3">
      <c r="C3403" s="450"/>
      <c r="D3403" s="182"/>
      <c r="E3403" s="182"/>
      <c r="F3403" s="182"/>
      <c r="G3403" s="450" t="str">
        <f t="shared" si="160"/>
        <v>--</v>
      </c>
      <c r="H3403" s="182"/>
      <c r="I3403" s="892"/>
      <c r="J3403" s="288"/>
      <c r="K3403" s="182"/>
      <c r="L3403" s="182"/>
      <c r="M3403" s="270"/>
      <c r="N3403" s="892"/>
      <c r="O3403" s="892"/>
      <c r="P3403" s="269"/>
      <c r="Q3403" s="895">
        <v>0</v>
      </c>
      <c r="R3403" s="114"/>
      <c r="S3403" s="884"/>
      <c r="T3403" s="270"/>
      <c r="U3403" s="270"/>
      <c r="V3403" s="270"/>
      <c r="W3403" s="270"/>
      <c r="X3403" s="270"/>
      <c r="Y3403" s="270"/>
      <c r="Z3403" s="270"/>
      <c r="AA3403" s="270"/>
    </row>
    <row r="3404" spans="3:27" x14ac:dyDescent="0.3">
      <c r="C3404" s="450"/>
      <c r="D3404" s="182"/>
      <c r="E3404" s="182"/>
      <c r="F3404" s="182"/>
      <c r="G3404" s="450" t="str">
        <f t="shared" si="160"/>
        <v>--</v>
      </c>
      <c r="H3404" s="182"/>
      <c r="I3404" s="892"/>
      <c r="J3404" s="288"/>
      <c r="K3404" s="182"/>
      <c r="L3404" s="182"/>
      <c r="M3404" s="270"/>
      <c r="N3404" s="892"/>
      <c r="O3404" s="892"/>
      <c r="P3404" s="263" t="s">
        <v>46</v>
      </c>
      <c r="Q3404" s="897">
        <f>SUM(Q3398:Q3403)</f>
        <v>1</v>
      </c>
      <c r="R3404" s="899"/>
      <c r="S3404" s="900"/>
      <c r="T3404" s="270"/>
      <c r="U3404" s="270"/>
      <c r="V3404" s="270"/>
      <c r="W3404" s="270"/>
      <c r="X3404" s="270"/>
      <c r="Y3404" s="270"/>
      <c r="Z3404" s="270"/>
      <c r="AA3404" s="270"/>
    </row>
    <row r="3405" spans="3:27" x14ac:dyDescent="0.3">
      <c r="C3405" s="225"/>
      <c r="D3405" s="288"/>
      <c r="E3405" s="288"/>
      <c r="F3405" s="288"/>
      <c r="G3405" s="450" t="str">
        <f t="shared" si="160"/>
        <v>--</v>
      </c>
      <c r="H3405" s="182"/>
      <c r="I3405" s="892"/>
      <c r="J3405" s="288"/>
      <c r="K3405" s="182"/>
      <c r="L3405" s="182"/>
      <c r="M3405" s="270"/>
      <c r="N3405" s="892"/>
      <c r="O3405" s="892"/>
      <c r="P3405" s="259"/>
      <c r="Q3405" s="114"/>
      <c r="R3405" s="270"/>
      <c r="S3405" s="270"/>
      <c r="T3405" s="270"/>
      <c r="U3405" s="270"/>
      <c r="V3405" s="270"/>
      <c r="W3405" s="270"/>
      <c r="X3405" s="270"/>
      <c r="Y3405" s="270"/>
      <c r="Z3405" s="270"/>
      <c r="AA3405" s="270"/>
    </row>
    <row r="3406" spans="3:27" ht="15" thickBot="1" x14ac:dyDescent="0.35">
      <c r="C3406" s="450"/>
      <c r="D3406" s="182"/>
      <c r="E3406" s="182"/>
      <c r="F3406" s="182"/>
      <c r="G3406" s="450" t="str">
        <f t="shared" si="160"/>
        <v>--</v>
      </c>
      <c r="H3406" s="182"/>
      <c r="I3406" s="892"/>
      <c r="J3406" s="892"/>
      <c r="K3406" s="182"/>
      <c r="L3406" s="182"/>
      <c r="M3406" s="901" t="s">
        <v>155</v>
      </c>
      <c r="N3406" s="870" t="s">
        <v>188</v>
      </c>
      <c r="O3406" s="870"/>
      <c r="P3406" s="276" t="s">
        <v>9</v>
      </c>
      <c r="Q3406" s="871" t="s">
        <v>155</v>
      </c>
      <c r="R3406" s="902"/>
      <c r="S3406" s="874"/>
      <c r="T3406" s="270"/>
      <c r="U3406" s="270"/>
      <c r="V3406" s="270"/>
      <c r="W3406" s="270"/>
      <c r="X3406" s="270"/>
      <c r="Y3406" s="270"/>
      <c r="Z3406" s="270"/>
      <c r="AA3406" s="270"/>
    </row>
    <row r="3407" spans="3:27" ht="15" thickBot="1" x14ac:dyDescent="0.35">
      <c r="C3407" s="566" t="s">
        <v>110</v>
      </c>
      <c r="D3407" s="875" t="str">
        <f>VLOOKUP(C3407,'Airport Mapping'!$C$5:$D$39,2,FALSE)</f>
        <v xml:space="preserve"> </v>
      </c>
      <c r="E3407" s="567" t="s">
        <v>43</v>
      </c>
      <c r="F3407" s="567" t="s">
        <v>25</v>
      </c>
      <c r="G3407" s="450" t="str">
        <f t="shared" si="160"/>
        <v>Tenant E-Maintenance-Fleet vehicle washing</v>
      </c>
      <c r="H3407" s="567" t="s">
        <v>10</v>
      </c>
      <c r="I3407" s="877" t="s">
        <v>64</v>
      </c>
      <c r="J3407" s="878">
        <f>SUMIFS('Level of Efficiency Assumptions'!J:J,'Level of Efficiency Assumptions'!D:D,E3407,'Level of Efficiency Assumptions'!F:F,F3407,'Level of Efficiency Assumptions'!I:I,I3407)</f>
        <v>10</v>
      </c>
      <c r="K3407" s="383" t="s">
        <v>588</v>
      </c>
      <c r="L3407" s="253" t="s">
        <v>64</v>
      </c>
      <c r="M3407" s="879">
        <f>SUM(Q3407:Q3408)</f>
        <v>0</v>
      </c>
      <c r="N3407" s="880">
        <f>IFERROR(M3407/M3410,"-")</f>
        <v>0</v>
      </c>
      <c r="O3407" s="881">
        <f>SUMIFS('Data Entry'!R:R,'Data Entry'!K:K,G3407)</f>
        <v>0</v>
      </c>
      <c r="P3407" s="272"/>
      <c r="Q3407" s="895">
        <v>0</v>
      </c>
      <c r="R3407" s="114"/>
      <c r="S3407" s="884"/>
      <c r="T3407" s="270"/>
      <c r="U3407" s="270"/>
      <c r="V3407" s="270"/>
      <c r="W3407" s="270"/>
      <c r="X3407" s="270"/>
      <c r="Y3407" s="270"/>
      <c r="Z3407" s="270"/>
      <c r="AA3407" s="270"/>
    </row>
    <row r="3408" spans="3:27" ht="15" thickBot="1" x14ac:dyDescent="0.35">
      <c r="C3408" s="494" t="s">
        <v>110</v>
      </c>
      <c r="D3408" s="577"/>
      <c r="E3408" s="577" t="s">
        <v>43</v>
      </c>
      <c r="F3408" s="577" t="s">
        <v>25</v>
      </c>
      <c r="G3408" s="450" t="str">
        <f t="shared" ref="G3408:G3439" si="161">C3408&amp;"-"&amp;E3408&amp;"-"&amp;F3408</f>
        <v>Tenant E-Maintenance-Fleet vehicle washing</v>
      </c>
      <c r="H3408" s="577"/>
      <c r="I3408" s="887" t="s">
        <v>65</v>
      </c>
      <c r="J3408" s="878">
        <f>SUMIFS('Level of Efficiency Assumptions'!J:J,'Level of Efficiency Assumptions'!D:D,E3408,'Level of Efficiency Assumptions'!F:F,F3408,'Level of Efficiency Assumptions'!I:I,I3408)</f>
        <v>7.5</v>
      </c>
      <c r="K3408" s="383" t="s">
        <v>588</v>
      </c>
      <c r="L3408" s="255" t="s">
        <v>65</v>
      </c>
      <c r="M3408" s="879">
        <f>Q3409+Q3410</f>
        <v>1</v>
      </c>
      <c r="N3408" s="880">
        <f>IFERROR(M3408/M3410,"-")</f>
        <v>1</v>
      </c>
      <c r="O3408" s="881">
        <f>SUMIFS('Data Entry'!S:S,'Data Entry'!K:K,G3408)</f>
        <v>0</v>
      </c>
      <c r="P3408" s="272"/>
      <c r="Q3408" s="895">
        <v>0</v>
      </c>
      <c r="R3408" s="114"/>
      <c r="S3408" s="884"/>
      <c r="T3408" s="270"/>
      <c r="U3408" s="270"/>
      <c r="V3408" s="270"/>
      <c r="W3408" s="270"/>
      <c r="X3408" s="270"/>
      <c r="Y3408" s="270"/>
      <c r="Z3408" s="270"/>
      <c r="AA3408" s="270"/>
    </row>
    <row r="3409" spans="3:27" ht="15" thickBot="1" x14ac:dyDescent="0.35">
      <c r="C3409" s="501" t="s">
        <v>110</v>
      </c>
      <c r="D3409" s="116"/>
      <c r="E3409" s="116" t="s">
        <v>43</v>
      </c>
      <c r="F3409" s="116" t="s">
        <v>25</v>
      </c>
      <c r="G3409" s="450" t="str">
        <f t="shared" si="161"/>
        <v>Tenant E-Maintenance-Fleet vehicle washing</v>
      </c>
      <c r="H3409" s="116"/>
      <c r="I3409" s="889" t="s">
        <v>66</v>
      </c>
      <c r="J3409" s="890">
        <f>SUMIFS('Level of Efficiency Assumptions'!J:J,'Level of Efficiency Assumptions'!D:D,E3409,'Level of Efficiency Assumptions'!F:F,F3409,'Level of Efficiency Assumptions'!I:I,I3409)</f>
        <v>5</v>
      </c>
      <c r="K3409" s="383" t="s">
        <v>588</v>
      </c>
      <c r="L3409" s="257" t="s">
        <v>66</v>
      </c>
      <c r="M3409" s="879">
        <f>Q3411+Q3412</f>
        <v>0</v>
      </c>
      <c r="N3409" s="880">
        <f>IFERROR(M3409/M3410,"-")</f>
        <v>0</v>
      </c>
      <c r="O3409" s="881">
        <f>SUMIFS('Data Entry'!T:T,'Data Entry'!K:K,G3409)</f>
        <v>0</v>
      </c>
      <c r="P3409" s="274"/>
      <c r="Q3409" s="895">
        <v>1</v>
      </c>
      <c r="R3409" s="114"/>
      <c r="S3409" s="884"/>
      <c r="T3409" s="270"/>
      <c r="U3409" s="270"/>
      <c r="V3409" s="270"/>
      <c r="W3409" s="270"/>
      <c r="X3409" s="270"/>
      <c r="Y3409" s="270"/>
      <c r="Z3409" s="270"/>
      <c r="AA3409" s="270"/>
    </row>
    <row r="3410" spans="3:27" x14ac:dyDescent="0.3">
      <c r="C3410" s="450"/>
      <c r="D3410" s="182"/>
      <c r="E3410" s="182"/>
      <c r="F3410" s="182"/>
      <c r="G3410" s="450" t="str">
        <f t="shared" si="161"/>
        <v>--</v>
      </c>
      <c r="H3410" s="182"/>
      <c r="I3410" s="440"/>
      <c r="J3410" s="892"/>
      <c r="K3410" s="259"/>
      <c r="L3410" s="259" t="s">
        <v>46</v>
      </c>
      <c r="M3410" s="893">
        <f>SUM(M3407:M3409)</f>
        <v>1</v>
      </c>
      <c r="N3410" s="894"/>
      <c r="O3410" s="894">
        <f>SUM(O3407:O3409)</f>
        <v>0</v>
      </c>
      <c r="P3410" s="274"/>
      <c r="Q3410" s="895">
        <v>0</v>
      </c>
      <c r="R3410" s="114"/>
      <c r="S3410" s="884"/>
      <c r="T3410" s="270"/>
      <c r="U3410" s="270"/>
      <c r="V3410" s="270"/>
      <c r="W3410" s="270"/>
      <c r="X3410" s="270"/>
      <c r="Y3410" s="270"/>
      <c r="Z3410" s="270"/>
      <c r="AA3410" s="270"/>
    </row>
    <row r="3411" spans="3:27" x14ac:dyDescent="0.3">
      <c r="C3411" s="450"/>
      <c r="D3411" s="182"/>
      <c r="E3411" s="182"/>
      <c r="F3411" s="182"/>
      <c r="G3411" s="450" t="str">
        <f t="shared" si="161"/>
        <v>--</v>
      </c>
      <c r="H3411" s="182"/>
      <c r="I3411" s="892"/>
      <c r="J3411" s="288"/>
      <c r="K3411" s="182"/>
      <c r="L3411" s="182"/>
      <c r="M3411" s="270"/>
      <c r="N3411" s="892"/>
      <c r="O3411" s="892"/>
      <c r="P3411" s="275"/>
      <c r="Q3411" s="895">
        <v>0</v>
      </c>
      <c r="R3411" s="114"/>
      <c r="S3411" s="884"/>
      <c r="T3411" s="270"/>
      <c r="U3411" s="270"/>
      <c r="V3411" s="270"/>
      <c r="W3411" s="270"/>
      <c r="X3411" s="270"/>
      <c r="Y3411" s="270"/>
      <c r="Z3411" s="270"/>
      <c r="AA3411" s="270"/>
    </row>
    <row r="3412" spans="3:27" x14ac:dyDescent="0.3">
      <c r="C3412" s="450"/>
      <c r="D3412" s="182"/>
      <c r="E3412" s="182"/>
      <c r="F3412" s="182"/>
      <c r="G3412" s="450" t="str">
        <f t="shared" si="161"/>
        <v>--</v>
      </c>
      <c r="H3412" s="182"/>
      <c r="I3412" s="892"/>
      <c r="J3412" s="288"/>
      <c r="K3412" s="182"/>
      <c r="L3412" s="182"/>
      <c r="M3412" s="270"/>
      <c r="N3412" s="892"/>
      <c r="O3412" s="892"/>
      <c r="P3412" s="269"/>
      <c r="Q3412" s="895">
        <v>0</v>
      </c>
      <c r="R3412" s="114"/>
      <c r="S3412" s="884"/>
      <c r="T3412" s="270"/>
      <c r="U3412" s="270"/>
      <c r="V3412" s="270"/>
      <c r="W3412" s="270"/>
      <c r="X3412" s="270"/>
      <c r="Y3412" s="270"/>
      <c r="Z3412" s="270"/>
      <c r="AA3412" s="270"/>
    </row>
    <row r="3413" spans="3:27" x14ac:dyDescent="0.3">
      <c r="C3413" s="450"/>
      <c r="D3413" s="182"/>
      <c r="E3413" s="182"/>
      <c r="F3413" s="182"/>
      <c r="G3413" s="450" t="str">
        <f t="shared" si="161"/>
        <v>--</v>
      </c>
      <c r="H3413" s="182"/>
      <c r="I3413" s="892"/>
      <c r="J3413" s="288"/>
      <c r="K3413" s="182"/>
      <c r="L3413" s="182"/>
      <c r="M3413" s="270"/>
      <c r="N3413" s="892"/>
      <c r="O3413" s="892"/>
      <c r="P3413" s="263" t="s">
        <v>46</v>
      </c>
      <c r="Q3413" s="897">
        <f>SUM(Q3407:Q3412)</f>
        <v>1</v>
      </c>
      <c r="R3413" s="899"/>
      <c r="S3413" s="900"/>
      <c r="T3413" s="270"/>
      <c r="U3413" s="270"/>
      <c r="V3413" s="270"/>
      <c r="W3413" s="270"/>
      <c r="X3413" s="270"/>
      <c r="Y3413" s="270"/>
      <c r="Z3413" s="270"/>
      <c r="AA3413" s="270"/>
    </row>
    <row r="3414" spans="3:27" x14ac:dyDescent="0.3">
      <c r="C3414" s="450"/>
      <c r="D3414" s="182"/>
      <c r="E3414" s="182"/>
      <c r="F3414" s="182"/>
      <c r="G3414" s="450" t="str">
        <f t="shared" si="161"/>
        <v>--</v>
      </c>
      <c r="H3414" s="182"/>
      <c r="I3414" s="892"/>
      <c r="J3414" s="288"/>
      <c r="K3414" s="182"/>
      <c r="L3414" s="182"/>
      <c r="M3414" s="270"/>
      <c r="N3414" s="892"/>
      <c r="O3414" s="892"/>
      <c r="P3414" s="259"/>
      <c r="Q3414" s="114"/>
      <c r="R3414" s="114"/>
      <c r="S3414" s="114"/>
      <c r="T3414" s="270"/>
      <c r="U3414" s="270"/>
      <c r="V3414" s="270"/>
      <c r="W3414" s="270"/>
      <c r="X3414" s="270"/>
      <c r="Y3414" s="270"/>
      <c r="Z3414" s="270"/>
      <c r="AA3414" s="270"/>
    </row>
    <row r="3415" spans="3:27" ht="15" thickBot="1" x14ac:dyDescent="0.35">
      <c r="C3415" s="450"/>
      <c r="D3415" s="182"/>
      <c r="E3415" s="182"/>
      <c r="F3415" s="182"/>
      <c r="G3415" s="450" t="str">
        <f t="shared" si="161"/>
        <v>--</v>
      </c>
      <c r="H3415" s="182"/>
      <c r="I3415" s="892"/>
      <c r="J3415" s="892"/>
      <c r="K3415" s="182"/>
      <c r="L3415" s="182"/>
      <c r="M3415" s="901" t="s">
        <v>155</v>
      </c>
      <c r="N3415" s="870" t="s">
        <v>188</v>
      </c>
      <c r="O3415" s="870"/>
      <c r="P3415" s="276" t="s">
        <v>426</v>
      </c>
      <c r="Q3415" s="871" t="s">
        <v>155</v>
      </c>
      <c r="R3415" s="902"/>
      <c r="S3415" s="874"/>
      <c r="T3415" s="270"/>
      <c r="U3415" s="270"/>
      <c r="V3415" s="270"/>
      <c r="W3415" s="270"/>
      <c r="X3415" s="270"/>
      <c r="Y3415" s="270"/>
      <c r="Z3415" s="270"/>
      <c r="AA3415" s="270"/>
    </row>
    <row r="3416" spans="3:27" ht="15" thickBot="1" x14ac:dyDescent="0.35">
      <c r="C3416" s="566" t="s">
        <v>110</v>
      </c>
      <c r="D3416" s="875" t="str">
        <f>VLOOKUP(C3416,'Airport Mapping'!$C$5:$D$39,2,FALSE)</f>
        <v xml:space="preserve"> </v>
      </c>
      <c r="E3416" s="567" t="s">
        <v>43</v>
      </c>
      <c r="F3416" s="567" t="s">
        <v>426</v>
      </c>
      <c r="G3416" s="450" t="str">
        <f t="shared" si="161"/>
        <v>Tenant E-Maintenance-Pavement cleaning</v>
      </c>
      <c r="H3416" s="567" t="s">
        <v>10</v>
      </c>
      <c r="I3416" s="877" t="s">
        <v>64</v>
      </c>
      <c r="J3416" s="878">
        <f>SUMIFS('Level of Efficiency Assumptions'!J:J,'Level of Efficiency Assumptions'!D:D,E3416,'Level of Efficiency Assumptions'!F:F,F3416,'Level of Efficiency Assumptions'!I:I,I3416)</f>
        <v>10</v>
      </c>
      <c r="K3416" s="383" t="s">
        <v>588</v>
      </c>
      <c r="L3416" s="253" t="s">
        <v>64</v>
      </c>
      <c r="M3416" s="879">
        <f>SUM(Q3416:Q3417)</f>
        <v>0</v>
      </c>
      <c r="N3416" s="880">
        <f>IFERROR(M3416/M3419,"-")</f>
        <v>0</v>
      </c>
      <c r="O3416" s="881">
        <f>SUMIFS('Data Entry'!R:R,'Data Entry'!K:K,G3416)</f>
        <v>0</v>
      </c>
      <c r="P3416" s="272"/>
      <c r="Q3416" s="895">
        <v>0</v>
      </c>
      <c r="R3416" s="114"/>
      <c r="S3416" s="884"/>
      <c r="T3416" s="270"/>
      <c r="U3416" s="270"/>
      <c r="V3416" s="270"/>
      <c r="W3416" s="270"/>
      <c r="X3416" s="270"/>
      <c r="Y3416" s="270"/>
      <c r="Z3416" s="270"/>
      <c r="AA3416" s="270"/>
    </row>
    <row r="3417" spans="3:27" ht="15" thickBot="1" x14ac:dyDescent="0.35">
      <c r="C3417" s="494" t="s">
        <v>110</v>
      </c>
      <c r="D3417" s="577"/>
      <c r="E3417" s="577" t="s">
        <v>43</v>
      </c>
      <c r="F3417" s="577" t="s">
        <v>426</v>
      </c>
      <c r="G3417" s="450" t="str">
        <f t="shared" si="161"/>
        <v>Tenant E-Maintenance-Pavement cleaning</v>
      </c>
      <c r="H3417" s="577"/>
      <c r="I3417" s="887" t="s">
        <v>65</v>
      </c>
      <c r="J3417" s="878">
        <f>SUMIFS('Level of Efficiency Assumptions'!J:J,'Level of Efficiency Assumptions'!D:D,E3417,'Level of Efficiency Assumptions'!F:F,F3417,'Level of Efficiency Assumptions'!I:I,I3417)</f>
        <v>7.5</v>
      </c>
      <c r="K3417" s="383" t="s">
        <v>588</v>
      </c>
      <c r="L3417" s="255" t="s">
        <v>65</v>
      </c>
      <c r="M3417" s="879">
        <f>Q3418+Q3419</f>
        <v>1</v>
      </c>
      <c r="N3417" s="880">
        <f>IFERROR(M3417/M3419,"-")</f>
        <v>1</v>
      </c>
      <c r="O3417" s="881">
        <f>SUMIFS('Data Entry'!S:S,'Data Entry'!K:K,G3417)</f>
        <v>0</v>
      </c>
      <c r="P3417" s="272"/>
      <c r="Q3417" s="895">
        <v>0</v>
      </c>
      <c r="R3417" s="114"/>
      <c r="S3417" s="884"/>
      <c r="T3417" s="270"/>
      <c r="U3417" s="270"/>
      <c r="V3417" s="270"/>
      <c r="W3417" s="270"/>
      <c r="X3417" s="270"/>
      <c r="Y3417" s="270"/>
      <c r="Z3417" s="270"/>
      <c r="AA3417" s="270"/>
    </row>
    <row r="3418" spans="3:27" ht="15" thickBot="1" x14ac:dyDescent="0.35">
      <c r="C3418" s="501" t="s">
        <v>110</v>
      </c>
      <c r="D3418" s="116"/>
      <c r="E3418" s="116" t="s">
        <v>43</v>
      </c>
      <c r="F3418" s="116" t="s">
        <v>426</v>
      </c>
      <c r="G3418" s="450" t="str">
        <f t="shared" si="161"/>
        <v>Tenant E-Maintenance-Pavement cleaning</v>
      </c>
      <c r="H3418" s="116"/>
      <c r="I3418" s="889" t="s">
        <v>66</v>
      </c>
      <c r="J3418" s="890">
        <f>SUMIFS('Level of Efficiency Assumptions'!J:J,'Level of Efficiency Assumptions'!D:D,E3418,'Level of Efficiency Assumptions'!F:F,F3418,'Level of Efficiency Assumptions'!I:I,I3418)</f>
        <v>5</v>
      </c>
      <c r="K3418" s="383" t="s">
        <v>588</v>
      </c>
      <c r="L3418" s="257" t="s">
        <v>66</v>
      </c>
      <c r="M3418" s="879">
        <f>Q3420+Q3421</f>
        <v>0</v>
      </c>
      <c r="N3418" s="880">
        <f>IFERROR(M3418/M3419,"-")</f>
        <v>0</v>
      </c>
      <c r="O3418" s="881">
        <f>SUMIFS('Data Entry'!T:T,'Data Entry'!K:K,G3418)</f>
        <v>0</v>
      </c>
      <c r="P3418" s="274"/>
      <c r="Q3418" s="895">
        <v>1</v>
      </c>
      <c r="R3418" s="114"/>
      <c r="S3418" s="884"/>
      <c r="T3418" s="270"/>
      <c r="U3418" s="270"/>
      <c r="V3418" s="270"/>
      <c r="W3418" s="270"/>
      <c r="X3418" s="270"/>
      <c r="Y3418" s="270"/>
      <c r="Z3418" s="270"/>
      <c r="AA3418" s="270"/>
    </row>
    <row r="3419" spans="3:27" x14ac:dyDescent="0.3">
      <c r="C3419" s="450"/>
      <c r="D3419" s="182"/>
      <c r="E3419" s="182"/>
      <c r="F3419" s="182"/>
      <c r="G3419" s="450" t="str">
        <f t="shared" si="161"/>
        <v>--</v>
      </c>
      <c r="H3419" s="182"/>
      <c r="I3419" s="440"/>
      <c r="J3419" s="892"/>
      <c r="K3419" s="259"/>
      <c r="L3419" s="259" t="s">
        <v>46</v>
      </c>
      <c r="M3419" s="893">
        <f>SUM(M3416:M3418)</f>
        <v>1</v>
      </c>
      <c r="N3419" s="894"/>
      <c r="O3419" s="894">
        <f>SUM(O3416:O3418)</f>
        <v>0</v>
      </c>
      <c r="P3419" s="274"/>
      <c r="Q3419" s="895">
        <v>0</v>
      </c>
      <c r="R3419" s="114"/>
      <c r="S3419" s="884"/>
      <c r="T3419" s="270"/>
      <c r="U3419" s="270"/>
      <c r="V3419" s="270"/>
      <c r="W3419" s="270"/>
      <c r="X3419" s="270"/>
      <c r="Y3419" s="270"/>
      <c r="Z3419" s="270"/>
      <c r="AA3419" s="270"/>
    </row>
    <row r="3420" spans="3:27" x14ac:dyDescent="0.3">
      <c r="C3420" s="450"/>
      <c r="D3420" s="182"/>
      <c r="E3420" s="182"/>
      <c r="F3420" s="182"/>
      <c r="G3420" s="450" t="str">
        <f t="shared" si="161"/>
        <v>--</v>
      </c>
      <c r="H3420" s="182"/>
      <c r="I3420" s="892"/>
      <c r="J3420" s="288"/>
      <c r="K3420" s="182"/>
      <c r="L3420" s="182"/>
      <c r="M3420" s="270"/>
      <c r="N3420" s="892"/>
      <c r="O3420" s="892"/>
      <c r="P3420" s="275"/>
      <c r="Q3420" s="895">
        <v>0</v>
      </c>
      <c r="R3420" s="114"/>
      <c r="S3420" s="884"/>
      <c r="T3420" s="270"/>
      <c r="U3420" s="270"/>
      <c r="V3420" s="270"/>
      <c r="W3420" s="270"/>
      <c r="X3420" s="270"/>
      <c r="Y3420" s="270"/>
      <c r="Z3420" s="270"/>
      <c r="AA3420" s="270"/>
    </row>
    <row r="3421" spans="3:27" x14ac:dyDescent="0.3">
      <c r="C3421" s="450"/>
      <c r="D3421" s="182"/>
      <c r="E3421" s="182"/>
      <c r="F3421" s="182"/>
      <c r="G3421" s="450" t="str">
        <f t="shared" si="161"/>
        <v>--</v>
      </c>
      <c r="H3421" s="182"/>
      <c r="I3421" s="892"/>
      <c r="J3421" s="288"/>
      <c r="K3421" s="182"/>
      <c r="L3421" s="182"/>
      <c r="M3421" s="270"/>
      <c r="N3421" s="892"/>
      <c r="O3421" s="892"/>
      <c r="P3421" s="269"/>
      <c r="Q3421" s="895">
        <v>0</v>
      </c>
      <c r="R3421" s="114"/>
      <c r="S3421" s="884"/>
      <c r="T3421" s="270"/>
      <c r="U3421" s="270"/>
      <c r="V3421" s="270"/>
      <c r="W3421" s="270"/>
      <c r="X3421" s="270"/>
      <c r="Y3421" s="270"/>
      <c r="Z3421" s="270"/>
      <c r="AA3421" s="270"/>
    </row>
    <row r="3422" spans="3:27" x14ac:dyDescent="0.3">
      <c r="C3422" s="450"/>
      <c r="D3422" s="182"/>
      <c r="E3422" s="182"/>
      <c r="F3422" s="182"/>
      <c r="G3422" s="450" t="str">
        <f t="shared" si="161"/>
        <v>--</v>
      </c>
      <c r="H3422" s="182"/>
      <c r="I3422" s="892"/>
      <c r="J3422" s="288"/>
      <c r="K3422" s="182"/>
      <c r="L3422" s="182"/>
      <c r="M3422" s="270"/>
      <c r="N3422" s="892"/>
      <c r="O3422" s="892"/>
      <c r="P3422" s="263" t="s">
        <v>46</v>
      </c>
      <c r="Q3422" s="897">
        <f>SUM(Q3416:Q3421)</f>
        <v>1</v>
      </c>
      <c r="R3422" s="899"/>
      <c r="S3422" s="900"/>
      <c r="T3422" s="270"/>
      <c r="U3422" s="270"/>
      <c r="V3422" s="270"/>
      <c r="W3422" s="270"/>
      <c r="X3422" s="270"/>
      <c r="Y3422" s="270"/>
      <c r="Z3422" s="270"/>
      <c r="AA3422" s="270"/>
    </row>
    <row r="3423" spans="3:27" x14ac:dyDescent="0.3">
      <c r="C3423" s="450"/>
      <c r="D3423" s="182"/>
      <c r="E3423" s="182"/>
      <c r="F3423" s="182"/>
      <c r="G3423" s="450" t="str">
        <f t="shared" si="161"/>
        <v>--</v>
      </c>
      <c r="H3423" s="182"/>
      <c r="I3423" s="892"/>
      <c r="J3423" s="288"/>
      <c r="K3423" s="182"/>
      <c r="L3423" s="270"/>
      <c r="M3423" s="270"/>
      <c r="N3423" s="923"/>
      <c r="O3423" s="923"/>
      <c r="P3423" s="270"/>
      <c r="Q3423" s="270"/>
      <c r="R3423" s="270"/>
      <c r="S3423" s="270"/>
      <c r="T3423" s="270"/>
      <c r="U3423" s="270"/>
      <c r="V3423" s="270"/>
      <c r="W3423" s="270"/>
      <c r="X3423" s="270"/>
      <c r="Y3423" s="270"/>
      <c r="Z3423" s="270"/>
      <c r="AA3423" s="270"/>
    </row>
    <row r="3424" spans="3:27" ht="15" thickBot="1" x14ac:dyDescent="0.35">
      <c r="C3424" s="450"/>
      <c r="D3424" s="182"/>
      <c r="E3424" s="182"/>
      <c r="F3424" s="182"/>
      <c r="G3424" s="450" t="str">
        <f t="shared" si="161"/>
        <v>--</v>
      </c>
      <c r="H3424" s="182"/>
      <c r="I3424" s="892"/>
      <c r="J3424" s="892"/>
      <c r="K3424" s="182"/>
      <c r="L3424" s="182"/>
      <c r="M3424" s="901" t="s">
        <v>155</v>
      </c>
      <c r="N3424" s="870" t="s">
        <v>188</v>
      </c>
      <c r="O3424" s="870"/>
      <c r="P3424" s="276" t="s">
        <v>52</v>
      </c>
      <c r="Q3424" s="871" t="s">
        <v>155</v>
      </c>
      <c r="R3424" s="902"/>
      <c r="S3424" s="874"/>
      <c r="T3424" s="270"/>
      <c r="U3424" s="270"/>
      <c r="V3424" s="270"/>
      <c r="W3424" s="270"/>
      <c r="X3424" s="270"/>
      <c r="Y3424" s="270"/>
      <c r="Z3424" s="270"/>
      <c r="AA3424" s="270"/>
    </row>
    <row r="3425" spans="3:27" ht="15" thickBot="1" x14ac:dyDescent="0.35">
      <c r="C3425" s="566" t="s">
        <v>110</v>
      </c>
      <c r="D3425" s="875" t="str">
        <f>VLOOKUP(C3425,'Airport Mapping'!$C$5:$D$39,2,FALSE)</f>
        <v xml:space="preserve"> </v>
      </c>
      <c r="E3425" s="567" t="s">
        <v>8</v>
      </c>
      <c r="F3425" s="567" t="s">
        <v>52</v>
      </c>
      <c r="G3425" s="450" t="str">
        <f t="shared" si="161"/>
        <v>Tenant E-Other-Other 1</v>
      </c>
      <c r="H3425" s="567" t="s">
        <v>362</v>
      </c>
      <c r="I3425" s="877" t="s">
        <v>64</v>
      </c>
      <c r="J3425" s="878">
        <f>SUMIFS('Level of Efficiency Assumptions'!J:J,'Level of Efficiency Assumptions'!D:D,E3425,'Level of Efficiency Assumptions'!F:F,F3425,'Level of Efficiency Assumptions'!I:I,I3425)</f>
        <v>10</v>
      </c>
      <c r="K3425" s="383" t="s">
        <v>588</v>
      </c>
      <c r="L3425" s="253" t="s">
        <v>64</v>
      </c>
      <c r="M3425" s="879">
        <f>SUM(Q3425:Q3425)</f>
        <v>0</v>
      </c>
      <c r="N3425" s="880">
        <f>IFERROR(M3425/M3428,"-")</f>
        <v>0</v>
      </c>
      <c r="O3425" s="881">
        <f>SUMIFS('Data Entry'!R:R,'Data Entry'!K:K,G3425)</f>
        <v>0</v>
      </c>
      <c r="P3425" s="272" t="s">
        <v>129</v>
      </c>
      <c r="Q3425" s="895">
        <v>0</v>
      </c>
      <c r="R3425" s="114"/>
      <c r="S3425" s="884"/>
      <c r="T3425" s="270"/>
      <c r="U3425" s="270"/>
      <c r="V3425" s="270"/>
      <c r="W3425" s="270"/>
      <c r="X3425" s="270"/>
      <c r="Y3425" s="270"/>
      <c r="Z3425" s="270"/>
      <c r="AA3425" s="270"/>
    </row>
    <row r="3426" spans="3:27" ht="15" thickBot="1" x14ac:dyDescent="0.35">
      <c r="C3426" s="494" t="s">
        <v>110</v>
      </c>
      <c r="D3426" s="577"/>
      <c r="E3426" s="577" t="s">
        <v>8</v>
      </c>
      <c r="F3426" s="577" t="s">
        <v>52</v>
      </c>
      <c r="G3426" s="450" t="str">
        <f t="shared" si="161"/>
        <v>Tenant E-Other-Other 1</v>
      </c>
      <c r="H3426" s="577"/>
      <c r="I3426" s="887" t="s">
        <v>65</v>
      </c>
      <c r="J3426" s="878">
        <f>SUMIFS('Level of Efficiency Assumptions'!J:J,'Level of Efficiency Assumptions'!D:D,E3426,'Level of Efficiency Assumptions'!F:F,F3426,'Level of Efficiency Assumptions'!I:I,I3426)</f>
        <v>7.5</v>
      </c>
      <c r="K3426" s="383" t="s">
        <v>588</v>
      </c>
      <c r="L3426" s="255" t="s">
        <v>65</v>
      </c>
      <c r="M3426" s="879">
        <f t="shared" ref="M3426:M3427" si="162">SUM(Q3426:Q3426)</f>
        <v>1</v>
      </c>
      <c r="N3426" s="880">
        <f>IFERROR(M3426/M3428,"-")</f>
        <v>1</v>
      </c>
      <c r="O3426" s="881">
        <f>SUMIFS('Data Entry'!S:S,'Data Entry'!K:K,G3426)</f>
        <v>0</v>
      </c>
      <c r="P3426" s="274" t="s">
        <v>233</v>
      </c>
      <c r="Q3426" s="895">
        <v>1</v>
      </c>
      <c r="R3426" s="114"/>
      <c r="S3426" s="884"/>
      <c r="T3426" s="270"/>
      <c r="U3426" s="270"/>
      <c r="V3426" s="270"/>
      <c r="W3426" s="270"/>
      <c r="X3426" s="270"/>
      <c r="Y3426" s="270"/>
      <c r="Z3426" s="270"/>
      <c r="AA3426" s="270"/>
    </row>
    <row r="3427" spans="3:27" ht="15" thickBot="1" x14ac:dyDescent="0.35">
      <c r="C3427" s="501" t="s">
        <v>110</v>
      </c>
      <c r="D3427" s="116"/>
      <c r="E3427" s="116" t="s">
        <v>8</v>
      </c>
      <c r="F3427" s="116" t="s">
        <v>52</v>
      </c>
      <c r="G3427" s="450" t="str">
        <f t="shared" si="161"/>
        <v>Tenant E-Other-Other 1</v>
      </c>
      <c r="H3427" s="116"/>
      <c r="I3427" s="889" t="s">
        <v>66</v>
      </c>
      <c r="J3427" s="890">
        <f>SUMIFS('Level of Efficiency Assumptions'!J:J,'Level of Efficiency Assumptions'!D:D,E3427,'Level of Efficiency Assumptions'!F:F,F3427,'Level of Efficiency Assumptions'!I:I,I3427)</f>
        <v>5</v>
      </c>
      <c r="K3427" s="383" t="s">
        <v>588</v>
      </c>
      <c r="L3427" s="257" t="s">
        <v>66</v>
      </c>
      <c r="M3427" s="879">
        <f t="shared" si="162"/>
        <v>0</v>
      </c>
      <c r="N3427" s="880">
        <f>IFERROR(M3427/M3428,"-")</f>
        <v>0</v>
      </c>
      <c r="O3427" s="881">
        <f>SUMIFS('Data Entry'!T:T,'Data Entry'!K:K,G3427)</f>
        <v>0</v>
      </c>
      <c r="P3427" s="269" t="s">
        <v>234</v>
      </c>
      <c r="Q3427" s="895">
        <v>0</v>
      </c>
      <c r="R3427" s="114"/>
      <c r="S3427" s="884"/>
      <c r="T3427" s="270"/>
      <c r="U3427" s="270"/>
      <c r="V3427" s="270"/>
      <c r="W3427" s="270"/>
      <c r="X3427" s="270"/>
      <c r="Y3427" s="270"/>
      <c r="Z3427" s="270"/>
      <c r="AA3427" s="270"/>
    </row>
    <row r="3428" spans="3:27" x14ac:dyDescent="0.3">
      <c r="C3428" s="450"/>
      <c r="D3428" s="182"/>
      <c r="E3428" s="182"/>
      <c r="F3428" s="182"/>
      <c r="G3428" s="450" t="str">
        <f t="shared" si="161"/>
        <v>--</v>
      </c>
      <c r="H3428" s="182"/>
      <c r="I3428" s="440"/>
      <c r="J3428" s="892"/>
      <c r="K3428" s="259"/>
      <c r="L3428" s="259" t="s">
        <v>46</v>
      </c>
      <c r="M3428" s="893">
        <f>SUM(M3425:M3427)</f>
        <v>1</v>
      </c>
      <c r="N3428" s="894"/>
      <c r="O3428" s="894">
        <f>SUM(O3425:O3427)</f>
        <v>0</v>
      </c>
      <c r="P3428" s="263" t="s">
        <v>46</v>
      </c>
      <c r="Q3428" s="897">
        <f>SUM(Q3425:Q3427)</f>
        <v>1</v>
      </c>
      <c r="R3428" s="899"/>
      <c r="S3428" s="900"/>
      <c r="T3428" s="270"/>
      <c r="U3428" s="270"/>
      <c r="V3428" s="270"/>
      <c r="W3428" s="270"/>
      <c r="X3428" s="270"/>
      <c r="Y3428" s="270"/>
      <c r="Z3428" s="270"/>
      <c r="AA3428" s="270"/>
    </row>
    <row r="3429" spans="3:27" x14ac:dyDescent="0.3">
      <c r="C3429" s="450"/>
      <c r="D3429" s="182"/>
      <c r="E3429" s="182"/>
      <c r="F3429" s="182"/>
      <c r="G3429" s="450" t="str">
        <f t="shared" si="161"/>
        <v>--</v>
      </c>
      <c r="H3429" s="182"/>
      <c r="I3429" s="892"/>
      <c r="J3429" s="288"/>
      <c r="K3429" s="182"/>
      <c r="L3429" s="182"/>
      <c r="M3429" s="270"/>
      <c r="N3429" s="892"/>
      <c r="O3429" s="892"/>
      <c r="P3429" s="270"/>
      <c r="Q3429" s="270"/>
      <c r="R3429" s="270"/>
      <c r="S3429" s="270"/>
      <c r="T3429" s="270"/>
      <c r="U3429" s="270"/>
      <c r="V3429" s="270"/>
      <c r="W3429" s="270"/>
      <c r="X3429" s="270"/>
      <c r="Y3429" s="270"/>
      <c r="Z3429" s="270"/>
      <c r="AA3429" s="270"/>
    </row>
    <row r="3430" spans="3:27" ht="15" thickBot="1" x14ac:dyDescent="0.35">
      <c r="C3430" s="450"/>
      <c r="D3430" s="182"/>
      <c r="E3430" s="182"/>
      <c r="F3430" s="182"/>
      <c r="G3430" s="450" t="str">
        <f t="shared" si="161"/>
        <v>--</v>
      </c>
      <c r="H3430" s="182"/>
      <c r="I3430" s="892"/>
      <c r="J3430" s="892"/>
      <c r="K3430" s="182"/>
      <c r="L3430" s="182"/>
      <c r="M3430" s="901" t="s">
        <v>155</v>
      </c>
      <c r="N3430" s="870" t="s">
        <v>188</v>
      </c>
      <c r="O3430" s="870"/>
      <c r="P3430" s="276" t="s">
        <v>53</v>
      </c>
      <c r="Q3430" s="871" t="s">
        <v>155</v>
      </c>
      <c r="R3430" s="902"/>
      <c r="S3430" s="874"/>
      <c r="T3430" s="270"/>
      <c r="U3430" s="270"/>
      <c r="V3430" s="270"/>
      <c r="W3430" s="270"/>
      <c r="X3430" s="270"/>
      <c r="Y3430" s="270"/>
      <c r="Z3430" s="270"/>
      <c r="AA3430" s="270"/>
    </row>
    <row r="3431" spans="3:27" ht="15" thickBot="1" x14ac:dyDescent="0.35">
      <c r="C3431" s="566" t="s">
        <v>110</v>
      </c>
      <c r="D3431" s="875" t="str">
        <f>VLOOKUP(C3431,'Airport Mapping'!$C$5:$D$39,2,FALSE)</f>
        <v xml:space="preserve"> </v>
      </c>
      <c r="E3431" s="567" t="s">
        <v>8</v>
      </c>
      <c r="F3431" s="567" t="s">
        <v>53</v>
      </c>
      <c r="G3431" s="450" t="str">
        <f t="shared" si="161"/>
        <v>Tenant E-Other-Other 2</v>
      </c>
      <c r="H3431" s="567" t="s">
        <v>363</v>
      </c>
      <c r="I3431" s="877" t="s">
        <v>64</v>
      </c>
      <c r="J3431" s="878">
        <f>SUMIFS('Level of Efficiency Assumptions'!J:J,'Level of Efficiency Assumptions'!D:D,E3431,'Level of Efficiency Assumptions'!F:F,F3431,'Level of Efficiency Assumptions'!I:I,I3431)</f>
        <v>10</v>
      </c>
      <c r="K3431" s="383" t="s">
        <v>588</v>
      </c>
      <c r="L3431" s="253" t="s">
        <v>64</v>
      </c>
      <c r="M3431" s="879">
        <f>SUM(Q3431:Q3431)</f>
        <v>0</v>
      </c>
      <c r="N3431" s="880">
        <f>IFERROR(M3431/M3434,"-")</f>
        <v>0</v>
      </c>
      <c r="O3431" s="881">
        <f>SUMIFS('Data Entry'!R:R,'Data Entry'!K:K,G3431)</f>
        <v>0</v>
      </c>
      <c r="P3431" s="272" t="s">
        <v>129</v>
      </c>
      <c r="Q3431" s="895">
        <v>0</v>
      </c>
      <c r="R3431" s="114"/>
      <c r="S3431" s="884"/>
      <c r="T3431" s="270"/>
      <c r="U3431" s="270"/>
      <c r="V3431" s="270"/>
      <c r="W3431" s="270"/>
      <c r="X3431" s="270"/>
      <c r="Y3431" s="270"/>
      <c r="Z3431" s="270"/>
      <c r="AA3431" s="270"/>
    </row>
    <row r="3432" spans="3:27" ht="15" thickBot="1" x14ac:dyDescent="0.35">
      <c r="C3432" s="494" t="s">
        <v>110</v>
      </c>
      <c r="D3432" s="577"/>
      <c r="E3432" s="577" t="s">
        <v>8</v>
      </c>
      <c r="F3432" s="577" t="s">
        <v>53</v>
      </c>
      <c r="G3432" s="450" t="str">
        <f t="shared" si="161"/>
        <v>Tenant E-Other-Other 2</v>
      </c>
      <c r="H3432" s="577"/>
      <c r="I3432" s="887" t="s">
        <v>65</v>
      </c>
      <c r="J3432" s="878">
        <f>SUMIFS('Level of Efficiency Assumptions'!J:J,'Level of Efficiency Assumptions'!D:D,E3432,'Level of Efficiency Assumptions'!F:F,F3432,'Level of Efficiency Assumptions'!I:I,I3432)</f>
        <v>7.5</v>
      </c>
      <c r="K3432" s="383" t="s">
        <v>588</v>
      </c>
      <c r="L3432" s="255" t="s">
        <v>65</v>
      </c>
      <c r="M3432" s="879">
        <f t="shared" ref="M3432:M3433" si="163">SUM(Q3432:Q3432)</f>
        <v>1</v>
      </c>
      <c r="N3432" s="880">
        <f>IFERROR(M3432/M3434,"-")</f>
        <v>1</v>
      </c>
      <c r="O3432" s="881">
        <f>SUMIFS('Data Entry'!S:S,'Data Entry'!K:K,G3432)</f>
        <v>0</v>
      </c>
      <c r="P3432" s="274" t="s">
        <v>233</v>
      </c>
      <c r="Q3432" s="895">
        <v>1</v>
      </c>
      <c r="R3432" s="114"/>
      <c r="S3432" s="884"/>
      <c r="T3432" s="270"/>
      <c r="U3432" s="270"/>
      <c r="V3432" s="270"/>
      <c r="W3432" s="270"/>
      <c r="X3432" s="270"/>
      <c r="Y3432" s="270"/>
      <c r="Z3432" s="270"/>
      <c r="AA3432" s="270"/>
    </row>
    <row r="3433" spans="3:27" ht="15" thickBot="1" x14ac:dyDescent="0.35">
      <c r="C3433" s="501" t="s">
        <v>110</v>
      </c>
      <c r="D3433" s="116"/>
      <c r="E3433" s="116" t="s">
        <v>8</v>
      </c>
      <c r="F3433" s="116" t="s">
        <v>53</v>
      </c>
      <c r="G3433" s="450" t="str">
        <f t="shared" si="161"/>
        <v>Tenant E-Other-Other 2</v>
      </c>
      <c r="H3433" s="116"/>
      <c r="I3433" s="889" t="s">
        <v>66</v>
      </c>
      <c r="J3433" s="890">
        <f>SUMIFS('Level of Efficiency Assumptions'!J:J,'Level of Efficiency Assumptions'!D:D,E3433,'Level of Efficiency Assumptions'!F:F,F3433,'Level of Efficiency Assumptions'!I:I,I3433)</f>
        <v>5</v>
      </c>
      <c r="K3433" s="383" t="s">
        <v>588</v>
      </c>
      <c r="L3433" s="257" t="s">
        <v>66</v>
      </c>
      <c r="M3433" s="879">
        <f t="shared" si="163"/>
        <v>0</v>
      </c>
      <c r="N3433" s="880">
        <f>IFERROR(M3433/M3434,"-")</f>
        <v>0</v>
      </c>
      <c r="O3433" s="881">
        <f>SUMIFS('Data Entry'!T:T,'Data Entry'!K:K,G3433)</f>
        <v>0</v>
      </c>
      <c r="P3433" s="269" t="s">
        <v>234</v>
      </c>
      <c r="Q3433" s="895">
        <v>0</v>
      </c>
      <c r="R3433" s="114"/>
      <c r="S3433" s="884"/>
      <c r="T3433" s="270"/>
      <c r="U3433" s="270"/>
      <c r="V3433" s="270"/>
      <c r="W3433" s="270"/>
      <c r="X3433" s="270"/>
      <c r="Y3433" s="270"/>
      <c r="Z3433" s="270"/>
      <c r="AA3433" s="270"/>
    </row>
    <row r="3434" spans="3:27" x14ac:dyDescent="0.3">
      <c r="C3434" s="450"/>
      <c r="D3434" s="182"/>
      <c r="E3434" s="182"/>
      <c r="F3434" s="182"/>
      <c r="G3434" s="450" t="str">
        <f t="shared" si="161"/>
        <v>--</v>
      </c>
      <c r="H3434" s="182"/>
      <c r="I3434" s="440"/>
      <c r="J3434" s="892"/>
      <c r="K3434" s="259"/>
      <c r="L3434" s="259" t="s">
        <v>46</v>
      </c>
      <c r="M3434" s="893">
        <f>SUM(M3431:M3433)</f>
        <v>1</v>
      </c>
      <c r="N3434" s="894"/>
      <c r="O3434" s="894">
        <f>SUM(O3431:O3433)</f>
        <v>0</v>
      </c>
      <c r="P3434" s="263" t="s">
        <v>46</v>
      </c>
      <c r="Q3434" s="897">
        <f>SUM(Q3431:Q3433)</f>
        <v>1</v>
      </c>
      <c r="R3434" s="899"/>
      <c r="S3434" s="900"/>
      <c r="T3434" s="270"/>
      <c r="U3434" s="270"/>
      <c r="V3434" s="270"/>
      <c r="W3434" s="270"/>
      <c r="X3434" s="270"/>
      <c r="Y3434" s="270"/>
      <c r="Z3434" s="270"/>
      <c r="AA3434" s="270"/>
    </row>
    <row r="3435" spans="3:27" x14ac:dyDescent="0.3">
      <c r="C3435" s="450"/>
      <c r="D3435" s="182"/>
      <c r="E3435" s="182"/>
      <c r="F3435" s="182"/>
      <c r="G3435" s="450" t="str">
        <f t="shared" si="161"/>
        <v>--</v>
      </c>
      <c r="H3435" s="182"/>
      <c r="I3435" s="892"/>
      <c r="J3435" s="288"/>
      <c r="K3435" s="182"/>
      <c r="L3435" s="182"/>
      <c r="M3435" s="270"/>
      <c r="N3435" s="892"/>
      <c r="O3435" s="892"/>
      <c r="P3435" s="270"/>
      <c r="Q3435" s="270"/>
      <c r="R3435" s="270"/>
      <c r="S3435" s="270"/>
      <c r="T3435" s="270"/>
      <c r="U3435" s="270"/>
      <c r="V3435" s="270"/>
      <c r="W3435" s="270"/>
      <c r="X3435" s="270"/>
      <c r="Y3435" s="270"/>
      <c r="Z3435" s="270"/>
      <c r="AA3435" s="270"/>
    </row>
    <row r="3436" spans="3:27" ht="15" thickBot="1" x14ac:dyDescent="0.35">
      <c r="C3436" s="450"/>
      <c r="D3436" s="182"/>
      <c r="E3436" s="182"/>
      <c r="F3436" s="182"/>
      <c r="G3436" s="450" t="str">
        <f t="shared" si="161"/>
        <v>--</v>
      </c>
      <c r="H3436" s="182"/>
      <c r="I3436" s="892"/>
      <c r="J3436" s="892"/>
      <c r="K3436" s="182"/>
      <c r="L3436" s="182"/>
      <c r="M3436" s="901" t="s">
        <v>155</v>
      </c>
      <c r="N3436" s="870" t="s">
        <v>188</v>
      </c>
      <c r="O3436" s="870"/>
      <c r="P3436" s="276" t="s">
        <v>54</v>
      </c>
      <c r="Q3436" s="871" t="s">
        <v>155</v>
      </c>
      <c r="R3436" s="902"/>
      <c r="S3436" s="874"/>
      <c r="T3436" s="270"/>
      <c r="U3436" s="270"/>
      <c r="V3436" s="270"/>
      <c r="W3436" s="270"/>
      <c r="X3436" s="270"/>
      <c r="Y3436" s="270"/>
      <c r="Z3436" s="270"/>
      <c r="AA3436" s="270"/>
    </row>
    <row r="3437" spans="3:27" ht="15" thickBot="1" x14ac:dyDescent="0.35">
      <c r="C3437" s="566" t="s">
        <v>110</v>
      </c>
      <c r="D3437" s="875" t="str">
        <f>VLOOKUP(C3437,'Airport Mapping'!$C$5:$D$39,2,FALSE)</f>
        <v xml:space="preserve"> </v>
      </c>
      <c r="E3437" s="567" t="s">
        <v>8</v>
      </c>
      <c r="F3437" s="567" t="s">
        <v>54</v>
      </c>
      <c r="G3437" s="450" t="str">
        <f t="shared" si="161"/>
        <v>Tenant E-Other-Other 3</v>
      </c>
      <c r="H3437" s="567" t="s">
        <v>364</v>
      </c>
      <c r="I3437" s="877" t="s">
        <v>64</v>
      </c>
      <c r="J3437" s="878">
        <f>SUMIFS('Level of Efficiency Assumptions'!J:J,'Level of Efficiency Assumptions'!D:D,E3437,'Level of Efficiency Assumptions'!F:F,F3437,'Level of Efficiency Assumptions'!I:I,I3437)</f>
        <v>10</v>
      </c>
      <c r="K3437" s="383" t="s">
        <v>588</v>
      </c>
      <c r="L3437" s="253" t="s">
        <v>64</v>
      </c>
      <c r="M3437" s="879">
        <f>SUM(Q3437:Q3437)</f>
        <v>0</v>
      </c>
      <c r="N3437" s="880">
        <f>IFERROR(M3437/M3440,"-")</f>
        <v>0</v>
      </c>
      <c r="O3437" s="881">
        <f>SUMIFS('Data Entry'!R:R,'Data Entry'!K:K,G3437)</f>
        <v>0</v>
      </c>
      <c r="P3437" s="272" t="s">
        <v>129</v>
      </c>
      <c r="Q3437" s="895">
        <v>0</v>
      </c>
      <c r="R3437" s="114"/>
      <c r="S3437" s="884"/>
      <c r="T3437" s="270"/>
      <c r="U3437" s="270"/>
      <c r="V3437" s="270"/>
      <c r="W3437" s="270"/>
      <c r="X3437" s="270"/>
      <c r="Y3437" s="270"/>
      <c r="Z3437" s="270"/>
      <c r="AA3437" s="270"/>
    </row>
    <row r="3438" spans="3:27" ht="15" thickBot="1" x14ac:dyDescent="0.35">
      <c r="C3438" s="494" t="s">
        <v>110</v>
      </c>
      <c r="D3438" s="577"/>
      <c r="E3438" s="577" t="s">
        <v>8</v>
      </c>
      <c r="F3438" s="577" t="s">
        <v>54</v>
      </c>
      <c r="G3438" s="450" t="str">
        <f t="shared" si="161"/>
        <v>Tenant E-Other-Other 3</v>
      </c>
      <c r="H3438" s="577"/>
      <c r="I3438" s="887" t="s">
        <v>65</v>
      </c>
      <c r="J3438" s="878">
        <f>SUMIFS('Level of Efficiency Assumptions'!J:J,'Level of Efficiency Assumptions'!D:D,E3438,'Level of Efficiency Assumptions'!F:F,F3438,'Level of Efficiency Assumptions'!I:I,I3438)</f>
        <v>7.5</v>
      </c>
      <c r="K3438" s="383" t="s">
        <v>588</v>
      </c>
      <c r="L3438" s="255" t="s">
        <v>65</v>
      </c>
      <c r="M3438" s="879">
        <f t="shared" ref="M3438:M3439" si="164">SUM(Q3438:Q3438)</f>
        <v>1</v>
      </c>
      <c r="N3438" s="880">
        <f>IFERROR(M3438/M3440,"-")</f>
        <v>1</v>
      </c>
      <c r="O3438" s="881">
        <f>SUMIFS('Data Entry'!S:S,'Data Entry'!K:K,G3438)</f>
        <v>0</v>
      </c>
      <c r="P3438" s="274" t="s">
        <v>233</v>
      </c>
      <c r="Q3438" s="895">
        <v>1</v>
      </c>
      <c r="R3438" s="114"/>
      <c r="S3438" s="884"/>
      <c r="T3438" s="270"/>
      <c r="U3438" s="270"/>
      <c r="V3438" s="270"/>
      <c r="W3438" s="270"/>
      <c r="X3438" s="270"/>
      <c r="Y3438" s="270"/>
      <c r="Z3438" s="270"/>
      <c r="AA3438" s="270"/>
    </row>
    <row r="3439" spans="3:27" ht="15" thickBot="1" x14ac:dyDescent="0.35">
      <c r="C3439" s="501" t="s">
        <v>110</v>
      </c>
      <c r="D3439" s="116"/>
      <c r="E3439" s="116" t="s">
        <v>8</v>
      </c>
      <c r="F3439" s="116" t="s">
        <v>54</v>
      </c>
      <c r="G3439" s="450" t="str">
        <f t="shared" si="161"/>
        <v>Tenant E-Other-Other 3</v>
      </c>
      <c r="H3439" s="116"/>
      <c r="I3439" s="889" t="s">
        <v>66</v>
      </c>
      <c r="J3439" s="890">
        <f>SUMIFS('Level of Efficiency Assumptions'!J:J,'Level of Efficiency Assumptions'!D:D,E3439,'Level of Efficiency Assumptions'!F:F,F3439,'Level of Efficiency Assumptions'!I:I,I3439)</f>
        <v>5</v>
      </c>
      <c r="K3439" s="383" t="s">
        <v>588</v>
      </c>
      <c r="L3439" s="257" t="s">
        <v>66</v>
      </c>
      <c r="M3439" s="879">
        <f t="shared" si="164"/>
        <v>0</v>
      </c>
      <c r="N3439" s="880">
        <f>IFERROR(M3439/M3440,"-")</f>
        <v>0</v>
      </c>
      <c r="O3439" s="881">
        <f>SUMIFS('Data Entry'!T:T,'Data Entry'!K:K,G3439)</f>
        <v>0</v>
      </c>
      <c r="P3439" s="269" t="s">
        <v>234</v>
      </c>
      <c r="Q3439" s="895">
        <v>0</v>
      </c>
      <c r="R3439" s="114"/>
      <c r="S3439" s="884"/>
      <c r="T3439" s="270"/>
      <c r="U3439" s="270"/>
      <c r="V3439" s="270"/>
      <c r="W3439" s="270"/>
      <c r="X3439" s="270"/>
      <c r="Y3439" s="270"/>
      <c r="Z3439" s="270"/>
      <c r="AA3439" s="270"/>
    </row>
    <row r="3440" spans="3:27" x14ac:dyDescent="0.3">
      <c r="C3440" s="450"/>
      <c r="D3440" s="182"/>
      <c r="E3440" s="182"/>
      <c r="F3440" s="182"/>
      <c r="G3440" s="450"/>
      <c r="H3440" s="182"/>
      <c r="I3440" s="440"/>
      <c r="J3440" s="892"/>
      <c r="K3440" s="259"/>
      <c r="L3440" s="259" t="s">
        <v>46</v>
      </c>
      <c r="M3440" s="893">
        <f>SUM(M3437:M3439)</f>
        <v>1</v>
      </c>
      <c r="N3440" s="894"/>
      <c r="O3440" s="894">
        <f>SUM(O3437:O3439)</f>
        <v>0</v>
      </c>
      <c r="P3440" s="263" t="s">
        <v>46</v>
      </c>
      <c r="Q3440" s="897">
        <f>SUM(Q3437:Q3439)</f>
        <v>1</v>
      </c>
      <c r="R3440" s="899"/>
      <c r="S3440" s="900"/>
      <c r="T3440" s="270"/>
      <c r="U3440" s="270"/>
      <c r="V3440" s="270"/>
      <c r="W3440" s="270"/>
      <c r="X3440" s="270"/>
      <c r="Y3440" s="270"/>
      <c r="Z3440" s="270"/>
      <c r="AA3440" s="270"/>
    </row>
    <row r="3441" spans="3:27" x14ac:dyDescent="0.3">
      <c r="C3441" s="225"/>
      <c r="D3441" s="182"/>
      <c r="E3441" s="182"/>
      <c r="F3441" s="182"/>
      <c r="G3441" s="450"/>
      <c r="H3441" s="182"/>
      <c r="I3441" s="892"/>
      <c r="J3441" s="892"/>
      <c r="K3441" s="182"/>
      <c r="L3441" s="181"/>
      <c r="M3441" s="114"/>
      <c r="N3441" s="892"/>
      <c r="O3441" s="892"/>
      <c r="P3441" s="114"/>
      <c r="Q3441" s="114"/>
      <c r="R3441" s="114"/>
      <c r="S3441" s="114"/>
      <c r="T3441" s="270"/>
      <c r="U3441" s="270"/>
      <c r="V3441" s="270"/>
      <c r="W3441" s="270"/>
      <c r="X3441" s="270"/>
      <c r="Y3441" s="270"/>
      <c r="Z3441" s="270"/>
      <c r="AA3441" s="270"/>
    </row>
    <row r="3442" spans="3:27" ht="15" thickBot="1" x14ac:dyDescent="0.35">
      <c r="C3442" s="451"/>
      <c r="D3442" s="184"/>
      <c r="E3442" s="184"/>
      <c r="F3442" s="184"/>
      <c r="G3442" s="451"/>
      <c r="H3442" s="184"/>
      <c r="I3442" s="184"/>
      <c r="J3442" s="184"/>
      <c r="K3442" s="184"/>
      <c r="L3442" s="184"/>
      <c r="M3442" s="278"/>
      <c r="N3442" s="281"/>
      <c r="O3442" s="281"/>
      <c r="P3442" s="278"/>
      <c r="Q3442" s="278"/>
      <c r="R3442" s="278"/>
      <c r="S3442" s="278"/>
      <c r="T3442" s="278"/>
      <c r="U3442" s="278"/>
      <c r="V3442" s="270"/>
      <c r="W3442" s="270"/>
      <c r="X3442" s="270"/>
      <c r="Y3442" s="270"/>
      <c r="Z3442" s="270"/>
      <c r="AA3442" s="270"/>
    </row>
    <row r="3443" spans="3:27" x14ac:dyDescent="0.3">
      <c r="D3443" s="288"/>
      <c r="E3443" s="288"/>
      <c r="F3443" s="288"/>
      <c r="G3443" s="270"/>
      <c r="H3443" s="288"/>
      <c r="I3443" s="869"/>
      <c r="J3443" s="211"/>
      <c r="K3443" s="182"/>
      <c r="L3443" s="182"/>
      <c r="M3443" s="270"/>
      <c r="N3443" s="892"/>
      <c r="O3443" s="892"/>
      <c r="P3443" s="270"/>
      <c r="Q3443" s="270"/>
      <c r="R3443" s="270"/>
      <c r="S3443" s="270"/>
      <c r="T3443" s="270"/>
      <c r="U3443" s="270"/>
      <c r="V3443" s="270"/>
      <c r="W3443" s="270"/>
      <c r="X3443" s="270"/>
      <c r="Y3443" s="270"/>
      <c r="Z3443" s="270"/>
      <c r="AA3443" s="270"/>
    </row>
    <row r="3444" spans="3:27" x14ac:dyDescent="0.3">
      <c r="K3444" s="45"/>
    </row>
    <row r="3445" spans="3:27" x14ac:dyDescent="0.3">
      <c r="K3445" s="13"/>
    </row>
    <row r="3446" spans="3:27" x14ac:dyDescent="0.3">
      <c r="K3446" s="13"/>
    </row>
    <row r="3447" spans="3:27" x14ac:dyDescent="0.3">
      <c r="K3447" s="13"/>
    </row>
    <row r="3448" spans="3:27" x14ac:dyDescent="0.3">
      <c r="K3448" s="13"/>
    </row>
    <row r="3449" spans="3:27" x14ac:dyDescent="0.3">
      <c r="K3449" s="13"/>
    </row>
    <row r="3450" spans="3:27" x14ac:dyDescent="0.3">
      <c r="K3450" s="13"/>
    </row>
    <row r="3451" spans="3:27" x14ac:dyDescent="0.3">
      <c r="K3451" s="13"/>
    </row>
    <row r="3452" spans="3:27" x14ac:dyDescent="0.3">
      <c r="K3452" s="13"/>
    </row>
    <row r="3453" spans="3:27" x14ac:dyDescent="0.3">
      <c r="K3453" s="13"/>
    </row>
    <row r="3454" spans="3:27" x14ac:dyDescent="0.3">
      <c r="K3454" s="13"/>
    </row>
    <row r="3455" spans="3:27" x14ac:dyDescent="0.3">
      <c r="K3455" s="13"/>
    </row>
    <row r="3456" spans="3:27" x14ac:dyDescent="0.3">
      <c r="K3456" s="13"/>
    </row>
    <row r="3457" spans="11:11" x14ac:dyDescent="0.3">
      <c r="K3457" s="13"/>
    </row>
    <row r="3458" spans="11:11" x14ac:dyDescent="0.3">
      <c r="K3458" s="13"/>
    </row>
    <row r="3459" spans="11:11" x14ac:dyDescent="0.3">
      <c r="K3459" s="13"/>
    </row>
    <row r="3460" spans="11:11" x14ac:dyDescent="0.3">
      <c r="K3460" s="13"/>
    </row>
    <row r="3461" spans="11:11" x14ac:dyDescent="0.3">
      <c r="K3461" s="13"/>
    </row>
    <row r="3462" spans="11:11" x14ac:dyDescent="0.3">
      <c r="K3462" s="13"/>
    </row>
    <row r="3463" spans="11:11" x14ac:dyDescent="0.3">
      <c r="K3463" s="13"/>
    </row>
    <row r="3464" spans="11:11" x14ac:dyDescent="0.3">
      <c r="K3464" s="13"/>
    </row>
    <row r="3465" spans="11:11" x14ac:dyDescent="0.3">
      <c r="K3465" s="13"/>
    </row>
    <row r="3466" spans="11:11" x14ac:dyDescent="0.3">
      <c r="K3466" s="13"/>
    </row>
    <row r="3467" spans="11:11" x14ac:dyDescent="0.3">
      <c r="K3467" s="13"/>
    </row>
    <row r="3468" spans="11:11" x14ac:dyDescent="0.3">
      <c r="K3468" s="13"/>
    </row>
    <row r="3469" spans="11:11" x14ac:dyDescent="0.3">
      <c r="K3469" s="13"/>
    </row>
    <row r="3470" spans="11:11" x14ac:dyDescent="0.3">
      <c r="K3470" s="13"/>
    </row>
    <row r="3471" spans="11:11" x14ac:dyDescent="0.3">
      <c r="K3471" s="13"/>
    </row>
    <row r="3472" spans="11:11" x14ac:dyDescent="0.3">
      <c r="K3472" s="13"/>
    </row>
    <row r="3473" spans="11:11" x14ac:dyDescent="0.3">
      <c r="K3473" s="13"/>
    </row>
    <row r="3474" spans="11:11" x14ac:dyDescent="0.3">
      <c r="K3474" s="13"/>
    </row>
    <row r="3475" spans="11:11" x14ac:dyDescent="0.3">
      <c r="K3475" s="13"/>
    </row>
    <row r="3476" spans="11:11" x14ac:dyDescent="0.3">
      <c r="K3476" s="13"/>
    </row>
    <row r="3477" spans="11:11" x14ac:dyDescent="0.3">
      <c r="K3477" s="13"/>
    </row>
  </sheetData>
  <mergeCells count="49">
    <mergeCell ref="M10:N11"/>
    <mergeCell ref="O10:O11"/>
    <mergeCell ref="I12:J12"/>
    <mergeCell ref="U67:W68"/>
    <mergeCell ref="P12:U12"/>
    <mergeCell ref="L19:O22"/>
    <mergeCell ref="U182:W183"/>
    <mergeCell ref="U3044:W3045"/>
    <mergeCell ref="U3195:W3196"/>
    <mergeCell ref="U3346:W3347"/>
    <mergeCell ref="U297:W298"/>
    <mergeCell ref="U412:W413"/>
    <mergeCell ref="U527:W528"/>
    <mergeCell ref="U2742:W2743"/>
    <mergeCell ref="U2893:W2894"/>
    <mergeCell ref="U2000:W2001"/>
    <mergeCell ref="U2124:W2125"/>
    <mergeCell ref="U2248:W2249"/>
    <mergeCell ref="U2372:W2373"/>
    <mergeCell ref="U2496:W2497"/>
    <mergeCell ref="L134:O137"/>
    <mergeCell ref="L249:O252"/>
    <mergeCell ref="L364:O367"/>
    <mergeCell ref="L479:O482"/>
    <mergeCell ref="L594:O597"/>
    <mergeCell ref="L670:O673"/>
    <mergeCell ref="L746:O749"/>
    <mergeCell ref="L822:O825"/>
    <mergeCell ref="L898:O901"/>
    <mergeCell ref="L1256:O1259"/>
    <mergeCell ref="L974:O977"/>
    <mergeCell ref="L1068:O1071"/>
    <mergeCell ref="L1162:O1165"/>
    <mergeCell ref="L1350:O1353"/>
    <mergeCell ref="L1444:O1447"/>
    <mergeCell ref="L1538:O1541"/>
    <mergeCell ref="L1867:O1870"/>
    <mergeCell ref="L1952:O1955"/>
    <mergeCell ref="L2076:O2079"/>
    <mergeCell ref="L2200:O2203"/>
    <mergeCell ref="L2324:O2327"/>
    <mergeCell ref="L2448:O2451"/>
    <mergeCell ref="L2572:O2575"/>
    <mergeCell ref="L3298:O3301"/>
    <mergeCell ref="L2601:O2604"/>
    <mergeCell ref="L2694:O2697"/>
    <mergeCell ref="L2845:O2848"/>
    <mergeCell ref="L2996:O2999"/>
    <mergeCell ref="L3147:O3150"/>
  </mergeCells>
  <pageMargins left="0.45" right="0.45" top="0.75" bottom="0.5" header="0.3" footer="0.3"/>
  <pageSetup scale="76" orientation="landscape" r:id="rId1"/>
  <headerFooter>
    <oddHeader>&amp;C&amp;"-,Bold"&amp;12&amp;F, &amp;A</oddHeader>
    <oddFooter>&amp;R&amp;10Page &amp;P</oddFooter>
  </headerFooter>
  <colBreaks count="1" manualBreakCount="1">
    <brk id="11" min="9" max="3159"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B1:P123"/>
  <sheetViews>
    <sheetView showGridLines="0" zoomScaleNormal="100" workbookViewId="0">
      <selection activeCell="F40" sqref="F40:I40"/>
    </sheetView>
  </sheetViews>
  <sheetFormatPr defaultColWidth="8.88671875" defaultRowHeight="14.4" x14ac:dyDescent="0.3"/>
  <cols>
    <col min="1" max="1" width="2.6640625" customWidth="1"/>
    <col min="2" max="2" width="12.33203125" style="13" customWidth="1"/>
    <col min="3" max="4" width="8.88671875" style="13"/>
    <col min="6" max="8" width="10.6640625" customWidth="1"/>
    <col min="15" max="15" width="15" customWidth="1"/>
    <col min="16" max="16" width="91.44140625" customWidth="1"/>
  </cols>
  <sheetData>
    <row r="1" spans="2:14" ht="15" x14ac:dyDescent="0.25">
      <c r="B1" s="2" t="s">
        <v>796</v>
      </c>
    </row>
    <row r="2" spans="2:14" ht="15" x14ac:dyDescent="0.25">
      <c r="B2" s="176" t="s">
        <v>797</v>
      </c>
      <c r="C2" s="176"/>
      <c r="D2" s="176"/>
      <c r="E2" s="1269"/>
      <c r="F2" s="1269"/>
      <c r="G2" s="1269"/>
      <c r="H2" s="1269"/>
      <c r="I2" s="1269"/>
      <c r="J2" s="1269"/>
      <c r="K2" s="1269"/>
      <c r="L2" s="1269"/>
      <c r="M2" s="1269"/>
      <c r="N2" s="1269"/>
    </row>
    <row r="3" spans="2:14" ht="15" x14ac:dyDescent="0.25">
      <c r="B3" s="176" t="s">
        <v>798</v>
      </c>
      <c r="C3" s="176"/>
      <c r="D3" s="176"/>
      <c r="E3" s="1269"/>
      <c r="F3" s="1269"/>
      <c r="G3" s="1269"/>
      <c r="H3" s="1269"/>
      <c r="I3" s="1269"/>
      <c r="J3" s="1269"/>
      <c r="K3" s="1269"/>
      <c r="L3" s="1269"/>
      <c r="M3" s="1269"/>
      <c r="N3" s="1269"/>
    </row>
    <row r="4" spans="2:14" ht="15" x14ac:dyDescent="0.25">
      <c r="B4" s="176" t="s">
        <v>846</v>
      </c>
      <c r="C4" s="176"/>
      <c r="D4" s="176"/>
      <c r="E4" s="1269"/>
      <c r="F4" s="1269"/>
      <c r="G4" s="1269"/>
      <c r="H4" s="1269"/>
      <c r="I4" s="1269"/>
      <c r="J4" s="1269"/>
      <c r="K4" s="1269"/>
      <c r="L4" s="1269"/>
      <c r="M4" s="1269"/>
      <c r="N4" s="1269"/>
    </row>
    <row r="5" spans="2:14" ht="15" x14ac:dyDescent="0.25">
      <c r="B5" s="176"/>
      <c r="C5" s="176"/>
      <c r="D5" s="176"/>
      <c r="E5" s="1269"/>
      <c r="F5" s="1269"/>
      <c r="G5" s="1269"/>
      <c r="H5" s="1269"/>
      <c r="I5" s="1269"/>
      <c r="J5" s="1269"/>
      <c r="K5" s="1269"/>
      <c r="L5" s="1269"/>
      <c r="M5" s="1269"/>
      <c r="N5" s="1269"/>
    </row>
    <row r="6" spans="2:14" ht="15" x14ac:dyDescent="0.25">
      <c r="B6" s="176" t="s">
        <v>799</v>
      </c>
      <c r="C6" s="176"/>
      <c r="D6" s="176"/>
      <c r="E6" s="1269"/>
      <c r="F6" s="1269"/>
      <c r="G6" s="1269"/>
      <c r="H6" s="1269"/>
      <c r="I6" s="1269"/>
      <c r="J6" s="1269"/>
      <c r="K6" s="1269"/>
      <c r="L6" s="1269"/>
      <c r="M6" s="1269"/>
      <c r="N6" s="1269"/>
    </row>
    <row r="7" spans="2:14" ht="15" x14ac:dyDescent="0.25">
      <c r="B7" s="176"/>
      <c r="C7" s="176"/>
      <c r="D7" s="176"/>
      <c r="E7" s="1269"/>
      <c r="F7" s="1269"/>
      <c r="G7" s="1269"/>
      <c r="H7" s="1269"/>
      <c r="I7" s="1269"/>
      <c r="J7" s="1269"/>
      <c r="K7" s="1269"/>
      <c r="L7" s="1269"/>
      <c r="M7" s="1269"/>
      <c r="N7" s="1269"/>
    </row>
    <row r="8" spans="2:14" ht="15.75" x14ac:dyDescent="0.25">
      <c r="B8" s="1291" t="s">
        <v>986</v>
      </c>
      <c r="C8" s="220" t="s">
        <v>1004</v>
      </c>
      <c r="D8" s="176"/>
      <c r="E8" s="1269"/>
      <c r="F8" s="1269"/>
      <c r="G8" s="1269"/>
      <c r="H8" s="1269"/>
      <c r="I8" s="1269"/>
      <c r="J8" s="1269"/>
      <c r="K8" s="1269"/>
      <c r="L8" s="1269"/>
      <c r="M8" s="1269"/>
      <c r="N8" s="1269"/>
    </row>
    <row r="9" spans="2:14" ht="15" x14ac:dyDescent="0.25">
      <c r="B9" s="1291"/>
      <c r="C9" s="176" t="s">
        <v>807</v>
      </c>
      <c r="D9" s="176"/>
      <c r="E9" s="1269"/>
      <c r="F9" s="1269"/>
      <c r="G9" s="1269"/>
      <c r="H9" s="1269"/>
      <c r="I9" s="1269"/>
      <c r="J9" s="1269"/>
      <c r="K9" s="1269"/>
      <c r="L9" s="1269"/>
      <c r="M9" s="1269"/>
      <c r="N9" s="1269"/>
    </row>
    <row r="10" spans="2:14" ht="15" x14ac:dyDescent="0.25">
      <c r="B10" s="1291" t="s">
        <v>851</v>
      </c>
      <c r="C10" s="176" t="s">
        <v>1005</v>
      </c>
      <c r="D10" s="176"/>
      <c r="E10" s="1269"/>
      <c r="F10" s="1269"/>
      <c r="G10" s="1269"/>
      <c r="H10" s="1269"/>
      <c r="I10" s="1269"/>
      <c r="J10" s="1269"/>
      <c r="K10" s="1269"/>
      <c r="L10" s="1269"/>
      <c r="M10" s="1269"/>
      <c r="N10" s="1269"/>
    </row>
    <row r="11" spans="2:14" ht="15" x14ac:dyDescent="0.25">
      <c r="B11" s="1291"/>
      <c r="C11" s="176" t="s">
        <v>1003</v>
      </c>
      <c r="D11" s="176"/>
      <c r="E11" s="1269"/>
      <c r="F11" s="1269"/>
      <c r="G11" s="1269"/>
      <c r="H11" s="1269"/>
      <c r="I11" s="1269"/>
      <c r="J11" s="1269"/>
      <c r="K11" s="1269"/>
      <c r="L11" s="1269"/>
      <c r="M11" s="1269"/>
      <c r="N11" s="1269"/>
    </row>
    <row r="12" spans="2:14" ht="15" x14ac:dyDescent="0.25">
      <c r="B12" s="1291"/>
      <c r="C12" s="176" t="s">
        <v>844</v>
      </c>
      <c r="D12" s="176"/>
      <c r="E12" s="1269"/>
      <c r="F12" s="1269"/>
      <c r="G12" s="1269"/>
      <c r="H12" s="1269"/>
      <c r="I12" s="1269"/>
      <c r="J12" s="1269"/>
      <c r="K12" s="1269"/>
      <c r="L12" s="1269"/>
      <c r="M12" s="1269"/>
      <c r="N12" s="1269"/>
    </row>
    <row r="13" spans="2:14" ht="15" x14ac:dyDescent="0.25">
      <c r="B13" s="1291" t="s">
        <v>852</v>
      </c>
      <c r="C13" s="176" t="s">
        <v>1006</v>
      </c>
      <c r="D13" s="176"/>
      <c r="E13" s="1269"/>
      <c r="F13" s="1269"/>
      <c r="G13" s="1269"/>
      <c r="H13" s="1269"/>
      <c r="I13" s="1269"/>
      <c r="J13" s="1269"/>
      <c r="K13" s="1269"/>
      <c r="L13" s="1269"/>
      <c r="M13" s="1269"/>
      <c r="N13" s="1269"/>
    </row>
    <row r="14" spans="2:14" ht="15" x14ac:dyDescent="0.25">
      <c r="B14" s="176"/>
      <c r="C14" s="176" t="s">
        <v>819</v>
      </c>
      <c r="D14" s="176"/>
      <c r="E14" s="1269"/>
      <c r="F14" s="1269"/>
      <c r="G14" s="1269"/>
      <c r="H14" s="1269"/>
      <c r="I14" s="1269"/>
      <c r="J14" s="1269"/>
      <c r="K14" s="1269"/>
      <c r="L14" s="1269"/>
      <c r="M14" s="1269"/>
      <c r="N14" s="1269"/>
    </row>
    <row r="15" spans="2:14" ht="15" x14ac:dyDescent="0.25">
      <c r="B15" s="176"/>
      <c r="C15" s="176"/>
      <c r="D15" s="176"/>
      <c r="E15" s="1269"/>
      <c r="F15" s="1269"/>
      <c r="G15" s="1269"/>
      <c r="H15" s="1269"/>
      <c r="I15" s="1269"/>
      <c r="J15" s="1269"/>
      <c r="K15" s="1269"/>
      <c r="L15" s="1269"/>
      <c r="M15" s="1269"/>
      <c r="N15" s="1269"/>
    </row>
    <row r="16" spans="2:14" ht="15" x14ac:dyDescent="0.25">
      <c r="B16" s="176" t="s">
        <v>800</v>
      </c>
      <c r="C16" s="176"/>
      <c r="D16" s="176"/>
      <c r="E16" s="1269"/>
      <c r="F16" s="1269"/>
      <c r="G16" s="1269"/>
      <c r="H16" s="1269"/>
      <c r="I16" s="1269"/>
      <c r="J16" s="1269"/>
      <c r="K16" s="1269"/>
      <c r="L16" s="1269"/>
      <c r="M16" s="1269"/>
      <c r="N16" s="1269"/>
    </row>
    <row r="17" spans="2:16" ht="15" x14ac:dyDescent="0.25">
      <c r="B17" s="176" t="s">
        <v>845</v>
      </c>
      <c r="C17" s="176"/>
      <c r="D17" s="176"/>
      <c r="E17" s="1269"/>
      <c r="F17" s="1269"/>
      <c r="G17" s="1269"/>
      <c r="H17" s="1269"/>
      <c r="I17" s="1269"/>
      <c r="J17" s="1269"/>
      <c r="K17" s="1269"/>
      <c r="L17" s="1269"/>
      <c r="M17" s="1269"/>
      <c r="N17" s="1269"/>
    </row>
    <row r="18" spans="2:16" ht="15" x14ac:dyDescent="0.25">
      <c r="B18" s="176" t="s">
        <v>802</v>
      </c>
      <c r="C18" s="176"/>
      <c r="D18" s="176"/>
      <c r="E18" s="1269"/>
      <c r="F18" s="1269"/>
      <c r="G18" s="1269"/>
      <c r="H18" s="1269"/>
      <c r="I18" s="1269"/>
      <c r="J18" s="1269"/>
      <c r="K18" s="1269"/>
      <c r="L18" s="1269"/>
      <c r="M18" s="1269"/>
      <c r="N18" s="1269"/>
    </row>
    <row r="19" spans="2:16" ht="15" x14ac:dyDescent="0.25">
      <c r="B19" s="176" t="s">
        <v>801</v>
      </c>
      <c r="C19" s="176"/>
      <c r="D19" s="176"/>
      <c r="E19" s="1269"/>
      <c r="F19" s="1269"/>
      <c r="G19" s="1269"/>
      <c r="H19" s="1269"/>
      <c r="I19" s="1269"/>
      <c r="J19" s="1269"/>
      <c r="K19" s="1269"/>
      <c r="L19" s="1269"/>
      <c r="M19" s="1269"/>
      <c r="N19" s="1269"/>
    </row>
    <row r="20" spans="2:16" ht="15" x14ac:dyDescent="0.25">
      <c r="B20" s="176" t="s">
        <v>1008</v>
      </c>
      <c r="C20" s="176"/>
      <c r="D20" s="176"/>
      <c r="E20" s="1269"/>
      <c r="F20" s="1269"/>
      <c r="G20" s="1269"/>
      <c r="H20" s="1269"/>
      <c r="I20" s="1269"/>
      <c r="J20" s="1269"/>
      <c r="K20" s="1269"/>
      <c r="L20" s="1269"/>
      <c r="M20" s="1269"/>
      <c r="N20" s="1269"/>
    </row>
    <row r="21" spans="2:16" x14ac:dyDescent="0.3">
      <c r="B21" s="176"/>
      <c r="C21" s="176"/>
      <c r="D21" s="176"/>
      <c r="E21" s="1269"/>
      <c r="F21" s="1269"/>
      <c r="G21" s="1269"/>
      <c r="H21" s="1269"/>
      <c r="I21" s="1269"/>
      <c r="J21" s="1269"/>
      <c r="K21" s="1269"/>
      <c r="L21" s="1269"/>
      <c r="M21" s="1269"/>
      <c r="N21" s="1269"/>
    </row>
    <row r="22" spans="2:16" x14ac:dyDescent="0.3">
      <c r="B22" s="1269" t="s">
        <v>1009</v>
      </c>
      <c r="C22" s="1271"/>
      <c r="D22" s="1271"/>
      <c r="E22" s="1271"/>
      <c r="F22" s="1271"/>
      <c r="G22" s="1271"/>
      <c r="H22" s="1271"/>
      <c r="I22" s="1271"/>
      <c r="J22" s="1271"/>
      <c r="K22" s="1271"/>
      <c r="L22" s="1271"/>
      <c r="M22" s="1271"/>
      <c r="N22" s="1269"/>
    </row>
    <row r="23" spans="2:16" ht="14.4" customHeight="1" x14ac:dyDescent="0.3">
      <c r="B23" s="1269" t="s">
        <v>847</v>
      </c>
      <c r="C23" s="1271"/>
      <c r="D23" s="1271"/>
      <c r="E23" s="1271"/>
      <c r="F23" s="1271"/>
      <c r="G23" s="1271"/>
      <c r="H23" s="1271"/>
      <c r="I23" s="1271"/>
      <c r="J23" s="1271"/>
      <c r="K23" s="1271"/>
      <c r="L23" s="1271"/>
      <c r="M23" s="1271"/>
      <c r="N23" s="1269"/>
    </row>
    <row r="24" spans="2:16" x14ac:dyDescent="0.3">
      <c r="B24" s="1292" t="s">
        <v>848</v>
      </c>
      <c r="C24" s="1292"/>
      <c r="D24" s="1292"/>
      <c r="E24" s="1292"/>
      <c r="F24" s="1292"/>
      <c r="G24" s="1292"/>
      <c r="H24" s="1292"/>
      <c r="I24" s="1292"/>
      <c r="J24" s="1292"/>
      <c r="K24" s="1292"/>
      <c r="L24" s="1292"/>
      <c r="M24" s="1292"/>
      <c r="N24" s="1269"/>
    </row>
    <row r="25" spans="2:16" ht="14.4" customHeight="1" x14ac:dyDescent="0.3">
      <c r="B25" s="1413" t="s">
        <v>980</v>
      </c>
      <c r="C25" s="1413"/>
      <c r="D25" s="1413"/>
      <c r="E25" s="1413"/>
      <c r="F25" s="1413"/>
      <c r="G25" s="1413"/>
      <c r="H25" s="1413"/>
      <c r="I25" s="1269"/>
      <c r="J25" s="1269"/>
      <c r="K25" s="1269"/>
      <c r="L25" s="1269"/>
      <c r="M25" s="1269"/>
      <c r="N25" s="1269"/>
    </row>
    <row r="26" spans="2:16" x14ac:dyDescent="0.3">
      <c r="B26" s="1293"/>
      <c r="C26" s="176"/>
      <c r="D26" s="176"/>
      <c r="E26" s="1269"/>
      <c r="F26" s="1269"/>
      <c r="G26" s="1269"/>
      <c r="H26" s="1269"/>
      <c r="I26" s="1269"/>
      <c r="J26" s="1269"/>
      <c r="K26" s="1269"/>
      <c r="L26" s="1269"/>
      <c r="M26" s="1269"/>
      <c r="N26" s="1269"/>
    </row>
    <row r="27" spans="2:16" x14ac:dyDescent="0.3">
      <c r="B27" s="1269" t="s">
        <v>1010</v>
      </c>
      <c r="C27" s="1269"/>
      <c r="D27" s="1269"/>
      <c r="E27" s="1269"/>
      <c r="F27" s="1269"/>
      <c r="G27" s="1269"/>
      <c r="H27" s="1269"/>
      <c r="I27" s="1269"/>
      <c r="J27" s="1269"/>
      <c r="K27" s="1269"/>
      <c r="L27" s="1269"/>
      <c r="M27" s="1269"/>
      <c r="N27" s="1269"/>
    </row>
    <row r="28" spans="2:16" x14ac:dyDescent="0.3">
      <c r="B28" s="1269" t="s">
        <v>1011</v>
      </c>
      <c r="C28" s="1269"/>
      <c r="D28" s="1269"/>
      <c r="E28" s="1269"/>
      <c r="F28" s="1269"/>
      <c r="G28" s="1269"/>
      <c r="H28" s="1269"/>
      <c r="I28" s="1269"/>
      <c r="J28" s="1269"/>
      <c r="K28" s="1269"/>
      <c r="L28" s="1269"/>
      <c r="M28" s="1269"/>
      <c r="N28" s="1269"/>
    </row>
    <row r="29" spans="2:16" x14ac:dyDescent="0.3">
      <c r="B29" s="1269" t="s">
        <v>998</v>
      </c>
      <c r="C29" s="1269"/>
      <c r="D29" s="1269"/>
      <c r="E29" s="1269"/>
      <c r="F29" s="1269"/>
      <c r="G29" s="1269"/>
      <c r="H29" s="1269"/>
      <c r="I29" s="1269"/>
      <c r="J29" s="1269"/>
      <c r="K29" s="1269"/>
      <c r="L29" s="1269"/>
      <c r="M29" s="1269"/>
      <c r="N29" s="1269"/>
    </row>
    <row r="30" spans="2:16" x14ac:dyDescent="0.3">
      <c r="B30" s="1269" t="s">
        <v>849</v>
      </c>
      <c r="C30" s="1269"/>
      <c r="D30" s="1269"/>
      <c r="E30" s="1269"/>
      <c r="F30" s="1269"/>
      <c r="G30" s="1269"/>
      <c r="H30" s="1269"/>
      <c r="I30" s="1269"/>
      <c r="J30" s="1269"/>
      <c r="K30" s="1269"/>
      <c r="L30" s="1269"/>
      <c r="M30" s="1269"/>
      <c r="N30" s="1269"/>
    </row>
    <row r="31" spans="2:16" x14ac:dyDescent="0.3">
      <c r="B31" s="1269"/>
      <c r="C31" s="1269"/>
      <c r="D31" s="1269"/>
      <c r="E31" s="1269"/>
      <c r="F31" s="1269"/>
      <c r="G31" s="1269"/>
      <c r="H31" s="1269"/>
      <c r="I31" s="1269"/>
      <c r="J31" s="1269"/>
      <c r="K31" s="1269"/>
      <c r="L31" s="1269"/>
      <c r="M31" s="1269"/>
      <c r="N31" s="1269"/>
      <c r="P31" t="s">
        <v>984</v>
      </c>
    </row>
    <row r="32" spans="2:16" x14ac:dyDescent="0.3">
      <c r="B32" s="540" t="s">
        <v>985</v>
      </c>
      <c r="C32" s="540"/>
      <c r="D32" s="540"/>
      <c r="E32" s="540"/>
      <c r="F32" s="540"/>
      <c r="G32" s="540"/>
      <c r="H32" s="1294"/>
      <c r="I32" s="1294"/>
      <c r="J32" s="1294"/>
      <c r="K32" s="1294"/>
      <c r="L32" s="1294"/>
      <c r="M32" s="1294"/>
      <c r="N32" s="1269"/>
      <c r="P32" s="1224" t="s">
        <v>848</v>
      </c>
    </row>
    <row r="33" spans="2:16" x14ac:dyDescent="0.3">
      <c r="B33" s="540" t="s">
        <v>987</v>
      </c>
      <c r="C33" s="540"/>
      <c r="D33" s="540"/>
      <c r="E33" s="540"/>
      <c r="F33" s="540"/>
      <c r="G33" s="540"/>
      <c r="H33" s="1294"/>
      <c r="I33" s="1294"/>
      <c r="J33" s="1294"/>
      <c r="K33" s="1294"/>
      <c r="L33" s="1294"/>
      <c r="M33" s="1294"/>
      <c r="N33" s="1269"/>
      <c r="P33" s="1267"/>
    </row>
    <row r="34" spans="2:16" x14ac:dyDescent="0.3">
      <c r="B34" s="540" t="s">
        <v>988</v>
      </c>
      <c r="C34" s="540"/>
      <c r="D34" s="540"/>
      <c r="E34" s="540"/>
      <c r="F34" s="540"/>
      <c r="G34" s="540"/>
      <c r="H34" s="1294"/>
      <c r="I34" s="1294"/>
      <c r="J34" s="1294"/>
      <c r="K34" s="1294"/>
      <c r="L34" s="1294"/>
      <c r="M34" s="1294"/>
      <c r="N34" s="1269"/>
    </row>
    <row r="35" spans="2:16" x14ac:dyDescent="0.3">
      <c r="B35" s="540" t="s">
        <v>999</v>
      </c>
      <c r="C35" s="540"/>
      <c r="D35" s="540"/>
      <c r="E35" s="540"/>
      <c r="F35" s="540"/>
      <c r="G35" s="540"/>
      <c r="H35" s="1294"/>
      <c r="I35" s="1294"/>
      <c r="J35" s="1294"/>
      <c r="K35" s="1294"/>
      <c r="L35" s="1294"/>
      <c r="M35" s="1294"/>
      <c r="N35" s="1269"/>
    </row>
    <row r="36" spans="2:16" x14ac:dyDescent="0.3">
      <c r="B36" s="540" t="s">
        <v>989</v>
      </c>
      <c r="C36" s="540"/>
      <c r="D36" s="540"/>
      <c r="E36" s="540"/>
      <c r="F36" s="540"/>
      <c r="G36" s="540"/>
      <c r="H36" s="1294"/>
      <c r="I36" s="1294"/>
      <c r="J36" s="1294"/>
      <c r="K36" s="1294"/>
      <c r="L36" s="1294"/>
      <c r="M36" s="1294"/>
      <c r="N36" s="1269"/>
    </row>
    <row r="37" spans="2:16" x14ac:dyDescent="0.3">
      <c r="B37" s="540"/>
      <c r="C37" s="540"/>
      <c r="D37" s="540"/>
      <c r="E37" s="540"/>
      <c r="F37" s="540"/>
      <c r="G37" s="540"/>
      <c r="H37" s="1294"/>
      <c r="I37" s="1294"/>
      <c r="J37" s="1294"/>
      <c r="K37" s="1294"/>
      <c r="L37" s="1294"/>
      <c r="M37" s="1294"/>
      <c r="N37" s="1269"/>
    </row>
    <row r="38" spans="2:16" x14ac:dyDescent="0.3">
      <c r="B38" s="540" t="s">
        <v>990</v>
      </c>
      <c r="C38" s="540"/>
      <c r="D38" s="540"/>
      <c r="E38" s="540"/>
      <c r="F38" s="540"/>
      <c r="G38" s="540"/>
      <c r="H38" s="1294"/>
      <c r="I38" s="1294"/>
      <c r="J38" s="1294"/>
      <c r="K38" s="1294"/>
      <c r="L38" s="1294"/>
      <c r="M38" s="1294"/>
      <c r="N38" s="1269"/>
    </row>
    <row r="39" spans="2:16" x14ac:dyDescent="0.3">
      <c r="B39" s="1225"/>
      <c r="C39" s="1225"/>
      <c r="D39" s="1225"/>
      <c r="E39" s="1225"/>
      <c r="F39" s="1225"/>
      <c r="G39" s="1225"/>
      <c r="H39" s="1225"/>
      <c r="I39" s="1225"/>
      <c r="J39" s="1225"/>
      <c r="K39" s="1225"/>
      <c r="L39" s="1225"/>
      <c r="M39" s="1225"/>
    </row>
    <row r="40" spans="2:16" x14ac:dyDescent="0.3">
      <c r="B40" s="1222"/>
      <c r="C40" s="1014" t="s">
        <v>991</v>
      </c>
      <c r="D40" s="1243"/>
      <c r="E40" s="1214"/>
      <c r="F40" s="1412" t="s">
        <v>982</v>
      </c>
      <c r="G40" s="1412"/>
      <c r="H40" s="1412"/>
      <c r="I40" s="1412"/>
    </row>
    <row r="41" spans="2:16" ht="15" thickBot="1" x14ac:dyDescent="0.35">
      <c r="B41" s="1222"/>
    </row>
    <row r="42" spans="2:16" x14ac:dyDescent="0.3">
      <c r="C42" s="1226"/>
      <c r="D42" s="1227"/>
      <c r="E42" s="1228" t="s">
        <v>809</v>
      </c>
      <c r="F42" s="1228"/>
      <c r="G42" s="1228"/>
      <c r="H42" s="1228"/>
      <c r="I42" s="1228"/>
      <c r="J42" s="1229"/>
    </row>
    <row r="43" spans="2:16" x14ac:dyDescent="0.3">
      <c r="C43" s="1230"/>
      <c r="D43" s="45"/>
      <c r="E43" s="1231"/>
      <c r="F43" s="1231" t="s">
        <v>810</v>
      </c>
      <c r="G43" s="1231" t="s">
        <v>811</v>
      </c>
      <c r="H43" s="1231"/>
      <c r="I43" s="1231"/>
      <c r="J43" s="1232"/>
    </row>
    <row r="44" spans="2:16" x14ac:dyDescent="0.3">
      <c r="C44" s="1230"/>
      <c r="D44" s="45"/>
      <c r="E44" s="1231" t="s">
        <v>808</v>
      </c>
      <c r="F44" s="1237">
        <f>VLOOKUP($F$40,'Climate Zones'!$E$3:$S$49,'Climate Zones'!W4,FALSE)</f>
        <v>14.3</v>
      </c>
      <c r="G44" s="1237">
        <f>VLOOKUP($F$40,'Climate Zones'!$E$3:$S$49,'Climate Zones'!X4,FALSE)</f>
        <v>9.57</v>
      </c>
      <c r="H44" s="1231" t="s">
        <v>1007</v>
      </c>
      <c r="I44" s="1231"/>
      <c r="J44" s="1232"/>
    </row>
    <row r="45" spans="2:16" x14ac:dyDescent="0.3">
      <c r="C45" s="1230"/>
      <c r="D45" s="1275"/>
      <c r="E45" s="1276" t="s">
        <v>949</v>
      </c>
      <c r="F45" s="1263">
        <v>1</v>
      </c>
      <c r="G45" s="1273">
        <f>1-F45</f>
        <v>0</v>
      </c>
      <c r="H45" s="1231"/>
      <c r="I45" s="1231"/>
      <c r="J45" s="1232"/>
    </row>
    <row r="46" spans="2:16" x14ac:dyDescent="0.3">
      <c r="C46" s="1230"/>
      <c r="D46" s="45"/>
      <c r="E46" s="1231"/>
      <c r="F46" s="1231"/>
      <c r="G46" s="1231"/>
      <c r="H46" s="1231"/>
      <c r="I46" s="1231"/>
      <c r="J46" s="1232"/>
    </row>
    <row r="47" spans="2:16" x14ac:dyDescent="0.3">
      <c r="C47" s="1230"/>
      <c r="D47" s="45"/>
      <c r="E47" s="1231"/>
      <c r="F47" s="1244" t="s">
        <v>942</v>
      </c>
      <c r="G47" s="1244" t="s">
        <v>943</v>
      </c>
      <c r="H47" s="1244" t="s">
        <v>944</v>
      </c>
      <c r="I47" s="1231"/>
      <c r="J47" s="1232"/>
    </row>
    <row r="48" spans="2:16" x14ac:dyDescent="0.3">
      <c r="C48" s="1230"/>
      <c r="D48" s="45"/>
      <c r="E48" s="1231"/>
      <c r="F48" s="1245" t="s">
        <v>945</v>
      </c>
      <c r="G48" s="1245" t="s">
        <v>946</v>
      </c>
      <c r="H48" s="1245" t="s">
        <v>947</v>
      </c>
      <c r="I48" s="1231"/>
      <c r="J48" s="1232"/>
    </row>
    <row r="49" spans="2:14" x14ac:dyDescent="0.3">
      <c r="C49" s="1230"/>
      <c r="D49" s="45"/>
      <c r="E49" s="1233" t="s">
        <v>812</v>
      </c>
      <c r="F49" s="1237">
        <f>VLOOKUP($F$40,'Climate Zones'!$E$3:$S$49,'Climate Zones'!W9,FALSE)</f>
        <v>6.03</v>
      </c>
      <c r="G49" s="1237">
        <f>VLOOKUP($F$40,'Climate Zones'!$E$3:$S$49,'Climate Zones'!X9,FALSE)</f>
        <v>14.68</v>
      </c>
      <c r="H49" s="1237">
        <f>VLOOKUP($F$40,'Climate Zones'!$E$3:$S$49,'Climate Zones'!Y9,FALSE)</f>
        <v>25.55</v>
      </c>
      <c r="I49" s="1231" t="s">
        <v>1007</v>
      </c>
      <c r="J49" s="1232"/>
    </row>
    <row r="50" spans="2:14" x14ac:dyDescent="0.3">
      <c r="C50" s="1230"/>
      <c r="D50" s="45"/>
      <c r="E50" s="1233" t="s">
        <v>813</v>
      </c>
      <c r="F50" s="1237">
        <f>VLOOKUP($F$40,'Climate Zones'!$E$3:$S$49,'Climate Zones'!W10,FALSE)</f>
        <v>1.24</v>
      </c>
      <c r="G50" s="1237">
        <f>VLOOKUP($F$40,'Climate Zones'!$E$3:$S$49,'Climate Zones'!X10,FALSE)</f>
        <v>7.04</v>
      </c>
      <c r="H50" s="1237">
        <f>VLOOKUP($F$40,'Climate Zones'!$E$3:$S$49,'Climate Zones'!Y10,FALSE)</f>
        <v>14.32</v>
      </c>
      <c r="I50" s="1231" t="s">
        <v>1007</v>
      </c>
      <c r="J50" s="1232"/>
    </row>
    <row r="51" spans="2:14" x14ac:dyDescent="0.3">
      <c r="C51" s="1230"/>
      <c r="D51" s="45"/>
      <c r="E51" s="1233" t="s">
        <v>814</v>
      </c>
      <c r="F51" s="1237">
        <f>VLOOKUP($F$40,'Climate Zones'!$E$3:$S$49,'Climate Zones'!W11,FALSE)</f>
        <v>0</v>
      </c>
      <c r="G51" s="1237">
        <f>VLOOKUP($F$40,'Climate Zones'!$E$3:$S$49,'Climate Zones'!X11,FALSE)</f>
        <v>0.18</v>
      </c>
      <c r="H51" s="1237">
        <f>VLOOKUP($F$40,'Climate Zones'!$E$3:$S$49,'Climate Zones'!Y11,FALSE)</f>
        <v>1.66</v>
      </c>
      <c r="I51" s="1231" t="s">
        <v>1007</v>
      </c>
      <c r="J51" s="1232"/>
    </row>
    <row r="52" spans="2:14" x14ac:dyDescent="0.3">
      <c r="C52" s="1277"/>
      <c r="D52" s="1275"/>
      <c r="E52" s="1276" t="s">
        <v>948</v>
      </c>
      <c r="F52" s="1263">
        <v>0.4</v>
      </c>
      <c r="G52" s="1263">
        <v>0.33333333333333331</v>
      </c>
      <c r="H52" s="1274">
        <f>1-SUM(F52:G52)</f>
        <v>0.26666666666666661</v>
      </c>
      <c r="I52" s="1231"/>
      <c r="J52" s="1232"/>
    </row>
    <row r="53" spans="2:14" ht="15" thickBot="1" x14ac:dyDescent="0.35">
      <c r="C53" s="1234"/>
      <c r="D53" s="1059"/>
      <c r="E53" s="1059"/>
      <c r="F53" s="1235"/>
      <c r="G53" s="1235"/>
      <c r="H53" s="1235"/>
      <c r="I53" s="1235"/>
      <c r="J53" s="1236"/>
    </row>
    <row r="54" spans="2:14" x14ac:dyDescent="0.3">
      <c r="B54" s="1222"/>
    </row>
    <row r="55" spans="2:14" x14ac:dyDescent="0.3">
      <c r="B55" s="1295" t="s">
        <v>994</v>
      </c>
      <c r="C55" s="176"/>
      <c r="D55" s="176"/>
      <c r="E55" s="1269"/>
      <c r="F55" s="1269"/>
      <c r="G55" s="1269"/>
      <c r="H55" s="1269"/>
      <c r="I55" s="1269"/>
      <c r="J55" s="1269"/>
      <c r="K55" s="1269"/>
      <c r="L55" s="1269"/>
      <c r="M55" s="1269"/>
      <c r="N55" s="1269"/>
    </row>
    <row r="56" spans="2:14" x14ac:dyDescent="0.3">
      <c r="B56" s="1295" t="s">
        <v>993</v>
      </c>
      <c r="C56" s="176"/>
      <c r="D56" s="176"/>
      <c r="E56" s="1269"/>
      <c r="F56" s="1269"/>
      <c r="G56" s="1269"/>
      <c r="H56" s="1269"/>
      <c r="I56" s="1269"/>
      <c r="J56" s="1269"/>
      <c r="K56" s="1269"/>
      <c r="L56" s="1269"/>
      <c r="M56" s="1269"/>
      <c r="N56" s="1269"/>
    </row>
    <row r="57" spans="2:14" x14ac:dyDescent="0.3">
      <c r="B57" s="1269" t="s">
        <v>992</v>
      </c>
      <c r="C57" s="176"/>
      <c r="D57" s="176"/>
      <c r="E57" s="1269"/>
      <c r="F57" s="1269"/>
      <c r="G57" s="1269"/>
      <c r="H57" s="1269"/>
      <c r="I57" s="1269"/>
      <c r="J57" s="1269"/>
      <c r="K57" s="1269"/>
      <c r="L57" s="1269"/>
      <c r="M57" s="1269"/>
      <c r="N57" s="1269"/>
    </row>
    <row r="58" spans="2:14" x14ac:dyDescent="0.3">
      <c r="B58" s="1296"/>
      <c r="C58" s="176" t="s">
        <v>995</v>
      </c>
      <c r="D58" s="176"/>
      <c r="E58" s="1269"/>
      <c r="F58" s="1269"/>
      <c r="G58" s="1269"/>
      <c r="H58" s="1269"/>
      <c r="I58" s="1269"/>
      <c r="J58" s="1269"/>
      <c r="K58" s="1269"/>
      <c r="L58" s="1269"/>
      <c r="M58" s="1269"/>
      <c r="N58" s="1269"/>
    </row>
    <row r="59" spans="2:14" x14ac:dyDescent="0.3">
      <c r="B59" s="1296"/>
      <c r="C59" s="176"/>
      <c r="D59" s="176"/>
      <c r="E59" s="1269"/>
      <c r="F59" s="1269"/>
      <c r="G59" s="1269"/>
      <c r="H59" s="1269"/>
      <c r="I59" s="1269"/>
      <c r="J59" s="1269"/>
      <c r="K59" s="1269"/>
      <c r="L59" s="1269"/>
      <c r="M59" s="1269"/>
      <c r="N59" s="1269"/>
    </row>
    <row r="60" spans="2:14" x14ac:dyDescent="0.3">
      <c r="B60" s="176" t="s">
        <v>827</v>
      </c>
      <c r="C60" s="176"/>
      <c r="D60" s="176"/>
      <c r="E60" s="1269"/>
      <c r="F60" s="1269"/>
      <c r="G60" s="1269"/>
      <c r="H60" s="1269"/>
      <c r="I60" s="1269"/>
      <c r="J60" s="1269"/>
      <c r="K60" s="1269"/>
      <c r="L60" s="1269"/>
      <c r="M60" s="1269"/>
      <c r="N60" s="1269"/>
    </row>
    <row r="61" spans="2:14" x14ac:dyDescent="0.3">
      <c r="B61" s="445" t="s">
        <v>979</v>
      </c>
      <c r="C61" s="176"/>
      <c r="D61" s="176"/>
      <c r="E61" s="1269"/>
      <c r="F61" s="1269"/>
      <c r="G61" s="1269"/>
      <c r="H61" s="1269"/>
      <c r="I61" s="1269"/>
      <c r="J61" s="1269"/>
      <c r="K61" s="1269"/>
      <c r="L61" s="1269"/>
      <c r="M61" s="1269"/>
      <c r="N61" s="1269"/>
    </row>
    <row r="62" spans="2:14" x14ac:dyDescent="0.3">
      <c r="B62" s="1269" t="s">
        <v>977</v>
      </c>
      <c r="C62" s="176"/>
      <c r="D62" s="1269"/>
      <c r="E62" s="1269"/>
      <c r="F62" s="1269"/>
      <c r="G62" s="1269"/>
      <c r="H62" s="1269"/>
      <c r="I62" s="1269"/>
      <c r="J62" s="1269"/>
      <c r="K62" s="1269"/>
      <c r="L62" s="1269"/>
      <c r="M62" s="1269"/>
      <c r="N62" s="1269"/>
    </row>
    <row r="63" spans="2:14" x14ac:dyDescent="0.3">
      <c r="B63" s="1269" t="s">
        <v>978</v>
      </c>
      <c r="C63" s="176"/>
      <c r="D63" s="1269"/>
      <c r="E63" s="1269"/>
      <c r="F63" s="1269"/>
      <c r="G63" s="1269"/>
      <c r="H63" s="1269"/>
      <c r="I63" s="1269"/>
      <c r="J63" s="1269"/>
      <c r="K63" s="1269"/>
      <c r="L63" s="1269"/>
      <c r="M63" s="1269"/>
      <c r="N63" s="1269"/>
    </row>
    <row r="64" spans="2:14" x14ac:dyDescent="0.3">
      <c r="B64" s="1296"/>
      <c r="C64" s="1288"/>
      <c r="D64" s="1288"/>
      <c r="E64" s="1288"/>
      <c r="F64" s="1288"/>
      <c r="G64" s="1288"/>
      <c r="H64" s="1288"/>
      <c r="I64" s="1288"/>
      <c r="J64" s="1288"/>
      <c r="K64" s="1288"/>
      <c r="L64" s="1288"/>
      <c r="M64" s="1288"/>
      <c r="N64" s="1269"/>
    </row>
    <row r="65" spans="2:14" x14ac:dyDescent="0.3">
      <c r="B65" s="176" t="s">
        <v>828</v>
      </c>
      <c r="C65" s="176"/>
      <c r="D65" s="176"/>
      <c r="E65" s="1269"/>
      <c r="F65" s="1269"/>
      <c r="G65" s="1269"/>
      <c r="H65" s="1269"/>
      <c r="I65" s="1269"/>
      <c r="J65" s="1269"/>
      <c r="K65" s="1269"/>
      <c r="L65" s="1269"/>
      <c r="M65" s="1269"/>
      <c r="N65" s="1269"/>
    </row>
    <row r="66" spans="2:14" x14ac:dyDescent="0.3">
      <c r="B66" s="1295" t="s">
        <v>824</v>
      </c>
      <c r="C66" s="176"/>
      <c r="D66" s="176"/>
      <c r="E66" s="1269"/>
      <c r="F66" s="1269"/>
      <c r="G66" s="1269"/>
      <c r="H66" s="1269"/>
      <c r="I66" s="1269"/>
      <c r="J66" s="1269"/>
      <c r="K66" s="1269"/>
      <c r="L66" s="1269"/>
      <c r="M66" s="1269"/>
      <c r="N66" s="1269"/>
    </row>
    <row r="67" spans="2:14" x14ac:dyDescent="0.3">
      <c r="B67" s="1295" t="s">
        <v>825</v>
      </c>
      <c r="C67" s="176"/>
      <c r="D67" s="176"/>
      <c r="E67" s="1269"/>
      <c r="F67" s="1269"/>
      <c r="G67" s="1269"/>
      <c r="H67" s="1269"/>
      <c r="I67" s="1269"/>
      <c r="J67" s="1269"/>
      <c r="K67" s="1269"/>
      <c r="L67" s="1269"/>
      <c r="M67" s="1269"/>
      <c r="N67" s="1269"/>
    </row>
    <row r="68" spans="2:14" x14ac:dyDescent="0.3">
      <c r="B68" s="1295" t="s">
        <v>826</v>
      </c>
      <c r="C68" s="176"/>
      <c r="D68" s="176"/>
      <c r="E68" s="1269"/>
      <c r="F68" s="1269"/>
      <c r="G68" s="1269"/>
      <c r="H68" s="1269"/>
      <c r="I68" s="1269"/>
      <c r="J68" s="1269"/>
      <c r="K68" s="1269"/>
      <c r="L68" s="1269"/>
      <c r="M68" s="1269"/>
      <c r="N68" s="1269"/>
    </row>
    <row r="70" spans="2:14" x14ac:dyDescent="0.3">
      <c r="B70" s="1223"/>
      <c r="D70"/>
      <c r="E70" s="1215" t="s">
        <v>806</v>
      </c>
      <c r="F70" s="1212" t="s">
        <v>804</v>
      </c>
      <c r="G70" s="1213"/>
      <c r="H70" s="1214"/>
      <c r="J70" s="1406" t="s">
        <v>839</v>
      </c>
      <c r="K70" s="1407"/>
    </row>
    <row r="71" spans="2:14" x14ac:dyDescent="0.3">
      <c r="B71" s="1223"/>
      <c r="D71"/>
      <c r="E71" s="1220" t="s">
        <v>803</v>
      </c>
      <c r="F71" s="1215" t="s">
        <v>571</v>
      </c>
      <c r="G71" s="1215" t="s">
        <v>805</v>
      </c>
      <c r="H71" s="1215" t="s">
        <v>573</v>
      </c>
      <c r="I71" s="1248"/>
      <c r="J71" s="1408"/>
      <c r="K71" s="1409"/>
    </row>
    <row r="72" spans="2:14" x14ac:dyDescent="0.3">
      <c r="B72" s="1223"/>
      <c r="D72"/>
      <c r="E72" s="1221" t="s">
        <v>1012</v>
      </c>
      <c r="F72" s="1216">
        <v>0.5</v>
      </c>
      <c r="G72" s="1216">
        <v>0.65</v>
      </c>
      <c r="H72" s="1216">
        <v>0.85</v>
      </c>
      <c r="J72" s="1410"/>
      <c r="K72" s="1411"/>
    </row>
    <row r="73" spans="2:14" x14ac:dyDescent="0.3">
      <c r="B73" s="1223"/>
      <c r="D73" t="s">
        <v>808</v>
      </c>
      <c r="E73" s="1250">
        <f>SUMPRODUCT(F44:G44,F45:G45)</f>
        <v>14.3</v>
      </c>
      <c r="F73" s="1266">
        <f t="shared" ref="F73:H76" si="0">$E73/F$72</f>
        <v>28.6</v>
      </c>
      <c r="G73" s="1266">
        <f t="shared" si="0"/>
        <v>22</v>
      </c>
      <c r="H73" s="1266">
        <f t="shared" si="0"/>
        <v>16.823529411764707</v>
      </c>
      <c r="I73" s="1249"/>
      <c r="J73" s="1241"/>
      <c r="K73" s="1272" t="s">
        <v>1012</v>
      </c>
    </row>
    <row r="74" spans="2:14" x14ac:dyDescent="0.3">
      <c r="B74" s="1223"/>
      <c r="D74" s="1211" t="s">
        <v>812</v>
      </c>
      <c r="E74" s="1250">
        <f>SUMPRODUCT($F49:$H49,$F$52:$H$52)</f>
        <v>14.118666666666666</v>
      </c>
      <c r="F74" s="1266">
        <f t="shared" si="0"/>
        <v>28.237333333333332</v>
      </c>
      <c r="G74" s="1266">
        <f t="shared" si="0"/>
        <v>21.721025641025641</v>
      </c>
      <c r="H74" s="1266">
        <f t="shared" si="0"/>
        <v>16.610196078431372</v>
      </c>
      <c r="I74" s="1249"/>
      <c r="J74" s="1218" t="s">
        <v>64</v>
      </c>
      <c r="K74" s="1240">
        <f>MAX(F73:H76)</f>
        <v>28.6</v>
      </c>
      <c r="L74" t="s">
        <v>838</v>
      </c>
    </row>
    <row r="75" spans="2:14" x14ac:dyDescent="0.3">
      <c r="B75" s="1223"/>
      <c r="D75" s="1211" t="s">
        <v>813</v>
      </c>
      <c r="E75" s="1250">
        <f>SUMPRODUCT($F50:$H50,$F$52:$H$52)</f>
        <v>6.6613333333333324</v>
      </c>
      <c r="F75" s="1266">
        <f t="shared" si="0"/>
        <v>13.322666666666665</v>
      </c>
      <c r="G75" s="1266">
        <f t="shared" si="0"/>
        <v>10.248205128205127</v>
      </c>
      <c r="H75" s="1266">
        <f t="shared" si="0"/>
        <v>7.8368627450980384</v>
      </c>
      <c r="I75" s="1249"/>
      <c r="J75" s="1218" t="s">
        <v>65</v>
      </c>
      <c r="K75" s="1240">
        <f>AVERAGE(F73:H76)</f>
        <v>13.980821518350929</v>
      </c>
      <c r="L75" t="s">
        <v>837</v>
      </c>
    </row>
    <row r="76" spans="2:14" ht="14.4" customHeight="1" x14ac:dyDescent="0.3">
      <c r="B76" s="1223"/>
      <c r="D76" s="1211" t="s">
        <v>814</v>
      </c>
      <c r="E76" s="1250">
        <f>SUMPRODUCT($F51:$H51,$F$52:$H$52)</f>
        <v>0.5026666666666666</v>
      </c>
      <c r="F76" s="1266">
        <f t="shared" si="0"/>
        <v>1.0053333333333332</v>
      </c>
      <c r="G76" s="1266">
        <f t="shared" si="0"/>
        <v>0.77333333333333321</v>
      </c>
      <c r="H76" s="1266">
        <f t="shared" si="0"/>
        <v>0.59137254901960778</v>
      </c>
      <c r="I76" s="1249"/>
      <c r="J76" s="1218" t="s">
        <v>66</v>
      </c>
      <c r="K76" s="1240">
        <f>MIN(F73:H76)</f>
        <v>0.59137254901960778</v>
      </c>
      <c r="L76" t="s">
        <v>836</v>
      </c>
    </row>
    <row r="77" spans="2:14" s="1280" customFormat="1" ht="14.4" customHeight="1" x14ac:dyDescent="0.3">
      <c r="B77" s="1278"/>
      <c r="C77" s="125"/>
      <c r="D77" s="1279"/>
      <c r="E77" s="1280" t="s">
        <v>996</v>
      </c>
      <c r="F77" s="1281"/>
      <c r="G77" s="1281"/>
      <c r="H77" s="1281"/>
      <c r="I77" s="1282"/>
      <c r="J77" s="1283"/>
      <c r="K77" s="1281"/>
    </row>
    <row r="78" spans="2:14" x14ac:dyDescent="0.3">
      <c r="B78" s="1223"/>
      <c r="E78" s="1280" t="s">
        <v>1026</v>
      </c>
    </row>
    <row r="79" spans="2:14" x14ac:dyDescent="0.3">
      <c r="B79" s="1223"/>
    </row>
    <row r="80" spans="2:14" x14ac:dyDescent="0.3">
      <c r="B80" s="1269" t="s">
        <v>850</v>
      </c>
      <c r="C80" s="176"/>
      <c r="D80" s="1269"/>
      <c r="E80" s="1269"/>
      <c r="F80" s="1269"/>
      <c r="G80" s="1269"/>
      <c r="H80" s="1269"/>
      <c r="I80" s="1269"/>
      <c r="J80" s="1269"/>
      <c r="K80" s="1269"/>
      <c r="L80" s="1269"/>
      <c r="M80" s="1269"/>
      <c r="N80" s="1269"/>
    </row>
    <row r="81" spans="2:15" x14ac:dyDescent="0.3">
      <c r="B81" s="1269" t="s">
        <v>1002</v>
      </c>
      <c r="C81" s="176"/>
      <c r="D81" s="1269"/>
      <c r="E81" s="1269"/>
      <c r="F81" s="1269"/>
      <c r="G81" s="1269"/>
      <c r="H81" s="1269"/>
      <c r="I81" s="1269"/>
      <c r="J81" s="1269"/>
      <c r="K81" s="1269"/>
      <c r="L81" s="1269"/>
      <c r="M81" s="1269"/>
      <c r="N81" s="1269"/>
    </row>
    <row r="82" spans="2:15" x14ac:dyDescent="0.3">
      <c r="B82" s="1295" t="s">
        <v>1001</v>
      </c>
      <c r="C82" s="176"/>
      <c r="D82" s="176"/>
      <c r="E82" s="1269"/>
      <c r="F82" s="1269"/>
      <c r="G82" s="1269"/>
      <c r="H82" s="1269"/>
      <c r="I82" s="1269"/>
      <c r="J82" s="1269"/>
      <c r="K82" s="1269"/>
      <c r="L82" s="1269"/>
      <c r="M82" s="1269"/>
      <c r="N82" s="1269"/>
    </row>
    <row r="83" spans="2:15" x14ac:dyDescent="0.3">
      <c r="B83" s="1295"/>
      <c r="C83" s="176"/>
      <c r="D83" s="176"/>
      <c r="E83" s="1269"/>
      <c r="F83" s="1269"/>
      <c r="G83" s="1269"/>
      <c r="H83" s="1269"/>
      <c r="I83" s="1269"/>
      <c r="J83" s="1269"/>
      <c r="K83" s="1269"/>
      <c r="L83" s="1269"/>
      <c r="M83" s="1269"/>
      <c r="N83" s="1269"/>
    </row>
    <row r="84" spans="2:15" x14ac:dyDescent="0.3">
      <c r="B84" s="1287" t="s">
        <v>997</v>
      </c>
      <c r="C84" s="176"/>
      <c r="D84" s="176"/>
      <c r="E84" s="1269"/>
      <c r="F84" s="1269"/>
      <c r="G84" s="1269"/>
      <c r="H84" s="1269"/>
      <c r="I84" s="1269"/>
      <c r="J84" s="1269"/>
      <c r="K84" s="1269"/>
      <c r="L84" s="1269"/>
      <c r="M84" s="1269"/>
      <c r="N84" s="1269"/>
    </row>
    <row r="85" spans="2:15" x14ac:dyDescent="0.3">
      <c r="B85" s="1223"/>
    </row>
    <row r="86" spans="2:15" x14ac:dyDescent="0.3">
      <c r="B86" s="1268" t="s">
        <v>820</v>
      </c>
      <c r="C86" s="176"/>
      <c r="D86" s="176"/>
      <c r="E86" s="1269"/>
      <c r="F86" s="1269"/>
      <c r="G86" s="1269"/>
      <c r="H86" s="1269"/>
      <c r="I86" s="1269"/>
      <c r="J86" s="1269"/>
      <c r="K86" s="1269"/>
      <c r="L86" s="1269"/>
      <c r="M86" s="1269"/>
      <c r="N86" s="1269"/>
      <c r="O86" s="1269"/>
    </row>
    <row r="87" spans="2:15" x14ac:dyDescent="0.3">
      <c r="B87" s="1270" t="s">
        <v>832</v>
      </c>
      <c r="C87" s="176"/>
      <c r="D87" s="176"/>
      <c r="E87" s="1269"/>
      <c r="F87" s="1269"/>
      <c r="G87" s="1269"/>
      <c r="H87" s="1269"/>
      <c r="I87" s="1269"/>
      <c r="J87" s="1269"/>
      <c r="K87" s="1269"/>
      <c r="L87" s="1269"/>
      <c r="M87" s="1269"/>
      <c r="N87" s="1269"/>
      <c r="O87" s="1269"/>
    </row>
    <row r="88" spans="2:15" x14ac:dyDescent="0.3">
      <c r="B88" s="1270" t="s">
        <v>833</v>
      </c>
      <c r="C88" s="176"/>
      <c r="D88" s="176"/>
      <c r="E88" s="1269"/>
      <c r="F88" s="1269"/>
      <c r="G88" s="1269"/>
      <c r="H88" s="1269"/>
      <c r="I88" s="1269"/>
      <c r="J88" s="1269"/>
      <c r="K88" s="1269"/>
      <c r="L88" s="1269"/>
      <c r="M88" s="1269"/>
      <c r="N88" s="1269"/>
      <c r="O88" s="1269"/>
    </row>
    <row r="89" spans="2:15" x14ac:dyDescent="0.3">
      <c r="B89" s="1270" t="s">
        <v>831</v>
      </c>
      <c r="C89" s="176"/>
      <c r="D89" s="176"/>
      <c r="E89" s="1269"/>
      <c r="F89" s="1269"/>
      <c r="G89" s="1269"/>
      <c r="H89" s="1269"/>
      <c r="I89" s="1269"/>
      <c r="J89" s="1269"/>
      <c r="K89" s="1269"/>
      <c r="L89" s="1269"/>
      <c r="M89" s="1269"/>
      <c r="N89" s="1269"/>
      <c r="O89" s="1269"/>
    </row>
    <row r="90" spans="2:15" x14ac:dyDescent="0.3">
      <c r="B90" s="1270" t="s">
        <v>834</v>
      </c>
      <c r="C90" s="176"/>
      <c r="D90" s="176"/>
      <c r="E90" s="1269"/>
      <c r="F90" s="1269"/>
      <c r="G90" s="1269"/>
      <c r="H90" s="1269"/>
      <c r="I90" s="1269"/>
      <c r="J90" s="1269"/>
      <c r="K90" s="1269"/>
      <c r="L90" s="1269"/>
      <c r="M90" s="1269"/>
      <c r="N90" s="1269"/>
      <c r="O90" s="1269"/>
    </row>
    <row r="91" spans="2:15" x14ac:dyDescent="0.3">
      <c r="B91" s="1270" t="s">
        <v>821</v>
      </c>
      <c r="C91" s="176"/>
      <c r="D91" s="176"/>
      <c r="E91" s="1269"/>
      <c r="F91" s="1269"/>
      <c r="G91" s="1269"/>
      <c r="H91" s="1269"/>
      <c r="I91" s="1269"/>
      <c r="J91" s="1269"/>
      <c r="K91" s="1269"/>
      <c r="L91" s="1269"/>
      <c r="M91" s="1269"/>
      <c r="N91" s="1269"/>
      <c r="O91" s="1269"/>
    </row>
    <row r="92" spans="2:15" x14ac:dyDescent="0.3">
      <c r="B92" s="1270" t="s">
        <v>829</v>
      </c>
      <c r="C92" s="176"/>
      <c r="D92" s="176"/>
      <c r="E92" s="1269"/>
      <c r="F92" s="1269"/>
      <c r="G92" s="1269"/>
      <c r="H92" s="1269"/>
      <c r="I92" s="1269"/>
      <c r="J92" s="1269"/>
      <c r="K92" s="1269"/>
      <c r="L92" s="1269"/>
      <c r="M92" s="1269"/>
      <c r="N92" s="1269"/>
      <c r="O92" s="1269"/>
    </row>
    <row r="93" spans="2:15" x14ac:dyDescent="0.3">
      <c r="B93" s="1270" t="s">
        <v>830</v>
      </c>
      <c r="C93" s="176"/>
      <c r="D93" s="176"/>
      <c r="E93" s="1269"/>
      <c r="F93" s="1269"/>
      <c r="G93" s="1269"/>
      <c r="H93" s="1269"/>
      <c r="I93" s="1269"/>
      <c r="J93" s="1269"/>
      <c r="K93" s="1269"/>
      <c r="L93" s="1269"/>
      <c r="M93" s="1269"/>
      <c r="N93" s="1269"/>
      <c r="O93" s="1269"/>
    </row>
    <row r="94" spans="2:15" x14ac:dyDescent="0.3">
      <c r="B94" s="1270" t="s">
        <v>822</v>
      </c>
      <c r="C94" s="176"/>
      <c r="D94" s="176"/>
      <c r="E94" s="1269"/>
      <c r="F94" s="1269"/>
      <c r="G94" s="1269"/>
      <c r="H94" s="1269"/>
      <c r="I94" s="1269"/>
      <c r="J94" s="1269"/>
      <c r="K94" s="1269"/>
      <c r="L94" s="1269"/>
      <c r="M94" s="1269"/>
      <c r="N94" s="1269"/>
      <c r="O94" s="1269"/>
    </row>
    <row r="95" spans="2:15" x14ac:dyDescent="0.3">
      <c r="B95" s="1270"/>
      <c r="C95" s="176"/>
      <c r="D95" s="176"/>
      <c r="E95" s="1269"/>
      <c r="F95" s="1269"/>
      <c r="G95" s="1269"/>
      <c r="H95" s="1269"/>
      <c r="I95" s="1269"/>
      <c r="J95" s="1269"/>
      <c r="K95" s="1269"/>
      <c r="L95" s="1269"/>
      <c r="M95" s="1269"/>
      <c r="N95" s="1269"/>
      <c r="O95" s="1269"/>
    </row>
    <row r="96" spans="2:15" x14ac:dyDescent="0.3">
      <c r="B96" s="1270" t="s">
        <v>1000</v>
      </c>
      <c r="C96" s="176"/>
      <c r="D96" s="176"/>
      <c r="E96" s="1269"/>
      <c r="F96" s="1269"/>
      <c r="G96" s="1269"/>
      <c r="H96" s="1269"/>
      <c r="I96" s="1269"/>
      <c r="J96" s="1269"/>
      <c r="K96" s="1269"/>
      <c r="L96" s="1269"/>
      <c r="M96" s="1269"/>
      <c r="N96" s="1269"/>
      <c r="O96" s="1269"/>
    </row>
    <row r="97" spans="2:15" x14ac:dyDescent="0.3">
      <c r="B97" s="1270" t="s">
        <v>835</v>
      </c>
      <c r="C97" s="176"/>
      <c r="D97" s="176"/>
      <c r="E97" s="1269"/>
      <c r="F97" s="1269"/>
      <c r="G97" s="1269"/>
      <c r="H97" s="1269"/>
      <c r="I97" s="1269"/>
      <c r="J97" s="1269"/>
      <c r="K97" s="1269"/>
      <c r="L97" s="1269"/>
      <c r="M97" s="1269"/>
      <c r="N97" s="1269"/>
      <c r="O97" s="1269"/>
    </row>
    <row r="98" spans="2:15" x14ac:dyDescent="0.3">
      <c r="B98" s="1270"/>
      <c r="C98" s="176"/>
      <c r="D98" s="176"/>
      <c r="E98" s="1269"/>
      <c r="F98" s="1269"/>
      <c r="G98" s="1269"/>
      <c r="H98" s="1269"/>
      <c r="I98" s="1269"/>
      <c r="J98" s="1269"/>
      <c r="K98" s="1269"/>
      <c r="L98" s="1269"/>
      <c r="M98" s="1269"/>
      <c r="N98" s="1269"/>
      <c r="O98" s="1269"/>
    </row>
    <row r="99" spans="2:15" x14ac:dyDescent="0.3">
      <c r="B99" s="1269" t="s">
        <v>1016</v>
      </c>
      <c r="C99" s="176"/>
      <c r="D99" s="176"/>
      <c r="E99" s="1269"/>
      <c r="F99" s="1269"/>
      <c r="G99" s="1269"/>
      <c r="H99" s="1269"/>
      <c r="I99" s="1269"/>
      <c r="J99" s="1269"/>
      <c r="K99" s="1269"/>
      <c r="L99" s="1269"/>
      <c r="M99" s="1269"/>
      <c r="N99" s="1269"/>
      <c r="O99" s="1269"/>
    </row>
    <row r="100" spans="2:15" x14ac:dyDescent="0.3">
      <c r="B100" s="1269"/>
      <c r="C100" s="176"/>
      <c r="D100" s="176"/>
      <c r="E100" s="1269"/>
      <c r="F100" s="1269"/>
      <c r="G100" s="1269"/>
      <c r="H100" s="1269"/>
      <c r="I100" s="1269"/>
      <c r="J100" s="1269"/>
      <c r="K100" s="1269"/>
      <c r="L100" s="1269"/>
      <c r="M100" s="1269"/>
      <c r="N100" s="1269"/>
      <c r="O100" s="1269"/>
    </row>
    <row r="101" spans="2:15" x14ac:dyDescent="0.3">
      <c r="B101" s="1270"/>
      <c r="C101" s="1269" t="s">
        <v>1018</v>
      </c>
      <c r="D101" s="1269"/>
      <c r="E101" s="1269"/>
      <c r="F101" s="1269"/>
      <c r="G101" s="1269"/>
      <c r="H101" s="1269"/>
      <c r="I101" s="1269"/>
      <c r="J101" s="1269"/>
      <c r="K101" s="1269"/>
      <c r="L101" s="1269"/>
      <c r="M101" s="1269"/>
      <c r="N101" s="1269"/>
      <c r="O101" s="1269"/>
    </row>
    <row r="102" spans="2:15" x14ac:dyDescent="0.3">
      <c r="B102" s="1270"/>
      <c r="C102" s="1269" t="s">
        <v>1019</v>
      </c>
      <c r="D102" s="1269"/>
      <c r="E102" s="1269"/>
      <c r="F102" s="1269"/>
      <c r="G102" s="1269"/>
      <c r="H102" s="1269"/>
      <c r="I102" s="1269"/>
      <c r="J102" s="1269"/>
      <c r="K102" s="1269"/>
      <c r="L102" s="1269"/>
      <c r="M102" s="1269"/>
      <c r="N102" s="1269"/>
      <c r="O102" s="1269"/>
    </row>
    <row r="103" spans="2:15" x14ac:dyDescent="0.3">
      <c r="B103" s="1270"/>
      <c r="C103" s="1287" t="s">
        <v>1013</v>
      </c>
      <c r="D103" s="1271"/>
      <c r="E103" s="1271"/>
      <c r="F103" s="1271"/>
      <c r="G103" s="1271"/>
      <c r="H103" s="1271"/>
      <c r="I103" s="1271"/>
      <c r="J103" s="1271"/>
      <c r="K103" s="1271"/>
      <c r="L103" s="1271"/>
      <c r="M103" s="1271"/>
      <c r="N103" s="1269"/>
      <c r="O103" s="1269"/>
    </row>
    <row r="104" spans="2:15" x14ac:dyDescent="0.3">
      <c r="B104" s="1270"/>
      <c r="C104" s="1271"/>
      <c r="D104" s="1271"/>
      <c r="E104" s="1271"/>
      <c r="F104" s="1271"/>
      <c r="G104" s="1271"/>
      <c r="H104" s="1271"/>
      <c r="I104" s="1271"/>
      <c r="J104" s="1271"/>
      <c r="K104" s="1271"/>
      <c r="L104" s="1271"/>
      <c r="M104" s="1271"/>
      <c r="N104" s="1269"/>
      <c r="O104" s="1269"/>
    </row>
    <row r="105" spans="2:15" x14ac:dyDescent="0.3">
      <c r="B105" s="1270"/>
      <c r="C105" s="1269" t="s">
        <v>1020</v>
      </c>
      <c r="D105" s="1269"/>
      <c r="E105" s="1269"/>
      <c r="F105" s="1269"/>
      <c r="G105" s="1269"/>
      <c r="H105" s="1269"/>
      <c r="I105" s="1269"/>
      <c r="J105" s="1269"/>
      <c r="K105" s="1269"/>
      <c r="L105" s="1269"/>
      <c r="M105" s="1269"/>
      <c r="N105" s="1269"/>
      <c r="O105" s="1269"/>
    </row>
    <row r="106" spans="2:15" x14ac:dyDescent="0.3">
      <c r="B106" s="1270"/>
      <c r="C106" s="1269" t="s">
        <v>1021</v>
      </c>
      <c r="D106" s="1269"/>
      <c r="E106" s="1269"/>
      <c r="F106" s="1269"/>
      <c r="G106" s="1269"/>
      <c r="H106" s="1269"/>
      <c r="I106" s="1269"/>
      <c r="J106" s="1269"/>
      <c r="K106" s="1269"/>
      <c r="L106" s="1269"/>
      <c r="M106" s="1269"/>
      <c r="N106" s="1269"/>
      <c r="O106" s="1269"/>
    </row>
    <row r="107" spans="2:15" x14ac:dyDescent="0.3">
      <c r="B107" s="1270"/>
      <c r="C107" s="1269" t="s">
        <v>1022</v>
      </c>
      <c r="D107" s="1269"/>
      <c r="E107" s="1269"/>
      <c r="F107" s="1269"/>
      <c r="G107" s="1269"/>
      <c r="H107" s="1269"/>
      <c r="I107" s="1269"/>
      <c r="J107" s="1269"/>
      <c r="K107" s="1269"/>
      <c r="L107" s="1269"/>
      <c r="M107" s="1269"/>
      <c r="N107" s="1269"/>
      <c r="O107" s="1269"/>
    </row>
    <row r="108" spans="2:15" x14ac:dyDescent="0.3">
      <c r="B108" s="1270"/>
      <c r="C108" s="1271"/>
      <c r="D108" s="1271"/>
      <c r="E108" s="1271"/>
      <c r="F108" s="1271"/>
      <c r="G108" s="1271"/>
      <c r="H108" s="1271"/>
      <c r="I108" s="1271"/>
      <c r="J108" s="1271"/>
      <c r="K108" s="1271"/>
      <c r="L108" s="1271"/>
      <c r="M108" s="1271"/>
      <c r="N108" s="1269"/>
      <c r="O108" s="1269"/>
    </row>
    <row r="109" spans="2:15" x14ac:dyDescent="0.3">
      <c r="B109" s="1270"/>
      <c r="C109" s="1269" t="s">
        <v>1015</v>
      </c>
      <c r="D109" s="1269"/>
      <c r="E109" s="1269"/>
      <c r="F109" s="1269"/>
      <c r="G109" s="1269"/>
      <c r="H109" s="1269"/>
      <c r="I109" s="1269"/>
      <c r="J109" s="1269"/>
      <c r="K109" s="1269"/>
      <c r="L109" s="1269"/>
      <c r="M109" s="1269"/>
      <c r="N109" s="1269"/>
      <c r="O109" s="1269"/>
    </row>
    <row r="110" spans="2:15" x14ac:dyDescent="0.3">
      <c r="B110" s="1270"/>
      <c r="C110" s="1269" t="s">
        <v>1017</v>
      </c>
      <c r="D110" s="1269"/>
      <c r="E110" s="1269"/>
      <c r="F110" s="1269"/>
      <c r="G110" s="1269"/>
      <c r="H110" s="1269"/>
      <c r="I110" s="1269"/>
      <c r="J110" s="1269"/>
      <c r="K110" s="1269"/>
      <c r="L110" s="1269"/>
      <c r="M110" s="1269"/>
      <c r="N110" s="1269"/>
      <c r="O110" s="1269"/>
    </row>
    <row r="111" spans="2:15" x14ac:dyDescent="0.3">
      <c r="B111" s="1271"/>
      <c r="C111" s="1271"/>
      <c r="D111" s="1271"/>
      <c r="E111" s="1271"/>
      <c r="F111" s="1271"/>
      <c r="G111" s="1271"/>
      <c r="H111" s="1271"/>
      <c r="I111" s="1271"/>
      <c r="J111" s="1271"/>
      <c r="K111" s="1271"/>
      <c r="L111" s="1271"/>
      <c r="M111" s="1271"/>
      <c r="N111" s="1269"/>
      <c r="O111" s="1269"/>
    </row>
    <row r="112" spans="2:15" x14ac:dyDescent="0.3">
      <c r="B112" s="1268" t="s">
        <v>823</v>
      </c>
      <c r="C112" s="176"/>
      <c r="D112" s="176"/>
      <c r="E112" s="1269"/>
      <c r="F112" s="1269"/>
      <c r="G112" s="1269"/>
      <c r="H112" s="1269"/>
      <c r="I112" s="1269"/>
      <c r="J112" s="1269"/>
      <c r="K112" s="1269"/>
      <c r="L112" s="1269"/>
      <c r="M112" s="1269"/>
      <c r="N112" s="1269"/>
      <c r="O112" s="1269"/>
    </row>
    <row r="113" spans="2:15" x14ac:dyDescent="0.3">
      <c r="B113" s="176"/>
      <c r="C113" s="176"/>
      <c r="D113" s="176"/>
      <c r="E113" s="1269"/>
      <c r="F113" s="1269"/>
      <c r="G113" s="1269"/>
      <c r="H113" s="1269"/>
      <c r="I113" s="1269"/>
      <c r="J113" s="1269"/>
      <c r="K113" s="1269"/>
      <c r="L113" s="1269"/>
      <c r="M113" s="1269"/>
      <c r="N113" s="1269"/>
      <c r="O113" s="1269"/>
    </row>
    <row r="123" spans="2:15" x14ac:dyDescent="0.3">
      <c r="D123"/>
    </row>
  </sheetData>
  <mergeCells count="3">
    <mergeCell ref="J70:K72"/>
    <mergeCell ref="F40:I40"/>
    <mergeCell ref="B25:H25"/>
  </mergeCells>
  <hyperlinks>
    <hyperlink ref="B25" r:id="rId1"/>
  </hyperlinks>
  <pageMargins left="0.7" right="0.7" top="0.75" bottom="0.75" header="0.3" footer="0.3"/>
  <pageSetup orientation="portrait"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'Climate Zones'!E$3:E$49</xm:f>
          </x14:formula1>
          <xm:sqref>F40:I40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6" tint="-0.499984740745262"/>
    <pageSetUpPr fitToPage="1"/>
  </sheetPr>
  <dimension ref="B1:U357"/>
  <sheetViews>
    <sheetView showGridLines="0" topLeftCell="A205" zoomScaleNormal="100" workbookViewId="0"/>
  </sheetViews>
  <sheetFormatPr defaultColWidth="9.109375" defaultRowHeight="14.4" x14ac:dyDescent="0.3"/>
  <cols>
    <col min="1" max="1" width="2.33203125" style="135" customWidth="1"/>
    <col min="2" max="2" width="2.6640625" style="135" customWidth="1"/>
    <col min="3" max="3" width="27.6640625" style="141" hidden="1" customWidth="1"/>
    <col min="4" max="4" width="22.44140625" style="135" customWidth="1"/>
    <col min="5" max="5" width="13.5546875" style="135" customWidth="1"/>
    <col min="6" max="6" width="12.6640625" style="135" customWidth="1"/>
    <col min="7" max="7" width="22.33203125" style="135" bestFit="1" customWidth="1"/>
    <col min="8" max="11" width="9.109375" style="135"/>
    <col min="12" max="13" width="12.33203125" style="135" customWidth="1"/>
    <col min="14" max="14" width="55.5546875" style="296" customWidth="1"/>
    <col min="15" max="16384" width="9.109375" style="135"/>
  </cols>
  <sheetData>
    <row r="1" spans="2:14" s="141" customFormat="1" ht="15" x14ac:dyDescent="0.25">
      <c r="B1" s="144" t="s">
        <v>274</v>
      </c>
      <c r="N1" s="294"/>
    </row>
    <row r="2" spans="2:14" ht="15" x14ac:dyDescent="0.25">
      <c r="B2" s="295" t="s">
        <v>791</v>
      </c>
      <c r="D2" s="295"/>
      <c r="E2" s="295"/>
      <c r="F2" s="295"/>
      <c r="G2" s="295"/>
      <c r="H2" s="295"/>
      <c r="I2" s="295"/>
      <c r="J2" s="295"/>
      <c r="K2" s="295"/>
      <c r="L2" s="295"/>
      <c r="M2" s="295"/>
    </row>
    <row r="3" spans="2:14" x14ac:dyDescent="0.3">
      <c r="B3" s="290" t="s">
        <v>555</v>
      </c>
      <c r="D3" s="295" t="s">
        <v>792</v>
      </c>
      <c r="E3" s="297"/>
      <c r="F3" s="295"/>
      <c r="G3" s="295"/>
      <c r="H3" s="295"/>
      <c r="I3" s="295"/>
      <c r="J3" s="295"/>
      <c r="K3" s="295"/>
      <c r="L3" s="295"/>
      <c r="M3" s="295"/>
    </row>
    <row r="4" spans="2:14" x14ac:dyDescent="0.3">
      <c r="B4" s="290" t="s">
        <v>555</v>
      </c>
      <c r="D4" s="295" t="s">
        <v>694</v>
      </c>
      <c r="E4" s="297"/>
      <c r="F4" s="295"/>
      <c r="G4" s="295"/>
      <c r="H4" s="295"/>
      <c r="I4" s="295"/>
      <c r="J4" s="295"/>
      <c r="K4" s="295"/>
      <c r="L4" s="295"/>
      <c r="M4" s="295"/>
    </row>
    <row r="5" spans="2:14" x14ac:dyDescent="0.3">
      <c r="B5" s="290" t="s">
        <v>555</v>
      </c>
      <c r="D5" s="295" t="s">
        <v>373</v>
      </c>
      <c r="E5" s="295"/>
      <c r="F5" s="295"/>
      <c r="G5" s="295"/>
      <c r="H5" s="295"/>
      <c r="I5" s="295"/>
      <c r="J5" s="295"/>
      <c r="K5" s="295"/>
      <c r="L5" s="295"/>
      <c r="M5" s="295"/>
    </row>
    <row r="6" spans="2:14" ht="30" customHeight="1" x14ac:dyDescent="0.3">
      <c r="B6" s="290" t="s">
        <v>555</v>
      </c>
      <c r="D6" s="1416" t="s">
        <v>695</v>
      </c>
      <c r="E6" s="1416"/>
      <c r="F6" s="1416"/>
      <c r="G6" s="1416"/>
      <c r="H6" s="1416"/>
      <c r="I6" s="1416"/>
      <c r="J6" s="1416"/>
      <c r="K6" s="1416"/>
      <c r="L6" s="1416"/>
      <c r="M6" s="1416"/>
    </row>
    <row r="7" spans="2:14" ht="15.75" thickBot="1" x14ac:dyDescent="0.3">
      <c r="B7" s="298"/>
      <c r="J7" s="139" t="s">
        <v>266</v>
      </c>
    </row>
    <row r="8" spans="2:14" ht="15.75" thickBot="1" x14ac:dyDescent="0.3">
      <c r="E8" s="299" t="s">
        <v>374</v>
      </c>
      <c r="F8" s="300">
        <v>500</v>
      </c>
      <c r="G8" s="299" t="s">
        <v>265</v>
      </c>
      <c r="H8" s="301">
        <v>1E-3</v>
      </c>
      <c r="J8" s="300">
        <v>4</v>
      </c>
      <c r="K8" s="135" t="s">
        <v>240</v>
      </c>
    </row>
    <row r="9" spans="2:14" ht="15.75" thickBot="1" x14ac:dyDescent="0.3">
      <c r="E9" s="299" t="s">
        <v>677</v>
      </c>
      <c r="F9" s="302">
        <v>3</v>
      </c>
      <c r="G9" s="299" t="s">
        <v>244</v>
      </c>
      <c r="H9" s="302">
        <v>10</v>
      </c>
      <c r="J9" s="302">
        <v>10</v>
      </c>
      <c r="K9" s="135" t="s">
        <v>241</v>
      </c>
    </row>
    <row r="11" spans="2:14" x14ac:dyDescent="0.3">
      <c r="B11" s="290" t="s">
        <v>555</v>
      </c>
      <c r="D11" s="295" t="s">
        <v>632</v>
      </c>
      <c r="E11" s="295"/>
      <c r="F11" s="295"/>
      <c r="G11" s="295"/>
      <c r="H11" s="295"/>
      <c r="I11" s="295"/>
      <c r="J11" s="295"/>
      <c r="K11" s="295"/>
      <c r="L11" s="295"/>
      <c r="M11" s="295"/>
    </row>
    <row r="12" spans="2:14" ht="15" customHeight="1" x14ac:dyDescent="0.25">
      <c r="B12" s="290"/>
      <c r="C12" s="358"/>
      <c r="D12" s="295"/>
      <c r="E12" s="295"/>
      <c r="F12" s="295"/>
      <c r="G12" s="295"/>
      <c r="H12" s="295"/>
      <c r="I12" s="295"/>
      <c r="J12" s="295"/>
      <c r="K12" s="295"/>
      <c r="L12" s="295"/>
      <c r="M12" s="295"/>
    </row>
    <row r="13" spans="2:14" ht="15" x14ac:dyDescent="0.25">
      <c r="B13" s="290"/>
      <c r="C13" s="358"/>
      <c r="D13" s="303" t="s">
        <v>253</v>
      </c>
      <c r="E13" s="295"/>
      <c r="F13" s="295"/>
      <c r="G13" s="295"/>
      <c r="H13" s="295"/>
      <c r="I13" s="295"/>
      <c r="J13" s="295"/>
      <c r="K13" s="295"/>
      <c r="L13" s="295"/>
      <c r="M13" s="295"/>
    </row>
    <row r="14" spans="2:14" ht="15" x14ac:dyDescent="0.25">
      <c r="B14" s="290"/>
      <c r="C14" s="358"/>
      <c r="D14" s="295" t="s">
        <v>676</v>
      </c>
      <c r="E14" s="295"/>
      <c r="F14" s="295"/>
      <c r="G14" s="295"/>
      <c r="H14" s="295"/>
      <c r="I14" s="295"/>
      <c r="J14" s="295"/>
      <c r="K14" s="295"/>
      <c r="L14" s="295"/>
      <c r="M14" s="295"/>
    </row>
    <row r="15" spans="2:14" ht="15" x14ac:dyDescent="0.25">
      <c r="B15" s="290"/>
      <c r="C15" s="358"/>
      <c r="D15" s="295"/>
      <c r="E15" s="295"/>
      <c r="F15" s="295"/>
      <c r="G15" s="295"/>
      <c r="H15" s="295"/>
      <c r="I15" s="295"/>
      <c r="J15" s="295"/>
      <c r="K15" s="295"/>
      <c r="L15" s="295"/>
      <c r="M15" s="295"/>
    </row>
    <row r="16" spans="2:14" ht="15" x14ac:dyDescent="0.25">
      <c r="B16" s="290"/>
      <c r="C16" s="358"/>
      <c r="D16" s="295" t="s">
        <v>267</v>
      </c>
      <c r="E16" s="295"/>
      <c r="F16" s="295"/>
      <c r="G16" s="295"/>
      <c r="H16" s="295"/>
      <c r="I16" s="295"/>
      <c r="J16" s="295"/>
      <c r="K16" s="295"/>
      <c r="L16" s="295"/>
      <c r="M16" s="295"/>
    </row>
    <row r="17" spans="2:17" x14ac:dyDescent="0.3">
      <c r="B17" s="290"/>
      <c r="C17" s="358"/>
      <c r="D17" s="295" t="s">
        <v>254</v>
      </c>
      <c r="E17" s="295"/>
      <c r="F17" s="295"/>
      <c r="G17" s="295"/>
      <c r="H17" s="295"/>
      <c r="I17" s="295"/>
      <c r="J17" s="295"/>
      <c r="K17" s="295"/>
      <c r="L17" s="295"/>
      <c r="M17" s="295"/>
    </row>
    <row r="18" spans="2:17" x14ac:dyDescent="0.3">
      <c r="B18" s="290"/>
      <c r="C18" s="358"/>
      <c r="D18" s="295" t="s">
        <v>255</v>
      </c>
      <c r="E18" s="295"/>
      <c r="F18" s="295"/>
      <c r="G18" s="295"/>
      <c r="H18" s="295"/>
      <c r="I18" s="295"/>
      <c r="J18" s="295"/>
      <c r="K18" s="295"/>
      <c r="L18" s="295"/>
      <c r="M18" s="295"/>
    </row>
    <row r="19" spans="2:17" x14ac:dyDescent="0.3">
      <c r="B19" s="290"/>
      <c r="C19" s="359" t="s">
        <v>291</v>
      </c>
      <c r="D19" s="295" t="s">
        <v>256</v>
      </c>
      <c r="E19" s="295"/>
      <c r="F19" s="295"/>
      <c r="G19" s="295"/>
      <c r="H19" s="295"/>
      <c r="I19" s="295"/>
      <c r="J19" s="295"/>
      <c r="K19" s="295"/>
      <c r="L19" s="295"/>
      <c r="M19" s="295"/>
    </row>
    <row r="20" spans="2:17" s="141" customFormat="1" x14ac:dyDescent="0.3">
      <c r="B20" s="1309"/>
      <c r="C20" s="358"/>
      <c r="N20" s="294"/>
    </row>
    <row r="21" spans="2:17" ht="15" thickBot="1" x14ac:dyDescent="0.35">
      <c r="C21" s="360"/>
      <c r="D21" s="1270" t="s">
        <v>1031</v>
      </c>
      <c r="E21" s="295"/>
      <c r="F21" s="295"/>
      <c r="G21" s="295"/>
    </row>
    <row r="22" spans="2:17" ht="43.8" thickBot="1" x14ac:dyDescent="0.35">
      <c r="C22" s="361" t="s">
        <v>104</v>
      </c>
      <c r="D22" s="304" t="s">
        <v>104</v>
      </c>
      <c r="E22" s="305" t="s">
        <v>40</v>
      </c>
      <c r="F22" s="305" t="s">
        <v>0</v>
      </c>
      <c r="G22" s="306"/>
      <c r="H22" s="1414" t="s">
        <v>240</v>
      </c>
      <c r="I22" s="1415"/>
      <c r="J22" s="1414" t="s">
        <v>241</v>
      </c>
      <c r="K22" s="1415"/>
      <c r="L22" s="813" t="s">
        <v>669</v>
      </c>
      <c r="M22" s="307" t="s">
        <v>252</v>
      </c>
      <c r="O22" s="137"/>
      <c r="P22" s="137"/>
      <c r="Q22" s="137"/>
    </row>
    <row r="23" spans="2:17" x14ac:dyDescent="0.3">
      <c r="C23" s="362" t="s">
        <v>84</v>
      </c>
      <c r="D23" s="308" t="str">
        <f>VLOOKUP(C23,'Airport Mapping'!$C$5:$D$39,2,FALSE)</f>
        <v xml:space="preserve"> </v>
      </c>
      <c r="E23" s="309"/>
      <c r="F23" s="309"/>
      <c r="G23" s="310" t="s">
        <v>242</v>
      </c>
      <c r="H23" s="311">
        <f>E28</f>
        <v>0</v>
      </c>
      <c r="I23" s="312" t="s">
        <v>678</v>
      </c>
      <c r="J23" s="311">
        <f>E28</f>
        <v>0</v>
      </c>
      <c r="K23" s="313" t="s">
        <v>678</v>
      </c>
      <c r="L23" s="314"/>
      <c r="M23" s="315"/>
      <c r="O23" s="137"/>
      <c r="P23" s="137"/>
      <c r="Q23" s="137"/>
    </row>
    <row r="24" spans="2:17" x14ac:dyDescent="0.3">
      <c r="C24" s="360" t="s">
        <v>84</v>
      </c>
      <c r="D24" s="316"/>
      <c r="E24" s="137"/>
      <c r="F24" s="137"/>
      <c r="G24" s="317"/>
      <c r="H24" s="318"/>
      <c r="I24" s="319"/>
      <c r="J24" s="318"/>
      <c r="K24" s="320"/>
      <c r="L24" s="321"/>
      <c r="M24" s="322"/>
      <c r="O24" s="137"/>
      <c r="P24" s="137"/>
      <c r="Q24" s="137"/>
    </row>
    <row r="25" spans="2:17" s="288" customFormat="1" x14ac:dyDescent="0.3">
      <c r="C25" s="363" t="s">
        <v>84</v>
      </c>
      <c r="D25" s="351" t="s">
        <v>365</v>
      </c>
      <c r="E25" s="1310">
        <f>SUMIFS('Airport Statistics'!G:G,'Airport Statistics'!D:D,C25,'Airport Statistics'!F:F,D25)</f>
        <v>0</v>
      </c>
      <c r="F25" s="211"/>
      <c r="G25" s="345" t="s">
        <v>250</v>
      </c>
      <c r="H25" s="346">
        <f>$H$8</f>
        <v>1E-3</v>
      </c>
      <c r="I25" s="347" t="s">
        <v>188</v>
      </c>
      <c r="J25" s="346">
        <f>$H$8</f>
        <v>1E-3</v>
      </c>
      <c r="K25" s="348" t="s">
        <v>188</v>
      </c>
      <c r="L25" s="349"/>
      <c r="M25" s="350"/>
    </row>
    <row r="26" spans="2:17" x14ac:dyDescent="0.3">
      <c r="C26" s="360" t="s">
        <v>84</v>
      </c>
      <c r="D26" s="1306" t="s">
        <v>374</v>
      </c>
      <c r="E26" s="1308">
        <f>$F$8</f>
        <v>500</v>
      </c>
      <c r="F26" s="137"/>
      <c r="G26" s="324" t="s">
        <v>249</v>
      </c>
      <c r="H26" s="325">
        <f>H25*H23*1440</f>
        <v>0</v>
      </c>
      <c r="I26" s="326" t="s">
        <v>113</v>
      </c>
      <c r="J26" s="325">
        <f>J25*J23*1440</f>
        <v>0</v>
      </c>
      <c r="K26" s="327" t="s">
        <v>113</v>
      </c>
      <c r="L26" s="328">
        <f>H26-J26</f>
        <v>0</v>
      </c>
      <c r="M26" s="329" t="str">
        <f>IFERROR(L26/H26,"-")</f>
        <v>-</v>
      </c>
    </row>
    <row r="27" spans="2:17" x14ac:dyDescent="0.3">
      <c r="C27" s="360" t="s">
        <v>84</v>
      </c>
      <c r="D27" s="1307" t="s">
        <v>677</v>
      </c>
      <c r="E27" s="1308">
        <f>$F$9</f>
        <v>3</v>
      </c>
      <c r="F27" s="137"/>
      <c r="G27" s="324"/>
      <c r="H27" s="321"/>
      <c r="I27" s="326"/>
      <c r="J27" s="321"/>
      <c r="K27" s="327"/>
      <c r="L27" s="330"/>
      <c r="M27" s="331"/>
    </row>
    <row r="28" spans="2:17" s="288" customFormat="1" x14ac:dyDescent="0.3">
      <c r="C28" s="363" t="s">
        <v>84</v>
      </c>
      <c r="D28" s="323" t="s">
        <v>375</v>
      </c>
      <c r="E28" s="1311">
        <f>E25/E26*E27</f>
        <v>0</v>
      </c>
      <c r="F28" s="211"/>
      <c r="G28" s="345" t="s">
        <v>244</v>
      </c>
      <c r="H28" s="353">
        <f>$H$9</f>
        <v>10</v>
      </c>
      <c r="I28" s="354" t="s">
        <v>245</v>
      </c>
      <c r="J28" s="353">
        <f>$H$9</f>
        <v>10</v>
      </c>
      <c r="K28" s="355" t="s">
        <v>245</v>
      </c>
      <c r="L28" s="356"/>
      <c r="M28" s="357"/>
      <c r="N28" s="178"/>
    </row>
    <row r="29" spans="2:17" x14ac:dyDescent="0.3">
      <c r="C29" s="360" t="s">
        <v>84</v>
      </c>
      <c r="D29" s="316"/>
      <c r="E29" s="137"/>
      <c r="F29" s="137"/>
      <c r="G29" s="324" t="s">
        <v>243</v>
      </c>
      <c r="H29" s="325">
        <f>H23*8.34*1440*H28/1000/8.34</f>
        <v>0</v>
      </c>
      <c r="I29" s="326" t="s">
        <v>113</v>
      </c>
      <c r="J29" s="325">
        <f>J23*8.34*1440*J28/1000/8.34</f>
        <v>0</v>
      </c>
      <c r="K29" s="327" t="s">
        <v>113</v>
      </c>
      <c r="L29" s="328">
        <f>H29-J29</f>
        <v>0</v>
      </c>
      <c r="M29" s="329" t="str">
        <f>IFERROR(L29/H29,"-")</f>
        <v>-</v>
      </c>
    </row>
    <row r="30" spans="2:17" x14ac:dyDescent="0.3">
      <c r="C30" s="360" t="s">
        <v>84</v>
      </c>
      <c r="D30" s="316"/>
      <c r="E30" s="137"/>
      <c r="F30" s="137"/>
      <c r="G30" s="324"/>
      <c r="H30" s="321"/>
      <c r="I30" s="326"/>
      <c r="J30" s="321"/>
      <c r="K30" s="327"/>
      <c r="L30" s="330"/>
      <c r="M30" s="331"/>
    </row>
    <row r="31" spans="2:17" s="288" customFormat="1" x14ac:dyDescent="0.3">
      <c r="C31" s="363" t="s">
        <v>84</v>
      </c>
      <c r="D31" s="352"/>
      <c r="E31" s="211"/>
      <c r="F31" s="211"/>
      <c r="G31" s="345" t="s">
        <v>246</v>
      </c>
      <c r="H31" s="353">
        <f>$J$8</f>
        <v>4</v>
      </c>
      <c r="I31" s="354" t="s">
        <v>251</v>
      </c>
      <c r="J31" s="353">
        <f>$J$9</f>
        <v>10</v>
      </c>
      <c r="K31" s="355" t="s">
        <v>251</v>
      </c>
      <c r="L31" s="356"/>
      <c r="M31" s="357"/>
      <c r="N31" s="178"/>
    </row>
    <row r="32" spans="2:17" x14ac:dyDescent="0.3">
      <c r="C32" s="360" t="s">
        <v>84</v>
      </c>
      <c r="D32" s="316"/>
      <c r="E32" s="137"/>
      <c r="F32" s="137"/>
      <c r="G32" s="332" t="s">
        <v>247</v>
      </c>
      <c r="H32" s="333">
        <f>(H26*(H31-1)-H29)/(1-H31)</f>
        <v>0</v>
      </c>
      <c r="I32" s="334" t="s">
        <v>113</v>
      </c>
      <c r="J32" s="333">
        <f>(J26*(J31-1)-J29)/(1-J31)</f>
        <v>0</v>
      </c>
      <c r="K32" s="335" t="s">
        <v>113</v>
      </c>
      <c r="L32" s="336">
        <f>H32-J32</f>
        <v>0</v>
      </c>
      <c r="M32" s="329" t="str">
        <f>IFERROR(L32/H32,"-")</f>
        <v>-</v>
      </c>
    </row>
    <row r="33" spans="3:21" ht="15" thickBot="1" x14ac:dyDescent="0.35">
      <c r="C33" s="360" t="s">
        <v>84</v>
      </c>
      <c r="D33" s="337"/>
      <c r="E33" s="338" t="s">
        <v>43</v>
      </c>
      <c r="F33" s="338" t="s">
        <v>7</v>
      </c>
      <c r="G33" s="339" t="s">
        <v>248</v>
      </c>
      <c r="H33" s="340">
        <f>H26+H29+H32</f>
        <v>0</v>
      </c>
      <c r="I33" s="341" t="s">
        <v>113</v>
      </c>
      <c r="J33" s="340">
        <f>J26+J29+J32</f>
        <v>0</v>
      </c>
      <c r="K33" s="341" t="s">
        <v>113</v>
      </c>
      <c r="L33" s="342">
        <f>H33-J33</f>
        <v>0</v>
      </c>
      <c r="M33" s="343" t="str">
        <f>IFERROR(L33/H33,"-")</f>
        <v>-</v>
      </c>
    </row>
    <row r="34" spans="3:21" ht="15" thickBot="1" x14ac:dyDescent="0.35">
      <c r="C34" s="360"/>
      <c r="S34" s="344"/>
      <c r="T34" s="344"/>
      <c r="U34" s="344"/>
    </row>
    <row r="35" spans="3:21" x14ac:dyDescent="0.3">
      <c r="C35" s="362" t="s">
        <v>85</v>
      </c>
      <c r="D35" s="308" t="str">
        <f>VLOOKUP(C35,'Airport Mapping'!$C$5:$D$39,2,FALSE)</f>
        <v xml:space="preserve"> </v>
      </c>
      <c r="E35" s="309"/>
      <c r="F35" s="309"/>
      <c r="G35" s="310" t="s">
        <v>242</v>
      </c>
      <c r="H35" s="311">
        <f>E40</f>
        <v>0</v>
      </c>
      <c r="I35" s="312" t="s">
        <v>678</v>
      </c>
      <c r="J35" s="311">
        <f>E40</f>
        <v>0</v>
      </c>
      <c r="K35" s="313" t="s">
        <v>678</v>
      </c>
      <c r="L35" s="314"/>
      <c r="M35" s="315"/>
      <c r="S35" s="344"/>
      <c r="T35" s="344"/>
      <c r="U35" s="344"/>
    </row>
    <row r="36" spans="3:21" x14ac:dyDescent="0.3">
      <c r="C36" s="360" t="s">
        <v>85</v>
      </c>
      <c r="D36" s="316"/>
      <c r="E36" s="137"/>
      <c r="F36" s="137"/>
      <c r="G36" s="317"/>
      <c r="H36" s="318"/>
      <c r="I36" s="319"/>
      <c r="J36" s="318"/>
      <c r="K36" s="320"/>
      <c r="L36" s="321"/>
      <c r="M36" s="322"/>
      <c r="S36" s="344"/>
      <c r="T36" s="344"/>
      <c r="U36" s="344"/>
    </row>
    <row r="37" spans="3:21" x14ac:dyDescent="0.3">
      <c r="C37" s="360" t="s">
        <v>85</v>
      </c>
      <c r="D37" s="351" t="s">
        <v>365</v>
      </c>
      <c r="E37" s="1310">
        <f>SUMIFS('Airport Statistics'!G:G,'Airport Statistics'!D:D,C37,'Airport Statistics'!F:F,D37)</f>
        <v>0</v>
      </c>
      <c r="F37" s="211"/>
      <c r="G37" s="345" t="s">
        <v>250</v>
      </c>
      <c r="H37" s="346">
        <f>$H$8</f>
        <v>1E-3</v>
      </c>
      <c r="I37" s="347" t="s">
        <v>188</v>
      </c>
      <c r="J37" s="346">
        <f>$H$8</f>
        <v>1E-3</v>
      </c>
      <c r="K37" s="348" t="s">
        <v>188</v>
      </c>
      <c r="L37" s="349"/>
      <c r="M37" s="350"/>
      <c r="N37" s="178"/>
      <c r="S37" s="344"/>
      <c r="T37" s="344"/>
      <c r="U37" s="344"/>
    </row>
    <row r="38" spans="3:21" x14ac:dyDescent="0.3">
      <c r="C38" s="360" t="s">
        <v>85</v>
      </c>
      <c r="D38" s="1306" t="s">
        <v>374</v>
      </c>
      <c r="E38" s="1308">
        <f>$F$8</f>
        <v>500</v>
      </c>
      <c r="F38" s="137"/>
      <c r="G38" s="324" t="s">
        <v>249</v>
      </c>
      <c r="H38" s="325">
        <f>H37*H35*1440</f>
        <v>0</v>
      </c>
      <c r="I38" s="326" t="s">
        <v>113</v>
      </c>
      <c r="J38" s="325">
        <f>J37*J35*1440</f>
        <v>0</v>
      </c>
      <c r="K38" s="327" t="s">
        <v>113</v>
      </c>
      <c r="L38" s="328">
        <f>H38-J38</f>
        <v>0</v>
      </c>
      <c r="M38" s="329" t="str">
        <f>IFERROR(L38/H38,"-")</f>
        <v>-</v>
      </c>
      <c r="S38" s="344"/>
      <c r="T38" s="344"/>
      <c r="U38" s="344"/>
    </row>
    <row r="39" spans="3:21" x14ac:dyDescent="0.3">
      <c r="C39" s="360" t="s">
        <v>85</v>
      </c>
      <c r="D39" s="1307" t="s">
        <v>677</v>
      </c>
      <c r="E39" s="1308">
        <f>$F$9</f>
        <v>3</v>
      </c>
      <c r="F39" s="137"/>
      <c r="G39" s="324"/>
      <c r="H39" s="321"/>
      <c r="I39" s="326"/>
      <c r="J39" s="321"/>
      <c r="K39" s="327"/>
      <c r="L39" s="330"/>
      <c r="M39" s="331"/>
    </row>
    <row r="40" spans="3:21" x14ac:dyDescent="0.3">
      <c r="C40" s="360" t="s">
        <v>85</v>
      </c>
      <c r="D40" s="323" t="s">
        <v>375</v>
      </c>
      <c r="E40" s="1311">
        <f>E37/E38*E39</f>
        <v>0</v>
      </c>
      <c r="F40" s="211"/>
      <c r="G40" s="345" t="s">
        <v>244</v>
      </c>
      <c r="H40" s="353">
        <f>$H$9</f>
        <v>10</v>
      </c>
      <c r="I40" s="354" t="s">
        <v>245</v>
      </c>
      <c r="J40" s="353">
        <f>$H$9</f>
        <v>10</v>
      </c>
      <c r="K40" s="355" t="s">
        <v>245</v>
      </c>
      <c r="L40" s="356"/>
      <c r="M40" s="357"/>
      <c r="N40" s="178"/>
    </row>
    <row r="41" spans="3:21" x14ac:dyDescent="0.3">
      <c r="C41" s="360" t="s">
        <v>85</v>
      </c>
      <c r="D41" s="316"/>
      <c r="E41" s="137"/>
      <c r="F41" s="137"/>
      <c r="G41" s="324" t="s">
        <v>243</v>
      </c>
      <c r="H41" s="325">
        <f>H35*8.34*1440*H40/1000/8.34</f>
        <v>0</v>
      </c>
      <c r="I41" s="326" t="s">
        <v>113</v>
      </c>
      <c r="J41" s="325">
        <f>J35*8.34*1440*J40/1000/8.34</f>
        <v>0</v>
      </c>
      <c r="K41" s="327" t="s">
        <v>113</v>
      </c>
      <c r="L41" s="328">
        <f>H41-J41</f>
        <v>0</v>
      </c>
      <c r="M41" s="329" t="str">
        <f>IFERROR(L41/H41,"-")</f>
        <v>-</v>
      </c>
    </row>
    <row r="42" spans="3:21" x14ac:dyDescent="0.3">
      <c r="C42" s="360" t="s">
        <v>85</v>
      </c>
      <c r="D42" s="316"/>
      <c r="E42" s="137"/>
      <c r="F42" s="137"/>
      <c r="G42" s="324"/>
      <c r="H42" s="321"/>
      <c r="I42" s="326"/>
      <c r="J42" s="321"/>
      <c r="K42" s="327"/>
      <c r="L42" s="330"/>
      <c r="M42" s="331"/>
    </row>
    <row r="43" spans="3:21" x14ac:dyDescent="0.3">
      <c r="C43" s="360" t="s">
        <v>85</v>
      </c>
      <c r="D43" s="352"/>
      <c r="E43" s="211"/>
      <c r="F43" s="211"/>
      <c r="G43" s="345" t="s">
        <v>246</v>
      </c>
      <c r="H43" s="353">
        <f>$J$8</f>
        <v>4</v>
      </c>
      <c r="I43" s="354" t="s">
        <v>251</v>
      </c>
      <c r="J43" s="353">
        <f>$J$9</f>
        <v>10</v>
      </c>
      <c r="K43" s="355" t="s">
        <v>251</v>
      </c>
      <c r="L43" s="356"/>
      <c r="M43" s="357"/>
      <c r="N43" s="178"/>
    </row>
    <row r="44" spans="3:21" x14ac:dyDescent="0.3">
      <c r="C44" s="360" t="s">
        <v>85</v>
      </c>
      <c r="D44" s="316"/>
      <c r="E44" s="137"/>
      <c r="F44" s="137"/>
      <c r="G44" s="332" t="s">
        <v>247</v>
      </c>
      <c r="H44" s="333">
        <f>(H38*(H43-1)-H41)/(1-H43)</f>
        <v>0</v>
      </c>
      <c r="I44" s="334" t="s">
        <v>113</v>
      </c>
      <c r="J44" s="333">
        <f>(J38*(J43-1)-J41)/(1-J43)</f>
        <v>0</v>
      </c>
      <c r="K44" s="335" t="s">
        <v>113</v>
      </c>
      <c r="L44" s="336">
        <f>H44-J44</f>
        <v>0</v>
      </c>
      <c r="M44" s="329" t="str">
        <f>IFERROR(L44/H44,"-")</f>
        <v>-</v>
      </c>
    </row>
    <row r="45" spans="3:21" ht="15" thickBot="1" x14ac:dyDescent="0.35">
      <c r="C45" s="360" t="s">
        <v>85</v>
      </c>
      <c r="D45" s="337"/>
      <c r="E45" s="338" t="s">
        <v>43</v>
      </c>
      <c r="F45" s="338" t="s">
        <v>7</v>
      </c>
      <c r="G45" s="339" t="s">
        <v>248</v>
      </c>
      <c r="H45" s="340">
        <f>H38+H41+H44</f>
        <v>0</v>
      </c>
      <c r="I45" s="341" t="s">
        <v>113</v>
      </c>
      <c r="J45" s="340">
        <f>J38+J41+J44</f>
        <v>0</v>
      </c>
      <c r="K45" s="341" t="s">
        <v>113</v>
      </c>
      <c r="L45" s="342">
        <f>H45-J45</f>
        <v>0</v>
      </c>
      <c r="M45" s="343" t="str">
        <f>IFERROR(L45/H45,"-")</f>
        <v>-</v>
      </c>
    </row>
    <row r="46" spans="3:21" ht="15" thickBot="1" x14ac:dyDescent="0.35">
      <c r="C46" s="360"/>
    </row>
    <row r="47" spans="3:21" x14ac:dyDescent="0.3">
      <c r="C47" s="362" t="s">
        <v>86</v>
      </c>
      <c r="D47" s="308" t="str">
        <f>VLOOKUP(C47,'Airport Mapping'!$C$5:$D$39,2,FALSE)</f>
        <v xml:space="preserve"> </v>
      </c>
      <c r="E47" s="309"/>
      <c r="F47" s="309"/>
      <c r="G47" s="310" t="s">
        <v>242</v>
      </c>
      <c r="H47" s="311">
        <f>E52</f>
        <v>0</v>
      </c>
      <c r="I47" s="312" t="s">
        <v>678</v>
      </c>
      <c r="J47" s="311">
        <f>E52</f>
        <v>0</v>
      </c>
      <c r="K47" s="313" t="s">
        <v>678</v>
      </c>
      <c r="L47" s="314"/>
      <c r="M47" s="315"/>
    </row>
    <row r="48" spans="3:21" x14ac:dyDescent="0.3">
      <c r="C48" s="360" t="s">
        <v>86</v>
      </c>
      <c r="D48" s="316"/>
      <c r="E48" s="137"/>
      <c r="F48" s="137"/>
      <c r="G48" s="317"/>
      <c r="H48" s="318"/>
      <c r="I48" s="319"/>
      <c r="J48" s="318"/>
      <c r="K48" s="320"/>
      <c r="L48" s="321"/>
      <c r="M48" s="322"/>
    </row>
    <row r="49" spans="3:14" x14ac:dyDescent="0.3">
      <c r="C49" s="360" t="s">
        <v>86</v>
      </c>
      <c r="D49" s="351" t="s">
        <v>365</v>
      </c>
      <c r="E49" s="1310">
        <f>SUMIFS('Airport Statistics'!G:G,'Airport Statistics'!D:D,C49,'Airport Statistics'!F:F,D49)</f>
        <v>0</v>
      </c>
      <c r="F49" s="211"/>
      <c r="G49" s="345" t="s">
        <v>250</v>
      </c>
      <c r="H49" s="346">
        <f>$H$8</f>
        <v>1E-3</v>
      </c>
      <c r="I49" s="347" t="s">
        <v>188</v>
      </c>
      <c r="J49" s="346">
        <f>$H$8</f>
        <v>1E-3</v>
      </c>
      <c r="K49" s="348" t="s">
        <v>188</v>
      </c>
      <c r="L49" s="349"/>
      <c r="M49" s="350"/>
      <c r="N49" s="178"/>
    </row>
    <row r="50" spans="3:14" x14ac:dyDescent="0.3">
      <c r="C50" s="360" t="s">
        <v>86</v>
      </c>
      <c r="D50" s="1306" t="s">
        <v>374</v>
      </c>
      <c r="E50" s="1308">
        <f>$F$8</f>
        <v>500</v>
      </c>
      <c r="F50" s="137"/>
      <c r="G50" s="324" t="s">
        <v>249</v>
      </c>
      <c r="H50" s="325">
        <f>H49*H47*1440</f>
        <v>0</v>
      </c>
      <c r="I50" s="326" t="s">
        <v>113</v>
      </c>
      <c r="J50" s="325">
        <f>J49*J47*1440</f>
        <v>0</v>
      </c>
      <c r="K50" s="327" t="s">
        <v>113</v>
      </c>
      <c r="L50" s="328">
        <f>H50-J50</f>
        <v>0</v>
      </c>
      <c r="M50" s="329" t="str">
        <f>IFERROR(L50/H50,"-")</f>
        <v>-</v>
      </c>
    </row>
    <row r="51" spans="3:14" x14ac:dyDescent="0.3">
      <c r="C51" s="360" t="s">
        <v>86</v>
      </c>
      <c r="D51" s="1307" t="s">
        <v>677</v>
      </c>
      <c r="E51" s="1308">
        <f>$F$9</f>
        <v>3</v>
      </c>
      <c r="F51" s="137"/>
      <c r="G51" s="324"/>
      <c r="H51" s="321"/>
      <c r="I51" s="326"/>
      <c r="J51" s="321"/>
      <c r="K51" s="327"/>
      <c r="L51" s="330"/>
      <c r="M51" s="331"/>
    </row>
    <row r="52" spans="3:14" x14ac:dyDescent="0.3">
      <c r="C52" s="360" t="s">
        <v>86</v>
      </c>
      <c r="D52" s="323" t="s">
        <v>375</v>
      </c>
      <c r="E52" s="1311">
        <f>E49/E50*E51</f>
        <v>0</v>
      </c>
      <c r="F52" s="211"/>
      <c r="G52" s="345" t="s">
        <v>244</v>
      </c>
      <c r="H52" s="353">
        <f>$H$9</f>
        <v>10</v>
      </c>
      <c r="I52" s="354" t="s">
        <v>245</v>
      </c>
      <c r="J52" s="353">
        <f>$H$9</f>
        <v>10</v>
      </c>
      <c r="K52" s="355" t="s">
        <v>245</v>
      </c>
      <c r="L52" s="356"/>
      <c r="M52" s="357"/>
      <c r="N52" s="178"/>
    </row>
    <row r="53" spans="3:14" x14ac:dyDescent="0.3">
      <c r="C53" s="360" t="s">
        <v>86</v>
      </c>
      <c r="D53" s="316"/>
      <c r="E53" s="137"/>
      <c r="F53" s="137"/>
      <c r="G53" s="324" t="s">
        <v>243</v>
      </c>
      <c r="H53" s="325">
        <f>H47*8.34*1440*H52/1000/8.34</f>
        <v>0</v>
      </c>
      <c r="I53" s="326" t="s">
        <v>113</v>
      </c>
      <c r="J53" s="325">
        <f>J47*8.34*1440*J52/1000/8.34</f>
        <v>0</v>
      </c>
      <c r="K53" s="327" t="s">
        <v>113</v>
      </c>
      <c r="L53" s="328">
        <f>H53-J53</f>
        <v>0</v>
      </c>
      <c r="M53" s="329" t="str">
        <f>IFERROR(L53/H53,"-")</f>
        <v>-</v>
      </c>
    </row>
    <row r="54" spans="3:14" x14ac:dyDescent="0.3">
      <c r="C54" s="360" t="s">
        <v>86</v>
      </c>
      <c r="D54" s="316"/>
      <c r="E54" s="137"/>
      <c r="F54" s="137"/>
      <c r="G54" s="324"/>
      <c r="H54" s="321"/>
      <c r="I54" s="326"/>
      <c r="J54" s="321"/>
      <c r="K54" s="327"/>
      <c r="L54" s="330"/>
      <c r="M54" s="331"/>
    </row>
    <row r="55" spans="3:14" x14ac:dyDescent="0.3">
      <c r="C55" s="360" t="s">
        <v>86</v>
      </c>
      <c r="D55" s="352"/>
      <c r="E55" s="211"/>
      <c r="F55" s="211"/>
      <c r="G55" s="345" t="s">
        <v>246</v>
      </c>
      <c r="H55" s="353">
        <f>$J$8</f>
        <v>4</v>
      </c>
      <c r="I55" s="354" t="s">
        <v>251</v>
      </c>
      <c r="J55" s="353">
        <f>$J$9</f>
        <v>10</v>
      </c>
      <c r="K55" s="355" t="s">
        <v>251</v>
      </c>
      <c r="L55" s="356"/>
      <c r="M55" s="357"/>
      <c r="N55" s="178"/>
    </row>
    <row r="56" spans="3:14" x14ac:dyDescent="0.3">
      <c r="C56" s="360" t="s">
        <v>86</v>
      </c>
      <c r="D56" s="316"/>
      <c r="E56" s="137"/>
      <c r="F56" s="137"/>
      <c r="G56" s="332" t="s">
        <v>247</v>
      </c>
      <c r="H56" s="333">
        <f>(H50*(H55-1)-H53)/(1-H55)</f>
        <v>0</v>
      </c>
      <c r="I56" s="334" t="s">
        <v>113</v>
      </c>
      <c r="J56" s="333">
        <f>(J50*(J55-1)-J53)/(1-J55)</f>
        <v>0</v>
      </c>
      <c r="K56" s="335" t="s">
        <v>113</v>
      </c>
      <c r="L56" s="336">
        <f>H56-J56</f>
        <v>0</v>
      </c>
      <c r="M56" s="329" t="str">
        <f>IFERROR(L56/H56,"-")</f>
        <v>-</v>
      </c>
    </row>
    <row r="57" spans="3:14" ht="15" thickBot="1" x14ac:dyDescent="0.35">
      <c r="C57" s="360" t="s">
        <v>86</v>
      </c>
      <c r="D57" s="337"/>
      <c r="E57" s="338" t="s">
        <v>43</v>
      </c>
      <c r="F57" s="338" t="s">
        <v>7</v>
      </c>
      <c r="G57" s="339" t="s">
        <v>248</v>
      </c>
      <c r="H57" s="340">
        <f>H50+H53+H56</f>
        <v>0</v>
      </c>
      <c r="I57" s="341" t="s">
        <v>113</v>
      </c>
      <c r="J57" s="340">
        <f>J50+J53+J56</f>
        <v>0</v>
      </c>
      <c r="K57" s="341" t="s">
        <v>113</v>
      </c>
      <c r="L57" s="342">
        <f>H57-J57</f>
        <v>0</v>
      </c>
      <c r="M57" s="343" t="str">
        <f>IFERROR(L57/H57,"-")</f>
        <v>-</v>
      </c>
    </row>
    <row r="58" spans="3:14" ht="15" thickBot="1" x14ac:dyDescent="0.35">
      <c r="C58" s="360"/>
    </row>
    <row r="59" spans="3:14" x14ac:dyDescent="0.3">
      <c r="C59" s="362" t="s">
        <v>87</v>
      </c>
      <c r="D59" s="308" t="str">
        <f>VLOOKUP(C59,'Airport Mapping'!$C$5:$D$39,2,FALSE)</f>
        <v xml:space="preserve"> </v>
      </c>
      <c r="E59" s="309"/>
      <c r="F59" s="309"/>
      <c r="G59" s="310" t="s">
        <v>242</v>
      </c>
      <c r="H59" s="311">
        <f>E64</f>
        <v>0</v>
      </c>
      <c r="I59" s="312" t="s">
        <v>678</v>
      </c>
      <c r="J59" s="311">
        <f>E64</f>
        <v>0</v>
      </c>
      <c r="K59" s="313" t="s">
        <v>678</v>
      </c>
      <c r="L59" s="314"/>
      <c r="M59" s="315"/>
    </row>
    <row r="60" spans="3:14" x14ac:dyDescent="0.3">
      <c r="C60" s="360" t="s">
        <v>87</v>
      </c>
      <c r="D60" s="316"/>
      <c r="E60" s="137"/>
      <c r="F60" s="137"/>
      <c r="G60" s="317"/>
      <c r="H60" s="318"/>
      <c r="I60" s="319"/>
      <c r="J60" s="318"/>
      <c r="K60" s="320"/>
      <c r="L60" s="321"/>
      <c r="M60" s="322"/>
    </row>
    <row r="61" spans="3:14" x14ac:dyDescent="0.3">
      <c r="C61" s="360" t="s">
        <v>87</v>
      </c>
      <c r="D61" s="351" t="s">
        <v>365</v>
      </c>
      <c r="E61" s="1310">
        <f>SUMIFS('Airport Statistics'!G:G,'Airport Statistics'!D:D,C61,'Airport Statistics'!F:F,D61)</f>
        <v>0</v>
      </c>
      <c r="F61" s="211"/>
      <c r="G61" s="345" t="s">
        <v>250</v>
      </c>
      <c r="H61" s="346">
        <f>$H$8</f>
        <v>1E-3</v>
      </c>
      <c r="I61" s="347" t="s">
        <v>188</v>
      </c>
      <c r="J61" s="346">
        <f>$H$8</f>
        <v>1E-3</v>
      </c>
      <c r="K61" s="348" t="s">
        <v>188</v>
      </c>
      <c r="L61" s="349"/>
      <c r="M61" s="350"/>
      <c r="N61" s="178"/>
    </row>
    <row r="62" spans="3:14" x14ac:dyDescent="0.3">
      <c r="C62" s="360" t="s">
        <v>87</v>
      </c>
      <c r="D62" s="1306" t="s">
        <v>374</v>
      </c>
      <c r="E62" s="1308">
        <f>$F$8</f>
        <v>500</v>
      </c>
      <c r="F62" s="137"/>
      <c r="G62" s="324" t="s">
        <v>249</v>
      </c>
      <c r="H62" s="325">
        <f>H61*H59*1440</f>
        <v>0</v>
      </c>
      <c r="I62" s="326" t="s">
        <v>113</v>
      </c>
      <c r="J62" s="325">
        <f>J61*J59*1440</f>
        <v>0</v>
      </c>
      <c r="K62" s="327" t="s">
        <v>113</v>
      </c>
      <c r="L62" s="328">
        <f>H62-J62</f>
        <v>0</v>
      </c>
      <c r="M62" s="329" t="str">
        <f>IFERROR(L62/H62,"-")</f>
        <v>-</v>
      </c>
    </row>
    <row r="63" spans="3:14" x14ac:dyDescent="0.3">
      <c r="C63" s="360" t="s">
        <v>87</v>
      </c>
      <c r="D63" s="1307" t="s">
        <v>677</v>
      </c>
      <c r="E63" s="1308">
        <f>$F$9</f>
        <v>3</v>
      </c>
      <c r="F63" s="137"/>
      <c r="G63" s="324"/>
      <c r="H63" s="321"/>
      <c r="I63" s="326"/>
      <c r="J63" s="321"/>
      <c r="K63" s="327"/>
      <c r="L63" s="330"/>
      <c r="M63" s="331"/>
    </row>
    <row r="64" spans="3:14" x14ac:dyDescent="0.3">
      <c r="C64" s="360" t="s">
        <v>87</v>
      </c>
      <c r="D64" s="323" t="s">
        <v>375</v>
      </c>
      <c r="E64" s="1311">
        <f>E61/E62*E63</f>
        <v>0</v>
      </c>
      <c r="F64" s="211"/>
      <c r="G64" s="345" t="s">
        <v>244</v>
      </c>
      <c r="H64" s="353">
        <f>$H$9</f>
        <v>10</v>
      </c>
      <c r="I64" s="354" t="s">
        <v>245</v>
      </c>
      <c r="J64" s="353">
        <f>$H$9</f>
        <v>10</v>
      </c>
      <c r="K64" s="355" t="s">
        <v>245</v>
      </c>
      <c r="L64" s="356"/>
      <c r="M64" s="357"/>
      <c r="N64" s="178"/>
    </row>
    <row r="65" spans="3:14" x14ac:dyDescent="0.3">
      <c r="C65" s="360" t="s">
        <v>87</v>
      </c>
      <c r="D65" s="316"/>
      <c r="E65" s="137"/>
      <c r="F65" s="137"/>
      <c r="G65" s="324" t="s">
        <v>243</v>
      </c>
      <c r="H65" s="325">
        <f>H59*8.34*1440*H64/1000/8.34</f>
        <v>0</v>
      </c>
      <c r="I65" s="326" t="s">
        <v>113</v>
      </c>
      <c r="J65" s="325">
        <f>J59*8.34*1440*J64/1000/8.34</f>
        <v>0</v>
      </c>
      <c r="K65" s="327" t="s">
        <v>113</v>
      </c>
      <c r="L65" s="328">
        <f>H65-J65</f>
        <v>0</v>
      </c>
      <c r="M65" s="329" t="str">
        <f>IFERROR(L65/H65,"-")</f>
        <v>-</v>
      </c>
    </row>
    <row r="66" spans="3:14" x14ac:dyDescent="0.3">
      <c r="C66" s="360" t="s">
        <v>87</v>
      </c>
      <c r="D66" s="316"/>
      <c r="E66" s="137"/>
      <c r="F66" s="137"/>
      <c r="G66" s="324"/>
      <c r="H66" s="321"/>
      <c r="I66" s="326"/>
      <c r="J66" s="321"/>
      <c r="K66" s="327"/>
      <c r="L66" s="330"/>
      <c r="M66" s="331"/>
    </row>
    <row r="67" spans="3:14" x14ac:dyDescent="0.3">
      <c r="C67" s="360" t="s">
        <v>87</v>
      </c>
      <c r="D67" s="352"/>
      <c r="E67" s="211"/>
      <c r="F67" s="211"/>
      <c r="G67" s="345" t="s">
        <v>246</v>
      </c>
      <c r="H67" s="353">
        <f>$J$8</f>
        <v>4</v>
      </c>
      <c r="I67" s="354" t="s">
        <v>251</v>
      </c>
      <c r="J67" s="353">
        <f>$J$9</f>
        <v>10</v>
      </c>
      <c r="K67" s="355" t="s">
        <v>251</v>
      </c>
      <c r="L67" s="356"/>
      <c r="M67" s="357"/>
      <c r="N67" s="178"/>
    </row>
    <row r="68" spans="3:14" x14ac:dyDescent="0.3">
      <c r="C68" s="360" t="s">
        <v>87</v>
      </c>
      <c r="D68" s="316"/>
      <c r="E68" s="137"/>
      <c r="F68" s="137"/>
      <c r="G68" s="332" t="s">
        <v>247</v>
      </c>
      <c r="H68" s="333">
        <f>(H62*(H67-1)-H65)/(1-H67)</f>
        <v>0</v>
      </c>
      <c r="I68" s="334" t="s">
        <v>113</v>
      </c>
      <c r="J68" s="333">
        <f>(J62*(J67-1)-J65)/(1-J67)</f>
        <v>0</v>
      </c>
      <c r="K68" s="335" t="s">
        <v>113</v>
      </c>
      <c r="L68" s="336">
        <f>H68-J68</f>
        <v>0</v>
      </c>
      <c r="M68" s="329" t="str">
        <f>IFERROR(L68/H68,"-")</f>
        <v>-</v>
      </c>
    </row>
    <row r="69" spans="3:14" ht="15" thickBot="1" x14ac:dyDescent="0.35">
      <c r="C69" s="360" t="s">
        <v>87</v>
      </c>
      <c r="D69" s="337"/>
      <c r="E69" s="338" t="s">
        <v>43</v>
      </c>
      <c r="F69" s="338" t="s">
        <v>7</v>
      </c>
      <c r="G69" s="339" t="s">
        <v>248</v>
      </c>
      <c r="H69" s="340">
        <f>H62+H65+H68</f>
        <v>0</v>
      </c>
      <c r="I69" s="341" t="s">
        <v>113</v>
      </c>
      <c r="J69" s="340">
        <f>J62+J65+J68</f>
        <v>0</v>
      </c>
      <c r="K69" s="341" t="s">
        <v>113</v>
      </c>
      <c r="L69" s="342">
        <f>H69-J69</f>
        <v>0</v>
      </c>
      <c r="M69" s="343" t="str">
        <f>IFERROR(L69/H69,"-")</f>
        <v>-</v>
      </c>
    </row>
    <row r="70" spans="3:14" ht="15" thickBot="1" x14ac:dyDescent="0.35">
      <c r="C70" s="360"/>
    </row>
    <row r="71" spans="3:14" x14ac:dyDescent="0.3">
      <c r="C71" s="362" t="s">
        <v>88</v>
      </c>
      <c r="D71" s="308" t="str">
        <f>VLOOKUP(C71,'Airport Mapping'!$C$5:$D$39,2,FALSE)</f>
        <v xml:space="preserve"> </v>
      </c>
      <c r="E71" s="309"/>
      <c r="F71" s="309"/>
      <c r="G71" s="310" t="s">
        <v>242</v>
      </c>
      <c r="H71" s="311">
        <f>E76</f>
        <v>0</v>
      </c>
      <c r="I71" s="312" t="s">
        <v>678</v>
      </c>
      <c r="J71" s="311">
        <f>E76</f>
        <v>0</v>
      </c>
      <c r="K71" s="313" t="s">
        <v>678</v>
      </c>
      <c r="L71" s="314"/>
      <c r="M71" s="315"/>
    </row>
    <row r="72" spans="3:14" x14ac:dyDescent="0.3">
      <c r="C72" s="360" t="s">
        <v>88</v>
      </c>
      <c r="D72" s="316"/>
      <c r="E72" s="137"/>
      <c r="F72" s="137"/>
      <c r="G72" s="317"/>
      <c r="H72" s="318"/>
      <c r="I72" s="319"/>
      <c r="J72" s="318"/>
      <c r="K72" s="320"/>
      <c r="L72" s="321"/>
      <c r="M72" s="322"/>
    </row>
    <row r="73" spans="3:14" x14ac:dyDescent="0.3">
      <c r="C73" s="360" t="s">
        <v>88</v>
      </c>
      <c r="D73" s="351" t="s">
        <v>365</v>
      </c>
      <c r="E73" s="1310">
        <f>SUMIFS('Airport Statistics'!G:G,'Airport Statistics'!D:D,C73,'Airport Statistics'!F:F,D73)</f>
        <v>0</v>
      </c>
      <c r="F73" s="211"/>
      <c r="G73" s="345" t="s">
        <v>250</v>
      </c>
      <c r="H73" s="346">
        <f>$H$8</f>
        <v>1E-3</v>
      </c>
      <c r="I73" s="347" t="s">
        <v>188</v>
      </c>
      <c r="J73" s="346">
        <f>$H$8</f>
        <v>1E-3</v>
      </c>
      <c r="K73" s="348" t="s">
        <v>188</v>
      </c>
      <c r="L73" s="349"/>
      <c r="M73" s="350"/>
      <c r="N73" s="178"/>
    </row>
    <row r="74" spans="3:14" x14ac:dyDescent="0.3">
      <c r="C74" s="360" t="s">
        <v>88</v>
      </c>
      <c r="D74" s="1306" t="s">
        <v>374</v>
      </c>
      <c r="E74" s="1308">
        <f>$F$8</f>
        <v>500</v>
      </c>
      <c r="F74" s="137"/>
      <c r="G74" s="324" t="s">
        <v>249</v>
      </c>
      <c r="H74" s="325">
        <f>H73*H71*1440</f>
        <v>0</v>
      </c>
      <c r="I74" s="326" t="s">
        <v>113</v>
      </c>
      <c r="J74" s="325">
        <f>J73*J71*1440</f>
        <v>0</v>
      </c>
      <c r="K74" s="327" t="s">
        <v>113</v>
      </c>
      <c r="L74" s="328">
        <f>H74-J74</f>
        <v>0</v>
      </c>
      <c r="M74" s="329" t="str">
        <f>IFERROR(L74/H74,"-")</f>
        <v>-</v>
      </c>
    </row>
    <row r="75" spans="3:14" x14ac:dyDescent="0.3">
      <c r="C75" s="360" t="s">
        <v>88</v>
      </c>
      <c r="D75" s="1307" t="s">
        <v>677</v>
      </c>
      <c r="E75" s="1308">
        <f>$F$9</f>
        <v>3</v>
      </c>
      <c r="F75" s="137"/>
      <c r="G75" s="324"/>
      <c r="H75" s="321"/>
      <c r="I75" s="326"/>
      <c r="J75" s="321"/>
      <c r="K75" s="327"/>
      <c r="L75" s="330"/>
      <c r="M75" s="331"/>
    </row>
    <row r="76" spans="3:14" x14ac:dyDescent="0.3">
      <c r="C76" s="360" t="s">
        <v>88</v>
      </c>
      <c r="D76" s="323" t="s">
        <v>375</v>
      </c>
      <c r="E76" s="1311">
        <f>E73/E74*E75</f>
        <v>0</v>
      </c>
      <c r="F76" s="211"/>
      <c r="G76" s="345" t="s">
        <v>244</v>
      </c>
      <c r="H76" s="353">
        <f>$H$9</f>
        <v>10</v>
      </c>
      <c r="I76" s="354" t="s">
        <v>245</v>
      </c>
      <c r="J76" s="353">
        <f>$H$9</f>
        <v>10</v>
      </c>
      <c r="K76" s="355" t="s">
        <v>245</v>
      </c>
      <c r="L76" s="356"/>
      <c r="M76" s="357"/>
      <c r="N76" s="178"/>
    </row>
    <row r="77" spans="3:14" x14ac:dyDescent="0.3">
      <c r="C77" s="360" t="s">
        <v>88</v>
      </c>
      <c r="D77" s="316"/>
      <c r="E77" s="137"/>
      <c r="F77" s="137"/>
      <c r="G77" s="324" t="s">
        <v>243</v>
      </c>
      <c r="H77" s="325">
        <f>H71*8.34*1440*H76/1000/8.34</f>
        <v>0</v>
      </c>
      <c r="I77" s="326" t="s">
        <v>113</v>
      </c>
      <c r="J77" s="325">
        <f>J71*8.34*1440*J76/1000/8.34</f>
        <v>0</v>
      </c>
      <c r="K77" s="327" t="s">
        <v>113</v>
      </c>
      <c r="L77" s="328">
        <f>H77-J77</f>
        <v>0</v>
      </c>
      <c r="M77" s="329" t="str">
        <f>IFERROR(L77/H77,"-")</f>
        <v>-</v>
      </c>
    </row>
    <row r="78" spans="3:14" x14ac:dyDescent="0.3">
      <c r="C78" s="360" t="s">
        <v>88</v>
      </c>
      <c r="D78" s="316"/>
      <c r="E78" s="137"/>
      <c r="F78" s="137"/>
      <c r="G78" s="324"/>
      <c r="H78" s="321"/>
      <c r="I78" s="326"/>
      <c r="J78" s="321"/>
      <c r="K78" s="327"/>
      <c r="L78" s="330"/>
      <c r="M78" s="331"/>
    </row>
    <row r="79" spans="3:14" x14ac:dyDescent="0.3">
      <c r="C79" s="360" t="s">
        <v>88</v>
      </c>
      <c r="D79" s="352"/>
      <c r="E79" s="211"/>
      <c r="F79" s="211"/>
      <c r="G79" s="345" t="s">
        <v>246</v>
      </c>
      <c r="H79" s="353">
        <f>$J$8</f>
        <v>4</v>
      </c>
      <c r="I79" s="354" t="s">
        <v>251</v>
      </c>
      <c r="J79" s="353">
        <f>$J$9</f>
        <v>10</v>
      </c>
      <c r="K79" s="355" t="s">
        <v>251</v>
      </c>
      <c r="L79" s="356"/>
      <c r="M79" s="357"/>
      <c r="N79" s="178"/>
    </row>
    <row r="80" spans="3:14" x14ac:dyDescent="0.3">
      <c r="C80" s="360" t="s">
        <v>88</v>
      </c>
      <c r="D80" s="316"/>
      <c r="E80" s="137"/>
      <c r="F80" s="137"/>
      <c r="G80" s="332" t="s">
        <v>247</v>
      </c>
      <c r="H80" s="333">
        <f>(H74*(H79-1)-H77)/(1-H79)</f>
        <v>0</v>
      </c>
      <c r="I80" s="334" t="s">
        <v>113</v>
      </c>
      <c r="J80" s="333">
        <f>(J74*(J79-1)-J77)/(1-J79)</f>
        <v>0</v>
      </c>
      <c r="K80" s="335" t="s">
        <v>113</v>
      </c>
      <c r="L80" s="336">
        <f>H80-J80</f>
        <v>0</v>
      </c>
      <c r="M80" s="329" t="str">
        <f>IFERROR(L80/H80,"-")</f>
        <v>-</v>
      </c>
    </row>
    <row r="81" spans="3:14" ht="15" thickBot="1" x14ac:dyDescent="0.35">
      <c r="C81" s="360" t="s">
        <v>88</v>
      </c>
      <c r="D81" s="337"/>
      <c r="E81" s="338" t="s">
        <v>43</v>
      </c>
      <c r="F81" s="338" t="s">
        <v>7</v>
      </c>
      <c r="G81" s="339" t="s">
        <v>248</v>
      </c>
      <c r="H81" s="340">
        <f>H74+H77+H80</f>
        <v>0</v>
      </c>
      <c r="I81" s="341" t="s">
        <v>113</v>
      </c>
      <c r="J81" s="340">
        <f>J74+J77+J80</f>
        <v>0</v>
      </c>
      <c r="K81" s="341" t="s">
        <v>113</v>
      </c>
      <c r="L81" s="342">
        <f>H81-J81</f>
        <v>0</v>
      </c>
      <c r="M81" s="343" t="str">
        <f>IFERROR(L81/H81,"-")</f>
        <v>-</v>
      </c>
    </row>
    <row r="82" spans="3:14" ht="15" thickBot="1" x14ac:dyDescent="0.35">
      <c r="C82" s="360"/>
    </row>
    <row r="83" spans="3:14" x14ac:dyDescent="0.3">
      <c r="C83" s="362" t="s">
        <v>383</v>
      </c>
      <c r="D83" s="308" t="str">
        <f>VLOOKUP(C83,'Airport Mapping'!$C$5:$D$39,2,FALSE)</f>
        <v xml:space="preserve"> </v>
      </c>
      <c r="E83" s="309"/>
      <c r="F83" s="309"/>
      <c r="G83" s="310" t="s">
        <v>242</v>
      </c>
      <c r="H83" s="311">
        <f>E88</f>
        <v>0</v>
      </c>
      <c r="I83" s="312" t="s">
        <v>678</v>
      </c>
      <c r="J83" s="311">
        <f>E88</f>
        <v>0</v>
      </c>
      <c r="K83" s="313" t="s">
        <v>678</v>
      </c>
      <c r="L83" s="314"/>
      <c r="M83" s="315"/>
    </row>
    <row r="84" spans="3:14" x14ac:dyDescent="0.3">
      <c r="C84" s="360" t="s">
        <v>383</v>
      </c>
      <c r="D84" s="316"/>
      <c r="E84" s="137"/>
      <c r="F84" s="137"/>
      <c r="G84" s="317"/>
      <c r="H84" s="318"/>
      <c r="I84" s="319"/>
      <c r="J84" s="318"/>
      <c r="K84" s="320"/>
      <c r="L84" s="321"/>
      <c r="M84" s="322"/>
    </row>
    <row r="85" spans="3:14" x14ac:dyDescent="0.3">
      <c r="C85" s="360" t="s">
        <v>383</v>
      </c>
      <c r="D85" s="351" t="s">
        <v>365</v>
      </c>
      <c r="E85" s="1310">
        <f>SUMIFS('Airport Statistics'!G:G,'Airport Statistics'!D:D,C85,'Airport Statistics'!F:F,D85)</f>
        <v>0</v>
      </c>
      <c r="F85" s="211"/>
      <c r="G85" s="345" t="s">
        <v>250</v>
      </c>
      <c r="H85" s="346">
        <f>$H$8</f>
        <v>1E-3</v>
      </c>
      <c r="I85" s="347" t="s">
        <v>188</v>
      </c>
      <c r="J85" s="346">
        <f>$H$8</f>
        <v>1E-3</v>
      </c>
      <c r="K85" s="348" t="s">
        <v>188</v>
      </c>
      <c r="L85" s="349"/>
      <c r="M85" s="350"/>
      <c r="N85" s="178"/>
    </row>
    <row r="86" spans="3:14" x14ac:dyDescent="0.3">
      <c r="C86" s="360" t="s">
        <v>383</v>
      </c>
      <c r="D86" s="1306" t="s">
        <v>374</v>
      </c>
      <c r="E86" s="1308">
        <f>$F$8</f>
        <v>500</v>
      </c>
      <c r="F86" s="137"/>
      <c r="G86" s="324" t="s">
        <v>249</v>
      </c>
      <c r="H86" s="325">
        <f>H85*H83*1440</f>
        <v>0</v>
      </c>
      <c r="I86" s="326" t="s">
        <v>113</v>
      </c>
      <c r="J86" s="325">
        <f>J85*J83*1440</f>
        <v>0</v>
      </c>
      <c r="K86" s="327" t="s">
        <v>113</v>
      </c>
      <c r="L86" s="328">
        <f>H86-J86</f>
        <v>0</v>
      </c>
      <c r="M86" s="329" t="str">
        <f>IFERROR(L86/H86,"-")</f>
        <v>-</v>
      </c>
    </row>
    <row r="87" spans="3:14" x14ac:dyDescent="0.3">
      <c r="C87" s="360" t="s">
        <v>383</v>
      </c>
      <c r="D87" s="1307" t="s">
        <v>677</v>
      </c>
      <c r="E87" s="1308">
        <f>$F$9</f>
        <v>3</v>
      </c>
      <c r="F87" s="137"/>
      <c r="G87" s="324"/>
      <c r="H87" s="321"/>
      <c r="I87" s="326"/>
      <c r="J87" s="321"/>
      <c r="K87" s="327"/>
      <c r="L87" s="330"/>
      <c r="M87" s="331"/>
    </row>
    <row r="88" spans="3:14" x14ac:dyDescent="0.3">
      <c r="C88" s="360" t="s">
        <v>383</v>
      </c>
      <c r="D88" s="323" t="s">
        <v>375</v>
      </c>
      <c r="E88" s="1311">
        <f>E85/E86*E87</f>
        <v>0</v>
      </c>
      <c r="F88" s="211"/>
      <c r="G88" s="345" t="s">
        <v>244</v>
      </c>
      <c r="H88" s="353">
        <f>$H$9</f>
        <v>10</v>
      </c>
      <c r="I88" s="354" t="s">
        <v>245</v>
      </c>
      <c r="J88" s="353">
        <f>$H$9</f>
        <v>10</v>
      </c>
      <c r="K88" s="355" t="s">
        <v>245</v>
      </c>
      <c r="L88" s="356"/>
      <c r="M88" s="357"/>
      <c r="N88" s="178"/>
    </row>
    <row r="89" spans="3:14" x14ac:dyDescent="0.3">
      <c r="C89" s="360" t="s">
        <v>383</v>
      </c>
      <c r="D89" s="316"/>
      <c r="E89" s="137"/>
      <c r="F89" s="137"/>
      <c r="G89" s="324" t="s">
        <v>243</v>
      </c>
      <c r="H89" s="325">
        <f>H83*8.34*1440*H88/1000/8.34</f>
        <v>0</v>
      </c>
      <c r="I89" s="326" t="s">
        <v>113</v>
      </c>
      <c r="J89" s="325">
        <f>J83*8.34*1440*J88/1000/8.34</f>
        <v>0</v>
      </c>
      <c r="K89" s="327" t="s">
        <v>113</v>
      </c>
      <c r="L89" s="328">
        <f>H89-J89</f>
        <v>0</v>
      </c>
      <c r="M89" s="329" t="str">
        <f>IFERROR(L89/H89,"-")</f>
        <v>-</v>
      </c>
    </row>
    <row r="90" spans="3:14" x14ac:dyDescent="0.3">
      <c r="C90" s="360" t="s">
        <v>383</v>
      </c>
      <c r="D90" s="316"/>
      <c r="E90" s="137"/>
      <c r="F90" s="137"/>
      <c r="G90" s="324"/>
      <c r="H90" s="321"/>
      <c r="I90" s="326"/>
      <c r="J90" s="321"/>
      <c r="K90" s="327"/>
      <c r="L90" s="330"/>
      <c r="M90" s="331"/>
    </row>
    <row r="91" spans="3:14" x14ac:dyDescent="0.3">
      <c r="C91" s="360" t="s">
        <v>383</v>
      </c>
      <c r="D91" s="352"/>
      <c r="E91" s="211"/>
      <c r="F91" s="211"/>
      <c r="G91" s="345" t="s">
        <v>246</v>
      </c>
      <c r="H91" s="353">
        <f>$J$8</f>
        <v>4</v>
      </c>
      <c r="I91" s="354" t="s">
        <v>251</v>
      </c>
      <c r="J91" s="353">
        <f>$J$9</f>
        <v>10</v>
      </c>
      <c r="K91" s="355" t="s">
        <v>251</v>
      </c>
      <c r="L91" s="356"/>
      <c r="M91" s="357"/>
      <c r="N91" s="178"/>
    </row>
    <row r="92" spans="3:14" x14ac:dyDescent="0.3">
      <c r="C92" s="360" t="s">
        <v>383</v>
      </c>
      <c r="D92" s="316"/>
      <c r="E92" s="137"/>
      <c r="F92" s="137"/>
      <c r="G92" s="332" t="s">
        <v>247</v>
      </c>
      <c r="H92" s="333">
        <f>(H86*(H91-1)-H89)/(1-H91)</f>
        <v>0</v>
      </c>
      <c r="I92" s="334" t="s">
        <v>113</v>
      </c>
      <c r="J92" s="333">
        <f>(J86*(J91-1)-J89)/(1-J91)</f>
        <v>0</v>
      </c>
      <c r="K92" s="335" t="s">
        <v>113</v>
      </c>
      <c r="L92" s="336">
        <f>H92-J92</f>
        <v>0</v>
      </c>
      <c r="M92" s="329" t="str">
        <f>IFERROR(L92/H92,"-")</f>
        <v>-</v>
      </c>
    </row>
    <row r="93" spans="3:14" ht="15" thickBot="1" x14ac:dyDescent="0.35">
      <c r="C93" s="360" t="s">
        <v>383</v>
      </c>
      <c r="D93" s="337"/>
      <c r="E93" s="338" t="s">
        <v>43</v>
      </c>
      <c r="F93" s="338" t="s">
        <v>7</v>
      </c>
      <c r="G93" s="339" t="s">
        <v>248</v>
      </c>
      <c r="H93" s="340">
        <f>H86+H89+H92</f>
        <v>0</v>
      </c>
      <c r="I93" s="341" t="s">
        <v>113</v>
      </c>
      <c r="J93" s="340">
        <f>J86+J89+J92</f>
        <v>0</v>
      </c>
      <c r="K93" s="341" t="s">
        <v>113</v>
      </c>
      <c r="L93" s="342">
        <f>H93-J93</f>
        <v>0</v>
      </c>
      <c r="M93" s="343" t="str">
        <f>IFERROR(L93/H93,"-")</f>
        <v>-</v>
      </c>
    </row>
    <row r="94" spans="3:14" ht="15" thickBot="1" x14ac:dyDescent="0.35">
      <c r="C94" s="360"/>
    </row>
    <row r="95" spans="3:14" x14ac:dyDescent="0.3">
      <c r="C95" s="362" t="s">
        <v>384</v>
      </c>
      <c r="D95" s="308" t="str">
        <f>VLOOKUP(C95,'Airport Mapping'!$C$5:$D$39,2,FALSE)</f>
        <v xml:space="preserve"> </v>
      </c>
      <c r="E95" s="309"/>
      <c r="F95" s="309"/>
      <c r="G95" s="310" t="s">
        <v>242</v>
      </c>
      <c r="H95" s="311">
        <f>E100</f>
        <v>0</v>
      </c>
      <c r="I95" s="312" t="s">
        <v>678</v>
      </c>
      <c r="J95" s="311">
        <f>E100</f>
        <v>0</v>
      </c>
      <c r="K95" s="313" t="s">
        <v>678</v>
      </c>
      <c r="L95" s="314"/>
      <c r="M95" s="315"/>
    </row>
    <row r="96" spans="3:14" x14ac:dyDescent="0.3">
      <c r="C96" s="360" t="s">
        <v>384</v>
      </c>
      <c r="D96" s="316"/>
      <c r="E96" s="137"/>
      <c r="F96" s="137"/>
      <c r="G96" s="317"/>
      <c r="H96" s="318"/>
      <c r="I96" s="319"/>
      <c r="J96" s="318"/>
      <c r="K96" s="320"/>
      <c r="L96" s="321"/>
      <c r="M96" s="322"/>
    </row>
    <row r="97" spans="3:14" x14ac:dyDescent="0.3">
      <c r="C97" s="360" t="s">
        <v>384</v>
      </c>
      <c r="D97" s="351" t="s">
        <v>365</v>
      </c>
      <c r="E97" s="1310">
        <f>SUMIFS('Airport Statistics'!G:G,'Airport Statistics'!D:D,C97,'Airport Statistics'!F:F,D97)</f>
        <v>0</v>
      </c>
      <c r="F97" s="211"/>
      <c r="G97" s="345" t="s">
        <v>250</v>
      </c>
      <c r="H97" s="346">
        <f>$H$8</f>
        <v>1E-3</v>
      </c>
      <c r="I97" s="347" t="s">
        <v>188</v>
      </c>
      <c r="J97" s="346">
        <f>$H$8</f>
        <v>1E-3</v>
      </c>
      <c r="K97" s="348" t="s">
        <v>188</v>
      </c>
      <c r="L97" s="349"/>
      <c r="M97" s="350"/>
      <c r="N97" s="178"/>
    </row>
    <row r="98" spans="3:14" x14ac:dyDescent="0.3">
      <c r="C98" s="360" t="s">
        <v>384</v>
      </c>
      <c r="D98" s="1306" t="s">
        <v>374</v>
      </c>
      <c r="E98" s="1308">
        <f>$F$8</f>
        <v>500</v>
      </c>
      <c r="F98" s="137"/>
      <c r="G98" s="324" t="s">
        <v>249</v>
      </c>
      <c r="H98" s="325">
        <f>H97*H95*1440</f>
        <v>0</v>
      </c>
      <c r="I98" s="326" t="s">
        <v>113</v>
      </c>
      <c r="J98" s="325">
        <f>J97*J95*1440</f>
        <v>0</v>
      </c>
      <c r="K98" s="327" t="s">
        <v>113</v>
      </c>
      <c r="L98" s="328">
        <f>H98-J98</f>
        <v>0</v>
      </c>
      <c r="M98" s="329" t="str">
        <f>IFERROR(L98/H98,"-")</f>
        <v>-</v>
      </c>
    </row>
    <row r="99" spans="3:14" x14ac:dyDescent="0.3">
      <c r="C99" s="360" t="s">
        <v>384</v>
      </c>
      <c r="D99" s="1307" t="s">
        <v>677</v>
      </c>
      <c r="E99" s="1308">
        <f>$F$9</f>
        <v>3</v>
      </c>
      <c r="F99" s="137"/>
      <c r="G99" s="324"/>
      <c r="H99" s="321"/>
      <c r="I99" s="326"/>
      <c r="J99" s="321"/>
      <c r="K99" s="327"/>
      <c r="L99" s="330"/>
      <c r="M99" s="331"/>
    </row>
    <row r="100" spans="3:14" x14ac:dyDescent="0.3">
      <c r="C100" s="360" t="s">
        <v>384</v>
      </c>
      <c r="D100" s="323" t="s">
        <v>375</v>
      </c>
      <c r="E100" s="1311">
        <f>E97/E98*E99</f>
        <v>0</v>
      </c>
      <c r="F100" s="211"/>
      <c r="G100" s="345" t="s">
        <v>244</v>
      </c>
      <c r="H100" s="353">
        <f>$H$9</f>
        <v>10</v>
      </c>
      <c r="I100" s="354" t="s">
        <v>245</v>
      </c>
      <c r="J100" s="353">
        <f>$H$9</f>
        <v>10</v>
      </c>
      <c r="K100" s="355" t="s">
        <v>245</v>
      </c>
      <c r="L100" s="356"/>
      <c r="M100" s="357"/>
      <c r="N100" s="178"/>
    </row>
    <row r="101" spans="3:14" x14ac:dyDescent="0.3">
      <c r="C101" s="360" t="s">
        <v>384</v>
      </c>
      <c r="D101" s="316"/>
      <c r="E101" s="137"/>
      <c r="F101" s="137"/>
      <c r="G101" s="324" t="s">
        <v>243</v>
      </c>
      <c r="H101" s="325">
        <f>H95*8.34*1440*H100/1000/8.34</f>
        <v>0</v>
      </c>
      <c r="I101" s="326" t="s">
        <v>113</v>
      </c>
      <c r="J101" s="325">
        <f>J95*8.34*1440*J100/1000/8.34</f>
        <v>0</v>
      </c>
      <c r="K101" s="327" t="s">
        <v>113</v>
      </c>
      <c r="L101" s="328">
        <f>H101-J101</f>
        <v>0</v>
      </c>
      <c r="M101" s="329" t="str">
        <f>IFERROR(L101/H101,"-")</f>
        <v>-</v>
      </c>
    </row>
    <row r="102" spans="3:14" x14ac:dyDescent="0.3">
      <c r="C102" s="360" t="s">
        <v>384</v>
      </c>
      <c r="D102" s="316"/>
      <c r="E102" s="137"/>
      <c r="F102" s="137"/>
      <c r="G102" s="324"/>
      <c r="H102" s="321"/>
      <c r="I102" s="326"/>
      <c r="J102" s="321"/>
      <c r="K102" s="327"/>
      <c r="L102" s="330"/>
      <c r="M102" s="331"/>
    </row>
    <row r="103" spans="3:14" x14ac:dyDescent="0.3">
      <c r="C103" s="360" t="s">
        <v>384</v>
      </c>
      <c r="D103" s="352"/>
      <c r="E103" s="211"/>
      <c r="F103" s="211"/>
      <c r="G103" s="345" t="s">
        <v>246</v>
      </c>
      <c r="H103" s="353">
        <f>$J$8</f>
        <v>4</v>
      </c>
      <c r="I103" s="354" t="s">
        <v>251</v>
      </c>
      <c r="J103" s="353">
        <f>$J$9</f>
        <v>10</v>
      </c>
      <c r="K103" s="355" t="s">
        <v>251</v>
      </c>
      <c r="L103" s="356"/>
      <c r="M103" s="357"/>
      <c r="N103" s="178"/>
    </row>
    <row r="104" spans="3:14" x14ac:dyDescent="0.3">
      <c r="C104" s="360" t="s">
        <v>384</v>
      </c>
      <c r="D104" s="316"/>
      <c r="E104" s="137"/>
      <c r="F104" s="137"/>
      <c r="G104" s="332" t="s">
        <v>247</v>
      </c>
      <c r="H104" s="333">
        <f>(H98*(H103-1)-H101)/(1-H103)</f>
        <v>0</v>
      </c>
      <c r="I104" s="334" t="s">
        <v>113</v>
      </c>
      <c r="J104" s="333">
        <f>(J98*(J103-1)-J101)/(1-J103)</f>
        <v>0</v>
      </c>
      <c r="K104" s="335" t="s">
        <v>113</v>
      </c>
      <c r="L104" s="336">
        <f>H104-J104</f>
        <v>0</v>
      </c>
      <c r="M104" s="329" t="str">
        <f>IFERROR(L104/H104,"-")</f>
        <v>-</v>
      </c>
    </row>
    <row r="105" spans="3:14" ht="15" thickBot="1" x14ac:dyDescent="0.35">
      <c r="C105" s="360" t="s">
        <v>384</v>
      </c>
      <c r="D105" s="337"/>
      <c r="E105" s="338" t="s">
        <v>43</v>
      </c>
      <c r="F105" s="338" t="s">
        <v>7</v>
      </c>
      <c r="G105" s="339" t="s">
        <v>248</v>
      </c>
      <c r="H105" s="340">
        <f>H98+H101+H104</f>
        <v>0</v>
      </c>
      <c r="I105" s="341" t="s">
        <v>113</v>
      </c>
      <c r="J105" s="340">
        <f>J98+J101+J104</f>
        <v>0</v>
      </c>
      <c r="K105" s="341" t="s">
        <v>113</v>
      </c>
      <c r="L105" s="342">
        <f>H105-J105</f>
        <v>0</v>
      </c>
      <c r="M105" s="343" t="str">
        <f>IFERROR(L105/H105,"-")</f>
        <v>-</v>
      </c>
    </row>
    <row r="106" spans="3:14" ht="15" thickBot="1" x14ac:dyDescent="0.35">
      <c r="C106" s="360"/>
    </row>
    <row r="107" spans="3:14" x14ac:dyDescent="0.3">
      <c r="C107" s="362" t="s">
        <v>385</v>
      </c>
      <c r="D107" s="308" t="str">
        <f>VLOOKUP(C107,'Airport Mapping'!$C$5:$D$39,2,FALSE)</f>
        <v xml:space="preserve"> </v>
      </c>
      <c r="E107" s="309"/>
      <c r="F107" s="309"/>
      <c r="G107" s="310" t="s">
        <v>242</v>
      </c>
      <c r="H107" s="311">
        <f>E112</f>
        <v>0</v>
      </c>
      <c r="I107" s="312" t="s">
        <v>678</v>
      </c>
      <c r="J107" s="311">
        <f>E112</f>
        <v>0</v>
      </c>
      <c r="K107" s="313" t="s">
        <v>678</v>
      </c>
      <c r="L107" s="314"/>
      <c r="M107" s="315"/>
    </row>
    <row r="108" spans="3:14" x14ac:dyDescent="0.3">
      <c r="C108" s="360" t="s">
        <v>385</v>
      </c>
      <c r="D108" s="316"/>
      <c r="E108" s="137"/>
      <c r="F108" s="137"/>
      <c r="G108" s="317"/>
      <c r="H108" s="318"/>
      <c r="I108" s="319"/>
      <c r="J108" s="318"/>
      <c r="K108" s="320"/>
      <c r="L108" s="321"/>
      <c r="M108" s="322"/>
    </row>
    <row r="109" spans="3:14" x14ac:dyDescent="0.3">
      <c r="C109" s="360" t="s">
        <v>385</v>
      </c>
      <c r="D109" s="351" t="s">
        <v>365</v>
      </c>
      <c r="E109" s="1310">
        <f>SUMIFS('Airport Statistics'!G:G,'Airport Statistics'!D:D,C109,'Airport Statistics'!F:F,D109)</f>
        <v>0</v>
      </c>
      <c r="F109" s="211"/>
      <c r="G109" s="345" t="s">
        <v>250</v>
      </c>
      <c r="H109" s="346">
        <f>$H$8</f>
        <v>1E-3</v>
      </c>
      <c r="I109" s="347" t="s">
        <v>188</v>
      </c>
      <c r="J109" s="346">
        <f>$H$8</f>
        <v>1E-3</v>
      </c>
      <c r="K109" s="348" t="s">
        <v>188</v>
      </c>
      <c r="L109" s="349"/>
      <c r="M109" s="350"/>
      <c r="N109" s="178"/>
    </row>
    <row r="110" spans="3:14" x14ac:dyDescent="0.3">
      <c r="C110" s="360" t="s">
        <v>385</v>
      </c>
      <c r="D110" s="1306" t="s">
        <v>374</v>
      </c>
      <c r="E110" s="1308">
        <f>$F$8</f>
        <v>500</v>
      </c>
      <c r="F110" s="137"/>
      <c r="G110" s="324" t="s">
        <v>249</v>
      </c>
      <c r="H110" s="325">
        <f>H109*H107*1440</f>
        <v>0</v>
      </c>
      <c r="I110" s="326" t="s">
        <v>113</v>
      </c>
      <c r="J110" s="325">
        <f>J109*J107*1440</f>
        <v>0</v>
      </c>
      <c r="K110" s="327" t="s">
        <v>113</v>
      </c>
      <c r="L110" s="328">
        <f>H110-J110</f>
        <v>0</v>
      </c>
      <c r="M110" s="329" t="str">
        <f>IFERROR(L110/H110,"-")</f>
        <v>-</v>
      </c>
    </row>
    <row r="111" spans="3:14" x14ac:dyDescent="0.3">
      <c r="C111" s="360" t="s">
        <v>385</v>
      </c>
      <c r="D111" s="1307" t="s">
        <v>677</v>
      </c>
      <c r="E111" s="1308">
        <f>$F$9</f>
        <v>3</v>
      </c>
      <c r="F111" s="137"/>
      <c r="G111" s="324"/>
      <c r="H111" s="321"/>
      <c r="I111" s="326"/>
      <c r="J111" s="321"/>
      <c r="K111" s="327"/>
      <c r="L111" s="330"/>
      <c r="M111" s="331"/>
    </row>
    <row r="112" spans="3:14" x14ac:dyDescent="0.3">
      <c r="C112" s="360" t="s">
        <v>385</v>
      </c>
      <c r="D112" s="323" t="s">
        <v>375</v>
      </c>
      <c r="E112" s="1311">
        <f>E109/E110*E111</f>
        <v>0</v>
      </c>
      <c r="F112" s="211"/>
      <c r="G112" s="345" t="s">
        <v>244</v>
      </c>
      <c r="H112" s="353">
        <f>$H$9</f>
        <v>10</v>
      </c>
      <c r="I112" s="354" t="s">
        <v>245</v>
      </c>
      <c r="J112" s="353">
        <f>$H$9</f>
        <v>10</v>
      </c>
      <c r="K112" s="355" t="s">
        <v>245</v>
      </c>
      <c r="L112" s="356"/>
      <c r="M112" s="357"/>
      <c r="N112" s="178"/>
    </row>
    <row r="113" spans="3:14" x14ac:dyDescent="0.3">
      <c r="C113" s="360" t="s">
        <v>385</v>
      </c>
      <c r="D113" s="316"/>
      <c r="E113" s="137"/>
      <c r="F113" s="137"/>
      <c r="G113" s="324" t="s">
        <v>243</v>
      </c>
      <c r="H113" s="325">
        <f>H107*8.34*1440*H112/1000/8.34</f>
        <v>0</v>
      </c>
      <c r="I113" s="326" t="s">
        <v>113</v>
      </c>
      <c r="J113" s="325">
        <f>J107*8.34*1440*J112/1000/8.34</f>
        <v>0</v>
      </c>
      <c r="K113" s="327" t="s">
        <v>113</v>
      </c>
      <c r="L113" s="328">
        <f>H113-J113</f>
        <v>0</v>
      </c>
      <c r="M113" s="329" t="str">
        <f>IFERROR(L113/H113,"-")</f>
        <v>-</v>
      </c>
    </row>
    <row r="114" spans="3:14" x14ac:dyDescent="0.3">
      <c r="C114" s="360" t="s">
        <v>385</v>
      </c>
      <c r="D114" s="316"/>
      <c r="E114" s="137"/>
      <c r="F114" s="137"/>
      <c r="G114" s="324"/>
      <c r="H114" s="321"/>
      <c r="I114" s="326"/>
      <c r="J114" s="321"/>
      <c r="K114" s="327"/>
      <c r="L114" s="330"/>
      <c r="M114" s="331"/>
    </row>
    <row r="115" spans="3:14" x14ac:dyDescent="0.3">
      <c r="C115" s="360" t="s">
        <v>385</v>
      </c>
      <c r="D115" s="352"/>
      <c r="E115" s="211"/>
      <c r="F115" s="211"/>
      <c r="G115" s="345" t="s">
        <v>246</v>
      </c>
      <c r="H115" s="353">
        <f>$J$8</f>
        <v>4</v>
      </c>
      <c r="I115" s="354" t="s">
        <v>251</v>
      </c>
      <c r="J115" s="353">
        <f>$J$9</f>
        <v>10</v>
      </c>
      <c r="K115" s="355" t="s">
        <v>251</v>
      </c>
      <c r="L115" s="356"/>
      <c r="M115" s="357"/>
      <c r="N115" s="178"/>
    </row>
    <row r="116" spans="3:14" x14ac:dyDescent="0.3">
      <c r="C116" s="360" t="s">
        <v>385</v>
      </c>
      <c r="D116" s="316"/>
      <c r="E116" s="137"/>
      <c r="F116" s="137"/>
      <c r="G116" s="332" t="s">
        <v>247</v>
      </c>
      <c r="H116" s="333">
        <f>(H110*(H115-1)-H113)/(1-H115)</f>
        <v>0</v>
      </c>
      <c r="I116" s="334" t="s">
        <v>113</v>
      </c>
      <c r="J116" s="333">
        <f>(J110*(J115-1)-J113)/(1-J115)</f>
        <v>0</v>
      </c>
      <c r="K116" s="335" t="s">
        <v>113</v>
      </c>
      <c r="L116" s="336">
        <f>H116-J116</f>
        <v>0</v>
      </c>
      <c r="M116" s="329" t="str">
        <f>IFERROR(L116/H116,"-")</f>
        <v>-</v>
      </c>
    </row>
    <row r="117" spans="3:14" ht="15" thickBot="1" x14ac:dyDescent="0.35">
      <c r="C117" s="360" t="s">
        <v>385</v>
      </c>
      <c r="D117" s="337"/>
      <c r="E117" s="338" t="s">
        <v>43</v>
      </c>
      <c r="F117" s="338" t="s">
        <v>7</v>
      </c>
      <c r="G117" s="339" t="s">
        <v>248</v>
      </c>
      <c r="H117" s="340">
        <f>H110+H113+H116</f>
        <v>0</v>
      </c>
      <c r="I117" s="341" t="s">
        <v>113</v>
      </c>
      <c r="J117" s="340">
        <f>J110+J113+J116</f>
        <v>0</v>
      </c>
      <c r="K117" s="341" t="s">
        <v>113</v>
      </c>
      <c r="L117" s="342">
        <f>H117-J117</f>
        <v>0</v>
      </c>
      <c r="M117" s="343" t="str">
        <f>IFERROR(L117/H117,"-")</f>
        <v>-</v>
      </c>
    </row>
    <row r="118" spans="3:14" ht="15" thickBot="1" x14ac:dyDescent="0.35">
      <c r="C118" s="360"/>
    </row>
    <row r="119" spans="3:14" x14ac:dyDescent="0.3">
      <c r="C119" s="362" t="s">
        <v>386</v>
      </c>
      <c r="D119" s="308" t="str">
        <f>VLOOKUP(C119,'Airport Mapping'!$C$5:$D$39,2,FALSE)</f>
        <v xml:space="preserve"> </v>
      </c>
      <c r="E119" s="309"/>
      <c r="F119" s="309"/>
      <c r="G119" s="310" t="s">
        <v>242</v>
      </c>
      <c r="H119" s="311">
        <f>E124</f>
        <v>0</v>
      </c>
      <c r="I119" s="312" t="s">
        <v>678</v>
      </c>
      <c r="J119" s="311">
        <f>E124</f>
        <v>0</v>
      </c>
      <c r="K119" s="313" t="s">
        <v>678</v>
      </c>
      <c r="L119" s="314"/>
      <c r="M119" s="315"/>
    </row>
    <row r="120" spans="3:14" x14ac:dyDescent="0.3">
      <c r="C120" s="360" t="s">
        <v>386</v>
      </c>
      <c r="D120" s="316"/>
      <c r="E120" s="137"/>
      <c r="F120" s="137"/>
      <c r="G120" s="317"/>
      <c r="H120" s="318"/>
      <c r="I120" s="319"/>
      <c r="J120" s="318"/>
      <c r="K120" s="320"/>
      <c r="L120" s="321"/>
      <c r="M120" s="322"/>
    </row>
    <row r="121" spans="3:14" x14ac:dyDescent="0.3">
      <c r="C121" s="360" t="s">
        <v>386</v>
      </c>
      <c r="D121" s="351" t="s">
        <v>365</v>
      </c>
      <c r="E121" s="1310">
        <f>SUMIFS('Airport Statistics'!G:G,'Airport Statistics'!D:D,C121,'Airport Statistics'!F:F,D121)</f>
        <v>0</v>
      </c>
      <c r="F121" s="211"/>
      <c r="G121" s="345" t="s">
        <v>250</v>
      </c>
      <c r="H121" s="346">
        <f>$H$8</f>
        <v>1E-3</v>
      </c>
      <c r="I121" s="347" t="s">
        <v>188</v>
      </c>
      <c r="J121" s="346">
        <f>$H$8</f>
        <v>1E-3</v>
      </c>
      <c r="K121" s="348" t="s">
        <v>188</v>
      </c>
      <c r="L121" s="349"/>
      <c r="M121" s="350"/>
      <c r="N121" s="178"/>
    </row>
    <row r="122" spans="3:14" x14ac:dyDescent="0.3">
      <c r="C122" s="360" t="s">
        <v>386</v>
      </c>
      <c r="D122" s="1306" t="s">
        <v>374</v>
      </c>
      <c r="E122" s="1308">
        <f>$F$8</f>
        <v>500</v>
      </c>
      <c r="F122" s="137"/>
      <c r="G122" s="324" t="s">
        <v>249</v>
      </c>
      <c r="H122" s="325">
        <f>H121*H119*1440</f>
        <v>0</v>
      </c>
      <c r="I122" s="326" t="s">
        <v>113</v>
      </c>
      <c r="J122" s="325">
        <f>J121*J119*1440</f>
        <v>0</v>
      </c>
      <c r="K122" s="327" t="s">
        <v>113</v>
      </c>
      <c r="L122" s="328">
        <f>H122-J122</f>
        <v>0</v>
      </c>
      <c r="M122" s="329" t="str">
        <f>IFERROR(L122/H122,"-")</f>
        <v>-</v>
      </c>
    </row>
    <row r="123" spans="3:14" x14ac:dyDescent="0.3">
      <c r="C123" s="360" t="s">
        <v>386</v>
      </c>
      <c r="D123" s="1307" t="s">
        <v>677</v>
      </c>
      <c r="E123" s="1308">
        <f>$F$9</f>
        <v>3</v>
      </c>
      <c r="F123" s="137"/>
      <c r="G123" s="324"/>
      <c r="H123" s="321"/>
      <c r="I123" s="326"/>
      <c r="J123" s="321"/>
      <c r="K123" s="327"/>
      <c r="L123" s="330"/>
      <c r="M123" s="331"/>
    </row>
    <row r="124" spans="3:14" x14ac:dyDescent="0.3">
      <c r="C124" s="360" t="s">
        <v>386</v>
      </c>
      <c r="D124" s="323" t="s">
        <v>375</v>
      </c>
      <c r="E124" s="1311">
        <f>E121/E122*E123</f>
        <v>0</v>
      </c>
      <c r="F124" s="211"/>
      <c r="G124" s="345" t="s">
        <v>244</v>
      </c>
      <c r="H124" s="353">
        <f>$H$9</f>
        <v>10</v>
      </c>
      <c r="I124" s="354" t="s">
        <v>245</v>
      </c>
      <c r="J124" s="353">
        <f>$H$9</f>
        <v>10</v>
      </c>
      <c r="K124" s="355" t="s">
        <v>245</v>
      </c>
      <c r="L124" s="356"/>
      <c r="M124" s="357"/>
      <c r="N124" s="178"/>
    </row>
    <row r="125" spans="3:14" x14ac:dyDescent="0.3">
      <c r="C125" s="360" t="s">
        <v>386</v>
      </c>
      <c r="D125" s="316"/>
      <c r="E125" s="137"/>
      <c r="F125" s="137"/>
      <c r="G125" s="324" t="s">
        <v>243</v>
      </c>
      <c r="H125" s="325">
        <f>H119*8.34*1440*H124/1000/8.34</f>
        <v>0</v>
      </c>
      <c r="I125" s="326" t="s">
        <v>113</v>
      </c>
      <c r="J125" s="325">
        <f>J119*8.34*1440*J124/1000/8.34</f>
        <v>0</v>
      </c>
      <c r="K125" s="327" t="s">
        <v>113</v>
      </c>
      <c r="L125" s="328">
        <f>H125-J125</f>
        <v>0</v>
      </c>
      <c r="M125" s="329" t="str">
        <f>IFERROR(L125/H125,"-")</f>
        <v>-</v>
      </c>
    </row>
    <row r="126" spans="3:14" x14ac:dyDescent="0.3">
      <c r="C126" s="360" t="s">
        <v>386</v>
      </c>
      <c r="D126" s="316"/>
      <c r="E126" s="137"/>
      <c r="F126" s="137"/>
      <c r="G126" s="324"/>
      <c r="H126" s="321"/>
      <c r="I126" s="326"/>
      <c r="J126" s="321"/>
      <c r="K126" s="327"/>
      <c r="L126" s="330"/>
      <c r="M126" s="331"/>
    </row>
    <row r="127" spans="3:14" x14ac:dyDescent="0.3">
      <c r="C127" s="360" t="s">
        <v>386</v>
      </c>
      <c r="D127" s="352"/>
      <c r="E127" s="211"/>
      <c r="F127" s="211"/>
      <c r="G127" s="345" t="s">
        <v>246</v>
      </c>
      <c r="H127" s="353">
        <f>$J$8</f>
        <v>4</v>
      </c>
      <c r="I127" s="354" t="s">
        <v>251</v>
      </c>
      <c r="J127" s="353">
        <f>$J$9</f>
        <v>10</v>
      </c>
      <c r="K127" s="355" t="s">
        <v>251</v>
      </c>
      <c r="L127" s="356"/>
      <c r="M127" s="357"/>
      <c r="N127" s="178"/>
    </row>
    <row r="128" spans="3:14" x14ac:dyDescent="0.3">
      <c r="C128" s="360" t="s">
        <v>386</v>
      </c>
      <c r="D128" s="316"/>
      <c r="E128" s="137"/>
      <c r="F128" s="137"/>
      <c r="G128" s="332" t="s">
        <v>247</v>
      </c>
      <c r="H128" s="333">
        <f>(H122*(H127-1)-H125)/(1-H127)</f>
        <v>0</v>
      </c>
      <c r="I128" s="334" t="s">
        <v>113</v>
      </c>
      <c r="J128" s="333">
        <f>(J122*(J127-1)-J125)/(1-J127)</f>
        <v>0</v>
      </c>
      <c r="K128" s="335" t="s">
        <v>113</v>
      </c>
      <c r="L128" s="336">
        <f>H128-J128</f>
        <v>0</v>
      </c>
      <c r="M128" s="329" t="str">
        <f>IFERROR(L128/H128,"-")</f>
        <v>-</v>
      </c>
    </row>
    <row r="129" spans="3:14" ht="15" thickBot="1" x14ac:dyDescent="0.35">
      <c r="C129" s="360" t="s">
        <v>386</v>
      </c>
      <c r="D129" s="337"/>
      <c r="E129" s="338" t="s">
        <v>43</v>
      </c>
      <c r="F129" s="338" t="s">
        <v>7</v>
      </c>
      <c r="G129" s="339" t="s">
        <v>248</v>
      </c>
      <c r="H129" s="340">
        <f>H122+H125+H128</f>
        <v>0</v>
      </c>
      <c r="I129" s="341" t="s">
        <v>113</v>
      </c>
      <c r="J129" s="340">
        <f>J122+J125+J128</f>
        <v>0</v>
      </c>
      <c r="K129" s="341" t="s">
        <v>113</v>
      </c>
      <c r="L129" s="342">
        <f>H129-J129</f>
        <v>0</v>
      </c>
      <c r="M129" s="343" t="str">
        <f>IFERROR(L129/H129,"-")</f>
        <v>-</v>
      </c>
    </row>
    <row r="130" spans="3:14" ht="15" thickBot="1" x14ac:dyDescent="0.35">
      <c r="C130" s="360"/>
    </row>
    <row r="131" spans="3:14" x14ac:dyDescent="0.3">
      <c r="C131" s="362" t="s">
        <v>387</v>
      </c>
      <c r="D131" s="308" t="str">
        <f>VLOOKUP(C131,'Airport Mapping'!$C$5:$D$39,2,FALSE)</f>
        <v xml:space="preserve"> </v>
      </c>
      <c r="E131" s="309"/>
      <c r="F131" s="309"/>
      <c r="G131" s="310" t="s">
        <v>242</v>
      </c>
      <c r="H131" s="311">
        <f>E136</f>
        <v>0</v>
      </c>
      <c r="I131" s="312" t="s">
        <v>678</v>
      </c>
      <c r="J131" s="311">
        <f>E136</f>
        <v>0</v>
      </c>
      <c r="K131" s="313" t="s">
        <v>678</v>
      </c>
      <c r="L131" s="314"/>
      <c r="M131" s="315"/>
    </row>
    <row r="132" spans="3:14" x14ac:dyDescent="0.3">
      <c r="C132" s="360" t="s">
        <v>387</v>
      </c>
      <c r="D132" s="316"/>
      <c r="E132" s="137"/>
      <c r="F132" s="137"/>
      <c r="G132" s="317"/>
      <c r="H132" s="318"/>
      <c r="I132" s="319"/>
      <c r="J132" s="318"/>
      <c r="K132" s="320"/>
      <c r="L132" s="321"/>
      <c r="M132" s="322"/>
    </row>
    <row r="133" spans="3:14" x14ac:dyDescent="0.3">
      <c r="C133" s="360" t="s">
        <v>387</v>
      </c>
      <c r="D133" s="351" t="s">
        <v>365</v>
      </c>
      <c r="E133" s="1310">
        <f>SUMIFS('Airport Statistics'!G:G,'Airport Statistics'!D:D,C133,'Airport Statistics'!F:F,D133)</f>
        <v>0</v>
      </c>
      <c r="F133" s="211"/>
      <c r="G133" s="345" t="s">
        <v>250</v>
      </c>
      <c r="H133" s="346">
        <f>$H$8</f>
        <v>1E-3</v>
      </c>
      <c r="I133" s="347" t="s">
        <v>188</v>
      </c>
      <c r="J133" s="346">
        <f>$H$8</f>
        <v>1E-3</v>
      </c>
      <c r="K133" s="348" t="s">
        <v>188</v>
      </c>
      <c r="L133" s="349"/>
      <c r="M133" s="350"/>
      <c r="N133" s="178"/>
    </row>
    <row r="134" spans="3:14" x14ac:dyDescent="0.3">
      <c r="C134" s="360" t="s">
        <v>387</v>
      </c>
      <c r="D134" s="1306" t="s">
        <v>374</v>
      </c>
      <c r="E134" s="1308">
        <f>$F$8</f>
        <v>500</v>
      </c>
      <c r="F134" s="137"/>
      <c r="G134" s="324" t="s">
        <v>249</v>
      </c>
      <c r="H134" s="325">
        <f>H133*H131*1440</f>
        <v>0</v>
      </c>
      <c r="I134" s="326" t="s">
        <v>113</v>
      </c>
      <c r="J134" s="325">
        <f>J133*J131*1440</f>
        <v>0</v>
      </c>
      <c r="K134" s="327" t="s">
        <v>113</v>
      </c>
      <c r="L134" s="328">
        <f>H134-J134</f>
        <v>0</v>
      </c>
      <c r="M134" s="329" t="str">
        <f>IFERROR(L134/H134,"-")</f>
        <v>-</v>
      </c>
    </row>
    <row r="135" spans="3:14" x14ac:dyDescent="0.3">
      <c r="C135" s="360" t="s">
        <v>387</v>
      </c>
      <c r="D135" s="1307" t="s">
        <v>677</v>
      </c>
      <c r="E135" s="1308">
        <f>$F$9</f>
        <v>3</v>
      </c>
      <c r="F135" s="137"/>
      <c r="G135" s="324"/>
      <c r="H135" s="321"/>
      <c r="I135" s="326"/>
      <c r="J135" s="321"/>
      <c r="K135" s="327"/>
      <c r="L135" s="330"/>
      <c r="M135" s="331"/>
    </row>
    <row r="136" spans="3:14" x14ac:dyDescent="0.3">
      <c r="C136" s="360" t="s">
        <v>387</v>
      </c>
      <c r="D136" s="323" t="s">
        <v>375</v>
      </c>
      <c r="E136" s="1311">
        <f>E133/E134*E135</f>
        <v>0</v>
      </c>
      <c r="F136" s="211"/>
      <c r="G136" s="345" t="s">
        <v>244</v>
      </c>
      <c r="H136" s="353">
        <f>$H$9</f>
        <v>10</v>
      </c>
      <c r="I136" s="354" t="s">
        <v>245</v>
      </c>
      <c r="J136" s="353">
        <f>$H$9</f>
        <v>10</v>
      </c>
      <c r="K136" s="355" t="s">
        <v>245</v>
      </c>
      <c r="L136" s="356"/>
      <c r="M136" s="357"/>
      <c r="N136" s="178"/>
    </row>
    <row r="137" spans="3:14" x14ac:dyDescent="0.3">
      <c r="C137" s="360" t="s">
        <v>387</v>
      </c>
      <c r="D137" s="316"/>
      <c r="E137" s="137"/>
      <c r="F137" s="137"/>
      <c r="G137" s="324" t="s">
        <v>243</v>
      </c>
      <c r="H137" s="325">
        <f>H131*8.34*1440*H136/1000/8.34</f>
        <v>0</v>
      </c>
      <c r="I137" s="326" t="s">
        <v>113</v>
      </c>
      <c r="J137" s="325">
        <f>J131*8.34*1440*J136/1000/8.34</f>
        <v>0</v>
      </c>
      <c r="K137" s="327" t="s">
        <v>113</v>
      </c>
      <c r="L137" s="328">
        <f>H137-J137</f>
        <v>0</v>
      </c>
      <c r="M137" s="329" t="str">
        <f>IFERROR(L137/H137,"-")</f>
        <v>-</v>
      </c>
    </row>
    <row r="138" spans="3:14" x14ac:dyDescent="0.3">
      <c r="C138" s="360" t="s">
        <v>387</v>
      </c>
      <c r="D138" s="316"/>
      <c r="E138" s="137"/>
      <c r="F138" s="137"/>
      <c r="G138" s="324"/>
      <c r="H138" s="321"/>
      <c r="I138" s="326"/>
      <c r="J138" s="321"/>
      <c r="K138" s="327"/>
      <c r="L138" s="330"/>
      <c r="M138" s="331"/>
    </row>
    <row r="139" spans="3:14" x14ac:dyDescent="0.3">
      <c r="C139" s="360" t="s">
        <v>387</v>
      </c>
      <c r="D139" s="352"/>
      <c r="E139" s="211"/>
      <c r="F139" s="211"/>
      <c r="G139" s="345" t="s">
        <v>246</v>
      </c>
      <c r="H139" s="353">
        <f>$J$8</f>
        <v>4</v>
      </c>
      <c r="I139" s="354" t="s">
        <v>251</v>
      </c>
      <c r="J139" s="353">
        <f>$J$9</f>
        <v>10</v>
      </c>
      <c r="K139" s="355" t="s">
        <v>251</v>
      </c>
      <c r="L139" s="356"/>
      <c r="M139" s="357"/>
      <c r="N139" s="178"/>
    </row>
    <row r="140" spans="3:14" x14ac:dyDescent="0.3">
      <c r="C140" s="360" t="s">
        <v>387</v>
      </c>
      <c r="D140" s="316"/>
      <c r="E140" s="137"/>
      <c r="F140" s="137"/>
      <c r="G140" s="332" t="s">
        <v>247</v>
      </c>
      <c r="H140" s="333">
        <f>(H134*(H139-1)-H137)/(1-H139)</f>
        <v>0</v>
      </c>
      <c r="I140" s="334" t="s">
        <v>113</v>
      </c>
      <c r="J140" s="333">
        <f>(J134*(J139-1)-J137)/(1-J139)</f>
        <v>0</v>
      </c>
      <c r="K140" s="335" t="s">
        <v>113</v>
      </c>
      <c r="L140" s="336">
        <f>H140-J140</f>
        <v>0</v>
      </c>
      <c r="M140" s="329" t="str">
        <f>IFERROR(L140/H140,"-")</f>
        <v>-</v>
      </c>
    </row>
    <row r="141" spans="3:14" ht="15" thickBot="1" x14ac:dyDescent="0.35">
      <c r="C141" s="360" t="s">
        <v>387</v>
      </c>
      <c r="D141" s="337"/>
      <c r="E141" s="338" t="s">
        <v>43</v>
      </c>
      <c r="F141" s="338" t="s">
        <v>7</v>
      </c>
      <c r="G141" s="339" t="s">
        <v>248</v>
      </c>
      <c r="H141" s="340">
        <f>H134+H137+H140</f>
        <v>0</v>
      </c>
      <c r="I141" s="341" t="s">
        <v>113</v>
      </c>
      <c r="J141" s="340">
        <f>J134+J137+J140</f>
        <v>0</v>
      </c>
      <c r="K141" s="341" t="s">
        <v>113</v>
      </c>
      <c r="L141" s="342">
        <f>H141-J141</f>
        <v>0</v>
      </c>
      <c r="M141" s="343" t="str">
        <f>IFERROR(L141/H141,"-")</f>
        <v>-</v>
      </c>
    </row>
    <row r="142" spans="3:14" ht="15" thickBot="1" x14ac:dyDescent="0.35">
      <c r="C142" s="360"/>
    </row>
    <row r="143" spans="3:14" x14ac:dyDescent="0.3">
      <c r="C143" s="362" t="s">
        <v>89</v>
      </c>
      <c r="D143" s="308" t="str">
        <f>VLOOKUP(C143,'Airport Mapping'!$C$5:$D$39,2,FALSE)</f>
        <v xml:space="preserve"> </v>
      </c>
      <c r="E143" s="309"/>
      <c r="F143" s="309"/>
      <c r="G143" s="310" t="s">
        <v>242</v>
      </c>
      <c r="H143" s="311">
        <f>E148</f>
        <v>0</v>
      </c>
      <c r="I143" s="312" t="s">
        <v>678</v>
      </c>
      <c r="J143" s="311">
        <f>E148</f>
        <v>0</v>
      </c>
      <c r="K143" s="313" t="s">
        <v>678</v>
      </c>
      <c r="L143" s="314"/>
      <c r="M143" s="315"/>
    </row>
    <row r="144" spans="3:14" x14ac:dyDescent="0.3">
      <c r="C144" s="360" t="s">
        <v>89</v>
      </c>
      <c r="D144" s="316"/>
      <c r="E144" s="137"/>
      <c r="F144" s="137"/>
      <c r="G144" s="317"/>
      <c r="H144" s="318"/>
      <c r="I144" s="319"/>
      <c r="J144" s="318"/>
      <c r="K144" s="320"/>
      <c r="L144" s="321"/>
      <c r="M144" s="322"/>
    </row>
    <row r="145" spans="3:14" x14ac:dyDescent="0.3">
      <c r="C145" s="360" t="s">
        <v>89</v>
      </c>
      <c r="D145" s="351" t="s">
        <v>365</v>
      </c>
      <c r="E145" s="1310">
        <f>SUMIFS('Airport Statistics'!G:G,'Airport Statistics'!D:D,C145,'Airport Statistics'!F:F,D145)</f>
        <v>0</v>
      </c>
      <c r="F145" s="211"/>
      <c r="G145" s="345" t="s">
        <v>250</v>
      </c>
      <c r="H145" s="346">
        <f>$H$8</f>
        <v>1E-3</v>
      </c>
      <c r="I145" s="347" t="s">
        <v>188</v>
      </c>
      <c r="J145" s="346">
        <f>$H$8</f>
        <v>1E-3</v>
      </c>
      <c r="K145" s="348" t="s">
        <v>188</v>
      </c>
      <c r="L145" s="349"/>
      <c r="M145" s="350"/>
      <c r="N145" s="178"/>
    </row>
    <row r="146" spans="3:14" x14ac:dyDescent="0.3">
      <c r="C146" s="360" t="s">
        <v>89</v>
      </c>
      <c r="D146" s="1306" t="s">
        <v>374</v>
      </c>
      <c r="E146" s="1308">
        <f>$F$8</f>
        <v>500</v>
      </c>
      <c r="F146" s="137"/>
      <c r="G146" s="324" t="s">
        <v>249</v>
      </c>
      <c r="H146" s="325">
        <f>H145*H143*1440</f>
        <v>0</v>
      </c>
      <c r="I146" s="326" t="s">
        <v>113</v>
      </c>
      <c r="J146" s="325">
        <f>J145*J143*1440</f>
        <v>0</v>
      </c>
      <c r="K146" s="327" t="s">
        <v>113</v>
      </c>
      <c r="L146" s="328">
        <f>H146-J146</f>
        <v>0</v>
      </c>
      <c r="M146" s="329" t="str">
        <f>IFERROR(L146/H146,"-")</f>
        <v>-</v>
      </c>
    </row>
    <row r="147" spans="3:14" x14ac:dyDescent="0.3">
      <c r="C147" s="360" t="s">
        <v>89</v>
      </c>
      <c r="D147" s="1307" t="s">
        <v>677</v>
      </c>
      <c r="E147" s="1308">
        <f>$F$9</f>
        <v>3</v>
      </c>
      <c r="F147" s="137"/>
      <c r="G147" s="324"/>
      <c r="H147" s="321"/>
      <c r="I147" s="326"/>
      <c r="J147" s="321"/>
      <c r="K147" s="327"/>
      <c r="L147" s="330"/>
      <c r="M147" s="331"/>
    </row>
    <row r="148" spans="3:14" x14ac:dyDescent="0.3">
      <c r="C148" s="360" t="s">
        <v>89</v>
      </c>
      <c r="D148" s="323" t="s">
        <v>375</v>
      </c>
      <c r="E148" s="1311">
        <f>E145/E146*E147</f>
        <v>0</v>
      </c>
      <c r="F148" s="211"/>
      <c r="G148" s="345" t="s">
        <v>244</v>
      </c>
      <c r="H148" s="353">
        <f>$H$9</f>
        <v>10</v>
      </c>
      <c r="I148" s="354" t="s">
        <v>245</v>
      </c>
      <c r="J148" s="353">
        <f>$H$9</f>
        <v>10</v>
      </c>
      <c r="K148" s="355" t="s">
        <v>245</v>
      </c>
      <c r="L148" s="356"/>
      <c r="M148" s="357"/>
      <c r="N148" s="178"/>
    </row>
    <row r="149" spans="3:14" x14ac:dyDescent="0.3">
      <c r="C149" s="360" t="s">
        <v>89</v>
      </c>
      <c r="D149" s="316"/>
      <c r="E149" s="137"/>
      <c r="F149" s="137"/>
      <c r="G149" s="324" t="s">
        <v>243</v>
      </c>
      <c r="H149" s="325">
        <f>H143*8.34*1440*H148/1000/8.34</f>
        <v>0</v>
      </c>
      <c r="I149" s="326" t="s">
        <v>113</v>
      </c>
      <c r="J149" s="325">
        <f>J143*8.34*1440*J148/1000/8.34</f>
        <v>0</v>
      </c>
      <c r="K149" s="327" t="s">
        <v>113</v>
      </c>
      <c r="L149" s="328">
        <f>H149-J149</f>
        <v>0</v>
      </c>
      <c r="M149" s="329" t="str">
        <f>IFERROR(L149/H149,"-")</f>
        <v>-</v>
      </c>
    </row>
    <row r="150" spans="3:14" x14ac:dyDescent="0.3">
      <c r="C150" s="360" t="s">
        <v>89</v>
      </c>
      <c r="D150" s="316"/>
      <c r="E150" s="137"/>
      <c r="F150" s="137"/>
      <c r="G150" s="324"/>
      <c r="H150" s="321"/>
      <c r="I150" s="326"/>
      <c r="J150" s="321"/>
      <c r="K150" s="327"/>
      <c r="L150" s="330"/>
      <c r="M150" s="331"/>
    </row>
    <row r="151" spans="3:14" x14ac:dyDescent="0.3">
      <c r="C151" s="360" t="s">
        <v>89</v>
      </c>
      <c r="D151" s="352"/>
      <c r="E151" s="211"/>
      <c r="F151" s="211"/>
      <c r="G151" s="345" t="s">
        <v>246</v>
      </c>
      <c r="H151" s="353">
        <f>$J$8</f>
        <v>4</v>
      </c>
      <c r="I151" s="354" t="s">
        <v>251</v>
      </c>
      <c r="J151" s="353">
        <f>$J$9</f>
        <v>10</v>
      </c>
      <c r="K151" s="355" t="s">
        <v>251</v>
      </c>
      <c r="L151" s="356"/>
      <c r="M151" s="357"/>
      <c r="N151" s="178"/>
    </row>
    <row r="152" spans="3:14" x14ac:dyDescent="0.3">
      <c r="C152" s="360" t="s">
        <v>89</v>
      </c>
      <c r="D152" s="316"/>
      <c r="E152" s="137"/>
      <c r="F152" s="137"/>
      <c r="G152" s="332" t="s">
        <v>247</v>
      </c>
      <c r="H152" s="333">
        <f>(H146*(H151-1)-H149)/(1-H151)</f>
        <v>0</v>
      </c>
      <c r="I152" s="334" t="s">
        <v>113</v>
      </c>
      <c r="J152" s="333">
        <f>(J146*(J151-1)-J149)/(1-J151)</f>
        <v>0</v>
      </c>
      <c r="K152" s="335" t="s">
        <v>113</v>
      </c>
      <c r="L152" s="336">
        <f>H152-J152</f>
        <v>0</v>
      </c>
      <c r="M152" s="329" t="str">
        <f>IFERROR(L152/H152,"-")</f>
        <v>-</v>
      </c>
    </row>
    <row r="153" spans="3:14" ht="15" thickBot="1" x14ac:dyDescent="0.35">
      <c r="C153" s="360" t="s">
        <v>89</v>
      </c>
      <c r="D153" s="337"/>
      <c r="E153" s="338" t="s">
        <v>43</v>
      </c>
      <c r="F153" s="338" t="s">
        <v>7</v>
      </c>
      <c r="G153" s="339" t="s">
        <v>248</v>
      </c>
      <c r="H153" s="340">
        <f>H146+H149+H152</f>
        <v>0</v>
      </c>
      <c r="I153" s="341" t="s">
        <v>113</v>
      </c>
      <c r="J153" s="340">
        <f>J146+J149+J152</f>
        <v>0</v>
      </c>
      <c r="K153" s="341" t="s">
        <v>113</v>
      </c>
      <c r="L153" s="342">
        <f>H153-J153</f>
        <v>0</v>
      </c>
      <c r="M153" s="343" t="str">
        <f>IFERROR(L153/H153,"-")</f>
        <v>-</v>
      </c>
    </row>
    <row r="154" spans="3:14" ht="15" thickBot="1" x14ac:dyDescent="0.35">
      <c r="C154" s="360"/>
    </row>
    <row r="155" spans="3:14" x14ac:dyDescent="0.3">
      <c r="C155" s="362" t="s">
        <v>90</v>
      </c>
      <c r="D155" s="308" t="str">
        <f>VLOOKUP(C155,'Airport Mapping'!$C$5:$D$39,2,FALSE)</f>
        <v xml:space="preserve"> </v>
      </c>
      <c r="E155" s="309"/>
      <c r="F155" s="309"/>
      <c r="G155" s="310" t="s">
        <v>242</v>
      </c>
      <c r="H155" s="311">
        <f>E160</f>
        <v>0</v>
      </c>
      <c r="I155" s="312" t="s">
        <v>678</v>
      </c>
      <c r="J155" s="311">
        <f>E160</f>
        <v>0</v>
      </c>
      <c r="K155" s="313" t="s">
        <v>678</v>
      </c>
      <c r="L155" s="314"/>
      <c r="M155" s="315"/>
    </row>
    <row r="156" spans="3:14" x14ac:dyDescent="0.3">
      <c r="C156" s="360" t="s">
        <v>90</v>
      </c>
      <c r="D156" s="316"/>
      <c r="E156" s="137"/>
      <c r="F156" s="137"/>
      <c r="G156" s="317"/>
      <c r="H156" s="318"/>
      <c r="I156" s="319"/>
      <c r="J156" s="318"/>
      <c r="K156" s="320"/>
      <c r="L156" s="321"/>
      <c r="M156" s="322"/>
    </row>
    <row r="157" spans="3:14" x14ac:dyDescent="0.3">
      <c r="C157" s="360" t="s">
        <v>90</v>
      </c>
      <c r="D157" s="351" t="s">
        <v>365</v>
      </c>
      <c r="E157" s="1310">
        <f>SUMIFS('Airport Statistics'!G:G,'Airport Statistics'!D:D,C157,'Airport Statistics'!F:F,D157)</f>
        <v>0</v>
      </c>
      <c r="F157" s="211"/>
      <c r="G157" s="345" t="s">
        <v>250</v>
      </c>
      <c r="H157" s="346">
        <f>$H$8</f>
        <v>1E-3</v>
      </c>
      <c r="I157" s="347" t="s">
        <v>188</v>
      </c>
      <c r="J157" s="346">
        <f>$H$8</f>
        <v>1E-3</v>
      </c>
      <c r="K157" s="348" t="s">
        <v>188</v>
      </c>
      <c r="L157" s="349"/>
      <c r="M157" s="350"/>
      <c r="N157" s="178"/>
    </row>
    <row r="158" spans="3:14" x14ac:dyDescent="0.3">
      <c r="C158" s="360" t="s">
        <v>90</v>
      </c>
      <c r="D158" s="1306" t="s">
        <v>374</v>
      </c>
      <c r="E158" s="1308">
        <f>$F$8</f>
        <v>500</v>
      </c>
      <c r="F158" s="137"/>
      <c r="G158" s="324" t="s">
        <v>249</v>
      </c>
      <c r="H158" s="325">
        <f>H157*H155*1440</f>
        <v>0</v>
      </c>
      <c r="I158" s="326" t="s">
        <v>113</v>
      </c>
      <c r="J158" s="325">
        <f>J157*J155*1440</f>
        <v>0</v>
      </c>
      <c r="K158" s="327" t="s">
        <v>113</v>
      </c>
      <c r="L158" s="328">
        <f>H158-J158</f>
        <v>0</v>
      </c>
      <c r="M158" s="329" t="str">
        <f>IFERROR(L158/H158,"-")</f>
        <v>-</v>
      </c>
    </row>
    <row r="159" spans="3:14" x14ac:dyDescent="0.3">
      <c r="C159" s="360" t="s">
        <v>90</v>
      </c>
      <c r="D159" s="1307" t="s">
        <v>677</v>
      </c>
      <c r="E159" s="1308">
        <f>$F$9</f>
        <v>3</v>
      </c>
      <c r="F159" s="137"/>
      <c r="G159" s="324"/>
      <c r="H159" s="321"/>
      <c r="I159" s="326"/>
      <c r="J159" s="321"/>
      <c r="K159" s="327"/>
      <c r="L159" s="330"/>
      <c r="M159" s="331"/>
    </row>
    <row r="160" spans="3:14" x14ac:dyDescent="0.3">
      <c r="C160" s="360" t="s">
        <v>90</v>
      </c>
      <c r="D160" s="323" t="s">
        <v>375</v>
      </c>
      <c r="E160" s="1311">
        <f>E157/E158*E159</f>
        <v>0</v>
      </c>
      <c r="F160" s="211"/>
      <c r="G160" s="345" t="s">
        <v>244</v>
      </c>
      <c r="H160" s="353">
        <f>$H$9</f>
        <v>10</v>
      </c>
      <c r="I160" s="354" t="s">
        <v>245</v>
      </c>
      <c r="J160" s="353">
        <f>$H$9</f>
        <v>10</v>
      </c>
      <c r="K160" s="355" t="s">
        <v>245</v>
      </c>
      <c r="L160" s="356"/>
      <c r="M160" s="357"/>
      <c r="N160" s="178"/>
    </row>
    <row r="161" spans="3:14" x14ac:dyDescent="0.3">
      <c r="C161" s="360" t="s">
        <v>90</v>
      </c>
      <c r="D161" s="316"/>
      <c r="E161" s="137"/>
      <c r="F161" s="137"/>
      <c r="G161" s="324" t="s">
        <v>243</v>
      </c>
      <c r="H161" s="325">
        <f>H155*8.34*1440*H160/1000/8.34</f>
        <v>0</v>
      </c>
      <c r="I161" s="326" t="s">
        <v>113</v>
      </c>
      <c r="J161" s="325">
        <f>J155*8.34*1440*J160/1000/8.34</f>
        <v>0</v>
      </c>
      <c r="K161" s="327" t="s">
        <v>113</v>
      </c>
      <c r="L161" s="328">
        <f>H161-J161</f>
        <v>0</v>
      </c>
      <c r="M161" s="329" t="str">
        <f>IFERROR(L161/H161,"-")</f>
        <v>-</v>
      </c>
    </row>
    <row r="162" spans="3:14" x14ac:dyDescent="0.3">
      <c r="C162" s="360" t="s">
        <v>90</v>
      </c>
      <c r="D162" s="316"/>
      <c r="E162" s="137"/>
      <c r="F162" s="137"/>
      <c r="G162" s="324"/>
      <c r="H162" s="321"/>
      <c r="I162" s="326"/>
      <c r="J162" s="321"/>
      <c r="K162" s="327"/>
      <c r="L162" s="330"/>
      <c r="M162" s="331"/>
    </row>
    <row r="163" spans="3:14" x14ac:dyDescent="0.3">
      <c r="C163" s="360" t="s">
        <v>90</v>
      </c>
      <c r="D163" s="352"/>
      <c r="E163" s="211"/>
      <c r="F163" s="211"/>
      <c r="G163" s="345" t="s">
        <v>246</v>
      </c>
      <c r="H163" s="353">
        <f>$J$8</f>
        <v>4</v>
      </c>
      <c r="I163" s="354" t="s">
        <v>251</v>
      </c>
      <c r="J163" s="353">
        <f>$J$9</f>
        <v>10</v>
      </c>
      <c r="K163" s="355" t="s">
        <v>251</v>
      </c>
      <c r="L163" s="356"/>
      <c r="M163" s="357"/>
      <c r="N163" s="178"/>
    </row>
    <row r="164" spans="3:14" x14ac:dyDescent="0.3">
      <c r="C164" s="360" t="s">
        <v>90</v>
      </c>
      <c r="D164" s="316"/>
      <c r="E164" s="137"/>
      <c r="F164" s="137"/>
      <c r="G164" s="332" t="s">
        <v>247</v>
      </c>
      <c r="H164" s="333">
        <f>(H158*(H163-1)-H161)/(1-H163)</f>
        <v>0</v>
      </c>
      <c r="I164" s="334" t="s">
        <v>113</v>
      </c>
      <c r="J164" s="333">
        <f>(J158*(J163-1)-J161)/(1-J163)</f>
        <v>0</v>
      </c>
      <c r="K164" s="335" t="s">
        <v>113</v>
      </c>
      <c r="L164" s="336">
        <f>H164-J164</f>
        <v>0</v>
      </c>
      <c r="M164" s="329" t="str">
        <f>IFERROR(L164/H164,"-")</f>
        <v>-</v>
      </c>
    </row>
    <row r="165" spans="3:14" ht="15" thickBot="1" x14ac:dyDescent="0.35">
      <c r="C165" s="360" t="s">
        <v>90</v>
      </c>
      <c r="D165" s="337"/>
      <c r="E165" s="338" t="s">
        <v>43</v>
      </c>
      <c r="F165" s="338" t="s">
        <v>7</v>
      </c>
      <c r="G165" s="339" t="s">
        <v>248</v>
      </c>
      <c r="H165" s="340">
        <f>H158+H161+H164</f>
        <v>0</v>
      </c>
      <c r="I165" s="341" t="s">
        <v>113</v>
      </c>
      <c r="J165" s="340">
        <f>J158+J161+J164</f>
        <v>0</v>
      </c>
      <c r="K165" s="341" t="s">
        <v>113</v>
      </c>
      <c r="L165" s="342">
        <f>H165-J165</f>
        <v>0</v>
      </c>
      <c r="M165" s="343" t="str">
        <f>IFERROR(L165/H165,"-")</f>
        <v>-</v>
      </c>
    </row>
    <row r="166" spans="3:14" ht="15" thickBot="1" x14ac:dyDescent="0.35">
      <c r="C166" s="360"/>
    </row>
    <row r="167" spans="3:14" x14ac:dyDescent="0.3">
      <c r="C167" s="362" t="s">
        <v>766</v>
      </c>
      <c r="D167" s="308" t="str">
        <f>VLOOKUP(C167,'Airport Mapping'!$C$5:$D$39,2,FALSE)</f>
        <v xml:space="preserve"> </v>
      </c>
      <c r="E167" s="309"/>
      <c r="F167" s="309"/>
      <c r="G167" s="310" t="s">
        <v>242</v>
      </c>
      <c r="H167" s="311">
        <f>E172</f>
        <v>0</v>
      </c>
      <c r="I167" s="312" t="s">
        <v>678</v>
      </c>
      <c r="J167" s="311">
        <f>E172</f>
        <v>0</v>
      </c>
      <c r="K167" s="313" t="s">
        <v>678</v>
      </c>
      <c r="L167" s="314"/>
      <c r="M167" s="315"/>
    </row>
    <row r="168" spans="3:14" x14ac:dyDescent="0.3">
      <c r="C168" s="360" t="s">
        <v>766</v>
      </c>
      <c r="D168" s="316"/>
      <c r="E168" s="137"/>
      <c r="F168" s="137"/>
      <c r="G168" s="317"/>
      <c r="H168" s="318"/>
      <c r="I168" s="319"/>
      <c r="J168" s="318"/>
      <c r="K168" s="320"/>
      <c r="L168" s="321"/>
      <c r="M168" s="322"/>
    </row>
    <row r="169" spans="3:14" x14ac:dyDescent="0.3">
      <c r="C169" s="360" t="s">
        <v>766</v>
      </c>
      <c r="D169" s="351" t="s">
        <v>365</v>
      </c>
      <c r="E169" s="1310">
        <f>SUMIFS('Airport Statistics'!G:G,'Airport Statistics'!D:D,C169,'Airport Statistics'!F:F,D169)</f>
        <v>0</v>
      </c>
      <c r="F169" s="211"/>
      <c r="G169" s="345" t="s">
        <v>250</v>
      </c>
      <c r="H169" s="346">
        <f>$H$8</f>
        <v>1E-3</v>
      </c>
      <c r="I169" s="347" t="s">
        <v>188</v>
      </c>
      <c r="J169" s="346">
        <f>$H$8</f>
        <v>1E-3</v>
      </c>
      <c r="K169" s="348" t="s">
        <v>188</v>
      </c>
      <c r="L169" s="349"/>
      <c r="M169" s="350"/>
      <c r="N169" s="178"/>
    </row>
    <row r="170" spans="3:14" x14ac:dyDescent="0.3">
      <c r="C170" s="360" t="s">
        <v>766</v>
      </c>
      <c r="D170" s="1306" t="s">
        <v>374</v>
      </c>
      <c r="E170" s="1308">
        <f>$F$8</f>
        <v>500</v>
      </c>
      <c r="F170" s="137"/>
      <c r="G170" s="324" t="s">
        <v>249</v>
      </c>
      <c r="H170" s="325">
        <f>H169*H167*1440</f>
        <v>0</v>
      </c>
      <c r="I170" s="326" t="s">
        <v>113</v>
      </c>
      <c r="J170" s="325">
        <f>J169*J167*1440</f>
        <v>0</v>
      </c>
      <c r="K170" s="327" t="s">
        <v>113</v>
      </c>
      <c r="L170" s="328">
        <f>H170-J170</f>
        <v>0</v>
      </c>
      <c r="M170" s="329" t="str">
        <f>IFERROR(L170/H170,"-")</f>
        <v>-</v>
      </c>
    </row>
    <row r="171" spans="3:14" x14ac:dyDescent="0.3">
      <c r="C171" s="360" t="s">
        <v>766</v>
      </c>
      <c r="D171" s="1307" t="s">
        <v>677</v>
      </c>
      <c r="E171" s="1308">
        <f>$F$9</f>
        <v>3</v>
      </c>
      <c r="F171" s="137"/>
      <c r="G171" s="324"/>
      <c r="H171" s="321"/>
      <c r="I171" s="326"/>
      <c r="J171" s="321"/>
      <c r="K171" s="327"/>
      <c r="L171" s="330"/>
      <c r="M171" s="331"/>
    </row>
    <row r="172" spans="3:14" x14ac:dyDescent="0.3">
      <c r="C172" s="360" t="s">
        <v>766</v>
      </c>
      <c r="D172" s="323" t="s">
        <v>375</v>
      </c>
      <c r="E172" s="1311">
        <f>E169/E170*E171</f>
        <v>0</v>
      </c>
      <c r="F172" s="211"/>
      <c r="G172" s="345" t="s">
        <v>244</v>
      </c>
      <c r="H172" s="353">
        <f>$H$9</f>
        <v>10</v>
      </c>
      <c r="I172" s="354" t="s">
        <v>245</v>
      </c>
      <c r="J172" s="353">
        <f>$H$9</f>
        <v>10</v>
      </c>
      <c r="K172" s="355" t="s">
        <v>245</v>
      </c>
      <c r="L172" s="356"/>
      <c r="M172" s="357"/>
      <c r="N172" s="178"/>
    </row>
    <row r="173" spans="3:14" x14ac:dyDescent="0.3">
      <c r="C173" s="360" t="s">
        <v>766</v>
      </c>
      <c r="D173" s="316"/>
      <c r="E173" s="137"/>
      <c r="F173" s="137"/>
      <c r="G173" s="324" t="s">
        <v>243</v>
      </c>
      <c r="H173" s="325">
        <f>H167*8.34*1440*H172/1000/8.34</f>
        <v>0</v>
      </c>
      <c r="I173" s="326" t="s">
        <v>113</v>
      </c>
      <c r="J173" s="325">
        <f>J167*8.34*1440*J172/1000/8.34</f>
        <v>0</v>
      </c>
      <c r="K173" s="327" t="s">
        <v>113</v>
      </c>
      <c r="L173" s="328">
        <f>H173-J173</f>
        <v>0</v>
      </c>
      <c r="M173" s="329" t="str">
        <f>IFERROR(L173/H173,"-")</f>
        <v>-</v>
      </c>
    </row>
    <row r="174" spans="3:14" x14ac:dyDescent="0.3">
      <c r="C174" s="360" t="s">
        <v>766</v>
      </c>
      <c r="D174" s="316"/>
      <c r="E174" s="137"/>
      <c r="F174" s="137"/>
      <c r="G174" s="324"/>
      <c r="H174" s="321"/>
      <c r="I174" s="326"/>
      <c r="J174" s="321"/>
      <c r="K174" s="327"/>
      <c r="L174" s="330"/>
      <c r="M174" s="331"/>
    </row>
    <row r="175" spans="3:14" x14ac:dyDescent="0.3">
      <c r="C175" s="360" t="s">
        <v>766</v>
      </c>
      <c r="D175" s="352"/>
      <c r="E175" s="211"/>
      <c r="F175" s="211"/>
      <c r="G175" s="345" t="s">
        <v>246</v>
      </c>
      <c r="H175" s="353">
        <f>$J$8</f>
        <v>4</v>
      </c>
      <c r="I175" s="354" t="s">
        <v>251</v>
      </c>
      <c r="J175" s="353">
        <f>$J$9</f>
        <v>10</v>
      </c>
      <c r="K175" s="355" t="s">
        <v>251</v>
      </c>
      <c r="L175" s="356"/>
      <c r="M175" s="357"/>
      <c r="N175" s="178"/>
    </row>
    <row r="176" spans="3:14" x14ac:dyDescent="0.3">
      <c r="C176" s="360" t="s">
        <v>766</v>
      </c>
      <c r="D176" s="316"/>
      <c r="E176" s="137"/>
      <c r="F176" s="137"/>
      <c r="G176" s="332" t="s">
        <v>247</v>
      </c>
      <c r="H176" s="333">
        <f>(H170*(H175-1)-H173)/(1-H175)</f>
        <v>0</v>
      </c>
      <c r="I176" s="334" t="s">
        <v>113</v>
      </c>
      <c r="J176" s="333">
        <f>(J170*(J175-1)-J173)/(1-J175)</f>
        <v>0</v>
      </c>
      <c r="K176" s="335" t="s">
        <v>113</v>
      </c>
      <c r="L176" s="336">
        <f>H176-J176</f>
        <v>0</v>
      </c>
      <c r="M176" s="329" t="str">
        <f>IFERROR(L176/H176,"-")</f>
        <v>-</v>
      </c>
    </row>
    <row r="177" spans="3:14" ht="15" thickBot="1" x14ac:dyDescent="0.35">
      <c r="C177" s="360" t="s">
        <v>766</v>
      </c>
      <c r="D177" s="337"/>
      <c r="E177" s="338" t="s">
        <v>43</v>
      </c>
      <c r="F177" s="338" t="s">
        <v>7</v>
      </c>
      <c r="G177" s="339" t="s">
        <v>248</v>
      </c>
      <c r="H177" s="340">
        <f>H170+H173+H176</f>
        <v>0</v>
      </c>
      <c r="I177" s="341" t="s">
        <v>113</v>
      </c>
      <c r="J177" s="340">
        <f>J170+J173+J176</f>
        <v>0</v>
      </c>
      <c r="K177" s="341" t="s">
        <v>113</v>
      </c>
      <c r="L177" s="342">
        <f>H177-J177</f>
        <v>0</v>
      </c>
      <c r="M177" s="343" t="str">
        <f>IFERROR(L177/H177,"-")</f>
        <v>-</v>
      </c>
    </row>
    <row r="178" spans="3:14" ht="15" thickBot="1" x14ac:dyDescent="0.35">
      <c r="C178" s="360"/>
    </row>
    <row r="179" spans="3:14" x14ac:dyDescent="0.3">
      <c r="C179" s="362" t="s">
        <v>767</v>
      </c>
      <c r="D179" s="308" t="str">
        <f>VLOOKUP(C179,'Airport Mapping'!$C$5:$D$39,2,FALSE)</f>
        <v xml:space="preserve"> </v>
      </c>
      <c r="E179" s="309"/>
      <c r="F179" s="309"/>
      <c r="G179" s="310" t="s">
        <v>242</v>
      </c>
      <c r="H179" s="311">
        <f>E184</f>
        <v>0</v>
      </c>
      <c r="I179" s="312" t="s">
        <v>678</v>
      </c>
      <c r="J179" s="311">
        <f>E184</f>
        <v>0</v>
      </c>
      <c r="K179" s="313" t="s">
        <v>678</v>
      </c>
      <c r="L179" s="314"/>
      <c r="M179" s="315"/>
    </row>
    <row r="180" spans="3:14" x14ac:dyDescent="0.3">
      <c r="C180" s="360" t="s">
        <v>767</v>
      </c>
      <c r="D180" s="316"/>
      <c r="E180" s="137"/>
      <c r="F180" s="137"/>
      <c r="G180" s="317"/>
      <c r="H180" s="318"/>
      <c r="I180" s="319"/>
      <c r="J180" s="318"/>
      <c r="K180" s="320"/>
      <c r="L180" s="321"/>
      <c r="M180" s="322"/>
    </row>
    <row r="181" spans="3:14" x14ac:dyDescent="0.3">
      <c r="C181" s="360" t="s">
        <v>767</v>
      </c>
      <c r="D181" s="351" t="s">
        <v>365</v>
      </c>
      <c r="E181" s="1310">
        <f>SUMIFS('Airport Statistics'!G:G,'Airport Statistics'!D:D,C181,'Airport Statistics'!F:F,D181)</f>
        <v>0</v>
      </c>
      <c r="F181" s="211"/>
      <c r="G181" s="345" t="s">
        <v>250</v>
      </c>
      <c r="H181" s="346">
        <f>$H$8</f>
        <v>1E-3</v>
      </c>
      <c r="I181" s="347" t="s">
        <v>188</v>
      </c>
      <c r="J181" s="346">
        <f>$H$8</f>
        <v>1E-3</v>
      </c>
      <c r="K181" s="348" t="s">
        <v>188</v>
      </c>
      <c r="L181" s="349"/>
      <c r="M181" s="350"/>
      <c r="N181" s="178"/>
    </row>
    <row r="182" spans="3:14" x14ac:dyDescent="0.3">
      <c r="C182" s="360" t="s">
        <v>767</v>
      </c>
      <c r="D182" s="1306" t="s">
        <v>374</v>
      </c>
      <c r="E182" s="1308">
        <f>$F$8</f>
        <v>500</v>
      </c>
      <c r="F182" s="137"/>
      <c r="G182" s="324" t="s">
        <v>249</v>
      </c>
      <c r="H182" s="325">
        <f>H181*H179*1440</f>
        <v>0</v>
      </c>
      <c r="I182" s="326" t="s">
        <v>113</v>
      </c>
      <c r="J182" s="325">
        <f>J181*J179*1440</f>
        <v>0</v>
      </c>
      <c r="K182" s="327" t="s">
        <v>113</v>
      </c>
      <c r="L182" s="328">
        <f>H182-J182</f>
        <v>0</v>
      </c>
      <c r="M182" s="329" t="str">
        <f>IFERROR(L182/H182,"-")</f>
        <v>-</v>
      </c>
    </row>
    <row r="183" spans="3:14" x14ac:dyDescent="0.3">
      <c r="C183" s="360" t="s">
        <v>767</v>
      </c>
      <c r="D183" s="1307" t="s">
        <v>677</v>
      </c>
      <c r="E183" s="1308">
        <f>$F$9</f>
        <v>3</v>
      </c>
      <c r="F183" s="137"/>
      <c r="G183" s="324"/>
      <c r="H183" s="321"/>
      <c r="I183" s="326"/>
      <c r="J183" s="321"/>
      <c r="K183" s="327"/>
      <c r="L183" s="330"/>
      <c r="M183" s="331"/>
    </row>
    <row r="184" spans="3:14" x14ac:dyDescent="0.3">
      <c r="C184" s="360" t="s">
        <v>767</v>
      </c>
      <c r="D184" s="323" t="s">
        <v>375</v>
      </c>
      <c r="E184" s="1311">
        <f>E181/E182*E183</f>
        <v>0</v>
      </c>
      <c r="F184" s="211"/>
      <c r="G184" s="345" t="s">
        <v>244</v>
      </c>
      <c r="H184" s="353">
        <f>$H$9</f>
        <v>10</v>
      </c>
      <c r="I184" s="354" t="s">
        <v>245</v>
      </c>
      <c r="J184" s="353">
        <f>$H$9</f>
        <v>10</v>
      </c>
      <c r="K184" s="355" t="s">
        <v>245</v>
      </c>
      <c r="L184" s="356"/>
      <c r="M184" s="357"/>
      <c r="N184" s="178"/>
    </row>
    <row r="185" spans="3:14" x14ac:dyDescent="0.3">
      <c r="C185" s="360" t="s">
        <v>767</v>
      </c>
      <c r="D185" s="316"/>
      <c r="E185" s="137"/>
      <c r="F185" s="137"/>
      <c r="G185" s="324" t="s">
        <v>243</v>
      </c>
      <c r="H185" s="325">
        <f>H179*8.34*1440*H184/1000/8.34</f>
        <v>0</v>
      </c>
      <c r="I185" s="326" t="s">
        <v>113</v>
      </c>
      <c r="J185" s="325">
        <f>J179*8.34*1440*J184/1000/8.34</f>
        <v>0</v>
      </c>
      <c r="K185" s="327" t="s">
        <v>113</v>
      </c>
      <c r="L185" s="328">
        <f>H185-J185</f>
        <v>0</v>
      </c>
      <c r="M185" s="329" t="str">
        <f>IFERROR(L185/H185,"-")</f>
        <v>-</v>
      </c>
    </row>
    <row r="186" spans="3:14" x14ac:dyDescent="0.3">
      <c r="C186" s="360" t="s">
        <v>767</v>
      </c>
      <c r="D186" s="316"/>
      <c r="E186" s="137"/>
      <c r="F186" s="137"/>
      <c r="G186" s="324"/>
      <c r="H186" s="321"/>
      <c r="I186" s="326"/>
      <c r="J186" s="321"/>
      <c r="K186" s="327"/>
      <c r="L186" s="330"/>
      <c r="M186" s="331"/>
    </row>
    <row r="187" spans="3:14" x14ac:dyDescent="0.3">
      <c r="C187" s="360" t="s">
        <v>767</v>
      </c>
      <c r="D187" s="352"/>
      <c r="E187" s="211"/>
      <c r="F187" s="211"/>
      <c r="G187" s="345" t="s">
        <v>246</v>
      </c>
      <c r="H187" s="353">
        <f>$J$8</f>
        <v>4</v>
      </c>
      <c r="I187" s="354" t="s">
        <v>251</v>
      </c>
      <c r="J187" s="353">
        <f>$J$9</f>
        <v>10</v>
      </c>
      <c r="K187" s="355" t="s">
        <v>251</v>
      </c>
      <c r="L187" s="356"/>
      <c r="M187" s="357"/>
      <c r="N187" s="178"/>
    </row>
    <row r="188" spans="3:14" x14ac:dyDescent="0.3">
      <c r="C188" s="360" t="s">
        <v>767</v>
      </c>
      <c r="D188" s="316"/>
      <c r="E188" s="137"/>
      <c r="F188" s="137"/>
      <c r="G188" s="332" t="s">
        <v>247</v>
      </c>
      <c r="H188" s="333">
        <f>(H182*(H187-1)-H185)/(1-H187)</f>
        <v>0</v>
      </c>
      <c r="I188" s="334" t="s">
        <v>113</v>
      </c>
      <c r="J188" s="333">
        <f>(J182*(J187-1)-J185)/(1-J187)</f>
        <v>0</v>
      </c>
      <c r="K188" s="335" t="s">
        <v>113</v>
      </c>
      <c r="L188" s="336">
        <f>H188-J188</f>
        <v>0</v>
      </c>
      <c r="M188" s="329" t="str">
        <f>IFERROR(L188/H188,"-")</f>
        <v>-</v>
      </c>
    </row>
    <row r="189" spans="3:14" ht="15" thickBot="1" x14ac:dyDescent="0.35">
      <c r="C189" s="360" t="s">
        <v>767</v>
      </c>
      <c r="D189" s="337"/>
      <c r="E189" s="338" t="s">
        <v>43</v>
      </c>
      <c r="F189" s="338" t="s">
        <v>7</v>
      </c>
      <c r="G189" s="339" t="s">
        <v>248</v>
      </c>
      <c r="H189" s="340">
        <f>H182+H185+H188</f>
        <v>0</v>
      </c>
      <c r="I189" s="341" t="s">
        <v>113</v>
      </c>
      <c r="J189" s="340">
        <f>J182+J185+J188</f>
        <v>0</v>
      </c>
      <c r="K189" s="341" t="s">
        <v>113</v>
      </c>
      <c r="L189" s="342">
        <f>H189-J189</f>
        <v>0</v>
      </c>
      <c r="M189" s="343" t="str">
        <f>IFERROR(L189/H189,"-")</f>
        <v>-</v>
      </c>
    </row>
    <row r="190" spans="3:14" ht="15" thickBot="1" x14ac:dyDescent="0.35">
      <c r="C190" s="360"/>
    </row>
    <row r="191" spans="3:14" x14ac:dyDescent="0.3">
      <c r="C191" s="362" t="s">
        <v>765</v>
      </c>
      <c r="D191" s="308" t="str">
        <f>VLOOKUP(C191,'Airport Mapping'!$C$5:$D$39,2,FALSE)</f>
        <v xml:space="preserve"> </v>
      </c>
      <c r="E191" s="309"/>
      <c r="F191" s="309"/>
      <c r="G191" s="310" t="s">
        <v>242</v>
      </c>
      <c r="H191" s="311">
        <f>E196</f>
        <v>0</v>
      </c>
      <c r="I191" s="312" t="s">
        <v>678</v>
      </c>
      <c r="J191" s="311">
        <f>E196</f>
        <v>0</v>
      </c>
      <c r="K191" s="313" t="s">
        <v>678</v>
      </c>
      <c r="L191" s="314"/>
      <c r="M191" s="315"/>
    </row>
    <row r="192" spans="3:14" x14ac:dyDescent="0.3">
      <c r="C192" s="360" t="s">
        <v>765</v>
      </c>
      <c r="D192" s="316"/>
      <c r="E192" s="137"/>
      <c r="F192" s="137"/>
      <c r="G192" s="317"/>
      <c r="H192" s="318"/>
      <c r="I192" s="319"/>
      <c r="J192" s="318"/>
      <c r="K192" s="320"/>
      <c r="L192" s="321"/>
      <c r="M192" s="322"/>
    </row>
    <row r="193" spans="3:14" x14ac:dyDescent="0.3">
      <c r="C193" s="360" t="s">
        <v>765</v>
      </c>
      <c r="D193" s="351" t="s">
        <v>365</v>
      </c>
      <c r="E193" s="1310">
        <f>SUMIFS('Airport Statistics'!G:G,'Airport Statistics'!D:D,C193,'Airport Statistics'!F:F,D193)</f>
        <v>0</v>
      </c>
      <c r="F193" s="211"/>
      <c r="G193" s="345" t="s">
        <v>250</v>
      </c>
      <c r="H193" s="346">
        <f>$H$8</f>
        <v>1E-3</v>
      </c>
      <c r="I193" s="347" t="s">
        <v>188</v>
      </c>
      <c r="J193" s="346">
        <f>$H$8</f>
        <v>1E-3</v>
      </c>
      <c r="K193" s="348" t="s">
        <v>188</v>
      </c>
      <c r="L193" s="349"/>
      <c r="M193" s="350"/>
      <c r="N193" s="178"/>
    </row>
    <row r="194" spans="3:14" x14ac:dyDescent="0.3">
      <c r="C194" s="360" t="s">
        <v>765</v>
      </c>
      <c r="D194" s="1306" t="s">
        <v>374</v>
      </c>
      <c r="E194" s="1308">
        <f>$F$8</f>
        <v>500</v>
      </c>
      <c r="F194" s="137"/>
      <c r="G194" s="324" t="s">
        <v>249</v>
      </c>
      <c r="H194" s="325">
        <f>H193*H191*1440</f>
        <v>0</v>
      </c>
      <c r="I194" s="326" t="s">
        <v>113</v>
      </c>
      <c r="J194" s="325">
        <f>J193*J191*1440</f>
        <v>0</v>
      </c>
      <c r="K194" s="327" t="s">
        <v>113</v>
      </c>
      <c r="L194" s="328">
        <f>H194-J194</f>
        <v>0</v>
      </c>
      <c r="M194" s="329" t="str">
        <f>IFERROR(L194/H194,"-")</f>
        <v>-</v>
      </c>
    </row>
    <row r="195" spans="3:14" x14ac:dyDescent="0.3">
      <c r="C195" s="360" t="s">
        <v>765</v>
      </c>
      <c r="D195" s="1307" t="s">
        <v>677</v>
      </c>
      <c r="E195" s="1308">
        <f>$F$9</f>
        <v>3</v>
      </c>
      <c r="F195" s="137"/>
      <c r="G195" s="324"/>
      <c r="H195" s="321"/>
      <c r="I195" s="326"/>
      <c r="J195" s="321"/>
      <c r="K195" s="327"/>
      <c r="L195" s="330"/>
      <c r="M195" s="331"/>
    </row>
    <row r="196" spans="3:14" x14ac:dyDescent="0.3">
      <c r="C196" s="360" t="s">
        <v>765</v>
      </c>
      <c r="D196" s="323" t="s">
        <v>375</v>
      </c>
      <c r="E196" s="1311">
        <f>E193/E194*E195</f>
        <v>0</v>
      </c>
      <c r="F196" s="211"/>
      <c r="G196" s="345" t="s">
        <v>244</v>
      </c>
      <c r="H196" s="353">
        <f>$H$9</f>
        <v>10</v>
      </c>
      <c r="I196" s="354" t="s">
        <v>245</v>
      </c>
      <c r="J196" s="353">
        <f>$H$9</f>
        <v>10</v>
      </c>
      <c r="K196" s="355" t="s">
        <v>245</v>
      </c>
      <c r="L196" s="356"/>
      <c r="M196" s="357"/>
      <c r="N196" s="178"/>
    </row>
    <row r="197" spans="3:14" x14ac:dyDescent="0.3">
      <c r="C197" s="360" t="s">
        <v>765</v>
      </c>
      <c r="D197" s="316"/>
      <c r="E197" s="137"/>
      <c r="F197" s="137"/>
      <c r="G197" s="324" t="s">
        <v>243</v>
      </c>
      <c r="H197" s="325">
        <f>H191*8.34*1440*H196/1000/8.34</f>
        <v>0</v>
      </c>
      <c r="I197" s="326" t="s">
        <v>113</v>
      </c>
      <c r="J197" s="325">
        <f>J191*8.34*1440*J196/1000/8.34</f>
        <v>0</v>
      </c>
      <c r="K197" s="327" t="s">
        <v>113</v>
      </c>
      <c r="L197" s="328">
        <f>H197-J197</f>
        <v>0</v>
      </c>
      <c r="M197" s="329" t="str">
        <f>IFERROR(L197/H197,"-")</f>
        <v>-</v>
      </c>
    </row>
    <row r="198" spans="3:14" x14ac:dyDescent="0.3">
      <c r="C198" s="360" t="s">
        <v>765</v>
      </c>
      <c r="D198" s="316"/>
      <c r="E198" s="137"/>
      <c r="F198" s="137"/>
      <c r="G198" s="324"/>
      <c r="H198" s="321"/>
      <c r="I198" s="326"/>
      <c r="J198" s="321"/>
      <c r="K198" s="327"/>
      <c r="L198" s="330"/>
      <c r="M198" s="331"/>
    </row>
    <row r="199" spans="3:14" x14ac:dyDescent="0.3">
      <c r="C199" s="360" t="s">
        <v>765</v>
      </c>
      <c r="D199" s="352"/>
      <c r="E199" s="211"/>
      <c r="F199" s="211"/>
      <c r="G199" s="345" t="s">
        <v>246</v>
      </c>
      <c r="H199" s="353">
        <f>$J$8</f>
        <v>4</v>
      </c>
      <c r="I199" s="354" t="s">
        <v>251</v>
      </c>
      <c r="J199" s="353">
        <f>$J$9</f>
        <v>10</v>
      </c>
      <c r="K199" s="355" t="s">
        <v>251</v>
      </c>
      <c r="L199" s="356"/>
      <c r="M199" s="357"/>
      <c r="N199" s="178"/>
    </row>
    <row r="200" spans="3:14" x14ac:dyDescent="0.3">
      <c r="C200" s="360" t="s">
        <v>765</v>
      </c>
      <c r="D200" s="316"/>
      <c r="E200" s="137"/>
      <c r="F200" s="137"/>
      <c r="G200" s="332" t="s">
        <v>247</v>
      </c>
      <c r="H200" s="333">
        <f>(H194*(H199-1)-H197)/(1-H199)</f>
        <v>0</v>
      </c>
      <c r="I200" s="334" t="s">
        <v>113</v>
      </c>
      <c r="J200" s="333">
        <f>(J194*(J199-1)-J197)/(1-J199)</f>
        <v>0</v>
      </c>
      <c r="K200" s="335" t="s">
        <v>113</v>
      </c>
      <c r="L200" s="336">
        <f>H200-J200</f>
        <v>0</v>
      </c>
      <c r="M200" s="329" t="str">
        <f>IFERROR(L200/H200,"-")</f>
        <v>-</v>
      </c>
    </row>
    <row r="201" spans="3:14" ht="15" thickBot="1" x14ac:dyDescent="0.35">
      <c r="C201" s="360" t="s">
        <v>765</v>
      </c>
      <c r="D201" s="337"/>
      <c r="E201" s="338" t="s">
        <v>43</v>
      </c>
      <c r="F201" s="338" t="s">
        <v>7</v>
      </c>
      <c r="G201" s="339" t="s">
        <v>248</v>
      </c>
      <c r="H201" s="340">
        <f>H194+H197+H200</f>
        <v>0</v>
      </c>
      <c r="I201" s="341" t="s">
        <v>113</v>
      </c>
      <c r="J201" s="340">
        <f>J194+J197+J200</f>
        <v>0</v>
      </c>
      <c r="K201" s="341" t="s">
        <v>113</v>
      </c>
      <c r="L201" s="342">
        <f>H201-J201</f>
        <v>0</v>
      </c>
      <c r="M201" s="343" t="str">
        <f>IFERROR(L201/H201,"-")</f>
        <v>-</v>
      </c>
    </row>
    <row r="202" spans="3:14" ht="15" thickBot="1" x14ac:dyDescent="0.35">
      <c r="C202" s="360"/>
    </row>
    <row r="203" spans="3:14" x14ac:dyDescent="0.3">
      <c r="C203" s="362" t="s">
        <v>421</v>
      </c>
      <c r="D203" s="308" t="str">
        <f>VLOOKUP(C203,'Airport Mapping'!$C$5:$D$39,2,FALSE)</f>
        <v xml:space="preserve"> </v>
      </c>
      <c r="E203" s="309"/>
      <c r="F203" s="309"/>
      <c r="G203" s="310" t="s">
        <v>242</v>
      </c>
      <c r="H203" s="311">
        <f>E208</f>
        <v>0</v>
      </c>
      <c r="I203" s="312" t="s">
        <v>678</v>
      </c>
      <c r="J203" s="311">
        <f>E208</f>
        <v>0</v>
      </c>
      <c r="K203" s="313" t="s">
        <v>678</v>
      </c>
      <c r="L203" s="314"/>
      <c r="M203" s="315"/>
    </row>
    <row r="204" spans="3:14" x14ac:dyDescent="0.3">
      <c r="C204" s="360" t="s">
        <v>421</v>
      </c>
      <c r="D204" s="316"/>
      <c r="E204" s="137"/>
      <c r="F204" s="137"/>
      <c r="G204" s="317"/>
      <c r="H204" s="318"/>
      <c r="I204" s="319"/>
      <c r="J204" s="318"/>
      <c r="K204" s="320"/>
      <c r="L204" s="321"/>
      <c r="M204" s="322"/>
    </row>
    <row r="205" spans="3:14" x14ac:dyDescent="0.3">
      <c r="C205" s="360" t="s">
        <v>421</v>
      </c>
      <c r="D205" s="351" t="s">
        <v>365</v>
      </c>
      <c r="E205" s="1310">
        <f>SUMIFS('Airport Statistics'!G:G,'Airport Statistics'!D:D,C205,'Airport Statistics'!F:F,D205)</f>
        <v>0</v>
      </c>
      <c r="F205" s="211"/>
      <c r="G205" s="345" t="s">
        <v>250</v>
      </c>
      <c r="H205" s="346">
        <f>$H$8</f>
        <v>1E-3</v>
      </c>
      <c r="I205" s="347" t="s">
        <v>188</v>
      </c>
      <c r="J205" s="346">
        <f>$H$8</f>
        <v>1E-3</v>
      </c>
      <c r="K205" s="348" t="s">
        <v>188</v>
      </c>
      <c r="L205" s="349"/>
      <c r="M205" s="350"/>
      <c r="N205" s="178"/>
    </row>
    <row r="206" spans="3:14" x14ac:dyDescent="0.3">
      <c r="C206" s="360" t="s">
        <v>421</v>
      </c>
      <c r="D206" s="1306" t="s">
        <v>374</v>
      </c>
      <c r="E206" s="1308">
        <f>$F$8</f>
        <v>500</v>
      </c>
      <c r="F206" s="137"/>
      <c r="G206" s="324" t="s">
        <v>249</v>
      </c>
      <c r="H206" s="325">
        <f>H205*H203*1440</f>
        <v>0</v>
      </c>
      <c r="I206" s="326" t="s">
        <v>113</v>
      </c>
      <c r="J206" s="325">
        <f>J205*J203*1440</f>
        <v>0</v>
      </c>
      <c r="K206" s="327" t="s">
        <v>113</v>
      </c>
      <c r="L206" s="328">
        <f>H206-J206</f>
        <v>0</v>
      </c>
      <c r="M206" s="329" t="str">
        <f>IFERROR(L206/H206,"-")</f>
        <v>-</v>
      </c>
    </row>
    <row r="207" spans="3:14" x14ac:dyDescent="0.3">
      <c r="C207" s="360" t="s">
        <v>421</v>
      </c>
      <c r="D207" s="1307" t="s">
        <v>677</v>
      </c>
      <c r="E207" s="1308">
        <f>$F$9</f>
        <v>3</v>
      </c>
      <c r="F207" s="137"/>
      <c r="G207" s="324"/>
      <c r="H207" s="321"/>
      <c r="I207" s="326"/>
      <c r="J207" s="321"/>
      <c r="K207" s="327"/>
      <c r="L207" s="330"/>
      <c r="M207" s="331"/>
    </row>
    <row r="208" spans="3:14" x14ac:dyDescent="0.3">
      <c r="C208" s="360" t="s">
        <v>421</v>
      </c>
      <c r="D208" s="323" t="s">
        <v>375</v>
      </c>
      <c r="E208" s="1311">
        <f>E205/E206*E207</f>
        <v>0</v>
      </c>
      <c r="F208" s="211"/>
      <c r="G208" s="345" t="s">
        <v>244</v>
      </c>
      <c r="H208" s="353">
        <f>$H$9</f>
        <v>10</v>
      </c>
      <c r="I208" s="354" t="s">
        <v>245</v>
      </c>
      <c r="J208" s="353">
        <f>$H$9</f>
        <v>10</v>
      </c>
      <c r="K208" s="355" t="s">
        <v>245</v>
      </c>
      <c r="L208" s="356"/>
      <c r="M208" s="357"/>
      <c r="N208" s="178"/>
    </row>
    <row r="209" spans="3:14" x14ac:dyDescent="0.3">
      <c r="C209" s="360" t="s">
        <v>421</v>
      </c>
      <c r="D209" s="316"/>
      <c r="E209" s="137"/>
      <c r="F209" s="137"/>
      <c r="G209" s="324" t="s">
        <v>243</v>
      </c>
      <c r="H209" s="325">
        <f>H203*8.34*1440*H208/1000/8.34</f>
        <v>0</v>
      </c>
      <c r="I209" s="326" t="s">
        <v>113</v>
      </c>
      <c r="J209" s="325">
        <f>J203*8.34*1440*J208/1000/8.34</f>
        <v>0</v>
      </c>
      <c r="K209" s="327" t="s">
        <v>113</v>
      </c>
      <c r="L209" s="328">
        <f>H209-J209</f>
        <v>0</v>
      </c>
      <c r="M209" s="329" t="str">
        <f>IFERROR(L209/H209,"-")</f>
        <v>-</v>
      </c>
    </row>
    <row r="210" spans="3:14" x14ac:dyDescent="0.3">
      <c r="C210" s="360" t="s">
        <v>421</v>
      </c>
      <c r="D210" s="316"/>
      <c r="E210" s="137"/>
      <c r="F210" s="137"/>
      <c r="G210" s="324"/>
      <c r="H210" s="321"/>
      <c r="I210" s="326"/>
      <c r="J210" s="321"/>
      <c r="K210" s="327"/>
      <c r="L210" s="330"/>
      <c r="M210" s="331"/>
    </row>
    <row r="211" spans="3:14" x14ac:dyDescent="0.3">
      <c r="C211" s="360" t="s">
        <v>421</v>
      </c>
      <c r="D211" s="352"/>
      <c r="E211" s="211"/>
      <c r="F211" s="211"/>
      <c r="G211" s="345" t="s">
        <v>246</v>
      </c>
      <c r="H211" s="353">
        <f>$J$8</f>
        <v>4</v>
      </c>
      <c r="I211" s="354" t="s">
        <v>251</v>
      </c>
      <c r="J211" s="353">
        <f>$J$9</f>
        <v>10</v>
      </c>
      <c r="K211" s="355" t="s">
        <v>251</v>
      </c>
      <c r="L211" s="356"/>
      <c r="M211" s="357"/>
      <c r="N211" s="178"/>
    </row>
    <row r="212" spans="3:14" x14ac:dyDescent="0.3">
      <c r="C212" s="360" t="s">
        <v>421</v>
      </c>
      <c r="D212" s="316"/>
      <c r="E212" s="137"/>
      <c r="F212" s="137"/>
      <c r="G212" s="332" t="s">
        <v>247</v>
      </c>
      <c r="H212" s="333">
        <f>(H206*(H211-1)-H209)/(1-H211)</f>
        <v>0</v>
      </c>
      <c r="I212" s="334" t="s">
        <v>113</v>
      </c>
      <c r="J212" s="333">
        <f>(J206*(J211-1)-J209)/(1-J211)</f>
        <v>0</v>
      </c>
      <c r="K212" s="335" t="s">
        <v>113</v>
      </c>
      <c r="L212" s="336">
        <f>H212-J212</f>
        <v>0</v>
      </c>
      <c r="M212" s="329" t="str">
        <f>IFERROR(L212/H212,"-")</f>
        <v>-</v>
      </c>
    </row>
    <row r="213" spans="3:14" ht="15" thickBot="1" x14ac:dyDescent="0.35">
      <c r="C213" s="360" t="s">
        <v>421</v>
      </c>
      <c r="D213" s="337"/>
      <c r="E213" s="338" t="s">
        <v>43</v>
      </c>
      <c r="F213" s="338" t="s">
        <v>7</v>
      </c>
      <c r="G213" s="339" t="s">
        <v>248</v>
      </c>
      <c r="H213" s="340">
        <f>H206+H209+H212</f>
        <v>0</v>
      </c>
      <c r="I213" s="341" t="s">
        <v>113</v>
      </c>
      <c r="J213" s="340">
        <f>J206+J209+J212</f>
        <v>0</v>
      </c>
      <c r="K213" s="341" t="s">
        <v>113</v>
      </c>
      <c r="L213" s="342">
        <f>H213-J213</f>
        <v>0</v>
      </c>
      <c r="M213" s="343" t="str">
        <f>IFERROR(L213/H213,"-")</f>
        <v>-</v>
      </c>
    </row>
    <row r="214" spans="3:14" ht="15" thickBot="1" x14ac:dyDescent="0.35">
      <c r="C214" s="360"/>
    </row>
    <row r="215" spans="3:14" x14ac:dyDescent="0.3">
      <c r="C215" s="362" t="s">
        <v>422</v>
      </c>
      <c r="D215" s="308" t="str">
        <f>VLOOKUP(C215,'Airport Mapping'!$C$5:$D$39,2,FALSE)</f>
        <v xml:space="preserve"> </v>
      </c>
      <c r="E215" s="309"/>
      <c r="F215" s="309"/>
      <c r="G215" s="310" t="s">
        <v>242</v>
      </c>
      <c r="H215" s="311">
        <f>E220</f>
        <v>0</v>
      </c>
      <c r="I215" s="312" t="s">
        <v>678</v>
      </c>
      <c r="J215" s="311">
        <f>E220</f>
        <v>0</v>
      </c>
      <c r="K215" s="313" t="s">
        <v>678</v>
      </c>
      <c r="L215" s="314"/>
      <c r="M215" s="315"/>
    </row>
    <row r="216" spans="3:14" x14ac:dyDescent="0.3">
      <c r="C216" s="360" t="s">
        <v>422</v>
      </c>
      <c r="D216" s="316"/>
      <c r="E216" s="137"/>
      <c r="F216" s="137"/>
      <c r="G216" s="317"/>
      <c r="H216" s="318"/>
      <c r="I216" s="319"/>
      <c r="J216" s="318"/>
      <c r="K216" s="320"/>
      <c r="L216" s="321"/>
      <c r="M216" s="322"/>
    </row>
    <row r="217" spans="3:14" x14ac:dyDescent="0.3">
      <c r="C217" s="360" t="s">
        <v>422</v>
      </c>
      <c r="D217" s="351" t="s">
        <v>365</v>
      </c>
      <c r="E217" s="1310">
        <f>SUMIFS('Airport Statistics'!G:G,'Airport Statistics'!D:D,C217,'Airport Statistics'!F:F,D217)</f>
        <v>0</v>
      </c>
      <c r="F217" s="211"/>
      <c r="G217" s="345" t="s">
        <v>250</v>
      </c>
      <c r="H217" s="346">
        <f>$H$8</f>
        <v>1E-3</v>
      </c>
      <c r="I217" s="347" t="s">
        <v>188</v>
      </c>
      <c r="J217" s="346">
        <f>$H$8</f>
        <v>1E-3</v>
      </c>
      <c r="K217" s="348" t="s">
        <v>188</v>
      </c>
      <c r="L217" s="349"/>
      <c r="M217" s="350"/>
      <c r="N217" s="178"/>
    </row>
    <row r="218" spans="3:14" x14ac:dyDescent="0.3">
      <c r="C218" s="360" t="s">
        <v>422</v>
      </c>
      <c r="D218" s="1306" t="s">
        <v>374</v>
      </c>
      <c r="E218" s="1308">
        <f>$F$8</f>
        <v>500</v>
      </c>
      <c r="F218" s="137"/>
      <c r="G218" s="324" t="s">
        <v>249</v>
      </c>
      <c r="H218" s="325">
        <f>H217*H215*1440</f>
        <v>0</v>
      </c>
      <c r="I218" s="326" t="s">
        <v>113</v>
      </c>
      <c r="J218" s="325">
        <f>J217*J215*1440</f>
        <v>0</v>
      </c>
      <c r="K218" s="327" t="s">
        <v>113</v>
      </c>
      <c r="L218" s="328">
        <f>H218-J218</f>
        <v>0</v>
      </c>
      <c r="M218" s="329" t="str">
        <f>IFERROR(L218/H218,"-")</f>
        <v>-</v>
      </c>
    </row>
    <row r="219" spans="3:14" x14ac:dyDescent="0.3">
      <c r="C219" s="360" t="s">
        <v>422</v>
      </c>
      <c r="D219" s="1307" t="s">
        <v>677</v>
      </c>
      <c r="E219" s="1308">
        <f>$F$9</f>
        <v>3</v>
      </c>
      <c r="F219" s="137"/>
      <c r="G219" s="324"/>
      <c r="H219" s="321"/>
      <c r="I219" s="326"/>
      <c r="J219" s="321"/>
      <c r="K219" s="327"/>
      <c r="L219" s="330"/>
      <c r="M219" s="331"/>
    </row>
    <row r="220" spans="3:14" x14ac:dyDescent="0.3">
      <c r="C220" s="360" t="s">
        <v>422</v>
      </c>
      <c r="D220" s="323" t="s">
        <v>375</v>
      </c>
      <c r="E220" s="1311">
        <f>E217/E218*E219</f>
        <v>0</v>
      </c>
      <c r="F220" s="211"/>
      <c r="G220" s="345" t="s">
        <v>244</v>
      </c>
      <c r="H220" s="353">
        <f>$H$9</f>
        <v>10</v>
      </c>
      <c r="I220" s="354" t="s">
        <v>245</v>
      </c>
      <c r="J220" s="353">
        <f>$H$9</f>
        <v>10</v>
      </c>
      <c r="K220" s="355" t="s">
        <v>245</v>
      </c>
      <c r="L220" s="356"/>
      <c r="M220" s="357"/>
      <c r="N220" s="178"/>
    </row>
    <row r="221" spans="3:14" x14ac:dyDescent="0.3">
      <c r="C221" s="360" t="s">
        <v>422</v>
      </c>
      <c r="D221" s="316"/>
      <c r="E221" s="137"/>
      <c r="F221" s="137"/>
      <c r="G221" s="324" t="s">
        <v>243</v>
      </c>
      <c r="H221" s="325">
        <f>H215*8.34*1440*H220/1000/8.34</f>
        <v>0</v>
      </c>
      <c r="I221" s="326" t="s">
        <v>113</v>
      </c>
      <c r="J221" s="325">
        <f>J215*8.34*1440*J220/1000/8.34</f>
        <v>0</v>
      </c>
      <c r="K221" s="327" t="s">
        <v>113</v>
      </c>
      <c r="L221" s="328">
        <f>H221-J221</f>
        <v>0</v>
      </c>
      <c r="M221" s="329" t="str">
        <f>IFERROR(L221/H221,"-")</f>
        <v>-</v>
      </c>
    </row>
    <row r="222" spans="3:14" x14ac:dyDescent="0.3">
      <c r="C222" s="360" t="s">
        <v>422</v>
      </c>
      <c r="D222" s="316"/>
      <c r="E222" s="137"/>
      <c r="F222" s="137"/>
      <c r="G222" s="324"/>
      <c r="H222" s="321"/>
      <c r="I222" s="326"/>
      <c r="J222" s="321"/>
      <c r="K222" s="327"/>
      <c r="L222" s="330"/>
      <c r="M222" s="331"/>
    </row>
    <row r="223" spans="3:14" x14ac:dyDescent="0.3">
      <c r="C223" s="360" t="s">
        <v>422</v>
      </c>
      <c r="D223" s="352"/>
      <c r="E223" s="211"/>
      <c r="F223" s="211"/>
      <c r="G223" s="345" t="s">
        <v>246</v>
      </c>
      <c r="H223" s="353">
        <f>$J$8</f>
        <v>4</v>
      </c>
      <c r="I223" s="354" t="s">
        <v>251</v>
      </c>
      <c r="J223" s="353">
        <f>$J$9</f>
        <v>10</v>
      </c>
      <c r="K223" s="355" t="s">
        <v>251</v>
      </c>
      <c r="L223" s="356"/>
      <c r="M223" s="357"/>
      <c r="N223" s="178"/>
    </row>
    <row r="224" spans="3:14" x14ac:dyDescent="0.3">
      <c r="C224" s="360" t="s">
        <v>422</v>
      </c>
      <c r="D224" s="316"/>
      <c r="E224" s="137"/>
      <c r="F224" s="137"/>
      <c r="G224" s="332" t="s">
        <v>247</v>
      </c>
      <c r="H224" s="333">
        <f>(H218*(H223-1)-H221)/(1-H223)</f>
        <v>0</v>
      </c>
      <c r="I224" s="334" t="s">
        <v>113</v>
      </c>
      <c r="J224" s="333">
        <f>(J218*(J223-1)-J221)/(1-J223)</f>
        <v>0</v>
      </c>
      <c r="K224" s="335" t="s">
        <v>113</v>
      </c>
      <c r="L224" s="336">
        <f>H224-J224</f>
        <v>0</v>
      </c>
      <c r="M224" s="329" t="str">
        <f>IFERROR(L224/H224,"-")</f>
        <v>-</v>
      </c>
    </row>
    <row r="225" spans="3:14" ht="15" thickBot="1" x14ac:dyDescent="0.35">
      <c r="C225" s="360" t="s">
        <v>422</v>
      </c>
      <c r="D225" s="337"/>
      <c r="E225" s="338" t="s">
        <v>43</v>
      </c>
      <c r="F225" s="338" t="s">
        <v>7</v>
      </c>
      <c r="G225" s="339" t="s">
        <v>248</v>
      </c>
      <c r="H225" s="340">
        <f>H218+H221+H224</f>
        <v>0</v>
      </c>
      <c r="I225" s="341" t="s">
        <v>113</v>
      </c>
      <c r="J225" s="340">
        <f>J218+J221+J224</f>
        <v>0</v>
      </c>
      <c r="K225" s="341" t="s">
        <v>113</v>
      </c>
      <c r="L225" s="342">
        <f>H225-J225</f>
        <v>0</v>
      </c>
      <c r="M225" s="343" t="str">
        <f>IFERROR(L225/H225,"-")</f>
        <v>-</v>
      </c>
    </row>
    <row r="226" spans="3:14" ht="15" thickBot="1" x14ac:dyDescent="0.35">
      <c r="C226" s="360"/>
    </row>
    <row r="227" spans="3:14" x14ac:dyDescent="0.3">
      <c r="C227" s="362" t="s">
        <v>96</v>
      </c>
      <c r="D227" s="308" t="str">
        <f>VLOOKUP(C227,'Airport Mapping'!$C$5:$D$39,2,FALSE)</f>
        <v xml:space="preserve"> </v>
      </c>
      <c r="E227" s="309"/>
      <c r="F227" s="309"/>
      <c r="G227" s="310" t="s">
        <v>242</v>
      </c>
      <c r="H227" s="311">
        <f>E232</f>
        <v>0</v>
      </c>
      <c r="I227" s="312" t="s">
        <v>678</v>
      </c>
      <c r="J227" s="311">
        <f>E232</f>
        <v>0</v>
      </c>
      <c r="K227" s="313" t="s">
        <v>678</v>
      </c>
      <c r="L227" s="314"/>
      <c r="M227" s="315"/>
    </row>
    <row r="228" spans="3:14" x14ac:dyDescent="0.3">
      <c r="C228" s="360" t="s">
        <v>96</v>
      </c>
      <c r="D228" s="316"/>
      <c r="E228" s="137"/>
      <c r="F228" s="137"/>
      <c r="G228" s="317"/>
      <c r="H228" s="318"/>
      <c r="I228" s="319"/>
      <c r="J228" s="318"/>
      <c r="K228" s="320"/>
      <c r="L228" s="321"/>
      <c r="M228" s="322"/>
    </row>
    <row r="229" spans="3:14" x14ac:dyDescent="0.3">
      <c r="C229" s="360" t="s">
        <v>96</v>
      </c>
      <c r="D229" s="351" t="s">
        <v>365</v>
      </c>
      <c r="E229" s="1310">
        <f>SUMIFS('Airport Statistics'!G:G,'Airport Statistics'!D:D,C229,'Airport Statistics'!F:F,D229)</f>
        <v>0</v>
      </c>
      <c r="F229" s="211"/>
      <c r="G229" s="345" t="s">
        <v>250</v>
      </c>
      <c r="H229" s="346">
        <f>$H$8</f>
        <v>1E-3</v>
      </c>
      <c r="I229" s="347" t="s">
        <v>188</v>
      </c>
      <c r="J229" s="346">
        <f>$H$8</f>
        <v>1E-3</v>
      </c>
      <c r="K229" s="348" t="s">
        <v>188</v>
      </c>
      <c r="L229" s="349"/>
      <c r="M229" s="350"/>
      <c r="N229" s="178"/>
    </row>
    <row r="230" spans="3:14" x14ac:dyDescent="0.3">
      <c r="C230" s="360" t="s">
        <v>96</v>
      </c>
      <c r="D230" s="1306" t="s">
        <v>374</v>
      </c>
      <c r="E230" s="1308">
        <f>$F$8</f>
        <v>500</v>
      </c>
      <c r="F230" s="137"/>
      <c r="G230" s="324" t="s">
        <v>249</v>
      </c>
      <c r="H230" s="325">
        <f>H229*H227*1440</f>
        <v>0</v>
      </c>
      <c r="I230" s="326" t="s">
        <v>113</v>
      </c>
      <c r="J230" s="325">
        <f>J229*J227*1440</f>
        <v>0</v>
      </c>
      <c r="K230" s="327" t="s">
        <v>113</v>
      </c>
      <c r="L230" s="328">
        <f>H230-J230</f>
        <v>0</v>
      </c>
      <c r="M230" s="329" t="str">
        <f>IFERROR(L230/H230,"-")</f>
        <v>-</v>
      </c>
    </row>
    <row r="231" spans="3:14" x14ac:dyDescent="0.3">
      <c r="C231" s="360" t="s">
        <v>96</v>
      </c>
      <c r="D231" s="1307" t="s">
        <v>677</v>
      </c>
      <c r="E231" s="1308">
        <f>$F$9</f>
        <v>3</v>
      </c>
      <c r="F231" s="137"/>
      <c r="G231" s="324"/>
      <c r="H231" s="321"/>
      <c r="I231" s="326"/>
      <c r="J231" s="321"/>
      <c r="K231" s="327"/>
      <c r="L231" s="330"/>
      <c r="M231" s="331"/>
    </row>
    <row r="232" spans="3:14" x14ac:dyDescent="0.3">
      <c r="C232" s="360" t="s">
        <v>96</v>
      </c>
      <c r="D232" s="323" t="s">
        <v>375</v>
      </c>
      <c r="E232" s="1311">
        <f>E229/E230*E231</f>
        <v>0</v>
      </c>
      <c r="F232" s="211"/>
      <c r="G232" s="345" t="s">
        <v>244</v>
      </c>
      <c r="H232" s="353">
        <f>$H$9</f>
        <v>10</v>
      </c>
      <c r="I232" s="354" t="s">
        <v>245</v>
      </c>
      <c r="J232" s="353">
        <f>$H$9</f>
        <v>10</v>
      </c>
      <c r="K232" s="355" t="s">
        <v>245</v>
      </c>
      <c r="L232" s="356"/>
      <c r="M232" s="357"/>
      <c r="N232" s="178"/>
    </row>
    <row r="233" spans="3:14" x14ac:dyDescent="0.3">
      <c r="C233" s="360" t="s">
        <v>96</v>
      </c>
      <c r="D233" s="316"/>
      <c r="E233" s="137"/>
      <c r="F233" s="137"/>
      <c r="G233" s="324" t="s">
        <v>243</v>
      </c>
      <c r="H233" s="325">
        <f>H227*8.34*1440*H232/1000/8.34</f>
        <v>0</v>
      </c>
      <c r="I233" s="326" t="s">
        <v>113</v>
      </c>
      <c r="J233" s="325">
        <f>J227*8.34*1440*J232/1000/8.34</f>
        <v>0</v>
      </c>
      <c r="K233" s="327" t="s">
        <v>113</v>
      </c>
      <c r="L233" s="328">
        <f>H233-J233</f>
        <v>0</v>
      </c>
      <c r="M233" s="329" t="str">
        <f>IFERROR(L233/H233,"-")</f>
        <v>-</v>
      </c>
    </row>
    <row r="234" spans="3:14" x14ac:dyDescent="0.3">
      <c r="C234" s="360" t="s">
        <v>96</v>
      </c>
      <c r="D234" s="316"/>
      <c r="E234" s="137"/>
      <c r="F234" s="137"/>
      <c r="G234" s="324"/>
      <c r="H234" s="321"/>
      <c r="I234" s="326"/>
      <c r="J234" s="321"/>
      <c r="K234" s="327"/>
      <c r="L234" s="330"/>
      <c r="M234" s="331"/>
    </row>
    <row r="235" spans="3:14" x14ac:dyDescent="0.3">
      <c r="C235" s="360" t="s">
        <v>96</v>
      </c>
      <c r="D235" s="352"/>
      <c r="E235" s="211"/>
      <c r="F235" s="211"/>
      <c r="G235" s="345" t="s">
        <v>246</v>
      </c>
      <c r="H235" s="353">
        <f>$J$8</f>
        <v>4</v>
      </c>
      <c r="I235" s="354" t="s">
        <v>251</v>
      </c>
      <c r="J235" s="353">
        <f>$J$9</f>
        <v>10</v>
      </c>
      <c r="K235" s="355" t="s">
        <v>251</v>
      </c>
      <c r="L235" s="356"/>
      <c r="M235" s="357"/>
      <c r="N235" s="178"/>
    </row>
    <row r="236" spans="3:14" x14ac:dyDescent="0.3">
      <c r="C236" s="360" t="s">
        <v>96</v>
      </c>
      <c r="D236" s="316"/>
      <c r="E236" s="137"/>
      <c r="F236" s="137"/>
      <c r="G236" s="332" t="s">
        <v>247</v>
      </c>
      <c r="H236" s="333">
        <f>(H230*(H235-1)-H233)/(1-H235)</f>
        <v>0</v>
      </c>
      <c r="I236" s="334" t="s">
        <v>113</v>
      </c>
      <c r="J236" s="333">
        <f>(J230*(J235-1)-J233)/(1-J235)</f>
        <v>0</v>
      </c>
      <c r="K236" s="335" t="s">
        <v>113</v>
      </c>
      <c r="L236" s="336">
        <f>H236-J236</f>
        <v>0</v>
      </c>
      <c r="M236" s="329" t="str">
        <f>IFERROR(L236/H236,"-")</f>
        <v>-</v>
      </c>
    </row>
    <row r="237" spans="3:14" ht="15" thickBot="1" x14ac:dyDescent="0.35">
      <c r="C237" s="360" t="s">
        <v>96</v>
      </c>
      <c r="D237" s="337"/>
      <c r="E237" s="338" t="s">
        <v>43</v>
      </c>
      <c r="F237" s="338" t="s">
        <v>7</v>
      </c>
      <c r="G237" s="339" t="s">
        <v>248</v>
      </c>
      <c r="H237" s="340">
        <f>H230+H233+H236</f>
        <v>0</v>
      </c>
      <c r="I237" s="341" t="s">
        <v>113</v>
      </c>
      <c r="J237" s="340">
        <f>J230+J233+J236</f>
        <v>0</v>
      </c>
      <c r="K237" s="341" t="s">
        <v>113</v>
      </c>
      <c r="L237" s="342">
        <f>H237-J237</f>
        <v>0</v>
      </c>
      <c r="M237" s="343" t="str">
        <f>IFERROR(L237/H237,"-")</f>
        <v>-</v>
      </c>
    </row>
    <row r="238" spans="3:14" ht="15" thickBot="1" x14ac:dyDescent="0.35">
      <c r="C238" s="360"/>
    </row>
    <row r="239" spans="3:14" x14ac:dyDescent="0.3">
      <c r="C239" s="362" t="s">
        <v>97</v>
      </c>
      <c r="D239" s="308" t="str">
        <f>VLOOKUP(C239,'Airport Mapping'!$C$5:$D$39,2,FALSE)</f>
        <v xml:space="preserve"> </v>
      </c>
      <c r="E239" s="309"/>
      <c r="F239" s="309"/>
      <c r="G239" s="310" t="s">
        <v>242</v>
      </c>
      <c r="H239" s="311">
        <f>E244</f>
        <v>0</v>
      </c>
      <c r="I239" s="312" t="s">
        <v>678</v>
      </c>
      <c r="J239" s="311">
        <f>E244</f>
        <v>0</v>
      </c>
      <c r="K239" s="313" t="s">
        <v>678</v>
      </c>
      <c r="L239" s="314"/>
      <c r="M239" s="315"/>
    </row>
    <row r="240" spans="3:14" x14ac:dyDescent="0.3">
      <c r="C240" s="360" t="s">
        <v>97</v>
      </c>
      <c r="D240" s="316"/>
      <c r="E240" s="137"/>
      <c r="F240" s="137"/>
      <c r="G240" s="317"/>
      <c r="H240" s="318"/>
      <c r="I240" s="319"/>
      <c r="J240" s="318"/>
      <c r="K240" s="320"/>
      <c r="L240" s="321"/>
      <c r="M240" s="322"/>
    </row>
    <row r="241" spans="3:14" x14ac:dyDescent="0.3">
      <c r="C241" s="360" t="s">
        <v>97</v>
      </c>
      <c r="D241" s="351" t="s">
        <v>365</v>
      </c>
      <c r="E241" s="1310">
        <f>SUMIFS('Airport Statistics'!G:G,'Airport Statistics'!D:D,C241,'Airport Statistics'!F:F,D241)</f>
        <v>0</v>
      </c>
      <c r="F241" s="211"/>
      <c r="G241" s="345" t="s">
        <v>250</v>
      </c>
      <c r="H241" s="346">
        <f>$H$8</f>
        <v>1E-3</v>
      </c>
      <c r="I241" s="347" t="s">
        <v>188</v>
      </c>
      <c r="J241" s="346">
        <f>$H$8</f>
        <v>1E-3</v>
      </c>
      <c r="K241" s="348" t="s">
        <v>188</v>
      </c>
      <c r="L241" s="349"/>
      <c r="M241" s="350"/>
      <c r="N241" s="178"/>
    </row>
    <row r="242" spans="3:14" x14ac:dyDescent="0.3">
      <c r="C242" s="360" t="s">
        <v>97</v>
      </c>
      <c r="D242" s="1306" t="s">
        <v>374</v>
      </c>
      <c r="E242" s="1308">
        <f>$F$8</f>
        <v>500</v>
      </c>
      <c r="F242" s="137"/>
      <c r="G242" s="324" t="s">
        <v>249</v>
      </c>
      <c r="H242" s="325">
        <f>H241*H239*1440</f>
        <v>0</v>
      </c>
      <c r="I242" s="326" t="s">
        <v>113</v>
      </c>
      <c r="J242" s="325">
        <f>J241*J239*1440</f>
        <v>0</v>
      </c>
      <c r="K242" s="327" t="s">
        <v>113</v>
      </c>
      <c r="L242" s="328">
        <f>H242-J242</f>
        <v>0</v>
      </c>
      <c r="M242" s="329" t="str">
        <f>IFERROR(L242/H242,"-")</f>
        <v>-</v>
      </c>
    </row>
    <row r="243" spans="3:14" x14ac:dyDescent="0.3">
      <c r="C243" s="360" t="s">
        <v>97</v>
      </c>
      <c r="D243" s="1307" t="s">
        <v>677</v>
      </c>
      <c r="E243" s="1308">
        <f>$F$9</f>
        <v>3</v>
      </c>
      <c r="F243" s="137"/>
      <c r="G243" s="324"/>
      <c r="H243" s="321"/>
      <c r="I243" s="326"/>
      <c r="J243" s="321"/>
      <c r="K243" s="327"/>
      <c r="L243" s="330"/>
      <c r="M243" s="331"/>
    </row>
    <row r="244" spans="3:14" x14ac:dyDescent="0.3">
      <c r="C244" s="360" t="s">
        <v>97</v>
      </c>
      <c r="D244" s="323" t="s">
        <v>375</v>
      </c>
      <c r="E244" s="1311">
        <f>E241/E242*E243</f>
        <v>0</v>
      </c>
      <c r="F244" s="211"/>
      <c r="G244" s="345" t="s">
        <v>244</v>
      </c>
      <c r="H244" s="353">
        <f>$H$9</f>
        <v>10</v>
      </c>
      <c r="I244" s="354" t="s">
        <v>245</v>
      </c>
      <c r="J244" s="353">
        <f>$H$9</f>
        <v>10</v>
      </c>
      <c r="K244" s="355" t="s">
        <v>245</v>
      </c>
      <c r="L244" s="356"/>
      <c r="M244" s="357"/>
      <c r="N244" s="178"/>
    </row>
    <row r="245" spans="3:14" x14ac:dyDescent="0.3">
      <c r="C245" s="360" t="s">
        <v>97</v>
      </c>
      <c r="D245" s="316"/>
      <c r="E245" s="137"/>
      <c r="F245" s="137"/>
      <c r="G245" s="324" t="s">
        <v>243</v>
      </c>
      <c r="H245" s="325">
        <f>H239*8.34*1440*H244/1000/8.34</f>
        <v>0</v>
      </c>
      <c r="I245" s="326" t="s">
        <v>113</v>
      </c>
      <c r="J245" s="325">
        <f>J239*8.34*1440*J244/1000/8.34</f>
        <v>0</v>
      </c>
      <c r="K245" s="327" t="s">
        <v>113</v>
      </c>
      <c r="L245" s="328">
        <f>H245-J245</f>
        <v>0</v>
      </c>
      <c r="M245" s="329" t="str">
        <f>IFERROR(L245/H245,"-")</f>
        <v>-</v>
      </c>
    </row>
    <row r="246" spans="3:14" x14ac:dyDescent="0.3">
      <c r="C246" s="360" t="s">
        <v>97</v>
      </c>
      <c r="D246" s="316"/>
      <c r="E246" s="137"/>
      <c r="F246" s="137"/>
      <c r="G246" s="324"/>
      <c r="H246" s="321"/>
      <c r="I246" s="326"/>
      <c r="J246" s="321"/>
      <c r="K246" s="327"/>
      <c r="L246" s="330"/>
      <c r="M246" s="331"/>
    </row>
    <row r="247" spans="3:14" x14ac:dyDescent="0.3">
      <c r="C247" s="360" t="s">
        <v>97</v>
      </c>
      <c r="D247" s="352"/>
      <c r="E247" s="211"/>
      <c r="F247" s="211"/>
      <c r="G247" s="345" t="s">
        <v>246</v>
      </c>
      <c r="H247" s="353">
        <f>$J$8</f>
        <v>4</v>
      </c>
      <c r="I247" s="354" t="s">
        <v>251</v>
      </c>
      <c r="J247" s="353">
        <f>$J$9</f>
        <v>10</v>
      </c>
      <c r="K247" s="355" t="s">
        <v>251</v>
      </c>
      <c r="L247" s="356"/>
      <c r="M247" s="357"/>
      <c r="N247" s="178"/>
    </row>
    <row r="248" spans="3:14" x14ac:dyDescent="0.3">
      <c r="C248" s="360" t="s">
        <v>97</v>
      </c>
      <c r="D248" s="316"/>
      <c r="E248" s="137"/>
      <c r="F248" s="137"/>
      <c r="G248" s="332" t="s">
        <v>247</v>
      </c>
      <c r="H248" s="333">
        <f>(H242*(H247-1)-H245)/(1-H247)</f>
        <v>0</v>
      </c>
      <c r="I248" s="334" t="s">
        <v>113</v>
      </c>
      <c r="J248" s="333">
        <f>(J242*(J247-1)-J245)/(1-J247)</f>
        <v>0</v>
      </c>
      <c r="K248" s="335" t="s">
        <v>113</v>
      </c>
      <c r="L248" s="336">
        <f>H248-J248</f>
        <v>0</v>
      </c>
      <c r="M248" s="329" t="str">
        <f>IFERROR(L248/H248,"-")</f>
        <v>-</v>
      </c>
    </row>
    <row r="249" spans="3:14" ht="15" thickBot="1" x14ac:dyDescent="0.35">
      <c r="C249" s="360" t="s">
        <v>97</v>
      </c>
      <c r="D249" s="337"/>
      <c r="E249" s="338" t="s">
        <v>43</v>
      </c>
      <c r="F249" s="338" t="s">
        <v>7</v>
      </c>
      <c r="G249" s="339" t="s">
        <v>248</v>
      </c>
      <c r="H249" s="340">
        <f>H242+H245+H248</f>
        <v>0</v>
      </c>
      <c r="I249" s="341" t="s">
        <v>113</v>
      </c>
      <c r="J249" s="340">
        <f>J242+J245+J248</f>
        <v>0</v>
      </c>
      <c r="K249" s="341" t="s">
        <v>113</v>
      </c>
      <c r="L249" s="342">
        <f>H249-J249</f>
        <v>0</v>
      </c>
      <c r="M249" s="343" t="str">
        <f>IFERROR(L249/H249,"-")</f>
        <v>-</v>
      </c>
    </row>
    <row r="250" spans="3:14" ht="15" thickBot="1" x14ac:dyDescent="0.35">
      <c r="C250" s="360"/>
    </row>
    <row r="251" spans="3:14" x14ac:dyDescent="0.3">
      <c r="C251" s="362" t="s">
        <v>98</v>
      </c>
      <c r="D251" s="308" t="str">
        <f>VLOOKUP(C251,'Airport Mapping'!$C$5:$D$39,2,FALSE)</f>
        <v xml:space="preserve"> </v>
      </c>
      <c r="E251" s="309"/>
      <c r="F251" s="309"/>
      <c r="G251" s="310" t="s">
        <v>242</v>
      </c>
      <c r="H251" s="311">
        <f>E256</f>
        <v>0</v>
      </c>
      <c r="I251" s="312" t="s">
        <v>678</v>
      </c>
      <c r="J251" s="311">
        <f>E256</f>
        <v>0</v>
      </c>
      <c r="K251" s="313" t="s">
        <v>678</v>
      </c>
      <c r="L251" s="314"/>
      <c r="M251" s="315"/>
    </row>
    <row r="252" spans="3:14" x14ac:dyDescent="0.3">
      <c r="C252" s="360" t="s">
        <v>98</v>
      </c>
      <c r="D252" s="316"/>
      <c r="E252" s="137"/>
      <c r="F252" s="137"/>
      <c r="G252" s="317"/>
      <c r="H252" s="318"/>
      <c r="I252" s="319"/>
      <c r="J252" s="318"/>
      <c r="K252" s="320"/>
      <c r="L252" s="321"/>
      <c r="M252" s="322"/>
    </row>
    <row r="253" spans="3:14" x14ac:dyDescent="0.3">
      <c r="C253" s="360" t="s">
        <v>98</v>
      </c>
      <c r="D253" s="351" t="s">
        <v>365</v>
      </c>
      <c r="E253" s="1310">
        <f>SUMIFS('Airport Statistics'!G:G,'Airport Statistics'!D:D,C253,'Airport Statistics'!F:F,D253)</f>
        <v>0</v>
      </c>
      <c r="F253" s="211"/>
      <c r="G253" s="345" t="s">
        <v>250</v>
      </c>
      <c r="H253" s="346">
        <f>$H$8</f>
        <v>1E-3</v>
      </c>
      <c r="I253" s="347" t="s">
        <v>188</v>
      </c>
      <c r="J253" s="346">
        <f>$H$8</f>
        <v>1E-3</v>
      </c>
      <c r="K253" s="348" t="s">
        <v>188</v>
      </c>
      <c r="L253" s="349"/>
      <c r="M253" s="350"/>
      <c r="N253" s="178"/>
    </row>
    <row r="254" spans="3:14" x14ac:dyDescent="0.3">
      <c r="C254" s="360" t="s">
        <v>98</v>
      </c>
      <c r="D254" s="1306" t="s">
        <v>374</v>
      </c>
      <c r="E254" s="1308">
        <f>$F$8</f>
        <v>500</v>
      </c>
      <c r="F254" s="137"/>
      <c r="G254" s="324" t="s">
        <v>249</v>
      </c>
      <c r="H254" s="325">
        <f>H253*H251*1440</f>
        <v>0</v>
      </c>
      <c r="I254" s="326" t="s">
        <v>113</v>
      </c>
      <c r="J254" s="325">
        <f>J253*J251*1440</f>
        <v>0</v>
      </c>
      <c r="K254" s="327" t="s">
        <v>113</v>
      </c>
      <c r="L254" s="328">
        <f>H254-J254</f>
        <v>0</v>
      </c>
      <c r="M254" s="329" t="str">
        <f>IFERROR(L254/H254,"-")</f>
        <v>-</v>
      </c>
    </row>
    <row r="255" spans="3:14" x14ac:dyDescent="0.3">
      <c r="C255" s="360" t="s">
        <v>98</v>
      </c>
      <c r="D255" s="1307" t="s">
        <v>677</v>
      </c>
      <c r="E255" s="1308">
        <f>$F$9</f>
        <v>3</v>
      </c>
      <c r="F255" s="137"/>
      <c r="G255" s="324"/>
      <c r="H255" s="321"/>
      <c r="I255" s="326"/>
      <c r="J255" s="321"/>
      <c r="K255" s="327"/>
      <c r="L255" s="330"/>
      <c r="M255" s="331"/>
    </row>
    <row r="256" spans="3:14" x14ac:dyDescent="0.3">
      <c r="C256" s="360" t="s">
        <v>98</v>
      </c>
      <c r="D256" s="323" t="s">
        <v>375</v>
      </c>
      <c r="E256" s="1311">
        <f>E253/E254*E255</f>
        <v>0</v>
      </c>
      <c r="F256" s="211"/>
      <c r="G256" s="345" t="s">
        <v>244</v>
      </c>
      <c r="H256" s="353">
        <f>$H$9</f>
        <v>10</v>
      </c>
      <c r="I256" s="354" t="s">
        <v>245</v>
      </c>
      <c r="J256" s="353">
        <f>$H$9</f>
        <v>10</v>
      </c>
      <c r="K256" s="355" t="s">
        <v>245</v>
      </c>
      <c r="L256" s="356"/>
      <c r="M256" s="357"/>
      <c r="N256" s="178"/>
    </row>
    <row r="257" spans="3:14" x14ac:dyDescent="0.3">
      <c r="C257" s="360" t="s">
        <v>98</v>
      </c>
      <c r="D257" s="316"/>
      <c r="E257" s="137"/>
      <c r="F257" s="137"/>
      <c r="G257" s="324" t="s">
        <v>243</v>
      </c>
      <c r="H257" s="325">
        <f>H251*8.34*1440*H256/1000/8.34</f>
        <v>0</v>
      </c>
      <c r="I257" s="326" t="s">
        <v>113</v>
      </c>
      <c r="J257" s="325">
        <f>J251*8.34*1440*J256/1000/8.34</f>
        <v>0</v>
      </c>
      <c r="K257" s="327" t="s">
        <v>113</v>
      </c>
      <c r="L257" s="328">
        <f>H257-J257</f>
        <v>0</v>
      </c>
      <c r="M257" s="329" t="str">
        <f>IFERROR(L257/H257,"-")</f>
        <v>-</v>
      </c>
    </row>
    <row r="258" spans="3:14" x14ac:dyDescent="0.3">
      <c r="C258" s="360" t="s">
        <v>98</v>
      </c>
      <c r="D258" s="316"/>
      <c r="E258" s="137"/>
      <c r="F258" s="137"/>
      <c r="G258" s="324"/>
      <c r="H258" s="321"/>
      <c r="I258" s="326"/>
      <c r="J258" s="321"/>
      <c r="K258" s="327"/>
      <c r="L258" s="330"/>
      <c r="M258" s="331"/>
    </row>
    <row r="259" spans="3:14" x14ac:dyDescent="0.3">
      <c r="C259" s="360" t="s">
        <v>98</v>
      </c>
      <c r="D259" s="352"/>
      <c r="E259" s="211"/>
      <c r="F259" s="211"/>
      <c r="G259" s="345" t="s">
        <v>246</v>
      </c>
      <c r="H259" s="353">
        <f>$J$8</f>
        <v>4</v>
      </c>
      <c r="I259" s="354" t="s">
        <v>251</v>
      </c>
      <c r="J259" s="353">
        <f>$J$9</f>
        <v>10</v>
      </c>
      <c r="K259" s="355" t="s">
        <v>251</v>
      </c>
      <c r="L259" s="356"/>
      <c r="M259" s="357"/>
      <c r="N259" s="178"/>
    </row>
    <row r="260" spans="3:14" x14ac:dyDescent="0.3">
      <c r="C260" s="360" t="s">
        <v>98</v>
      </c>
      <c r="D260" s="316"/>
      <c r="E260" s="137"/>
      <c r="F260" s="137"/>
      <c r="G260" s="332" t="s">
        <v>247</v>
      </c>
      <c r="H260" s="333">
        <f>(H254*(H259-1)-H257)/(1-H259)</f>
        <v>0</v>
      </c>
      <c r="I260" s="334" t="s">
        <v>113</v>
      </c>
      <c r="J260" s="333">
        <f>(J254*(J259-1)-J257)/(1-J259)</f>
        <v>0</v>
      </c>
      <c r="K260" s="335" t="s">
        <v>113</v>
      </c>
      <c r="L260" s="336">
        <f>H260-J260</f>
        <v>0</v>
      </c>
      <c r="M260" s="329" t="str">
        <f>IFERROR(L260/H260,"-")</f>
        <v>-</v>
      </c>
    </row>
    <row r="261" spans="3:14" ht="15" thickBot="1" x14ac:dyDescent="0.35">
      <c r="C261" s="360" t="s">
        <v>98</v>
      </c>
      <c r="D261" s="337"/>
      <c r="E261" s="338" t="s">
        <v>43</v>
      </c>
      <c r="F261" s="338" t="s">
        <v>7</v>
      </c>
      <c r="G261" s="339" t="s">
        <v>248</v>
      </c>
      <c r="H261" s="340">
        <f>H254+H257+H260</f>
        <v>0</v>
      </c>
      <c r="I261" s="341" t="s">
        <v>113</v>
      </c>
      <c r="J261" s="340">
        <f>J254+J257+J260</f>
        <v>0</v>
      </c>
      <c r="K261" s="341" t="s">
        <v>113</v>
      </c>
      <c r="L261" s="342">
        <f>H261-J261</f>
        <v>0</v>
      </c>
      <c r="M261" s="343" t="str">
        <f>IFERROR(L261/H261,"-")</f>
        <v>-</v>
      </c>
    </row>
    <row r="262" spans="3:14" ht="15" thickBot="1" x14ac:dyDescent="0.35">
      <c r="C262" s="360"/>
    </row>
    <row r="263" spans="3:14" x14ac:dyDescent="0.3">
      <c r="C263" s="362" t="s">
        <v>99</v>
      </c>
      <c r="D263" s="308" t="str">
        <f>VLOOKUP(C263,'Airport Mapping'!$C$5:$D$39,2,FALSE)</f>
        <v xml:space="preserve"> </v>
      </c>
      <c r="E263" s="309"/>
      <c r="F263" s="309"/>
      <c r="G263" s="310" t="s">
        <v>242</v>
      </c>
      <c r="H263" s="311">
        <f>E268</f>
        <v>0</v>
      </c>
      <c r="I263" s="312" t="s">
        <v>678</v>
      </c>
      <c r="J263" s="311">
        <f>E268</f>
        <v>0</v>
      </c>
      <c r="K263" s="313" t="s">
        <v>678</v>
      </c>
      <c r="L263" s="314"/>
      <c r="M263" s="315"/>
    </row>
    <row r="264" spans="3:14" x14ac:dyDescent="0.3">
      <c r="C264" s="360" t="s">
        <v>99</v>
      </c>
      <c r="D264" s="316"/>
      <c r="E264" s="137"/>
      <c r="F264" s="137"/>
      <c r="G264" s="317"/>
      <c r="H264" s="318"/>
      <c r="I264" s="319"/>
      <c r="J264" s="318"/>
      <c r="K264" s="320"/>
      <c r="L264" s="321"/>
      <c r="M264" s="322"/>
    </row>
    <row r="265" spans="3:14" x14ac:dyDescent="0.3">
      <c r="C265" s="360" t="s">
        <v>99</v>
      </c>
      <c r="D265" s="351" t="s">
        <v>365</v>
      </c>
      <c r="E265" s="1310">
        <f>SUMIFS('Airport Statistics'!G:G,'Airport Statistics'!D:D,C265,'Airport Statistics'!F:F,D265)</f>
        <v>0</v>
      </c>
      <c r="F265" s="211"/>
      <c r="G265" s="345" t="s">
        <v>250</v>
      </c>
      <c r="H265" s="346">
        <f>$H$8</f>
        <v>1E-3</v>
      </c>
      <c r="I265" s="347" t="s">
        <v>188</v>
      </c>
      <c r="J265" s="346">
        <f>$H$8</f>
        <v>1E-3</v>
      </c>
      <c r="K265" s="348" t="s">
        <v>188</v>
      </c>
      <c r="L265" s="349"/>
      <c r="M265" s="350"/>
      <c r="N265" s="178"/>
    </row>
    <row r="266" spans="3:14" x14ac:dyDescent="0.3">
      <c r="C266" s="360" t="s">
        <v>99</v>
      </c>
      <c r="D266" s="1306" t="s">
        <v>374</v>
      </c>
      <c r="E266" s="1308">
        <f>$F$8</f>
        <v>500</v>
      </c>
      <c r="F266" s="137"/>
      <c r="G266" s="324" t="s">
        <v>249</v>
      </c>
      <c r="H266" s="325">
        <f>H265*H263*1440</f>
        <v>0</v>
      </c>
      <c r="I266" s="326" t="s">
        <v>113</v>
      </c>
      <c r="J266" s="325">
        <f>J265*J263*1440</f>
        <v>0</v>
      </c>
      <c r="K266" s="327" t="s">
        <v>113</v>
      </c>
      <c r="L266" s="328">
        <f>H266-J266</f>
        <v>0</v>
      </c>
      <c r="M266" s="329" t="str">
        <f>IFERROR(L266/H266,"-")</f>
        <v>-</v>
      </c>
    </row>
    <row r="267" spans="3:14" x14ac:dyDescent="0.3">
      <c r="C267" s="360" t="s">
        <v>99</v>
      </c>
      <c r="D267" s="1307" t="s">
        <v>677</v>
      </c>
      <c r="E267" s="1308">
        <f>$F$9</f>
        <v>3</v>
      </c>
      <c r="F267" s="137"/>
      <c r="G267" s="324"/>
      <c r="H267" s="321"/>
      <c r="I267" s="326"/>
      <c r="J267" s="321"/>
      <c r="K267" s="327"/>
      <c r="L267" s="330"/>
      <c r="M267" s="331"/>
    </row>
    <row r="268" spans="3:14" x14ac:dyDescent="0.3">
      <c r="C268" s="360" t="s">
        <v>99</v>
      </c>
      <c r="D268" s="323" t="s">
        <v>375</v>
      </c>
      <c r="E268" s="1311">
        <f>E265/E266*E267</f>
        <v>0</v>
      </c>
      <c r="F268" s="211"/>
      <c r="G268" s="345" t="s">
        <v>244</v>
      </c>
      <c r="H268" s="353">
        <f>$H$9</f>
        <v>10</v>
      </c>
      <c r="I268" s="354" t="s">
        <v>245</v>
      </c>
      <c r="J268" s="353">
        <f>$H$9</f>
        <v>10</v>
      </c>
      <c r="K268" s="355" t="s">
        <v>245</v>
      </c>
      <c r="L268" s="356"/>
      <c r="M268" s="357"/>
      <c r="N268" s="178"/>
    </row>
    <row r="269" spans="3:14" x14ac:dyDescent="0.3">
      <c r="C269" s="360" t="s">
        <v>99</v>
      </c>
      <c r="D269" s="316"/>
      <c r="E269" s="137"/>
      <c r="F269" s="137"/>
      <c r="G269" s="324" t="s">
        <v>243</v>
      </c>
      <c r="H269" s="325">
        <f>H263*8.34*1440*H268/1000/8.34</f>
        <v>0</v>
      </c>
      <c r="I269" s="326" t="s">
        <v>113</v>
      </c>
      <c r="J269" s="325">
        <f>J263*8.34*1440*J268/1000/8.34</f>
        <v>0</v>
      </c>
      <c r="K269" s="327" t="s">
        <v>113</v>
      </c>
      <c r="L269" s="328">
        <f>H269-J269</f>
        <v>0</v>
      </c>
      <c r="M269" s="329" t="str">
        <f>IFERROR(L269/H269,"-")</f>
        <v>-</v>
      </c>
    </row>
    <row r="270" spans="3:14" x14ac:dyDescent="0.3">
      <c r="C270" s="360" t="s">
        <v>99</v>
      </c>
      <c r="D270" s="316"/>
      <c r="E270" s="137"/>
      <c r="F270" s="137"/>
      <c r="G270" s="324"/>
      <c r="H270" s="321"/>
      <c r="I270" s="326"/>
      <c r="J270" s="321"/>
      <c r="K270" s="327"/>
      <c r="L270" s="330"/>
      <c r="M270" s="331"/>
    </row>
    <row r="271" spans="3:14" x14ac:dyDescent="0.3">
      <c r="C271" s="360" t="s">
        <v>99</v>
      </c>
      <c r="D271" s="352"/>
      <c r="E271" s="211"/>
      <c r="F271" s="211"/>
      <c r="G271" s="345" t="s">
        <v>246</v>
      </c>
      <c r="H271" s="353">
        <f>$J$8</f>
        <v>4</v>
      </c>
      <c r="I271" s="354" t="s">
        <v>251</v>
      </c>
      <c r="J271" s="353">
        <f>$J$9</f>
        <v>10</v>
      </c>
      <c r="K271" s="355" t="s">
        <v>251</v>
      </c>
      <c r="L271" s="356"/>
      <c r="M271" s="357"/>
      <c r="N271" s="178"/>
    </row>
    <row r="272" spans="3:14" x14ac:dyDescent="0.3">
      <c r="C272" s="360" t="s">
        <v>99</v>
      </c>
      <c r="D272" s="316"/>
      <c r="E272" s="137"/>
      <c r="F272" s="137"/>
      <c r="G272" s="332" t="s">
        <v>247</v>
      </c>
      <c r="H272" s="333">
        <f>(H266*(H271-1)-H269)/(1-H271)</f>
        <v>0</v>
      </c>
      <c r="I272" s="334" t="s">
        <v>113</v>
      </c>
      <c r="J272" s="333">
        <f>(J266*(J271-1)-J269)/(1-J271)</f>
        <v>0</v>
      </c>
      <c r="K272" s="335" t="s">
        <v>113</v>
      </c>
      <c r="L272" s="336">
        <f>H272-J272</f>
        <v>0</v>
      </c>
      <c r="M272" s="329" t="str">
        <f>IFERROR(L272/H272,"-")</f>
        <v>-</v>
      </c>
    </row>
    <row r="273" spans="2:14" ht="15" thickBot="1" x14ac:dyDescent="0.35">
      <c r="C273" s="360" t="s">
        <v>99</v>
      </c>
      <c r="D273" s="337"/>
      <c r="E273" s="338" t="s">
        <v>43</v>
      </c>
      <c r="F273" s="338" t="s">
        <v>7</v>
      </c>
      <c r="G273" s="339" t="s">
        <v>248</v>
      </c>
      <c r="H273" s="340">
        <f>H266+H269+H272</f>
        <v>0</v>
      </c>
      <c r="I273" s="341" t="s">
        <v>113</v>
      </c>
      <c r="J273" s="340">
        <f>J266+J269+J272</f>
        <v>0</v>
      </c>
      <c r="K273" s="341" t="s">
        <v>113</v>
      </c>
      <c r="L273" s="342">
        <f>H273-J273</f>
        <v>0</v>
      </c>
      <c r="M273" s="343" t="str">
        <f>IFERROR(L273/H273,"-")</f>
        <v>-</v>
      </c>
    </row>
    <row r="274" spans="2:14" ht="15" thickBot="1" x14ac:dyDescent="0.35">
      <c r="C274" s="360"/>
    </row>
    <row r="275" spans="2:14" x14ac:dyDescent="0.3">
      <c r="C275" s="362" t="s">
        <v>100</v>
      </c>
      <c r="D275" s="308" t="str">
        <f>VLOOKUP(C275,'Airport Mapping'!$C$5:$D$39,2,FALSE)</f>
        <v xml:space="preserve"> </v>
      </c>
      <c r="E275" s="309"/>
      <c r="F275" s="309"/>
      <c r="G275" s="310" t="s">
        <v>242</v>
      </c>
      <c r="H275" s="311">
        <f>E280</f>
        <v>0</v>
      </c>
      <c r="I275" s="312" t="s">
        <v>678</v>
      </c>
      <c r="J275" s="311">
        <f>E280</f>
        <v>0</v>
      </c>
      <c r="K275" s="313" t="s">
        <v>678</v>
      </c>
      <c r="L275" s="314"/>
      <c r="M275" s="315"/>
    </row>
    <row r="276" spans="2:14" x14ac:dyDescent="0.3">
      <c r="C276" s="360" t="s">
        <v>100</v>
      </c>
      <c r="D276" s="316"/>
      <c r="E276" s="137"/>
      <c r="F276" s="137"/>
      <c r="G276" s="317"/>
      <c r="H276" s="318"/>
      <c r="I276" s="319"/>
      <c r="J276" s="318"/>
      <c r="K276" s="320"/>
      <c r="L276" s="321"/>
      <c r="M276" s="322"/>
    </row>
    <row r="277" spans="2:14" x14ac:dyDescent="0.3">
      <c r="C277" s="360" t="s">
        <v>100</v>
      </c>
      <c r="D277" s="351" t="s">
        <v>365</v>
      </c>
      <c r="E277" s="1310">
        <f>SUMIFS('Airport Statistics'!G:G,'Airport Statistics'!D:D,C277,'Airport Statistics'!F:F,D277)</f>
        <v>0</v>
      </c>
      <c r="F277" s="211"/>
      <c r="G277" s="345" t="s">
        <v>250</v>
      </c>
      <c r="H277" s="346">
        <f>$H$8</f>
        <v>1E-3</v>
      </c>
      <c r="I277" s="347" t="s">
        <v>188</v>
      </c>
      <c r="J277" s="346">
        <f>$H$8</f>
        <v>1E-3</v>
      </c>
      <c r="K277" s="348" t="s">
        <v>188</v>
      </c>
      <c r="L277" s="349"/>
      <c r="M277" s="350"/>
      <c r="N277" s="178"/>
    </row>
    <row r="278" spans="2:14" x14ac:dyDescent="0.3">
      <c r="C278" s="360" t="s">
        <v>100</v>
      </c>
      <c r="D278" s="1306" t="s">
        <v>374</v>
      </c>
      <c r="E278" s="1308">
        <f>$F$8</f>
        <v>500</v>
      </c>
      <c r="F278" s="137"/>
      <c r="G278" s="324" t="s">
        <v>249</v>
      </c>
      <c r="H278" s="325">
        <f>H277*H275*1440</f>
        <v>0</v>
      </c>
      <c r="I278" s="326" t="s">
        <v>113</v>
      </c>
      <c r="J278" s="325">
        <f>J277*J275*1440</f>
        <v>0</v>
      </c>
      <c r="K278" s="327" t="s">
        <v>113</v>
      </c>
      <c r="L278" s="328">
        <f>H278-J278</f>
        <v>0</v>
      </c>
      <c r="M278" s="329" t="str">
        <f>IFERROR(L278/H278,"-")</f>
        <v>-</v>
      </c>
    </row>
    <row r="279" spans="2:14" x14ac:dyDescent="0.3">
      <c r="C279" s="360" t="s">
        <v>100</v>
      </c>
      <c r="D279" s="1307" t="s">
        <v>677</v>
      </c>
      <c r="E279" s="1308">
        <f>$F$9</f>
        <v>3</v>
      </c>
      <c r="F279" s="137"/>
      <c r="G279" s="324"/>
      <c r="H279" s="321"/>
      <c r="I279" s="326"/>
      <c r="J279" s="321"/>
      <c r="K279" s="327"/>
      <c r="L279" s="330"/>
      <c r="M279" s="331"/>
    </row>
    <row r="280" spans="2:14" x14ac:dyDescent="0.3">
      <c r="C280" s="360" t="s">
        <v>100</v>
      </c>
      <c r="D280" s="323" t="s">
        <v>375</v>
      </c>
      <c r="E280" s="1311">
        <f>E277/E278*E279</f>
        <v>0</v>
      </c>
      <c r="F280" s="211"/>
      <c r="G280" s="345" t="s">
        <v>244</v>
      </c>
      <c r="H280" s="353">
        <f>$H$9</f>
        <v>10</v>
      </c>
      <c r="I280" s="354" t="s">
        <v>245</v>
      </c>
      <c r="J280" s="353">
        <f>$H$9</f>
        <v>10</v>
      </c>
      <c r="K280" s="355" t="s">
        <v>245</v>
      </c>
      <c r="L280" s="356"/>
      <c r="M280" s="357"/>
      <c r="N280" s="178"/>
    </row>
    <row r="281" spans="2:14" x14ac:dyDescent="0.3">
      <c r="C281" s="360" t="s">
        <v>100</v>
      </c>
      <c r="D281" s="316"/>
      <c r="E281" s="137"/>
      <c r="F281" s="137"/>
      <c r="G281" s="324" t="s">
        <v>243</v>
      </c>
      <c r="H281" s="325">
        <f>H275*8.34*1440*H280/1000/8.34</f>
        <v>0</v>
      </c>
      <c r="I281" s="326" t="s">
        <v>113</v>
      </c>
      <c r="J281" s="325">
        <f>J275*8.34*1440*J280/1000/8.34</f>
        <v>0</v>
      </c>
      <c r="K281" s="327" t="s">
        <v>113</v>
      </c>
      <c r="L281" s="328">
        <f>H281-J281</f>
        <v>0</v>
      </c>
      <c r="M281" s="329" t="str">
        <f>IFERROR(L281/H281,"-")</f>
        <v>-</v>
      </c>
    </row>
    <row r="282" spans="2:14" x14ac:dyDescent="0.3">
      <c r="C282" s="360" t="s">
        <v>100</v>
      </c>
      <c r="D282" s="316"/>
      <c r="E282" s="137"/>
      <c r="F282" s="137"/>
      <c r="G282" s="324"/>
      <c r="H282" s="321"/>
      <c r="I282" s="326"/>
      <c r="J282" s="321"/>
      <c r="K282" s="327"/>
      <c r="L282" s="330"/>
      <c r="M282" s="331"/>
    </row>
    <row r="283" spans="2:14" x14ac:dyDescent="0.3">
      <c r="C283" s="360" t="s">
        <v>100</v>
      </c>
      <c r="D283" s="352"/>
      <c r="E283" s="211"/>
      <c r="F283" s="211"/>
      <c r="G283" s="345" t="s">
        <v>246</v>
      </c>
      <c r="H283" s="353">
        <f>$J$8</f>
        <v>4</v>
      </c>
      <c r="I283" s="354" t="s">
        <v>251</v>
      </c>
      <c r="J283" s="353">
        <f>$J$9</f>
        <v>10</v>
      </c>
      <c r="K283" s="355" t="s">
        <v>251</v>
      </c>
      <c r="L283" s="356"/>
      <c r="M283" s="357"/>
      <c r="N283" s="178"/>
    </row>
    <row r="284" spans="2:14" x14ac:dyDescent="0.3">
      <c r="C284" s="360" t="s">
        <v>100</v>
      </c>
      <c r="D284" s="316"/>
      <c r="E284" s="137"/>
      <c r="F284" s="137"/>
      <c r="G284" s="332" t="s">
        <v>247</v>
      </c>
      <c r="H284" s="333">
        <f>(H278*(H283-1)-H281)/(1-H283)</f>
        <v>0</v>
      </c>
      <c r="I284" s="334" t="s">
        <v>113</v>
      </c>
      <c r="J284" s="333">
        <f>(J278*(J283-1)-J281)/(1-J283)</f>
        <v>0</v>
      </c>
      <c r="K284" s="335" t="s">
        <v>113</v>
      </c>
      <c r="L284" s="336">
        <f>H284-J284</f>
        <v>0</v>
      </c>
      <c r="M284" s="329" t="str">
        <f>IFERROR(L284/H284,"-")</f>
        <v>-</v>
      </c>
    </row>
    <row r="285" spans="2:14" ht="15" thickBot="1" x14ac:dyDescent="0.35">
      <c r="C285" s="360" t="s">
        <v>100</v>
      </c>
      <c r="D285" s="337"/>
      <c r="E285" s="338" t="s">
        <v>43</v>
      </c>
      <c r="F285" s="338" t="s">
        <v>7</v>
      </c>
      <c r="G285" s="339" t="s">
        <v>248</v>
      </c>
      <c r="H285" s="340">
        <f>H278+H281+H284</f>
        <v>0</v>
      </c>
      <c r="I285" s="341" t="s">
        <v>113</v>
      </c>
      <c r="J285" s="340">
        <f>J278+J281+J284</f>
        <v>0</v>
      </c>
      <c r="K285" s="341" t="s">
        <v>113</v>
      </c>
      <c r="L285" s="342">
        <f>H285-J285</f>
        <v>0</v>
      </c>
      <c r="M285" s="343" t="str">
        <f>IFERROR(L285/H285,"-")</f>
        <v>-</v>
      </c>
    </row>
    <row r="286" spans="2:14" ht="15" thickBot="1" x14ac:dyDescent="0.35">
      <c r="C286" s="360"/>
    </row>
    <row r="287" spans="2:14" x14ac:dyDescent="0.3">
      <c r="B287" s="137"/>
      <c r="C287" s="362" t="s">
        <v>417</v>
      </c>
      <c r="D287" s="308" t="str">
        <f>VLOOKUP(C287,'Airport Mapping'!$C$5:$D$39,2,FALSE)</f>
        <v xml:space="preserve"> </v>
      </c>
      <c r="E287" s="309"/>
      <c r="F287" s="309"/>
      <c r="G287" s="310" t="s">
        <v>242</v>
      </c>
      <c r="H287" s="311">
        <f>E292</f>
        <v>0</v>
      </c>
      <c r="I287" s="312" t="s">
        <v>678</v>
      </c>
      <c r="J287" s="311">
        <f>E292</f>
        <v>0</v>
      </c>
      <c r="K287" s="313" t="s">
        <v>678</v>
      </c>
      <c r="L287" s="314"/>
      <c r="M287" s="315"/>
    </row>
    <row r="288" spans="2:14" x14ac:dyDescent="0.3">
      <c r="B288" s="137"/>
      <c r="C288" s="362" t="s">
        <v>417</v>
      </c>
      <c r="D288" s="316"/>
      <c r="E288" s="137"/>
      <c r="F288" s="137"/>
      <c r="G288" s="317"/>
      <c r="H288" s="318"/>
      <c r="I288" s="319"/>
      <c r="J288" s="318"/>
      <c r="K288" s="320"/>
      <c r="L288" s="321"/>
      <c r="M288" s="322"/>
    </row>
    <row r="289" spans="2:14" x14ac:dyDescent="0.3">
      <c r="B289" s="137"/>
      <c r="C289" s="362" t="s">
        <v>417</v>
      </c>
      <c r="D289" s="351" t="s">
        <v>365</v>
      </c>
      <c r="E289" s="1310">
        <f>SUMIFS('Airport Statistics'!G:G,'Airport Statistics'!D:D,C289,'Airport Statistics'!F:F,D289)</f>
        <v>0</v>
      </c>
      <c r="F289" s="211"/>
      <c r="G289" s="345" t="s">
        <v>250</v>
      </c>
      <c r="H289" s="346">
        <f>$H$8</f>
        <v>1E-3</v>
      </c>
      <c r="I289" s="347" t="s">
        <v>188</v>
      </c>
      <c r="J289" s="346">
        <f>$H$8</f>
        <v>1E-3</v>
      </c>
      <c r="K289" s="348" t="s">
        <v>188</v>
      </c>
      <c r="L289" s="349"/>
      <c r="M289" s="350"/>
      <c r="N289" s="178"/>
    </row>
    <row r="290" spans="2:14" x14ac:dyDescent="0.3">
      <c r="B290" s="137"/>
      <c r="C290" s="362" t="s">
        <v>417</v>
      </c>
      <c r="D290" s="1306" t="s">
        <v>374</v>
      </c>
      <c r="E290" s="1308">
        <f>$F$8</f>
        <v>500</v>
      </c>
      <c r="F290" s="137"/>
      <c r="G290" s="324" t="s">
        <v>249</v>
      </c>
      <c r="H290" s="325">
        <f>H289*H287*1440</f>
        <v>0</v>
      </c>
      <c r="I290" s="326" t="s">
        <v>113</v>
      </c>
      <c r="J290" s="325">
        <f>J289*J287*1440</f>
        <v>0</v>
      </c>
      <c r="K290" s="327" t="s">
        <v>113</v>
      </c>
      <c r="L290" s="328">
        <f>H290-J290</f>
        <v>0</v>
      </c>
      <c r="M290" s="329" t="str">
        <f>IFERROR(L290/H290,"-")</f>
        <v>-</v>
      </c>
    </row>
    <row r="291" spans="2:14" x14ac:dyDescent="0.3">
      <c r="B291" s="137"/>
      <c r="C291" s="362" t="s">
        <v>417</v>
      </c>
      <c r="D291" s="1307" t="s">
        <v>677</v>
      </c>
      <c r="E291" s="1308">
        <f>$F$9</f>
        <v>3</v>
      </c>
      <c r="F291" s="137"/>
      <c r="G291" s="324"/>
      <c r="H291" s="321"/>
      <c r="I291" s="326"/>
      <c r="J291" s="321"/>
      <c r="K291" s="327"/>
      <c r="L291" s="330"/>
      <c r="M291" s="331"/>
    </row>
    <row r="292" spans="2:14" x14ac:dyDescent="0.3">
      <c r="B292" s="137"/>
      <c r="C292" s="362" t="s">
        <v>417</v>
      </c>
      <c r="D292" s="323" t="s">
        <v>375</v>
      </c>
      <c r="E292" s="1311">
        <f>E289/E290*E291</f>
        <v>0</v>
      </c>
      <c r="F292" s="211"/>
      <c r="G292" s="345" t="s">
        <v>244</v>
      </c>
      <c r="H292" s="353">
        <f>$H$9</f>
        <v>10</v>
      </c>
      <c r="I292" s="354" t="s">
        <v>245</v>
      </c>
      <c r="J292" s="353">
        <f>$H$9</f>
        <v>10</v>
      </c>
      <c r="K292" s="355" t="s">
        <v>245</v>
      </c>
      <c r="L292" s="356"/>
      <c r="M292" s="357"/>
      <c r="N292" s="178"/>
    </row>
    <row r="293" spans="2:14" x14ac:dyDescent="0.3">
      <c r="B293" s="137"/>
      <c r="C293" s="362" t="s">
        <v>417</v>
      </c>
      <c r="D293" s="316"/>
      <c r="E293" s="137"/>
      <c r="F293" s="137"/>
      <c r="G293" s="324" t="s">
        <v>243</v>
      </c>
      <c r="H293" s="325">
        <f>H287*8.34*1440*H292/1000/8.34</f>
        <v>0</v>
      </c>
      <c r="I293" s="326" t="s">
        <v>113</v>
      </c>
      <c r="J293" s="325">
        <f>J287*8.34*1440*J292/1000/8.34</f>
        <v>0</v>
      </c>
      <c r="K293" s="327" t="s">
        <v>113</v>
      </c>
      <c r="L293" s="328">
        <f>H293-J293</f>
        <v>0</v>
      </c>
      <c r="M293" s="329" t="str">
        <f>IFERROR(L293/H293,"-")</f>
        <v>-</v>
      </c>
    </row>
    <row r="294" spans="2:14" x14ac:dyDescent="0.3">
      <c r="B294" s="137"/>
      <c r="C294" s="362" t="s">
        <v>417</v>
      </c>
      <c r="D294" s="316"/>
      <c r="E294" s="137"/>
      <c r="F294" s="137"/>
      <c r="G294" s="324"/>
      <c r="H294" s="321"/>
      <c r="I294" s="326"/>
      <c r="J294" s="321"/>
      <c r="K294" s="327"/>
      <c r="L294" s="330"/>
      <c r="M294" s="331"/>
    </row>
    <row r="295" spans="2:14" x14ac:dyDescent="0.3">
      <c r="B295" s="137"/>
      <c r="C295" s="362" t="s">
        <v>417</v>
      </c>
      <c r="D295" s="352"/>
      <c r="E295" s="211"/>
      <c r="F295" s="211"/>
      <c r="G295" s="345" t="s">
        <v>246</v>
      </c>
      <c r="H295" s="353">
        <f>$J$8</f>
        <v>4</v>
      </c>
      <c r="I295" s="354" t="s">
        <v>251</v>
      </c>
      <c r="J295" s="353">
        <f>$J$9</f>
        <v>10</v>
      </c>
      <c r="K295" s="355" t="s">
        <v>251</v>
      </c>
      <c r="L295" s="356"/>
      <c r="M295" s="357"/>
      <c r="N295" s="178"/>
    </row>
    <row r="296" spans="2:14" x14ac:dyDescent="0.3">
      <c r="B296" s="137"/>
      <c r="C296" s="362" t="s">
        <v>417</v>
      </c>
      <c r="D296" s="316"/>
      <c r="E296" s="137"/>
      <c r="F296" s="137"/>
      <c r="G296" s="332" t="s">
        <v>247</v>
      </c>
      <c r="H296" s="333">
        <f>(H290*(H295-1)-H293)/(1-H295)</f>
        <v>0</v>
      </c>
      <c r="I296" s="334" t="s">
        <v>113</v>
      </c>
      <c r="J296" s="333">
        <f>(J290*(J295-1)-J293)/(1-J295)</f>
        <v>0</v>
      </c>
      <c r="K296" s="335" t="s">
        <v>113</v>
      </c>
      <c r="L296" s="336">
        <f>H296-J296</f>
        <v>0</v>
      </c>
      <c r="M296" s="329" t="str">
        <f>IFERROR(L296/H296,"-")</f>
        <v>-</v>
      </c>
    </row>
    <row r="297" spans="2:14" ht="15" thickBot="1" x14ac:dyDescent="0.35">
      <c r="B297" s="137"/>
      <c r="C297" s="362" t="s">
        <v>417</v>
      </c>
      <c r="D297" s="337"/>
      <c r="E297" s="338" t="s">
        <v>43</v>
      </c>
      <c r="F297" s="338" t="s">
        <v>7</v>
      </c>
      <c r="G297" s="339" t="s">
        <v>248</v>
      </c>
      <c r="H297" s="340">
        <f>H290+H293+H296</f>
        <v>0</v>
      </c>
      <c r="I297" s="341" t="s">
        <v>113</v>
      </c>
      <c r="J297" s="340">
        <f>J290+J293+J296</f>
        <v>0</v>
      </c>
      <c r="K297" s="341" t="s">
        <v>113</v>
      </c>
      <c r="L297" s="342">
        <f>H297-J297</f>
        <v>0</v>
      </c>
      <c r="M297" s="343" t="str">
        <f>IFERROR(L297/H297,"-")</f>
        <v>-</v>
      </c>
    </row>
    <row r="298" spans="2:14" ht="15" thickBot="1" x14ac:dyDescent="0.35">
      <c r="C298" s="360"/>
    </row>
    <row r="299" spans="2:14" x14ac:dyDescent="0.3">
      <c r="C299" s="362" t="s">
        <v>106</v>
      </c>
      <c r="D299" s="308" t="str">
        <f>VLOOKUP(C299,'Airport Mapping'!$C$5:$D$39,2,FALSE)</f>
        <v xml:space="preserve"> </v>
      </c>
      <c r="E299" s="309"/>
      <c r="F299" s="309"/>
      <c r="G299" s="310" t="s">
        <v>242</v>
      </c>
      <c r="H299" s="311">
        <f>E304</f>
        <v>0</v>
      </c>
      <c r="I299" s="312" t="s">
        <v>678</v>
      </c>
      <c r="J299" s="311">
        <f>E304</f>
        <v>0</v>
      </c>
      <c r="K299" s="313" t="s">
        <v>678</v>
      </c>
      <c r="L299" s="314"/>
      <c r="M299" s="315"/>
    </row>
    <row r="300" spans="2:14" x14ac:dyDescent="0.3">
      <c r="C300" s="360" t="s">
        <v>106</v>
      </c>
      <c r="D300" s="316"/>
      <c r="E300" s="137"/>
      <c r="F300" s="137"/>
      <c r="G300" s="317"/>
      <c r="H300" s="318"/>
      <c r="I300" s="319"/>
      <c r="J300" s="318"/>
      <c r="K300" s="320"/>
      <c r="L300" s="321"/>
      <c r="M300" s="322"/>
    </row>
    <row r="301" spans="2:14" x14ac:dyDescent="0.3">
      <c r="C301" s="360" t="s">
        <v>106</v>
      </c>
      <c r="D301" s="351" t="s">
        <v>365</v>
      </c>
      <c r="E301" s="1310">
        <f>SUMIFS('Airport Statistics'!G:G,'Airport Statistics'!D:D,C301,'Airport Statistics'!F:F,D301)</f>
        <v>0</v>
      </c>
      <c r="F301" s="211"/>
      <c r="G301" s="345" t="s">
        <v>250</v>
      </c>
      <c r="H301" s="346">
        <f>$H$8</f>
        <v>1E-3</v>
      </c>
      <c r="I301" s="347" t="s">
        <v>188</v>
      </c>
      <c r="J301" s="346">
        <f>$H$8</f>
        <v>1E-3</v>
      </c>
      <c r="K301" s="348" t="s">
        <v>188</v>
      </c>
      <c r="L301" s="349"/>
      <c r="M301" s="350"/>
      <c r="N301" s="178"/>
    </row>
    <row r="302" spans="2:14" x14ac:dyDescent="0.3">
      <c r="C302" s="360" t="s">
        <v>106</v>
      </c>
      <c r="D302" s="1306" t="s">
        <v>374</v>
      </c>
      <c r="E302" s="1308">
        <f>$F$8</f>
        <v>500</v>
      </c>
      <c r="F302" s="137"/>
      <c r="G302" s="324" t="s">
        <v>249</v>
      </c>
      <c r="H302" s="325">
        <f>H301*H299*1440</f>
        <v>0</v>
      </c>
      <c r="I302" s="326" t="s">
        <v>113</v>
      </c>
      <c r="J302" s="325">
        <f>J301*J299*1440</f>
        <v>0</v>
      </c>
      <c r="K302" s="327" t="s">
        <v>113</v>
      </c>
      <c r="L302" s="328">
        <f>H302-J302</f>
        <v>0</v>
      </c>
      <c r="M302" s="329" t="str">
        <f>IFERROR(L302/H302,"-")</f>
        <v>-</v>
      </c>
    </row>
    <row r="303" spans="2:14" x14ac:dyDescent="0.3">
      <c r="C303" s="360" t="s">
        <v>106</v>
      </c>
      <c r="D303" s="1307" t="s">
        <v>677</v>
      </c>
      <c r="E303" s="1308">
        <f>$F$9</f>
        <v>3</v>
      </c>
      <c r="F303" s="137"/>
      <c r="G303" s="324"/>
      <c r="H303" s="321"/>
      <c r="I303" s="326"/>
      <c r="J303" s="321"/>
      <c r="K303" s="327"/>
      <c r="L303" s="330"/>
      <c r="M303" s="331"/>
    </row>
    <row r="304" spans="2:14" x14ac:dyDescent="0.3">
      <c r="C304" s="360" t="s">
        <v>106</v>
      </c>
      <c r="D304" s="323" t="s">
        <v>375</v>
      </c>
      <c r="E304" s="1311">
        <f>E301/E302*E303</f>
        <v>0</v>
      </c>
      <c r="F304" s="211"/>
      <c r="G304" s="345" t="s">
        <v>244</v>
      </c>
      <c r="H304" s="353">
        <f>$H$9</f>
        <v>10</v>
      </c>
      <c r="I304" s="354" t="s">
        <v>245</v>
      </c>
      <c r="J304" s="353">
        <f>$H$9</f>
        <v>10</v>
      </c>
      <c r="K304" s="355" t="s">
        <v>245</v>
      </c>
      <c r="L304" s="356"/>
      <c r="M304" s="357"/>
      <c r="N304" s="178"/>
    </row>
    <row r="305" spans="3:14" x14ac:dyDescent="0.3">
      <c r="C305" s="360" t="s">
        <v>106</v>
      </c>
      <c r="D305" s="316"/>
      <c r="E305" s="137"/>
      <c r="F305" s="137"/>
      <c r="G305" s="324" t="s">
        <v>243</v>
      </c>
      <c r="H305" s="325">
        <f>H299*8.34*1440*H304/1000/8.34</f>
        <v>0</v>
      </c>
      <c r="I305" s="326" t="s">
        <v>113</v>
      </c>
      <c r="J305" s="325">
        <f>J299*8.34*1440*J304/1000/8.34</f>
        <v>0</v>
      </c>
      <c r="K305" s="327" t="s">
        <v>113</v>
      </c>
      <c r="L305" s="328">
        <f>H305-J305</f>
        <v>0</v>
      </c>
      <c r="M305" s="329" t="str">
        <f>IFERROR(L305/H305,"-")</f>
        <v>-</v>
      </c>
    </row>
    <row r="306" spans="3:14" x14ac:dyDescent="0.3">
      <c r="C306" s="360" t="s">
        <v>106</v>
      </c>
      <c r="D306" s="316"/>
      <c r="E306" s="137"/>
      <c r="F306" s="137"/>
      <c r="G306" s="324"/>
      <c r="H306" s="321"/>
      <c r="I306" s="326"/>
      <c r="J306" s="321"/>
      <c r="K306" s="327"/>
      <c r="L306" s="330"/>
      <c r="M306" s="331"/>
    </row>
    <row r="307" spans="3:14" x14ac:dyDescent="0.3">
      <c r="C307" s="360" t="s">
        <v>106</v>
      </c>
      <c r="D307" s="352"/>
      <c r="E307" s="211"/>
      <c r="F307" s="211"/>
      <c r="G307" s="345" t="s">
        <v>246</v>
      </c>
      <c r="H307" s="353">
        <f>$J$8</f>
        <v>4</v>
      </c>
      <c r="I307" s="354" t="s">
        <v>251</v>
      </c>
      <c r="J307" s="353">
        <f>$J$9</f>
        <v>10</v>
      </c>
      <c r="K307" s="355" t="s">
        <v>251</v>
      </c>
      <c r="L307" s="356"/>
      <c r="M307" s="357"/>
      <c r="N307" s="178"/>
    </row>
    <row r="308" spans="3:14" x14ac:dyDescent="0.3">
      <c r="C308" s="360" t="s">
        <v>106</v>
      </c>
      <c r="D308" s="316"/>
      <c r="E308" s="137"/>
      <c r="F308" s="137"/>
      <c r="G308" s="332" t="s">
        <v>247</v>
      </c>
      <c r="H308" s="333">
        <f>(H302*(H307-1)-H305)/(1-H307)</f>
        <v>0</v>
      </c>
      <c r="I308" s="334" t="s">
        <v>113</v>
      </c>
      <c r="J308" s="333">
        <f>(J302*(J307-1)-J305)/(1-J307)</f>
        <v>0</v>
      </c>
      <c r="K308" s="335" t="s">
        <v>113</v>
      </c>
      <c r="L308" s="336">
        <f>H308-J308</f>
        <v>0</v>
      </c>
      <c r="M308" s="329" t="str">
        <f>IFERROR(L308/H308,"-")</f>
        <v>-</v>
      </c>
    </row>
    <row r="309" spans="3:14" ht="15" thickBot="1" x14ac:dyDescent="0.35">
      <c r="C309" s="360" t="s">
        <v>106</v>
      </c>
      <c r="D309" s="337"/>
      <c r="E309" s="338" t="s">
        <v>43</v>
      </c>
      <c r="F309" s="338" t="s">
        <v>7</v>
      </c>
      <c r="G309" s="339" t="s">
        <v>248</v>
      </c>
      <c r="H309" s="340">
        <f>H302+H305+H308</f>
        <v>0</v>
      </c>
      <c r="I309" s="341" t="s">
        <v>113</v>
      </c>
      <c r="J309" s="340">
        <f>J302+J305+J308</f>
        <v>0</v>
      </c>
      <c r="K309" s="341" t="s">
        <v>113</v>
      </c>
      <c r="L309" s="342">
        <f>H309-J309</f>
        <v>0</v>
      </c>
      <c r="M309" s="343" t="str">
        <f>IFERROR(L309/H309,"-")</f>
        <v>-</v>
      </c>
    </row>
    <row r="310" spans="3:14" ht="15" thickBot="1" x14ac:dyDescent="0.35">
      <c r="C310" s="360"/>
    </row>
    <row r="311" spans="3:14" x14ac:dyDescent="0.3">
      <c r="C311" s="362" t="s">
        <v>107</v>
      </c>
      <c r="D311" s="308" t="str">
        <f>VLOOKUP(C311,'Airport Mapping'!$C$5:$D$39,2,FALSE)</f>
        <v xml:space="preserve"> </v>
      </c>
      <c r="E311" s="309"/>
      <c r="F311" s="309"/>
      <c r="G311" s="310" t="s">
        <v>242</v>
      </c>
      <c r="H311" s="311">
        <f>E316</f>
        <v>0</v>
      </c>
      <c r="I311" s="312" t="s">
        <v>678</v>
      </c>
      <c r="J311" s="311">
        <f>E316</f>
        <v>0</v>
      </c>
      <c r="K311" s="313" t="s">
        <v>678</v>
      </c>
      <c r="L311" s="314"/>
      <c r="M311" s="315"/>
    </row>
    <row r="312" spans="3:14" x14ac:dyDescent="0.3">
      <c r="C312" s="360" t="s">
        <v>107</v>
      </c>
      <c r="D312" s="316"/>
      <c r="E312" s="137"/>
      <c r="F312" s="137"/>
      <c r="G312" s="317"/>
      <c r="H312" s="318"/>
      <c r="I312" s="319"/>
      <c r="J312" s="318"/>
      <c r="K312" s="320"/>
      <c r="L312" s="321"/>
      <c r="M312" s="322"/>
    </row>
    <row r="313" spans="3:14" x14ac:dyDescent="0.3">
      <c r="C313" s="360" t="s">
        <v>107</v>
      </c>
      <c r="D313" s="351" t="s">
        <v>365</v>
      </c>
      <c r="E313" s="1310">
        <f>SUMIFS('Airport Statistics'!G:G,'Airport Statistics'!D:D,C313,'Airport Statistics'!F:F,D313)</f>
        <v>0</v>
      </c>
      <c r="F313" s="211"/>
      <c r="G313" s="345" t="s">
        <v>250</v>
      </c>
      <c r="H313" s="346">
        <f>$H$8</f>
        <v>1E-3</v>
      </c>
      <c r="I313" s="347" t="s">
        <v>188</v>
      </c>
      <c r="J313" s="346">
        <f>$H$8</f>
        <v>1E-3</v>
      </c>
      <c r="K313" s="348" t="s">
        <v>188</v>
      </c>
      <c r="L313" s="349"/>
      <c r="M313" s="350"/>
      <c r="N313" s="178"/>
    </row>
    <row r="314" spans="3:14" x14ac:dyDescent="0.3">
      <c r="C314" s="360" t="s">
        <v>107</v>
      </c>
      <c r="D314" s="1306" t="s">
        <v>374</v>
      </c>
      <c r="E314" s="1308">
        <f>$F$8</f>
        <v>500</v>
      </c>
      <c r="F314" s="137"/>
      <c r="G314" s="324" t="s">
        <v>249</v>
      </c>
      <c r="H314" s="325">
        <f>H313*H311*1440</f>
        <v>0</v>
      </c>
      <c r="I314" s="326" t="s">
        <v>113</v>
      </c>
      <c r="J314" s="325">
        <f>J313*J311*1440</f>
        <v>0</v>
      </c>
      <c r="K314" s="327" t="s">
        <v>113</v>
      </c>
      <c r="L314" s="328">
        <f>H314-J314</f>
        <v>0</v>
      </c>
      <c r="M314" s="329" t="str">
        <f>IFERROR(L314/H314,"-")</f>
        <v>-</v>
      </c>
    </row>
    <row r="315" spans="3:14" x14ac:dyDescent="0.3">
      <c r="C315" s="360" t="s">
        <v>107</v>
      </c>
      <c r="D315" s="1307" t="s">
        <v>677</v>
      </c>
      <c r="E315" s="1308">
        <f>$F$9</f>
        <v>3</v>
      </c>
      <c r="F315" s="137"/>
      <c r="G315" s="324"/>
      <c r="H315" s="321"/>
      <c r="I315" s="326"/>
      <c r="J315" s="321"/>
      <c r="K315" s="327"/>
      <c r="L315" s="330"/>
      <c r="M315" s="331"/>
    </row>
    <row r="316" spans="3:14" x14ac:dyDescent="0.3">
      <c r="C316" s="360" t="s">
        <v>107</v>
      </c>
      <c r="D316" s="323" t="s">
        <v>375</v>
      </c>
      <c r="E316" s="1311">
        <f>E313/E314*E315</f>
        <v>0</v>
      </c>
      <c r="F316" s="211"/>
      <c r="G316" s="345" t="s">
        <v>244</v>
      </c>
      <c r="H316" s="353">
        <f>$H$9</f>
        <v>10</v>
      </c>
      <c r="I316" s="354" t="s">
        <v>245</v>
      </c>
      <c r="J316" s="353">
        <f>$H$9</f>
        <v>10</v>
      </c>
      <c r="K316" s="355" t="s">
        <v>245</v>
      </c>
      <c r="L316" s="356"/>
      <c r="M316" s="357"/>
      <c r="N316" s="178"/>
    </row>
    <row r="317" spans="3:14" x14ac:dyDescent="0.3">
      <c r="C317" s="360" t="s">
        <v>107</v>
      </c>
      <c r="D317" s="316"/>
      <c r="E317" s="137"/>
      <c r="F317" s="137"/>
      <c r="G317" s="324" t="s">
        <v>243</v>
      </c>
      <c r="H317" s="325">
        <f>H311*8.34*1440*H316/1000/8.34</f>
        <v>0</v>
      </c>
      <c r="I317" s="326" t="s">
        <v>113</v>
      </c>
      <c r="J317" s="325">
        <f>J311*8.34*1440*J316/1000/8.34</f>
        <v>0</v>
      </c>
      <c r="K317" s="327" t="s">
        <v>113</v>
      </c>
      <c r="L317" s="328">
        <f>H317-J317</f>
        <v>0</v>
      </c>
      <c r="M317" s="329" t="str">
        <f>IFERROR(L317/H317,"-")</f>
        <v>-</v>
      </c>
    </row>
    <row r="318" spans="3:14" x14ac:dyDescent="0.3">
      <c r="C318" s="360" t="s">
        <v>107</v>
      </c>
      <c r="D318" s="316"/>
      <c r="E318" s="137"/>
      <c r="F318" s="137"/>
      <c r="G318" s="324"/>
      <c r="H318" s="321"/>
      <c r="I318" s="326"/>
      <c r="J318" s="321"/>
      <c r="K318" s="327"/>
      <c r="L318" s="330"/>
      <c r="M318" s="331"/>
    </row>
    <row r="319" spans="3:14" x14ac:dyDescent="0.3">
      <c r="C319" s="360" t="s">
        <v>107</v>
      </c>
      <c r="D319" s="352"/>
      <c r="E319" s="211"/>
      <c r="F319" s="211"/>
      <c r="G319" s="345" t="s">
        <v>246</v>
      </c>
      <c r="H319" s="353">
        <f>$J$8</f>
        <v>4</v>
      </c>
      <c r="I319" s="354" t="s">
        <v>251</v>
      </c>
      <c r="J319" s="353">
        <f>$J$9</f>
        <v>10</v>
      </c>
      <c r="K319" s="355" t="s">
        <v>251</v>
      </c>
      <c r="L319" s="356"/>
      <c r="M319" s="357"/>
      <c r="N319" s="178"/>
    </row>
    <row r="320" spans="3:14" x14ac:dyDescent="0.3">
      <c r="C320" s="360" t="s">
        <v>107</v>
      </c>
      <c r="D320" s="316"/>
      <c r="E320" s="137"/>
      <c r="F320" s="137"/>
      <c r="G320" s="332" t="s">
        <v>247</v>
      </c>
      <c r="H320" s="333">
        <f>(H314*(H319-1)-H317)/(1-H319)</f>
        <v>0</v>
      </c>
      <c r="I320" s="334" t="s">
        <v>113</v>
      </c>
      <c r="J320" s="333">
        <f>(J314*(J319-1)-J317)/(1-J319)</f>
        <v>0</v>
      </c>
      <c r="K320" s="335" t="s">
        <v>113</v>
      </c>
      <c r="L320" s="336">
        <f>H320-J320</f>
        <v>0</v>
      </c>
      <c r="M320" s="329" t="str">
        <f>IFERROR(L320/H320,"-")</f>
        <v>-</v>
      </c>
    </row>
    <row r="321" spans="3:14" ht="15" thickBot="1" x14ac:dyDescent="0.35">
      <c r="C321" s="360" t="s">
        <v>107</v>
      </c>
      <c r="D321" s="337"/>
      <c r="E321" s="338" t="s">
        <v>43</v>
      </c>
      <c r="F321" s="338" t="s">
        <v>7</v>
      </c>
      <c r="G321" s="339" t="s">
        <v>248</v>
      </c>
      <c r="H321" s="340">
        <f>H314+H317+H320</f>
        <v>0</v>
      </c>
      <c r="I321" s="341" t="s">
        <v>113</v>
      </c>
      <c r="J321" s="340">
        <f>J314+J317+J320</f>
        <v>0</v>
      </c>
      <c r="K321" s="341" t="s">
        <v>113</v>
      </c>
      <c r="L321" s="342">
        <f>H321-J321</f>
        <v>0</v>
      </c>
      <c r="M321" s="343" t="str">
        <f>IFERROR(L321/H321,"-")</f>
        <v>-</v>
      </c>
    </row>
    <row r="322" spans="3:14" ht="15" thickBot="1" x14ac:dyDescent="0.35">
      <c r="C322" s="360"/>
    </row>
    <row r="323" spans="3:14" x14ac:dyDescent="0.3">
      <c r="C323" s="362" t="s">
        <v>108</v>
      </c>
      <c r="D323" s="308" t="str">
        <f>VLOOKUP(C323,'Airport Mapping'!$C$5:$D$39,2,FALSE)</f>
        <v xml:space="preserve"> </v>
      </c>
      <c r="E323" s="309"/>
      <c r="F323" s="309"/>
      <c r="G323" s="310" t="s">
        <v>242</v>
      </c>
      <c r="H323" s="311">
        <f>E328</f>
        <v>0</v>
      </c>
      <c r="I323" s="312" t="s">
        <v>678</v>
      </c>
      <c r="J323" s="311">
        <f>E328</f>
        <v>0</v>
      </c>
      <c r="K323" s="313" t="s">
        <v>678</v>
      </c>
      <c r="L323" s="314"/>
      <c r="M323" s="315"/>
    </row>
    <row r="324" spans="3:14" x14ac:dyDescent="0.3">
      <c r="C324" s="360" t="s">
        <v>108</v>
      </c>
      <c r="D324" s="316"/>
      <c r="E324" s="137"/>
      <c r="F324" s="137"/>
      <c r="G324" s="317"/>
      <c r="H324" s="318"/>
      <c r="I324" s="319"/>
      <c r="J324" s="318"/>
      <c r="K324" s="320"/>
      <c r="L324" s="321"/>
      <c r="M324" s="322"/>
    </row>
    <row r="325" spans="3:14" x14ac:dyDescent="0.3">
      <c r="C325" s="360" t="s">
        <v>108</v>
      </c>
      <c r="D325" s="351" t="s">
        <v>365</v>
      </c>
      <c r="E325" s="1310">
        <f>SUMIFS('Airport Statistics'!G:G,'Airport Statistics'!D:D,C325,'Airport Statistics'!F:F,D325)</f>
        <v>0</v>
      </c>
      <c r="F325" s="211"/>
      <c r="G325" s="345" t="s">
        <v>250</v>
      </c>
      <c r="H325" s="346">
        <f>$H$8</f>
        <v>1E-3</v>
      </c>
      <c r="I325" s="347" t="s">
        <v>188</v>
      </c>
      <c r="J325" s="346">
        <f>$H$8</f>
        <v>1E-3</v>
      </c>
      <c r="K325" s="348" t="s">
        <v>188</v>
      </c>
      <c r="L325" s="349"/>
      <c r="M325" s="350"/>
      <c r="N325" s="178"/>
    </row>
    <row r="326" spans="3:14" x14ac:dyDescent="0.3">
      <c r="C326" s="360" t="s">
        <v>108</v>
      </c>
      <c r="D326" s="1306" t="s">
        <v>374</v>
      </c>
      <c r="E326" s="1308">
        <f>$F$8</f>
        <v>500</v>
      </c>
      <c r="F326" s="137"/>
      <c r="G326" s="324" t="s">
        <v>249</v>
      </c>
      <c r="H326" s="325">
        <f>H325*H323*1440</f>
        <v>0</v>
      </c>
      <c r="I326" s="326" t="s">
        <v>113</v>
      </c>
      <c r="J326" s="325">
        <f>J325*J323*1440</f>
        <v>0</v>
      </c>
      <c r="K326" s="327" t="s">
        <v>113</v>
      </c>
      <c r="L326" s="328">
        <f>H326-J326</f>
        <v>0</v>
      </c>
      <c r="M326" s="329" t="str">
        <f>IFERROR(L326/H326,"-")</f>
        <v>-</v>
      </c>
    </row>
    <row r="327" spans="3:14" x14ac:dyDescent="0.3">
      <c r="C327" s="360" t="s">
        <v>108</v>
      </c>
      <c r="D327" s="1307" t="s">
        <v>677</v>
      </c>
      <c r="E327" s="1308">
        <f>$F$9</f>
        <v>3</v>
      </c>
      <c r="F327" s="137"/>
      <c r="G327" s="324"/>
      <c r="H327" s="321"/>
      <c r="I327" s="326"/>
      <c r="J327" s="321"/>
      <c r="K327" s="327"/>
      <c r="L327" s="330"/>
      <c r="M327" s="331"/>
    </row>
    <row r="328" spans="3:14" x14ac:dyDescent="0.3">
      <c r="C328" s="360" t="s">
        <v>108</v>
      </c>
      <c r="D328" s="323" t="s">
        <v>375</v>
      </c>
      <c r="E328" s="1311">
        <f>E325/E326*E327</f>
        <v>0</v>
      </c>
      <c r="F328" s="211"/>
      <c r="G328" s="345" t="s">
        <v>244</v>
      </c>
      <c r="H328" s="353">
        <f>$H$9</f>
        <v>10</v>
      </c>
      <c r="I328" s="354" t="s">
        <v>245</v>
      </c>
      <c r="J328" s="353">
        <f>$H$9</f>
        <v>10</v>
      </c>
      <c r="K328" s="355" t="s">
        <v>245</v>
      </c>
      <c r="L328" s="356"/>
      <c r="M328" s="357"/>
      <c r="N328" s="178"/>
    </row>
    <row r="329" spans="3:14" x14ac:dyDescent="0.3">
      <c r="C329" s="360" t="s">
        <v>108</v>
      </c>
      <c r="D329" s="316"/>
      <c r="E329" s="137"/>
      <c r="F329" s="137"/>
      <c r="G329" s="324" t="s">
        <v>243</v>
      </c>
      <c r="H329" s="325">
        <f>H323*8.34*1440*H328/1000/8.34</f>
        <v>0</v>
      </c>
      <c r="I329" s="326" t="s">
        <v>113</v>
      </c>
      <c r="J329" s="325">
        <f>J323*8.34*1440*J328/1000/8.34</f>
        <v>0</v>
      </c>
      <c r="K329" s="327" t="s">
        <v>113</v>
      </c>
      <c r="L329" s="328">
        <f>H329-J329</f>
        <v>0</v>
      </c>
      <c r="M329" s="329" t="str">
        <f>IFERROR(L329/H329,"-")</f>
        <v>-</v>
      </c>
    </row>
    <row r="330" spans="3:14" x14ac:dyDescent="0.3">
      <c r="C330" s="360" t="s">
        <v>108</v>
      </c>
      <c r="D330" s="316"/>
      <c r="E330" s="137"/>
      <c r="F330" s="137"/>
      <c r="G330" s="324"/>
      <c r="H330" s="321"/>
      <c r="I330" s="326"/>
      <c r="J330" s="321"/>
      <c r="K330" s="327"/>
      <c r="L330" s="330"/>
      <c r="M330" s="331"/>
    </row>
    <row r="331" spans="3:14" x14ac:dyDescent="0.3">
      <c r="C331" s="360" t="s">
        <v>108</v>
      </c>
      <c r="D331" s="352"/>
      <c r="E331" s="211"/>
      <c r="F331" s="211"/>
      <c r="G331" s="345" t="s">
        <v>246</v>
      </c>
      <c r="H331" s="353">
        <f>$J$8</f>
        <v>4</v>
      </c>
      <c r="I331" s="354" t="s">
        <v>251</v>
      </c>
      <c r="J331" s="353">
        <f>$J$9</f>
        <v>10</v>
      </c>
      <c r="K331" s="355" t="s">
        <v>251</v>
      </c>
      <c r="L331" s="356"/>
      <c r="M331" s="357"/>
      <c r="N331" s="178"/>
    </row>
    <row r="332" spans="3:14" x14ac:dyDescent="0.3">
      <c r="C332" s="360" t="s">
        <v>108</v>
      </c>
      <c r="D332" s="316"/>
      <c r="E332" s="137"/>
      <c r="F332" s="137"/>
      <c r="G332" s="332" t="s">
        <v>247</v>
      </c>
      <c r="H332" s="333">
        <f>(H326*(H331-1)-H329)/(1-H331)</f>
        <v>0</v>
      </c>
      <c r="I332" s="334" t="s">
        <v>113</v>
      </c>
      <c r="J332" s="333">
        <f>(J326*(J331-1)-J329)/(1-J331)</f>
        <v>0</v>
      </c>
      <c r="K332" s="335" t="s">
        <v>113</v>
      </c>
      <c r="L332" s="336">
        <f>H332-J332</f>
        <v>0</v>
      </c>
      <c r="M332" s="329" t="str">
        <f>IFERROR(L332/H332,"-")</f>
        <v>-</v>
      </c>
    </row>
    <row r="333" spans="3:14" ht="15" thickBot="1" x14ac:dyDescent="0.35">
      <c r="C333" s="360" t="s">
        <v>108</v>
      </c>
      <c r="D333" s="337"/>
      <c r="E333" s="338" t="s">
        <v>43</v>
      </c>
      <c r="F333" s="338" t="s">
        <v>7</v>
      </c>
      <c r="G333" s="339" t="s">
        <v>248</v>
      </c>
      <c r="H333" s="340">
        <f>H326+H329+H332</f>
        <v>0</v>
      </c>
      <c r="I333" s="341" t="s">
        <v>113</v>
      </c>
      <c r="J333" s="340">
        <f>J326+J329+J332</f>
        <v>0</v>
      </c>
      <c r="K333" s="341" t="s">
        <v>113</v>
      </c>
      <c r="L333" s="342">
        <f>H333-J333</f>
        <v>0</v>
      </c>
      <c r="M333" s="343" t="str">
        <f>IFERROR(L333/H333,"-")</f>
        <v>-</v>
      </c>
    </row>
    <row r="334" spans="3:14" ht="15" thickBot="1" x14ac:dyDescent="0.35">
      <c r="C334" s="360"/>
    </row>
    <row r="335" spans="3:14" x14ac:dyDescent="0.3">
      <c r="C335" s="362" t="s">
        <v>109</v>
      </c>
      <c r="D335" s="308" t="str">
        <f>VLOOKUP(C335,'Airport Mapping'!$C$5:$D$39,2,FALSE)</f>
        <v xml:space="preserve"> </v>
      </c>
      <c r="E335" s="309"/>
      <c r="F335" s="309"/>
      <c r="G335" s="310" t="s">
        <v>242</v>
      </c>
      <c r="H335" s="311">
        <f>E340</f>
        <v>0</v>
      </c>
      <c r="I335" s="312" t="s">
        <v>678</v>
      </c>
      <c r="J335" s="311">
        <f>E340</f>
        <v>0</v>
      </c>
      <c r="K335" s="313" t="s">
        <v>678</v>
      </c>
      <c r="L335" s="314"/>
      <c r="M335" s="315"/>
    </row>
    <row r="336" spans="3:14" x14ac:dyDescent="0.3">
      <c r="C336" s="360" t="s">
        <v>109</v>
      </c>
      <c r="D336" s="316"/>
      <c r="E336" s="137"/>
      <c r="F336" s="137"/>
      <c r="G336" s="317"/>
      <c r="H336" s="318"/>
      <c r="I336" s="319"/>
      <c r="J336" s="318"/>
      <c r="K336" s="320"/>
      <c r="L336" s="321"/>
      <c r="M336" s="322"/>
    </row>
    <row r="337" spans="3:14" x14ac:dyDescent="0.3">
      <c r="C337" s="360" t="s">
        <v>109</v>
      </c>
      <c r="D337" s="351" t="s">
        <v>365</v>
      </c>
      <c r="E337" s="1310">
        <f>SUMIFS('Airport Statistics'!G:G,'Airport Statistics'!D:D,C337,'Airport Statistics'!F:F,D337)</f>
        <v>0</v>
      </c>
      <c r="F337" s="211"/>
      <c r="G337" s="345" t="s">
        <v>250</v>
      </c>
      <c r="H337" s="346">
        <f>$H$8</f>
        <v>1E-3</v>
      </c>
      <c r="I337" s="347" t="s">
        <v>188</v>
      </c>
      <c r="J337" s="346">
        <f>$H$8</f>
        <v>1E-3</v>
      </c>
      <c r="K337" s="348" t="s">
        <v>188</v>
      </c>
      <c r="L337" s="349"/>
      <c r="M337" s="350"/>
      <c r="N337" s="178"/>
    </row>
    <row r="338" spans="3:14" x14ac:dyDescent="0.3">
      <c r="C338" s="360" t="s">
        <v>109</v>
      </c>
      <c r="D338" s="1306" t="s">
        <v>374</v>
      </c>
      <c r="E338" s="1308">
        <f>$F$8</f>
        <v>500</v>
      </c>
      <c r="F338" s="137"/>
      <c r="G338" s="324" t="s">
        <v>249</v>
      </c>
      <c r="H338" s="325">
        <f>H337*H335*1440</f>
        <v>0</v>
      </c>
      <c r="I338" s="326" t="s">
        <v>113</v>
      </c>
      <c r="J338" s="325">
        <f>J337*J335*1440</f>
        <v>0</v>
      </c>
      <c r="K338" s="327" t="s">
        <v>113</v>
      </c>
      <c r="L338" s="328">
        <f>H338-J338</f>
        <v>0</v>
      </c>
      <c r="M338" s="329" t="str">
        <f>IFERROR(L338/H338,"-")</f>
        <v>-</v>
      </c>
    </row>
    <row r="339" spans="3:14" x14ac:dyDescent="0.3">
      <c r="C339" s="360" t="s">
        <v>109</v>
      </c>
      <c r="D339" s="1307" t="s">
        <v>677</v>
      </c>
      <c r="E339" s="1308">
        <f>$F$9</f>
        <v>3</v>
      </c>
      <c r="F339" s="137"/>
      <c r="G339" s="324"/>
      <c r="H339" s="321"/>
      <c r="I339" s="326"/>
      <c r="J339" s="321"/>
      <c r="K339" s="327"/>
      <c r="L339" s="330"/>
      <c r="M339" s="331"/>
    </row>
    <row r="340" spans="3:14" x14ac:dyDescent="0.3">
      <c r="C340" s="360" t="s">
        <v>109</v>
      </c>
      <c r="D340" s="323" t="s">
        <v>375</v>
      </c>
      <c r="E340" s="1311">
        <f>E337/E338*E339</f>
        <v>0</v>
      </c>
      <c r="F340" s="211"/>
      <c r="G340" s="345" t="s">
        <v>244</v>
      </c>
      <c r="H340" s="353">
        <f>$H$9</f>
        <v>10</v>
      </c>
      <c r="I340" s="354" t="s">
        <v>245</v>
      </c>
      <c r="J340" s="353">
        <f>$H$9</f>
        <v>10</v>
      </c>
      <c r="K340" s="355" t="s">
        <v>245</v>
      </c>
      <c r="L340" s="356"/>
      <c r="M340" s="357"/>
      <c r="N340" s="178"/>
    </row>
    <row r="341" spans="3:14" x14ac:dyDescent="0.3">
      <c r="C341" s="360" t="s">
        <v>109</v>
      </c>
      <c r="D341" s="316"/>
      <c r="E341" s="137"/>
      <c r="F341" s="137"/>
      <c r="G341" s="324" t="s">
        <v>243</v>
      </c>
      <c r="H341" s="325">
        <f>H335*8.34*1440*H340/1000/8.34</f>
        <v>0</v>
      </c>
      <c r="I341" s="326" t="s">
        <v>113</v>
      </c>
      <c r="J341" s="325">
        <f>J335*8.34*1440*J340/1000/8.34</f>
        <v>0</v>
      </c>
      <c r="K341" s="327" t="s">
        <v>113</v>
      </c>
      <c r="L341" s="328">
        <f>H341-J341</f>
        <v>0</v>
      </c>
      <c r="M341" s="329" t="str">
        <f>IFERROR(L341/H341,"-")</f>
        <v>-</v>
      </c>
    </row>
    <row r="342" spans="3:14" x14ac:dyDescent="0.3">
      <c r="C342" s="360" t="s">
        <v>109</v>
      </c>
      <c r="D342" s="316"/>
      <c r="E342" s="137"/>
      <c r="F342" s="137"/>
      <c r="G342" s="324"/>
      <c r="H342" s="321"/>
      <c r="I342" s="326"/>
      <c r="J342" s="321"/>
      <c r="K342" s="327"/>
      <c r="L342" s="330"/>
      <c r="M342" s="331"/>
    </row>
    <row r="343" spans="3:14" x14ac:dyDescent="0.3">
      <c r="C343" s="360" t="s">
        <v>109</v>
      </c>
      <c r="D343" s="352"/>
      <c r="E343" s="211"/>
      <c r="F343" s="211"/>
      <c r="G343" s="345" t="s">
        <v>246</v>
      </c>
      <c r="H343" s="353">
        <f>$J$8</f>
        <v>4</v>
      </c>
      <c r="I343" s="354" t="s">
        <v>251</v>
      </c>
      <c r="J343" s="353">
        <f>$J$9</f>
        <v>10</v>
      </c>
      <c r="K343" s="355" t="s">
        <v>251</v>
      </c>
      <c r="L343" s="356"/>
      <c r="M343" s="357"/>
      <c r="N343" s="178"/>
    </row>
    <row r="344" spans="3:14" x14ac:dyDescent="0.3">
      <c r="C344" s="360" t="s">
        <v>109</v>
      </c>
      <c r="D344" s="316"/>
      <c r="E344" s="137"/>
      <c r="F344" s="137"/>
      <c r="G344" s="332" t="s">
        <v>247</v>
      </c>
      <c r="H344" s="333">
        <f>(H338*(H343-1)-H341)/(1-H343)</f>
        <v>0</v>
      </c>
      <c r="I344" s="334" t="s">
        <v>113</v>
      </c>
      <c r="J344" s="333">
        <f>(J338*(J343-1)-J341)/(1-J343)</f>
        <v>0</v>
      </c>
      <c r="K344" s="335" t="s">
        <v>113</v>
      </c>
      <c r="L344" s="336">
        <f>H344-J344</f>
        <v>0</v>
      </c>
      <c r="M344" s="329" t="str">
        <f>IFERROR(L344/H344,"-")</f>
        <v>-</v>
      </c>
    </row>
    <row r="345" spans="3:14" ht="15" thickBot="1" x14ac:dyDescent="0.35">
      <c r="C345" s="360" t="s">
        <v>109</v>
      </c>
      <c r="D345" s="337"/>
      <c r="E345" s="338" t="s">
        <v>43</v>
      </c>
      <c r="F345" s="338" t="s">
        <v>7</v>
      </c>
      <c r="G345" s="339" t="s">
        <v>248</v>
      </c>
      <c r="H345" s="340">
        <f>H338+H341+H344</f>
        <v>0</v>
      </c>
      <c r="I345" s="341" t="s">
        <v>113</v>
      </c>
      <c r="J345" s="340">
        <f>J338+J341+J344</f>
        <v>0</v>
      </c>
      <c r="K345" s="341" t="s">
        <v>113</v>
      </c>
      <c r="L345" s="342">
        <f>H345-J345</f>
        <v>0</v>
      </c>
      <c r="M345" s="343" t="str">
        <f>IFERROR(L345/H345,"-")</f>
        <v>-</v>
      </c>
    </row>
    <row r="346" spans="3:14" ht="15" thickBot="1" x14ac:dyDescent="0.35">
      <c r="C346" s="360"/>
    </row>
    <row r="347" spans="3:14" x14ac:dyDescent="0.3">
      <c r="C347" s="362" t="s">
        <v>110</v>
      </c>
      <c r="D347" s="308" t="str">
        <f>VLOOKUP(C347,'Airport Mapping'!$C$5:$D$39,2,FALSE)</f>
        <v xml:space="preserve"> </v>
      </c>
      <c r="E347" s="309"/>
      <c r="F347" s="309"/>
      <c r="G347" s="310" t="s">
        <v>242</v>
      </c>
      <c r="H347" s="311">
        <f>E352</f>
        <v>0</v>
      </c>
      <c r="I347" s="312" t="s">
        <v>678</v>
      </c>
      <c r="J347" s="311">
        <f>E352</f>
        <v>0</v>
      </c>
      <c r="K347" s="313" t="s">
        <v>678</v>
      </c>
      <c r="L347" s="314"/>
      <c r="M347" s="315"/>
    </row>
    <row r="348" spans="3:14" x14ac:dyDescent="0.3">
      <c r="C348" s="360" t="s">
        <v>110</v>
      </c>
      <c r="D348" s="316"/>
      <c r="E348" s="137"/>
      <c r="F348" s="137"/>
      <c r="G348" s="317"/>
      <c r="H348" s="318"/>
      <c r="I348" s="319"/>
      <c r="J348" s="318"/>
      <c r="K348" s="320"/>
      <c r="L348" s="321"/>
      <c r="M348" s="322"/>
    </row>
    <row r="349" spans="3:14" x14ac:dyDescent="0.3">
      <c r="C349" s="360" t="s">
        <v>110</v>
      </c>
      <c r="D349" s="351" t="s">
        <v>365</v>
      </c>
      <c r="E349" s="1310">
        <f>SUMIFS('Airport Statistics'!G:G,'Airport Statistics'!D:D,C349,'Airport Statistics'!F:F,D349)</f>
        <v>0</v>
      </c>
      <c r="F349" s="211"/>
      <c r="G349" s="345" t="s">
        <v>250</v>
      </c>
      <c r="H349" s="346">
        <f>$H$8</f>
        <v>1E-3</v>
      </c>
      <c r="I349" s="347" t="s">
        <v>188</v>
      </c>
      <c r="J349" s="346">
        <f>$H$8</f>
        <v>1E-3</v>
      </c>
      <c r="K349" s="348" t="s">
        <v>188</v>
      </c>
      <c r="L349" s="349"/>
      <c r="M349" s="350"/>
      <c r="N349" s="178"/>
    </row>
    <row r="350" spans="3:14" x14ac:dyDescent="0.3">
      <c r="C350" s="360" t="s">
        <v>110</v>
      </c>
      <c r="D350" s="1306" t="s">
        <v>374</v>
      </c>
      <c r="E350" s="1308">
        <f>$F$8</f>
        <v>500</v>
      </c>
      <c r="F350" s="137"/>
      <c r="G350" s="324" t="s">
        <v>249</v>
      </c>
      <c r="H350" s="325">
        <f>H349*H347*1440</f>
        <v>0</v>
      </c>
      <c r="I350" s="326" t="s">
        <v>113</v>
      </c>
      <c r="J350" s="325">
        <f>J349*J347*1440</f>
        <v>0</v>
      </c>
      <c r="K350" s="327" t="s">
        <v>113</v>
      </c>
      <c r="L350" s="328">
        <f>H350-J350</f>
        <v>0</v>
      </c>
      <c r="M350" s="329" t="str">
        <f>IFERROR(L350/H350,"-")</f>
        <v>-</v>
      </c>
    </row>
    <row r="351" spans="3:14" x14ac:dyDescent="0.3">
      <c r="C351" s="360" t="s">
        <v>110</v>
      </c>
      <c r="D351" s="1307" t="s">
        <v>677</v>
      </c>
      <c r="E351" s="1308">
        <f>$F$9</f>
        <v>3</v>
      </c>
      <c r="F351" s="137"/>
      <c r="G351" s="324"/>
      <c r="H351" s="321"/>
      <c r="I351" s="326"/>
      <c r="J351" s="321"/>
      <c r="K351" s="327"/>
      <c r="L351" s="330"/>
      <c r="M351" s="331"/>
    </row>
    <row r="352" spans="3:14" x14ac:dyDescent="0.3">
      <c r="C352" s="360" t="s">
        <v>110</v>
      </c>
      <c r="D352" s="323" t="s">
        <v>375</v>
      </c>
      <c r="E352" s="1311">
        <f>E349/E350*E351</f>
        <v>0</v>
      </c>
      <c r="F352" s="211"/>
      <c r="G352" s="345" t="s">
        <v>244</v>
      </c>
      <c r="H352" s="353">
        <f>$H$9</f>
        <v>10</v>
      </c>
      <c r="I352" s="354" t="s">
        <v>245</v>
      </c>
      <c r="J352" s="353">
        <f>$H$9</f>
        <v>10</v>
      </c>
      <c r="K352" s="355" t="s">
        <v>245</v>
      </c>
      <c r="L352" s="356"/>
      <c r="M352" s="357"/>
      <c r="N352" s="178"/>
    </row>
    <row r="353" spans="3:14" x14ac:dyDescent="0.3">
      <c r="C353" s="360" t="s">
        <v>110</v>
      </c>
      <c r="D353" s="316"/>
      <c r="E353" s="137"/>
      <c r="F353" s="137"/>
      <c r="G353" s="324" t="s">
        <v>243</v>
      </c>
      <c r="H353" s="325">
        <f>H347*8.34*1440*H352/1000/8.34</f>
        <v>0</v>
      </c>
      <c r="I353" s="326" t="s">
        <v>113</v>
      </c>
      <c r="J353" s="325">
        <f>J347*8.34*1440*J352/1000/8.34</f>
        <v>0</v>
      </c>
      <c r="K353" s="327" t="s">
        <v>113</v>
      </c>
      <c r="L353" s="328">
        <f>H353-J353</f>
        <v>0</v>
      </c>
      <c r="M353" s="329" t="str">
        <f>IFERROR(L353/H353,"-")</f>
        <v>-</v>
      </c>
    </row>
    <row r="354" spans="3:14" x14ac:dyDescent="0.3">
      <c r="C354" s="360" t="s">
        <v>110</v>
      </c>
      <c r="D354" s="316"/>
      <c r="E354" s="137"/>
      <c r="F354" s="137"/>
      <c r="G354" s="324"/>
      <c r="H354" s="321"/>
      <c r="I354" s="326"/>
      <c r="J354" s="321"/>
      <c r="K354" s="327"/>
      <c r="L354" s="330"/>
      <c r="M354" s="331"/>
    </row>
    <row r="355" spans="3:14" x14ac:dyDescent="0.3">
      <c r="C355" s="360" t="s">
        <v>110</v>
      </c>
      <c r="D355" s="352"/>
      <c r="E355" s="211"/>
      <c r="F355" s="211"/>
      <c r="G355" s="345" t="s">
        <v>246</v>
      </c>
      <c r="H355" s="353">
        <f>$J$8</f>
        <v>4</v>
      </c>
      <c r="I355" s="354" t="s">
        <v>251</v>
      </c>
      <c r="J355" s="353">
        <f>$J$9</f>
        <v>10</v>
      </c>
      <c r="K355" s="355" t="s">
        <v>251</v>
      </c>
      <c r="L355" s="356"/>
      <c r="M355" s="357"/>
      <c r="N355" s="178"/>
    </row>
    <row r="356" spans="3:14" x14ac:dyDescent="0.3">
      <c r="C356" s="360" t="s">
        <v>110</v>
      </c>
      <c r="D356" s="316"/>
      <c r="E356" s="137"/>
      <c r="F356" s="137"/>
      <c r="G356" s="332" t="s">
        <v>247</v>
      </c>
      <c r="H356" s="333">
        <f>(H350*(H355-1)-H353)/(1-H355)</f>
        <v>0</v>
      </c>
      <c r="I356" s="334" t="s">
        <v>113</v>
      </c>
      <c r="J356" s="333">
        <f>(J350*(J355-1)-J353)/(1-J355)</f>
        <v>0</v>
      </c>
      <c r="K356" s="335" t="s">
        <v>113</v>
      </c>
      <c r="L356" s="336">
        <f>H356-J356</f>
        <v>0</v>
      </c>
      <c r="M356" s="329" t="str">
        <f>IFERROR(L356/H356,"-")</f>
        <v>-</v>
      </c>
    </row>
    <row r="357" spans="3:14" ht="15" thickBot="1" x14ac:dyDescent="0.35">
      <c r="C357" s="360" t="s">
        <v>110</v>
      </c>
      <c r="D357" s="337"/>
      <c r="E357" s="338" t="s">
        <v>43</v>
      </c>
      <c r="F357" s="338" t="s">
        <v>7</v>
      </c>
      <c r="G357" s="339" t="s">
        <v>248</v>
      </c>
      <c r="H357" s="340">
        <f>H350+H353+H356</f>
        <v>0</v>
      </c>
      <c r="I357" s="341" t="s">
        <v>113</v>
      </c>
      <c r="J357" s="340">
        <f>J350+J353+J356</f>
        <v>0</v>
      </c>
      <c r="K357" s="341" t="s">
        <v>113</v>
      </c>
      <c r="L357" s="342">
        <f>H357-J357</f>
        <v>0</v>
      </c>
      <c r="M357" s="343" t="str">
        <f>IFERROR(L357/H357,"-")</f>
        <v>-</v>
      </c>
    </row>
  </sheetData>
  <mergeCells count="3">
    <mergeCell ref="H22:I22"/>
    <mergeCell ref="J22:K22"/>
    <mergeCell ref="D6:M6"/>
  </mergeCells>
  <pageMargins left="0.45" right="0.45" top="0.75" bottom="0.5" header="0.3" footer="0.3"/>
  <pageSetup scale="67" fitToHeight="0" orientation="landscape" r:id="rId1"/>
  <headerFooter>
    <oddHeader>&amp;C&amp;"-,Bold"&amp;12&amp;F, &amp;A</oddHeader>
    <oddFooter>&amp;R&amp;10Page &amp;P</oddFooter>
  </headerFooter>
  <rowBreaks count="7" manualBreakCount="7">
    <brk id="82" min="1" max="13" man="1"/>
    <brk id="118" min="1" max="13" man="1"/>
    <brk id="190" min="1" max="13" man="1"/>
    <brk id="226" min="1" max="13" man="1"/>
    <brk id="262" min="1" max="13" man="1"/>
    <brk id="298" min="1" max="13" man="1"/>
    <brk id="334" min="1" max="13" man="1"/>
  </rowBreaks>
  <colBreaks count="1" manualBreakCount="1">
    <brk id="9" max="31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6" tint="-0.499984740745262"/>
    <pageSetUpPr fitToPage="1"/>
  </sheetPr>
  <dimension ref="B1:M105"/>
  <sheetViews>
    <sheetView showGridLines="0" zoomScaleNormal="100" workbookViewId="0">
      <pane ySplit="11" topLeftCell="A12" activePane="bottomLeft" state="frozen"/>
      <selection activeCell="C99" sqref="C99"/>
      <selection pane="bottomLeft" activeCell="J89" sqref="J89"/>
    </sheetView>
  </sheetViews>
  <sheetFormatPr defaultColWidth="9.109375" defaultRowHeight="14.4" x14ac:dyDescent="0.3"/>
  <cols>
    <col min="1" max="1" width="2.109375" style="13" customWidth="1"/>
    <col min="2" max="2" width="2.6640625" style="13" customWidth="1"/>
    <col min="3" max="3" width="14.109375" style="13" customWidth="1"/>
    <col min="4" max="4" width="14.44140625" style="125" hidden="1" customWidth="1"/>
    <col min="5" max="5" width="21" style="125" bestFit="1" customWidth="1"/>
    <col min="6" max="6" width="21" style="125" hidden="1" customWidth="1"/>
    <col min="7" max="7" width="24.5546875" style="125" hidden="1" customWidth="1"/>
    <col min="8" max="9" width="22.44140625" style="13" customWidth="1"/>
    <col min="10" max="10" width="9.109375" style="13"/>
    <col min="11" max="11" width="26.6640625" style="13" customWidth="1"/>
    <col min="12" max="12" width="58.33203125" style="13" bestFit="1" customWidth="1"/>
    <col min="13" max="13" width="9.109375" style="45"/>
    <col min="14" max="16384" width="9.109375" style="13"/>
  </cols>
  <sheetData>
    <row r="1" spans="2:13" ht="15" x14ac:dyDescent="0.25">
      <c r="B1" s="2" t="s">
        <v>139</v>
      </c>
    </row>
    <row r="2" spans="2:13" x14ac:dyDescent="0.3">
      <c r="B2" s="177" t="s">
        <v>555</v>
      </c>
      <c r="C2" s="176" t="s">
        <v>622</v>
      </c>
      <c r="D2" s="176"/>
      <c r="E2" s="176"/>
      <c r="F2" s="176"/>
      <c r="G2" s="176"/>
      <c r="H2" s="176"/>
      <c r="I2" s="176"/>
      <c r="J2" s="176"/>
      <c r="K2" s="176"/>
      <c r="L2" s="176"/>
    </row>
    <row r="3" spans="2:13" ht="15" x14ac:dyDescent="0.25">
      <c r="B3" s="176"/>
      <c r="C3" s="176" t="s">
        <v>623</v>
      </c>
      <c r="D3" s="176"/>
      <c r="E3" s="176"/>
      <c r="F3" s="176"/>
      <c r="G3" s="176"/>
      <c r="H3" s="176"/>
      <c r="I3" s="176"/>
      <c r="J3" s="176"/>
      <c r="K3" s="176"/>
      <c r="L3" s="208"/>
    </row>
    <row r="4" spans="2:13" ht="15" x14ac:dyDescent="0.25">
      <c r="B4" s="176"/>
      <c r="C4" s="176" t="s">
        <v>624</v>
      </c>
      <c r="D4" s="176"/>
      <c r="E4" s="176"/>
      <c r="F4" s="176"/>
      <c r="G4" s="176"/>
      <c r="H4" s="176"/>
      <c r="I4" s="176"/>
      <c r="J4" s="176"/>
      <c r="K4" s="176"/>
      <c r="L4" s="208"/>
    </row>
    <row r="5" spans="2:13" x14ac:dyDescent="0.3">
      <c r="B5" s="177" t="s">
        <v>555</v>
      </c>
      <c r="C5" s="176" t="s">
        <v>1030</v>
      </c>
      <c r="D5" s="176"/>
      <c r="E5" s="176"/>
      <c r="F5" s="176"/>
      <c r="G5" s="176"/>
      <c r="H5" s="176"/>
      <c r="I5" s="176"/>
      <c r="J5" s="176"/>
      <c r="K5" s="176"/>
      <c r="L5" s="208"/>
    </row>
    <row r="6" spans="2:13" ht="15" x14ac:dyDescent="0.25">
      <c r="B6" s="177"/>
      <c r="C6" s="176" t="s">
        <v>1014</v>
      </c>
      <c r="D6" s="176"/>
      <c r="E6" s="176"/>
      <c r="F6" s="176"/>
      <c r="G6" s="176"/>
      <c r="H6" s="176"/>
      <c r="I6" s="176"/>
      <c r="J6" s="176"/>
      <c r="K6" s="176"/>
      <c r="L6" s="208"/>
    </row>
    <row r="7" spans="2:13" ht="15" x14ac:dyDescent="0.25">
      <c r="B7" s="176"/>
      <c r="C7" s="176" t="s">
        <v>625</v>
      </c>
      <c r="D7" s="176"/>
      <c r="E7" s="176"/>
      <c r="F7" s="176"/>
      <c r="G7" s="176"/>
      <c r="H7" s="176"/>
      <c r="I7" s="176"/>
      <c r="J7" s="176"/>
      <c r="K7" s="176"/>
      <c r="L7" s="208"/>
    </row>
    <row r="8" spans="2:13" x14ac:dyDescent="0.3">
      <c r="B8" s="177" t="s">
        <v>555</v>
      </c>
      <c r="C8" s="176" t="s">
        <v>1039</v>
      </c>
      <c r="D8" s="176"/>
      <c r="E8" s="176"/>
      <c r="F8" s="176"/>
      <c r="G8" s="176"/>
      <c r="H8" s="176"/>
      <c r="I8" s="176"/>
      <c r="J8" s="176"/>
      <c r="K8" s="176"/>
      <c r="L8" s="208"/>
    </row>
    <row r="9" spans="2:13" x14ac:dyDescent="0.3">
      <c r="B9" s="177" t="s">
        <v>555</v>
      </c>
      <c r="C9" s="175" t="s">
        <v>508</v>
      </c>
      <c r="D9" s="176"/>
      <c r="E9" s="176"/>
      <c r="F9" s="176"/>
      <c r="G9" s="176"/>
      <c r="H9" s="176"/>
      <c r="I9" s="176"/>
      <c r="J9" s="176"/>
      <c r="K9" s="176"/>
      <c r="L9" s="208"/>
    </row>
    <row r="10" spans="2:13" ht="15.75" thickBot="1" x14ac:dyDescent="0.3">
      <c r="L10" s="45"/>
    </row>
    <row r="11" spans="2:13" ht="30.75" thickBot="1" x14ac:dyDescent="0.3">
      <c r="C11" s="11" t="s">
        <v>40</v>
      </c>
      <c r="D11" s="364" t="s">
        <v>696</v>
      </c>
      <c r="E11" s="365" t="s">
        <v>0</v>
      </c>
      <c r="F11" s="364" t="s">
        <v>696</v>
      </c>
      <c r="G11" s="364" t="s">
        <v>696</v>
      </c>
      <c r="H11" s="286" t="s">
        <v>30</v>
      </c>
      <c r="I11" s="366" t="s">
        <v>60</v>
      </c>
      <c r="J11" s="367" t="s">
        <v>61</v>
      </c>
      <c r="K11" s="368" t="s">
        <v>62</v>
      </c>
      <c r="L11" s="12" t="s">
        <v>134</v>
      </c>
      <c r="M11" s="32"/>
    </row>
    <row r="12" spans="2:13" ht="15" x14ac:dyDescent="0.25">
      <c r="C12" s="369" t="s">
        <v>37</v>
      </c>
      <c r="D12" s="370" t="s">
        <v>37</v>
      </c>
      <c r="E12" s="371" t="s">
        <v>2</v>
      </c>
      <c r="F12" s="372" t="s">
        <v>1</v>
      </c>
      <c r="G12" s="373" t="s">
        <v>2</v>
      </c>
      <c r="H12" s="374" t="s">
        <v>3</v>
      </c>
      <c r="I12" s="375" t="s">
        <v>68</v>
      </c>
      <c r="J12" s="1323">
        <f>((0.5*1)+(0.5*0.25))</f>
        <v>0.625</v>
      </c>
      <c r="K12" s="374" t="s">
        <v>132</v>
      </c>
      <c r="L12" s="376" t="s">
        <v>71</v>
      </c>
      <c r="M12" s="32"/>
    </row>
    <row r="13" spans="2:13" ht="15" x14ac:dyDescent="0.25">
      <c r="C13" s="377" t="s">
        <v>1</v>
      </c>
      <c r="D13" s="378" t="s">
        <v>37</v>
      </c>
      <c r="E13" s="379"/>
      <c r="F13" s="380" t="s">
        <v>1</v>
      </c>
      <c r="G13" s="381" t="s">
        <v>2</v>
      </c>
      <c r="H13" s="382"/>
      <c r="I13" s="383"/>
      <c r="J13" s="1324"/>
      <c r="K13" s="382" t="s">
        <v>74</v>
      </c>
      <c r="L13" s="376" t="s">
        <v>655</v>
      </c>
      <c r="M13" s="32"/>
    </row>
    <row r="14" spans="2:13" ht="15" x14ac:dyDescent="0.25">
      <c r="C14" s="377"/>
      <c r="D14" s="378" t="s">
        <v>37</v>
      </c>
      <c r="E14" s="379"/>
      <c r="F14" s="380" t="s">
        <v>1</v>
      </c>
      <c r="G14" s="381" t="s">
        <v>2</v>
      </c>
      <c r="H14" s="384"/>
      <c r="I14" s="385"/>
      <c r="J14" s="1325"/>
      <c r="K14" s="382" t="s">
        <v>75</v>
      </c>
      <c r="L14" s="376" t="s">
        <v>69</v>
      </c>
      <c r="M14" s="32"/>
    </row>
    <row r="15" spans="2:13" ht="15" x14ac:dyDescent="0.25">
      <c r="C15" s="377"/>
      <c r="D15" s="378" t="s">
        <v>37</v>
      </c>
      <c r="E15" s="387" t="s">
        <v>4</v>
      </c>
      <c r="F15" s="380" t="s">
        <v>1</v>
      </c>
      <c r="G15" s="388" t="s">
        <v>4</v>
      </c>
      <c r="H15" s="382" t="s">
        <v>3</v>
      </c>
      <c r="I15" s="383" t="s">
        <v>68</v>
      </c>
      <c r="J15" s="1326">
        <f>0.5*0.75</f>
        <v>0.375</v>
      </c>
      <c r="K15" s="389" t="s">
        <v>132</v>
      </c>
      <c r="L15" s="376" t="s">
        <v>70</v>
      </c>
      <c r="M15" s="32"/>
    </row>
    <row r="16" spans="2:13" ht="15" x14ac:dyDescent="0.25">
      <c r="C16" s="377"/>
      <c r="D16" s="386" t="s">
        <v>37</v>
      </c>
      <c r="E16" s="390"/>
      <c r="F16" s="394" t="s">
        <v>1</v>
      </c>
      <c r="G16" s="395" t="s">
        <v>4</v>
      </c>
      <c r="H16" s="384"/>
      <c r="I16" s="385"/>
      <c r="J16" s="1325"/>
      <c r="K16" s="384" t="s">
        <v>76</v>
      </c>
      <c r="L16" s="420"/>
      <c r="M16" s="32"/>
    </row>
    <row r="17" spans="3:13" ht="15" x14ac:dyDescent="0.25">
      <c r="C17" s="377"/>
      <c r="D17" s="378" t="s">
        <v>37</v>
      </c>
      <c r="E17" s="379" t="s">
        <v>33</v>
      </c>
      <c r="F17" s="380" t="s">
        <v>1</v>
      </c>
      <c r="G17" s="381" t="s">
        <v>33</v>
      </c>
      <c r="H17" s="382" t="s">
        <v>3</v>
      </c>
      <c r="I17" s="383" t="s">
        <v>78</v>
      </c>
      <c r="J17" s="1327">
        <f>1*(10/60)</f>
        <v>0.16666666666666666</v>
      </c>
      <c r="K17" s="382" t="s">
        <v>133</v>
      </c>
      <c r="L17" s="415" t="s">
        <v>77</v>
      </c>
      <c r="M17" s="32"/>
    </row>
    <row r="18" spans="3:13" ht="15" x14ac:dyDescent="0.25">
      <c r="C18" s="393"/>
      <c r="D18" s="386" t="s">
        <v>37</v>
      </c>
      <c r="E18" s="390"/>
      <c r="F18" s="394" t="s">
        <v>1</v>
      </c>
      <c r="G18" s="395" t="s">
        <v>33</v>
      </c>
      <c r="H18" s="384"/>
      <c r="I18" s="385"/>
      <c r="J18" s="1325"/>
      <c r="K18" s="384" t="s">
        <v>79</v>
      </c>
      <c r="L18" s="416"/>
      <c r="M18" s="32"/>
    </row>
    <row r="19" spans="3:13" ht="15" x14ac:dyDescent="0.25">
      <c r="C19" s="377" t="s">
        <v>37</v>
      </c>
      <c r="D19" s="378" t="s">
        <v>37</v>
      </c>
      <c r="E19" s="379" t="s">
        <v>2</v>
      </c>
      <c r="F19" s="380" t="s">
        <v>412</v>
      </c>
      <c r="G19" s="381" t="s">
        <v>2</v>
      </c>
      <c r="H19" s="382" t="s">
        <v>6</v>
      </c>
      <c r="I19" s="383" t="s">
        <v>68</v>
      </c>
      <c r="J19" s="1327">
        <f>((0.5*1)+(0.5*0.25))*4</f>
        <v>2.5</v>
      </c>
      <c r="K19" s="382" t="s">
        <v>132</v>
      </c>
      <c r="L19" s="376" t="s">
        <v>72</v>
      </c>
    </row>
    <row r="20" spans="3:13" ht="15" x14ac:dyDescent="0.25">
      <c r="C20" s="377"/>
      <c r="D20" s="378" t="s">
        <v>37</v>
      </c>
      <c r="E20" s="379"/>
      <c r="F20" s="380" t="s">
        <v>412</v>
      </c>
      <c r="G20" s="381" t="s">
        <v>2</v>
      </c>
      <c r="H20" s="382"/>
      <c r="I20" s="383"/>
      <c r="J20" s="1324"/>
      <c r="K20" s="382" t="s">
        <v>656</v>
      </c>
      <c r="L20" s="376" t="s">
        <v>654</v>
      </c>
    </row>
    <row r="21" spans="3:13" ht="15" x14ac:dyDescent="0.25">
      <c r="C21" s="377"/>
      <c r="D21" s="378" t="s">
        <v>37</v>
      </c>
      <c r="E21" s="379"/>
      <c r="F21" s="380" t="s">
        <v>412</v>
      </c>
      <c r="G21" s="381" t="s">
        <v>2</v>
      </c>
      <c r="H21" s="384"/>
      <c r="I21" s="385"/>
      <c r="J21" s="1325"/>
      <c r="K21" s="382" t="s">
        <v>657</v>
      </c>
      <c r="L21" s="376" t="s">
        <v>69</v>
      </c>
    </row>
    <row r="22" spans="3:13" ht="15" x14ac:dyDescent="0.25">
      <c r="C22" s="377"/>
      <c r="D22" s="378" t="s">
        <v>37</v>
      </c>
      <c r="E22" s="387" t="s">
        <v>4</v>
      </c>
      <c r="F22" s="380" t="s">
        <v>412</v>
      </c>
      <c r="G22" s="388" t="s">
        <v>4</v>
      </c>
      <c r="H22" s="382" t="s">
        <v>6</v>
      </c>
      <c r="I22" s="383" t="s">
        <v>68</v>
      </c>
      <c r="J22" s="1326">
        <f>0.5*0.75*4</f>
        <v>1.5</v>
      </c>
      <c r="K22" s="389" t="s">
        <v>132</v>
      </c>
      <c r="L22" s="376" t="s">
        <v>70</v>
      </c>
    </row>
    <row r="23" spans="3:13" ht="15" x14ac:dyDescent="0.25">
      <c r="C23" s="377"/>
      <c r="D23" s="386" t="s">
        <v>37</v>
      </c>
      <c r="E23" s="390"/>
      <c r="F23" s="394" t="s">
        <v>412</v>
      </c>
      <c r="G23" s="395" t="s">
        <v>4</v>
      </c>
      <c r="H23" s="384"/>
      <c r="I23" s="385"/>
      <c r="J23" s="1325"/>
      <c r="K23" s="384" t="s">
        <v>658</v>
      </c>
      <c r="L23" s="407"/>
    </row>
    <row r="24" spans="3:13" ht="15" x14ac:dyDescent="0.25">
      <c r="C24" s="377"/>
      <c r="D24" s="378" t="s">
        <v>37</v>
      </c>
      <c r="E24" s="379" t="s">
        <v>33</v>
      </c>
      <c r="F24" s="380" t="s">
        <v>412</v>
      </c>
      <c r="G24" s="381" t="s">
        <v>33</v>
      </c>
      <c r="H24" s="382" t="s">
        <v>6</v>
      </c>
      <c r="I24" s="383" t="s">
        <v>78</v>
      </c>
      <c r="J24" s="1327">
        <f>4*(10/60)</f>
        <v>0.66666666666666663</v>
      </c>
      <c r="K24" s="382" t="s">
        <v>133</v>
      </c>
      <c r="L24" s="415" t="s">
        <v>77</v>
      </c>
    </row>
    <row r="25" spans="3:13" ht="15" x14ac:dyDescent="0.25">
      <c r="C25" s="393"/>
      <c r="D25" s="386" t="s">
        <v>37</v>
      </c>
      <c r="E25" s="390"/>
      <c r="F25" s="394" t="s">
        <v>412</v>
      </c>
      <c r="G25" s="395" t="s">
        <v>33</v>
      </c>
      <c r="H25" s="384"/>
      <c r="I25" s="385"/>
      <c r="J25" s="1325"/>
      <c r="K25" s="384" t="s">
        <v>79</v>
      </c>
      <c r="L25" s="416"/>
    </row>
    <row r="26" spans="3:13" ht="15" x14ac:dyDescent="0.25">
      <c r="C26" s="398" t="s">
        <v>5</v>
      </c>
      <c r="D26" s="378" t="s">
        <v>5</v>
      </c>
      <c r="E26" s="379" t="s">
        <v>33</v>
      </c>
      <c r="F26" s="397"/>
      <c r="G26" s="381" t="s">
        <v>33</v>
      </c>
      <c r="H26" s="382" t="s">
        <v>6</v>
      </c>
      <c r="I26" s="383" t="s">
        <v>78</v>
      </c>
      <c r="J26" s="1327">
        <f>1*(10/60)</f>
        <v>0.16666666666666666</v>
      </c>
      <c r="K26" s="382" t="s">
        <v>133</v>
      </c>
      <c r="L26" s="376" t="s">
        <v>382</v>
      </c>
    </row>
    <row r="27" spans="3:13" ht="15" x14ac:dyDescent="0.25">
      <c r="C27" s="399"/>
      <c r="D27" s="386" t="s">
        <v>5</v>
      </c>
      <c r="E27" s="390"/>
      <c r="F27" s="421"/>
      <c r="G27" s="395" t="s">
        <v>33</v>
      </c>
      <c r="H27" s="384"/>
      <c r="I27" s="385"/>
      <c r="J27" s="1325"/>
      <c r="K27" s="384" t="s">
        <v>79</v>
      </c>
      <c r="L27" s="407"/>
    </row>
    <row r="28" spans="3:13" ht="15" x14ac:dyDescent="0.25">
      <c r="C28" s="377" t="s">
        <v>45</v>
      </c>
      <c r="D28" s="378" t="s">
        <v>45</v>
      </c>
      <c r="E28" s="379" t="s">
        <v>2</v>
      </c>
      <c r="F28" s="378"/>
      <c r="G28" s="378" t="s">
        <v>2</v>
      </c>
      <c r="H28" s="382" t="s">
        <v>17</v>
      </c>
      <c r="I28" s="424" t="s">
        <v>68</v>
      </c>
      <c r="J28" s="1328">
        <v>3</v>
      </c>
      <c r="K28" s="424" t="s">
        <v>132</v>
      </c>
      <c r="L28" s="427"/>
    </row>
    <row r="29" spans="3:13" ht="15" x14ac:dyDescent="0.25">
      <c r="C29" s="377"/>
      <c r="D29" s="378" t="s">
        <v>45</v>
      </c>
      <c r="E29" s="422" t="s">
        <v>18</v>
      </c>
      <c r="F29" s="423"/>
      <c r="G29" s="423" t="s">
        <v>18</v>
      </c>
      <c r="H29" s="424" t="s">
        <v>17</v>
      </c>
      <c r="I29" s="384" t="s">
        <v>78</v>
      </c>
      <c r="J29" s="1329">
        <v>1</v>
      </c>
      <c r="K29" s="384" t="s">
        <v>133</v>
      </c>
      <c r="L29" s="376"/>
    </row>
    <row r="30" spans="3:13" ht="15" x14ac:dyDescent="0.25">
      <c r="C30" s="377"/>
      <c r="D30" s="378" t="s">
        <v>45</v>
      </c>
      <c r="E30" s="379" t="s">
        <v>33</v>
      </c>
      <c r="F30" s="378"/>
      <c r="G30" s="378" t="s">
        <v>33</v>
      </c>
      <c r="H30" s="382" t="s">
        <v>17</v>
      </c>
      <c r="I30" s="382" t="s">
        <v>78</v>
      </c>
      <c r="J30" s="1327">
        <f>1*(10/60)</f>
        <v>0.16666666666666666</v>
      </c>
      <c r="K30" s="382" t="s">
        <v>133</v>
      </c>
      <c r="L30" s="21"/>
    </row>
    <row r="31" spans="3:13" ht="15" x14ac:dyDescent="0.25">
      <c r="C31" s="377"/>
      <c r="D31" s="378" t="s">
        <v>45</v>
      </c>
      <c r="E31" s="390"/>
      <c r="F31" s="386"/>
      <c r="G31" s="386" t="s">
        <v>33</v>
      </c>
      <c r="H31" s="384"/>
      <c r="I31" s="384"/>
      <c r="J31" s="1325"/>
      <c r="K31" s="384" t="s">
        <v>79</v>
      </c>
      <c r="L31" s="407"/>
    </row>
    <row r="32" spans="3:13" x14ac:dyDescent="0.3">
      <c r="C32" s="391" t="s">
        <v>38</v>
      </c>
      <c r="D32" s="392" t="s">
        <v>38</v>
      </c>
      <c r="E32" s="422" t="s">
        <v>114</v>
      </c>
      <c r="F32" s="423"/>
      <c r="G32" s="423" t="s">
        <v>114</v>
      </c>
      <c r="H32" s="425" t="s">
        <v>118</v>
      </c>
      <c r="I32" s="424" t="s">
        <v>78</v>
      </c>
      <c r="J32" s="1328">
        <v>1</v>
      </c>
      <c r="K32" s="424" t="s">
        <v>133</v>
      </c>
      <c r="L32" s="426"/>
    </row>
    <row r="33" spans="3:12" x14ac:dyDescent="0.3">
      <c r="C33" s="377"/>
      <c r="D33" s="378" t="s">
        <v>38</v>
      </c>
      <c r="E33" s="379" t="s">
        <v>127</v>
      </c>
      <c r="F33" s="378"/>
      <c r="G33" s="378" t="s">
        <v>127</v>
      </c>
      <c r="H33" s="400" t="s">
        <v>118</v>
      </c>
      <c r="I33" s="382" t="s">
        <v>78</v>
      </c>
      <c r="J33" s="1327">
        <f>1/50</f>
        <v>0.02</v>
      </c>
      <c r="K33" s="382" t="s">
        <v>133</v>
      </c>
      <c r="L33" s="418" t="s">
        <v>146</v>
      </c>
    </row>
    <row r="34" spans="3:12" x14ac:dyDescent="0.3">
      <c r="C34" s="377"/>
      <c r="D34" s="378" t="s">
        <v>38</v>
      </c>
      <c r="E34" s="387" t="s">
        <v>41</v>
      </c>
      <c r="F34" s="392"/>
      <c r="G34" s="392" t="s">
        <v>41</v>
      </c>
      <c r="H34" s="400" t="s">
        <v>118</v>
      </c>
      <c r="I34" s="389" t="s">
        <v>203</v>
      </c>
      <c r="J34" s="1326">
        <f>(1/20)</f>
        <v>0.05</v>
      </c>
      <c r="K34" s="389" t="s">
        <v>67</v>
      </c>
      <c r="L34" s="414" t="s">
        <v>80</v>
      </c>
    </row>
    <row r="35" spans="3:12" x14ac:dyDescent="0.3">
      <c r="C35" s="377"/>
      <c r="D35" s="378" t="s">
        <v>38</v>
      </c>
      <c r="E35" s="390"/>
      <c r="F35" s="386"/>
      <c r="G35" s="386" t="s">
        <v>41</v>
      </c>
      <c r="H35" s="384"/>
      <c r="I35" s="384"/>
      <c r="J35" s="1325"/>
      <c r="K35" s="216" t="s">
        <v>80</v>
      </c>
      <c r="L35" s="416"/>
    </row>
    <row r="36" spans="3:12" x14ac:dyDescent="0.3">
      <c r="C36" s="377"/>
      <c r="D36" s="378" t="s">
        <v>38</v>
      </c>
      <c r="E36" s="387" t="s">
        <v>20</v>
      </c>
      <c r="F36" s="392" t="s">
        <v>1</v>
      </c>
      <c r="G36" s="392" t="s">
        <v>20</v>
      </c>
      <c r="H36" s="428" t="s">
        <v>118</v>
      </c>
      <c r="I36" s="389" t="s">
        <v>220</v>
      </c>
      <c r="J36" s="1326">
        <v>0.5</v>
      </c>
      <c r="K36" s="389" t="s">
        <v>219</v>
      </c>
      <c r="L36" s="406"/>
    </row>
    <row r="37" spans="3:12" x14ac:dyDescent="0.3">
      <c r="C37" s="377"/>
      <c r="D37" s="378" t="s">
        <v>38</v>
      </c>
      <c r="E37" s="390" t="s">
        <v>1</v>
      </c>
      <c r="F37" s="386"/>
      <c r="G37" s="386" t="s">
        <v>20</v>
      </c>
      <c r="H37" s="384"/>
      <c r="I37" s="384"/>
      <c r="J37" s="1325"/>
      <c r="K37" s="384"/>
      <c r="L37" s="407"/>
    </row>
    <row r="38" spans="3:12" x14ac:dyDescent="0.3">
      <c r="C38" s="377"/>
      <c r="D38" s="378" t="s">
        <v>38</v>
      </c>
      <c r="E38" s="387" t="s">
        <v>20</v>
      </c>
      <c r="F38" s="392" t="s">
        <v>16</v>
      </c>
      <c r="G38" s="392" t="s">
        <v>20</v>
      </c>
      <c r="H38" s="389" t="s">
        <v>17</v>
      </c>
      <c r="I38" s="389" t="s">
        <v>220</v>
      </c>
      <c r="J38" s="1326">
        <v>0.5</v>
      </c>
      <c r="K38" s="389" t="s">
        <v>281</v>
      </c>
      <c r="L38" s="406"/>
    </row>
    <row r="39" spans="3:12" x14ac:dyDescent="0.3">
      <c r="C39" s="377"/>
      <c r="D39" s="378" t="s">
        <v>38</v>
      </c>
      <c r="E39" s="390" t="s">
        <v>16</v>
      </c>
      <c r="F39" s="386"/>
      <c r="G39" s="386" t="s">
        <v>20</v>
      </c>
      <c r="H39" s="384"/>
      <c r="I39" s="384"/>
      <c r="J39" s="1325"/>
      <c r="K39" s="384"/>
      <c r="L39" s="407"/>
    </row>
    <row r="40" spans="3:12" x14ac:dyDescent="0.3">
      <c r="C40" s="391" t="s">
        <v>391</v>
      </c>
      <c r="D40" s="378" t="s">
        <v>391</v>
      </c>
      <c r="E40" s="422" t="s">
        <v>114</v>
      </c>
      <c r="F40" s="423"/>
      <c r="G40" s="423" t="s">
        <v>114</v>
      </c>
      <c r="H40" s="425" t="s">
        <v>118</v>
      </c>
      <c r="I40" s="424" t="s">
        <v>78</v>
      </c>
      <c r="J40" s="1328">
        <v>1</v>
      </c>
      <c r="K40" s="424" t="s">
        <v>133</v>
      </c>
      <c r="L40" s="376"/>
    </row>
    <row r="41" spans="3:12" x14ac:dyDescent="0.3">
      <c r="C41" s="377"/>
      <c r="D41" s="378" t="s">
        <v>391</v>
      </c>
      <c r="E41" s="379" t="s">
        <v>41</v>
      </c>
      <c r="F41" s="378"/>
      <c r="G41" s="378" t="s">
        <v>41</v>
      </c>
      <c r="H41" s="400" t="s">
        <v>118</v>
      </c>
      <c r="I41" s="382" t="s">
        <v>203</v>
      </c>
      <c r="J41" s="1327">
        <f>(1/20)</f>
        <v>0.05</v>
      </c>
      <c r="K41" s="382" t="s">
        <v>67</v>
      </c>
      <c r="L41" s="376"/>
    </row>
    <row r="42" spans="3:12" x14ac:dyDescent="0.3">
      <c r="C42" s="377"/>
      <c r="D42" s="378" t="s">
        <v>391</v>
      </c>
      <c r="E42" s="390"/>
      <c r="F42" s="386"/>
      <c r="G42" s="386" t="s">
        <v>41</v>
      </c>
      <c r="H42" s="384"/>
      <c r="I42" s="384"/>
      <c r="J42" s="1325"/>
      <c r="K42" s="216" t="s">
        <v>80</v>
      </c>
      <c r="L42" s="376"/>
    </row>
    <row r="43" spans="3:12" x14ac:dyDescent="0.3">
      <c r="C43" s="377"/>
      <c r="D43" s="378" t="s">
        <v>391</v>
      </c>
      <c r="E43" s="390" t="s">
        <v>20</v>
      </c>
      <c r="F43" s="386"/>
      <c r="G43" s="386" t="s">
        <v>20</v>
      </c>
      <c r="H43" s="429" t="s">
        <v>118</v>
      </c>
      <c r="I43" s="384" t="s">
        <v>220</v>
      </c>
      <c r="J43" s="1329">
        <v>1</v>
      </c>
      <c r="K43" s="384" t="s">
        <v>221</v>
      </c>
      <c r="L43" s="407"/>
    </row>
    <row r="44" spans="3:12" x14ac:dyDescent="0.3">
      <c r="C44" s="391" t="s">
        <v>43</v>
      </c>
      <c r="D44" s="392" t="s">
        <v>43</v>
      </c>
      <c r="E44" s="422" t="s">
        <v>111</v>
      </c>
      <c r="F44" s="423"/>
      <c r="G44" s="430" t="s">
        <v>111</v>
      </c>
      <c r="H44" s="218" t="s">
        <v>424</v>
      </c>
      <c r="I44" s="424" t="s">
        <v>585</v>
      </c>
      <c r="J44" s="1328">
        <v>1</v>
      </c>
      <c r="K44" s="424" t="s">
        <v>67</v>
      </c>
      <c r="L44" s="376"/>
    </row>
    <row r="45" spans="3:12" x14ac:dyDescent="0.3">
      <c r="C45" s="377"/>
      <c r="D45" s="378" t="s">
        <v>43</v>
      </c>
      <c r="E45" s="422" t="s">
        <v>7</v>
      </c>
      <c r="F45" s="423"/>
      <c r="G45" s="430" t="s">
        <v>7</v>
      </c>
      <c r="H45" s="218" t="s">
        <v>365</v>
      </c>
      <c r="I45" s="431" t="s">
        <v>264</v>
      </c>
      <c r="J45" s="1330"/>
      <c r="K45" s="423"/>
      <c r="L45" s="376"/>
    </row>
    <row r="46" spans="3:12" x14ac:dyDescent="0.3">
      <c r="C46" s="377"/>
      <c r="D46" s="378" t="s">
        <v>43</v>
      </c>
      <c r="E46" s="422" t="s">
        <v>34</v>
      </c>
      <c r="F46" s="423"/>
      <c r="G46" s="423" t="s">
        <v>34</v>
      </c>
      <c r="H46" s="424" t="s">
        <v>36</v>
      </c>
      <c r="I46" s="424" t="s">
        <v>661</v>
      </c>
      <c r="J46" s="1328">
        <v>1</v>
      </c>
      <c r="K46" s="424" t="s">
        <v>67</v>
      </c>
      <c r="L46" s="376"/>
    </row>
    <row r="47" spans="3:12" x14ac:dyDescent="0.3">
      <c r="C47" s="377"/>
      <c r="D47" s="378" t="s">
        <v>43</v>
      </c>
      <c r="E47" s="422" t="s">
        <v>21</v>
      </c>
      <c r="F47" s="423"/>
      <c r="G47" s="423" t="s">
        <v>21</v>
      </c>
      <c r="H47" s="424" t="s">
        <v>17</v>
      </c>
      <c r="I47" s="424" t="s">
        <v>235</v>
      </c>
      <c r="J47" s="1328">
        <v>10</v>
      </c>
      <c r="K47" s="424" t="s">
        <v>236</v>
      </c>
      <c r="L47" s="376"/>
    </row>
    <row r="48" spans="3:12" x14ac:dyDescent="0.3">
      <c r="C48" s="377"/>
      <c r="D48" s="378" t="s">
        <v>43</v>
      </c>
      <c r="E48" s="422" t="s">
        <v>14</v>
      </c>
      <c r="F48" s="423"/>
      <c r="G48" s="423" t="s">
        <v>14</v>
      </c>
      <c r="H48" s="424" t="s">
        <v>15</v>
      </c>
      <c r="I48" s="424" t="s">
        <v>588</v>
      </c>
      <c r="J48" s="1328">
        <v>1</v>
      </c>
      <c r="K48" s="424" t="s">
        <v>67</v>
      </c>
      <c r="L48" s="376"/>
    </row>
    <row r="49" spans="3:12" x14ac:dyDescent="0.3">
      <c r="C49" s="377"/>
      <c r="D49" s="381" t="s">
        <v>43</v>
      </c>
      <c r="E49" s="379" t="s">
        <v>426</v>
      </c>
      <c r="F49" s="378" t="s">
        <v>11</v>
      </c>
      <c r="G49" s="397" t="s">
        <v>426</v>
      </c>
      <c r="H49" s="382" t="s">
        <v>12</v>
      </c>
      <c r="I49" s="382" t="s">
        <v>588</v>
      </c>
      <c r="J49" s="1327">
        <f>1/1000</f>
        <v>1E-3</v>
      </c>
      <c r="K49" s="382" t="s">
        <v>144</v>
      </c>
      <c r="L49" s="417" t="s">
        <v>145</v>
      </c>
    </row>
    <row r="50" spans="3:12" x14ac:dyDescent="0.3">
      <c r="C50" s="377"/>
      <c r="D50" s="381" t="s">
        <v>43</v>
      </c>
      <c r="E50" s="390" t="s">
        <v>11</v>
      </c>
      <c r="F50" s="432"/>
      <c r="G50" s="421" t="s">
        <v>426</v>
      </c>
      <c r="H50" s="384"/>
      <c r="I50" s="384"/>
      <c r="J50" s="1325"/>
      <c r="K50" s="384"/>
      <c r="L50" s="419"/>
    </row>
    <row r="51" spans="3:12" x14ac:dyDescent="0.3">
      <c r="C51" s="377"/>
      <c r="D51" s="381" t="s">
        <v>43</v>
      </c>
      <c r="E51" s="387" t="s">
        <v>426</v>
      </c>
      <c r="F51" s="392" t="s">
        <v>420</v>
      </c>
      <c r="G51" s="403" t="s">
        <v>426</v>
      </c>
      <c r="H51" s="389" t="s">
        <v>3</v>
      </c>
      <c r="I51" s="389" t="s">
        <v>588</v>
      </c>
      <c r="J51" s="1326">
        <f>1/1000</f>
        <v>1E-3</v>
      </c>
      <c r="K51" s="389" t="s">
        <v>144</v>
      </c>
      <c r="L51" s="1417" t="s">
        <v>145</v>
      </c>
    </row>
    <row r="52" spans="3:12" x14ac:dyDescent="0.3">
      <c r="C52" s="377"/>
      <c r="D52" s="381" t="s">
        <v>43</v>
      </c>
      <c r="E52" s="390" t="s">
        <v>420</v>
      </c>
      <c r="F52" s="432"/>
      <c r="G52" s="421" t="s">
        <v>426</v>
      </c>
      <c r="H52" s="384"/>
      <c r="I52" s="384"/>
      <c r="J52" s="1325"/>
      <c r="K52" s="384"/>
      <c r="L52" s="1418"/>
    </row>
    <row r="53" spans="3:12" x14ac:dyDescent="0.3">
      <c r="C53" s="377"/>
      <c r="D53" s="378" t="s">
        <v>43</v>
      </c>
      <c r="E53" s="405" t="s">
        <v>426</v>
      </c>
      <c r="F53" s="378" t="s">
        <v>13</v>
      </c>
      <c r="G53" s="397" t="s">
        <v>426</v>
      </c>
      <c r="H53" s="382" t="s">
        <v>282</v>
      </c>
      <c r="I53" s="382" t="s">
        <v>588</v>
      </c>
      <c r="J53" s="1327">
        <f>1/1000</f>
        <v>1E-3</v>
      </c>
      <c r="K53" s="382" t="s">
        <v>144</v>
      </c>
      <c r="L53" s="418" t="s">
        <v>283</v>
      </c>
    </row>
    <row r="54" spans="3:12" x14ac:dyDescent="0.3">
      <c r="C54" s="377"/>
      <c r="D54" s="378" t="s">
        <v>43</v>
      </c>
      <c r="E54" s="390" t="s">
        <v>13</v>
      </c>
      <c r="F54" s="432"/>
      <c r="G54" s="421" t="s">
        <v>426</v>
      </c>
      <c r="H54" s="384"/>
      <c r="I54" s="384"/>
      <c r="J54" s="1325"/>
      <c r="K54" s="384"/>
      <c r="L54" s="419"/>
    </row>
    <row r="55" spans="3:12" x14ac:dyDescent="0.3">
      <c r="C55" s="377"/>
      <c r="D55" s="378" t="s">
        <v>43</v>
      </c>
      <c r="E55" s="433" t="s">
        <v>426</v>
      </c>
      <c r="F55" s="423" t="s">
        <v>419</v>
      </c>
      <c r="G55" s="434" t="s">
        <v>426</v>
      </c>
      <c r="H55" s="424" t="s">
        <v>10</v>
      </c>
      <c r="I55" s="424" t="s">
        <v>588</v>
      </c>
      <c r="J55" s="1328">
        <f>1/500</f>
        <v>2E-3</v>
      </c>
      <c r="K55" s="424" t="s">
        <v>144</v>
      </c>
      <c r="L55" s="435" t="s">
        <v>280</v>
      </c>
    </row>
    <row r="56" spans="3:12" x14ac:dyDescent="0.3">
      <c r="C56" s="377"/>
      <c r="D56" s="378" t="s">
        <v>43</v>
      </c>
      <c r="E56" s="379" t="s">
        <v>9</v>
      </c>
      <c r="F56" s="378" t="s">
        <v>11</v>
      </c>
      <c r="G56" s="378" t="s">
        <v>9</v>
      </c>
      <c r="H56" s="382" t="s">
        <v>12</v>
      </c>
      <c r="I56" s="382" t="s">
        <v>588</v>
      </c>
      <c r="J56" s="1327">
        <v>1</v>
      </c>
      <c r="K56" s="382" t="s">
        <v>67</v>
      </c>
      <c r="L56" s="401" t="s">
        <v>152</v>
      </c>
    </row>
    <row r="57" spans="3:12" x14ac:dyDescent="0.3">
      <c r="C57" s="377"/>
      <c r="D57" s="378" t="s">
        <v>43</v>
      </c>
      <c r="E57" s="390" t="s">
        <v>11</v>
      </c>
      <c r="F57" s="386"/>
      <c r="G57" s="386" t="s">
        <v>9</v>
      </c>
      <c r="H57" s="384"/>
      <c r="I57" s="384"/>
      <c r="J57" s="1325"/>
      <c r="K57" s="384"/>
      <c r="L57" s="407"/>
    </row>
    <row r="58" spans="3:12" x14ac:dyDescent="0.3">
      <c r="C58" s="377"/>
      <c r="D58" s="378" t="s">
        <v>43</v>
      </c>
      <c r="E58" s="387" t="s">
        <v>9</v>
      </c>
      <c r="F58" s="392" t="s">
        <v>420</v>
      </c>
      <c r="G58" s="392" t="s">
        <v>9</v>
      </c>
      <c r="H58" s="382" t="s">
        <v>3</v>
      </c>
      <c r="I58" s="382" t="s">
        <v>588</v>
      </c>
      <c r="J58" s="1326">
        <f>1/5000</f>
        <v>2.0000000000000001E-4</v>
      </c>
      <c r="K58" s="389" t="s">
        <v>67</v>
      </c>
      <c r="L58" s="414" t="s">
        <v>153</v>
      </c>
    </row>
    <row r="59" spans="3:12" x14ac:dyDescent="0.3">
      <c r="C59" s="377"/>
      <c r="D59" s="378" t="s">
        <v>43</v>
      </c>
      <c r="E59" s="390" t="s">
        <v>420</v>
      </c>
      <c r="F59" s="386"/>
      <c r="G59" s="386" t="s">
        <v>9</v>
      </c>
      <c r="H59" s="384"/>
      <c r="I59" s="384"/>
      <c r="J59" s="1325"/>
      <c r="K59" s="384"/>
      <c r="L59" s="419"/>
    </row>
    <row r="60" spans="3:12" x14ac:dyDescent="0.3">
      <c r="C60" s="377"/>
      <c r="D60" s="378" t="s">
        <v>43</v>
      </c>
      <c r="E60" s="387" t="s">
        <v>9</v>
      </c>
      <c r="F60" s="392" t="s">
        <v>13</v>
      </c>
      <c r="G60" s="392" t="s">
        <v>9</v>
      </c>
      <c r="H60" s="389" t="s">
        <v>282</v>
      </c>
      <c r="I60" s="389" t="s">
        <v>588</v>
      </c>
      <c r="J60" s="1326">
        <f>1/5000</f>
        <v>2.0000000000000001E-4</v>
      </c>
      <c r="K60" s="389" t="s">
        <v>67</v>
      </c>
      <c r="L60" s="414" t="s">
        <v>763</v>
      </c>
    </row>
    <row r="61" spans="3:12" x14ac:dyDescent="0.3">
      <c r="C61" s="377"/>
      <c r="D61" s="378" t="s">
        <v>43</v>
      </c>
      <c r="E61" s="390" t="s">
        <v>13</v>
      </c>
      <c r="F61" s="386"/>
      <c r="G61" s="386" t="s">
        <v>9</v>
      </c>
      <c r="H61" s="384"/>
      <c r="I61" s="384"/>
      <c r="J61" s="1325"/>
      <c r="K61" s="384"/>
      <c r="L61" s="416"/>
    </row>
    <row r="62" spans="3:12" x14ac:dyDescent="0.3">
      <c r="C62" s="377"/>
      <c r="D62" s="378" t="s">
        <v>43</v>
      </c>
      <c r="E62" s="387" t="s">
        <v>9</v>
      </c>
      <c r="F62" s="392" t="s">
        <v>418</v>
      </c>
      <c r="G62" s="392" t="s">
        <v>9</v>
      </c>
      <c r="H62" s="389" t="s">
        <v>6</v>
      </c>
      <c r="I62" s="389" t="s">
        <v>588</v>
      </c>
      <c r="J62" s="1326">
        <f>1/50</f>
        <v>0.02</v>
      </c>
      <c r="K62" s="389" t="s">
        <v>67</v>
      </c>
      <c r="L62" s="414" t="s">
        <v>154</v>
      </c>
    </row>
    <row r="63" spans="3:12" x14ac:dyDescent="0.3">
      <c r="C63" s="377"/>
      <c r="D63" s="378" t="s">
        <v>43</v>
      </c>
      <c r="E63" s="390" t="s">
        <v>418</v>
      </c>
      <c r="F63" s="386"/>
      <c r="G63" s="386" t="s">
        <v>9</v>
      </c>
      <c r="H63" s="384"/>
      <c r="I63" s="384"/>
      <c r="J63" s="1325"/>
      <c r="K63" s="384"/>
      <c r="L63" s="416"/>
    </row>
    <row r="64" spans="3:12" x14ac:dyDescent="0.3">
      <c r="C64" s="377"/>
      <c r="D64" s="378" t="s">
        <v>43</v>
      </c>
      <c r="E64" s="422" t="s">
        <v>24</v>
      </c>
      <c r="F64" s="423"/>
      <c r="G64" s="423" t="s">
        <v>24</v>
      </c>
      <c r="H64" s="424" t="s">
        <v>10</v>
      </c>
      <c r="I64" s="424" t="s">
        <v>588</v>
      </c>
      <c r="J64" s="1328">
        <v>1</v>
      </c>
      <c r="K64" s="424" t="s">
        <v>67</v>
      </c>
      <c r="L64" s="376"/>
    </row>
    <row r="65" spans="3:12" x14ac:dyDescent="0.3">
      <c r="C65" s="377"/>
      <c r="D65" s="378" t="s">
        <v>43</v>
      </c>
      <c r="E65" s="422" t="s">
        <v>25</v>
      </c>
      <c r="F65" s="423"/>
      <c r="G65" s="423" t="s">
        <v>25</v>
      </c>
      <c r="H65" s="424" t="s">
        <v>10</v>
      </c>
      <c r="I65" s="424" t="s">
        <v>588</v>
      </c>
      <c r="J65" s="1328">
        <v>1</v>
      </c>
      <c r="K65" s="424" t="s">
        <v>67</v>
      </c>
      <c r="L65" s="376"/>
    </row>
    <row r="66" spans="3:12" x14ac:dyDescent="0.3">
      <c r="C66" s="377"/>
      <c r="D66" s="378" t="s">
        <v>43</v>
      </c>
      <c r="E66" s="422" t="s">
        <v>26</v>
      </c>
      <c r="F66" s="423"/>
      <c r="G66" s="423" t="s">
        <v>26</v>
      </c>
      <c r="H66" s="424" t="s">
        <v>10</v>
      </c>
      <c r="I66" s="424" t="s">
        <v>588</v>
      </c>
      <c r="J66" s="1328">
        <v>1</v>
      </c>
      <c r="K66" s="424" t="s">
        <v>67</v>
      </c>
      <c r="L66" s="407"/>
    </row>
    <row r="67" spans="3:12" x14ac:dyDescent="0.3">
      <c r="C67" s="391" t="s">
        <v>44</v>
      </c>
      <c r="D67" s="392" t="s">
        <v>44</v>
      </c>
      <c r="E67" s="422" t="s">
        <v>27</v>
      </c>
      <c r="F67" s="423"/>
      <c r="G67" s="423" t="s">
        <v>27</v>
      </c>
      <c r="H67" s="424" t="s">
        <v>10</v>
      </c>
      <c r="I67" s="424" t="s">
        <v>588</v>
      </c>
      <c r="J67" s="1328">
        <v>1</v>
      </c>
      <c r="K67" s="424" t="s">
        <v>67</v>
      </c>
      <c r="L67" s="376"/>
    </row>
    <row r="68" spans="3:12" x14ac:dyDescent="0.3">
      <c r="C68" s="377"/>
      <c r="D68" s="378" t="s">
        <v>44</v>
      </c>
      <c r="E68" s="422" t="s">
        <v>28</v>
      </c>
      <c r="F68" s="423"/>
      <c r="G68" s="423" t="s">
        <v>28</v>
      </c>
      <c r="H68" s="424" t="s">
        <v>10</v>
      </c>
      <c r="I68" s="424" t="s">
        <v>588</v>
      </c>
      <c r="J68" s="1328">
        <v>1</v>
      </c>
      <c r="K68" s="424" t="s">
        <v>67</v>
      </c>
      <c r="L68" s="376"/>
    </row>
    <row r="69" spans="3:12" x14ac:dyDescent="0.3">
      <c r="C69" s="377"/>
      <c r="D69" s="378" t="s">
        <v>44</v>
      </c>
      <c r="E69" s="422" t="s">
        <v>29</v>
      </c>
      <c r="F69" s="423"/>
      <c r="G69" s="423" t="s">
        <v>29</v>
      </c>
      <c r="H69" s="424" t="s">
        <v>10</v>
      </c>
      <c r="I69" s="424" t="s">
        <v>588</v>
      </c>
      <c r="J69" s="1328">
        <v>1</v>
      </c>
      <c r="K69" s="424" t="s">
        <v>67</v>
      </c>
      <c r="L69" s="407"/>
    </row>
    <row r="70" spans="3:12" x14ac:dyDescent="0.3">
      <c r="C70" s="391" t="s">
        <v>39</v>
      </c>
      <c r="D70" s="392" t="s">
        <v>39</v>
      </c>
      <c r="E70" s="387" t="s">
        <v>42</v>
      </c>
      <c r="F70" s="392" t="s">
        <v>1</v>
      </c>
      <c r="G70" s="392" t="s">
        <v>42</v>
      </c>
      <c r="H70" s="389" t="s">
        <v>32</v>
      </c>
      <c r="I70" s="389" t="s">
        <v>816</v>
      </c>
      <c r="J70" s="1326">
        <f>1/365</f>
        <v>2.7397260273972603E-3</v>
      </c>
      <c r="K70" s="389" t="s">
        <v>815</v>
      </c>
      <c r="L70" s="376"/>
    </row>
    <row r="71" spans="3:12" x14ac:dyDescent="0.3">
      <c r="C71" s="377"/>
      <c r="D71" s="378" t="s">
        <v>39</v>
      </c>
      <c r="E71" s="390" t="s">
        <v>1</v>
      </c>
      <c r="F71" s="386"/>
      <c r="G71" s="386" t="s">
        <v>42</v>
      </c>
      <c r="H71" s="384"/>
      <c r="I71" s="384"/>
      <c r="J71" s="1325"/>
      <c r="K71" s="384"/>
      <c r="L71" s="376"/>
    </row>
    <row r="72" spans="3:12" x14ac:dyDescent="0.3">
      <c r="C72" s="377"/>
      <c r="D72" s="378" t="s">
        <v>39</v>
      </c>
      <c r="E72" s="387" t="s">
        <v>42</v>
      </c>
      <c r="F72" s="408" t="s">
        <v>412</v>
      </c>
      <c r="G72" s="403" t="s">
        <v>42</v>
      </c>
      <c r="H72" s="389" t="s">
        <v>32</v>
      </c>
      <c r="I72" s="389" t="s">
        <v>816</v>
      </c>
      <c r="J72" s="1326">
        <f>1/365</f>
        <v>2.7397260273972603E-3</v>
      </c>
      <c r="K72" s="389" t="s">
        <v>815</v>
      </c>
      <c r="L72" s="376"/>
    </row>
    <row r="73" spans="3:12" x14ac:dyDescent="0.3">
      <c r="C73" s="377"/>
      <c r="D73" s="378" t="s">
        <v>39</v>
      </c>
      <c r="E73" s="390" t="s">
        <v>412</v>
      </c>
      <c r="F73" s="386"/>
      <c r="G73" s="421" t="s">
        <v>42</v>
      </c>
      <c r="H73" s="384"/>
      <c r="I73" s="384"/>
      <c r="J73" s="1325"/>
      <c r="K73" s="384"/>
      <c r="L73" s="376"/>
    </row>
    <row r="74" spans="3:12" x14ac:dyDescent="0.3">
      <c r="C74" s="377"/>
      <c r="D74" s="378" t="s">
        <v>39</v>
      </c>
      <c r="E74" s="387" t="s">
        <v>42</v>
      </c>
      <c r="F74" s="392" t="s">
        <v>11</v>
      </c>
      <c r="G74" s="392" t="s">
        <v>42</v>
      </c>
      <c r="H74" s="389" t="s">
        <v>32</v>
      </c>
      <c r="I74" s="389" t="s">
        <v>816</v>
      </c>
      <c r="J74" s="1326">
        <f>1/365</f>
        <v>2.7397260273972603E-3</v>
      </c>
      <c r="K74" s="389" t="s">
        <v>815</v>
      </c>
      <c r="L74" s="376"/>
    </row>
    <row r="75" spans="3:12" x14ac:dyDescent="0.3">
      <c r="C75" s="377"/>
      <c r="D75" s="378" t="s">
        <v>39</v>
      </c>
      <c r="E75" s="390" t="s">
        <v>11</v>
      </c>
      <c r="F75" s="386"/>
      <c r="G75" s="386" t="s">
        <v>42</v>
      </c>
      <c r="H75" s="384"/>
      <c r="I75" s="384"/>
      <c r="J75" s="1325"/>
      <c r="K75" s="384"/>
      <c r="L75" s="376"/>
    </row>
    <row r="76" spans="3:12" x14ac:dyDescent="0.3">
      <c r="C76" s="377"/>
      <c r="D76" s="378" t="s">
        <v>39</v>
      </c>
      <c r="E76" s="387" t="s">
        <v>42</v>
      </c>
      <c r="F76" s="392" t="s">
        <v>420</v>
      </c>
      <c r="G76" s="392" t="s">
        <v>42</v>
      </c>
      <c r="H76" s="389" t="s">
        <v>32</v>
      </c>
      <c r="I76" s="389" t="s">
        <v>816</v>
      </c>
      <c r="J76" s="1326">
        <f>1/365</f>
        <v>2.7397260273972603E-3</v>
      </c>
      <c r="K76" s="389" t="s">
        <v>815</v>
      </c>
      <c r="L76" s="376"/>
    </row>
    <row r="77" spans="3:12" x14ac:dyDescent="0.3">
      <c r="C77" s="377"/>
      <c r="D77" s="378" t="s">
        <v>39</v>
      </c>
      <c r="E77" s="390" t="s">
        <v>420</v>
      </c>
      <c r="F77" s="386"/>
      <c r="G77" s="386" t="s">
        <v>42</v>
      </c>
      <c r="H77" s="384"/>
      <c r="I77" s="384"/>
      <c r="J77" s="1325"/>
      <c r="K77" s="384"/>
      <c r="L77" s="376"/>
    </row>
    <row r="78" spans="3:12" x14ac:dyDescent="0.3">
      <c r="C78" s="377"/>
      <c r="D78" s="378" t="s">
        <v>39</v>
      </c>
      <c r="E78" s="387" t="s">
        <v>42</v>
      </c>
      <c r="F78" s="392" t="s">
        <v>13</v>
      </c>
      <c r="G78" s="392" t="s">
        <v>42</v>
      </c>
      <c r="H78" s="389" t="s">
        <v>32</v>
      </c>
      <c r="I78" s="389" t="s">
        <v>816</v>
      </c>
      <c r="J78" s="1326">
        <f>1/365</f>
        <v>2.7397260273972603E-3</v>
      </c>
      <c r="K78" s="389" t="s">
        <v>815</v>
      </c>
      <c r="L78" s="376"/>
    </row>
    <row r="79" spans="3:12" x14ac:dyDescent="0.3">
      <c r="C79" s="377"/>
      <c r="D79" s="378" t="s">
        <v>39</v>
      </c>
      <c r="E79" s="390" t="s">
        <v>13</v>
      </c>
      <c r="F79" s="386"/>
      <c r="G79" s="386" t="s">
        <v>42</v>
      </c>
      <c r="H79" s="384"/>
      <c r="I79" s="384"/>
      <c r="J79" s="1325"/>
      <c r="K79" s="384"/>
      <c r="L79" s="376"/>
    </row>
    <row r="80" spans="3:12" x14ac:dyDescent="0.3">
      <c r="C80" s="377"/>
      <c r="D80" s="378" t="s">
        <v>39</v>
      </c>
      <c r="E80" s="387" t="s">
        <v>42</v>
      </c>
      <c r="F80" s="392" t="s">
        <v>418</v>
      </c>
      <c r="G80" s="392" t="s">
        <v>42</v>
      </c>
      <c r="H80" s="389" t="s">
        <v>32</v>
      </c>
      <c r="I80" s="389" t="s">
        <v>816</v>
      </c>
      <c r="J80" s="1326">
        <f>1/365</f>
        <v>2.7397260273972603E-3</v>
      </c>
      <c r="K80" s="389" t="s">
        <v>815</v>
      </c>
      <c r="L80" s="376"/>
    </row>
    <row r="81" spans="3:12" x14ac:dyDescent="0.3">
      <c r="C81" s="377"/>
      <c r="D81" s="378" t="s">
        <v>39</v>
      </c>
      <c r="E81" s="390" t="s">
        <v>418</v>
      </c>
      <c r="F81" s="386"/>
      <c r="G81" s="386" t="s">
        <v>42</v>
      </c>
      <c r="H81" s="384"/>
      <c r="I81" s="384"/>
      <c r="J81" s="1325"/>
      <c r="K81" s="384"/>
      <c r="L81" s="376"/>
    </row>
    <row r="82" spans="3:12" x14ac:dyDescent="0.3">
      <c r="C82" s="377"/>
      <c r="D82" s="378" t="s">
        <v>39</v>
      </c>
      <c r="E82" s="387" t="s">
        <v>42</v>
      </c>
      <c r="F82" s="392" t="s">
        <v>16</v>
      </c>
      <c r="G82" s="392" t="s">
        <v>42</v>
      </c>
      <c r="H82" s="389" t="s">
        <v>32</v>
      </c>
      <c r="I82" s="389" t="s">
        <v>816</v>
      </c>
      <c r="J82" s="1326">
        <f>1/365</f>
        <v>2.7397260273972603E-3</v>
      </c>
      <c r="K82" s="389" t="s">
        <v>815</v>
      </c>
      <c r="L82" s="376"/>
    </row>
    <row r="83" spans="3:12" x14ac:dyDescent="0.3">
      <c r="C83" s="377"/>
      <c r="D83" s="378" t="s">
        <v>39</v>
      </c>
      <c r="E83" s="390" t="s">
        <v>16</v>
      </c>
      <c r="F83" s="386"/>
      <c r="G83" s="386" t="s">
        <v>42</v>
      </c>
      <c r="H83" s="384"/>
      <c r="I83" s="384"/>
      <c r="J83" s="1325"/>
      <c r="K83" s="384"/>
      <c r="L83" s="376"/>
    </row>
    <row r="84" spans="3:12" x14ac:dyDescent="0.3">
      <c r="C84" s="377"/>
      <c r="D84" s="378" t="s">
        <v>39</v>
      </c>
      <c r="E84" s="387" t="s">
        <v>42</v>
      </c>
      <c r="F84" s="392" t="s">
        <v>471</v>
      </c>
      <c r="G84" s="392" t="s">
        <v>42</v>
      </c>
      <c r="H84" s="389" t="s">
        <v>32</v>
      </c>
      <c r="I84" s="389" t="s">
        <v>816</v>
      </c>
      <c r="J84" s="1326">
        <f>1/365</f>
        <v>2.7397260273972603E-3</v>
      </c>
      <c r="K84" s="389" t="s">
        <v>815</v>
      </c>
      <c r="L84" s="376"/>
    </row>
    <row r="85" spans="3:12" x14ac:dyDescent="0.3">
      <c r="C85" s="377"/>
      <c r="D85" s="378" t="s">
        <v>39</v>
      </c>
      <c r="E85" s="390" t="s">
        <v>471</v>
      </c>
      <c r="F85" s="386"/>
      <c r="G85" s="386" t="s">
        <v>42</v>
      </c>
      <c r="H85" s="384"/>
      <c r="I85" s="384"/>
      <c r="J85" s="1325"/>
      <c r="K85" s="384"/>
      <c r="L85" s="407"/>
    </row>
    <row r="86" spans="3:12" x14ac:dyDescent="0.3">
      <c r="C86" s="391" t="s">
        <v>8</v>
      </c>
      <c r="D86" s="392" t="s">
        <v>8</v>
      </c>
      <c r="E86" s="422" t="s">
        <v>52</v>
      </c>
      <c r="F86" s="423"/>
      <c r="G86" s="423" t="s">
        <v>52</v>
      </c>
      <c r="H86" s="422" t="s">
        <v>362</v>
      </c>
      <c r="I86" s="424" t="s">
        <v>588</v>
      </c>
      <c r="J86" s="1328">
        <v>1</v>
      </c>
      <c r="K86" s="424" t="s">
        <v>67</v>
      </c>
      <c r="L86" s="376"/>
    </row>
    <row r="87" spans="3:12" x14ac:dyDescent="0.3">
      <c r="C87" s="377"/>
      <c r="D87" s="378" t="s">
        <v>8</v>
      </c>
      <c r="E87" s="422" t="s">
        <v>53</v>
      </c>
      <c r="F87" s="423"/>
      <c r="G87" s="423" t="s">
        <v>53</v>
      </c>
      <c r="H87" s="422" t="s">
        <v>363</v>
      </c>
      <c r="I87" s="424" t="s">
        <v>588</v>
      </c>
      <c r="J87" s="1328">
        <v>1</v>
      </c>
      <c r="K87" s="424" t="s">
        <v>67</v>
      </c>
      <c r="L87" s="376"/>
    </row>
    <row r="88" spans="3:12" ht="15" thickBot="1" x14ac:dyDescent="0.35">
      <c r="C88" s="409"/>
      <c r="D88" s="402" t="s">
        <v>8</v>
      </c>
      <c r="E88" s="410" t="s">
        <v>54</v>
      </c>
      <c r="F88" s="402"/>
      <c r="G88" s="411" t="s">
        <v>54</v>
      </c>
      <c r="H88" s="410" t="s">
        <v>364</v>
      </c>
      <c r="I88" s="412" t="s">
        <v>588</v>
      </c>
      <c r="J88" s="1331">
        <v>1</v>
      </c>
      <c r="K88" s="412" t="s">
        <v>67</v>
      </c>
      <c r="L88" s="413"/>
    </row>
    <row r="91" spans="3:12" x14ac:dyDescent="0.3">
      <c r="C91" s="182"/>
      <c r="D91" s="181"/>
      <c r="E91" s="181"/>
      <c r="F91" s="181"/>
      <c r="G91" s="181"/>
      <c r="H91" s="182"/>
      <c r="I91" s="182"/>
      <c r="J91" s="182"/>
      <c r="K91" s="182"/>
    </row>
    <row r="105" spans="3:11" x14ac:dyDescent="0.3">
      <c r="C105" s="182"/>
      <c r="D105" s="181"/>
      <c r="E105" s="181"/>
      <c r="F105" s="181"/>
      <c r="G105" s="181"/>
      <c r="H105" s="182"/>
      <c r="I105" s="182"/>
      <c r="J105" s="182"/>
      <c r="K105" s="182"/>
    </row>
  </sheetData>
  <sheetProtection algorithmName="SHA-512" hashValue="kc9Hb7zGHaBnoO4l+L9bY+uqOyU7SfDMuffmPrATvsn1GFTYZSL2MOXHAkHRqMUprg34Hh5TsPCIN3C2TIWlnA==" saltValue="ee2klkRvUFgUI46/4vvDJg==" spinCount="100000" sheet="1" objects="1" scenarios="1"/>
  <mergeCells count="1">
    <mergeCell ref="L51:L52"/>
  </mergeCells>
  <pageMargins left="0.45" right="0.45" top="0.75" bottom="0.5" header="0.3" footer="0.3"/>
  <pageSetup scale="73" fitToHeight="0" orientation="landscape" r:id="rId1"/>
  <headerFooter>
    <oddHeader>&amp;C&amp;"-,Bold"&amp;12&amp;F, &amp;A</oddHeader>
    <oddFooter>&amp;R&amp;10Page &amp;P</oddFooter>
  </headerFooter>
  <colBreaks count="1" manualBreakCount="1">
    <brk id="9" max="8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6" tint="-0.499984740745262"/>
    <pageSetUpPr fitToPage="1"/>
  </sheetPr>
  <dimension ref="B1:Q1181"/>
  <sheetViews>
    <sheetView showGridLines="0" zoomScaleNormal="100" workbookViewId="0">
      <pane ySplit="11" topLeftCell="A12" activePane="bottomLeft" state="frozen"/>
      <selection activeCell="C99" sqref="C99"/>
      <selection pane="bottomLeft" activeCell="A12" sqref="A12"/>
    </sheetView>
  </sheetViews>
  <sheetFormatPr defaultColWidth="9.109375" defaultRowHeight="14.4" x14ac:dyDescent="0.3"/>
  <cols>
    <col min="1" max="1" width="2.33203125" style="13" customWidth="1"/>
    <col min="2" max="2" width="2.6640625" style="13" customWidth="1"/>
    <col min="3" max="3" width="17" style="13" customWidth="1"/>
    <col min="4" max="4" width="14" style="125" hidden="1" customWidth="1"/>
    <col min="5" max="5" width="23.33203125" style="13" customWidth="1"/>
    <col min="6" max="6" width="24.5546875" style="125" hidden="1" customWidth="1"/>
    <col min="7" max="7" width="22" style="13" bestFit="1" customWidth="1"/>
    <col min="8" max="8" width="22" style="125" hidden="1" customWidth="1"/>
    <col min="9" max="9" width="4.88671875" style="124" customWidth="1"/>
    <col min="10" max="10" width="8.33203125" style="124" customWidth="1"/>
    <col min="11" max="11" width="26.6640625" style="13" customWidth="1"/>
    <col min="12" max="12" width="44.5546875" style="13" customWidth="1"/>
    <col min="13" max="13" width="9.109375" style="13"/>
    <col min="14" max="14" width="18.33203125" style="13" customWidth="1"/>
    <col min="15" max="16384" width="9.109375" style="13"/>
  </cols>
  <sheetData>
    <row r="1" spans="2:12" ht="15" x14ac:dyDescent="0.25">
      <c r="B1" s="2" t="s">
        <v>140</v>
      </c>
    </row>
    <row r="2" spans="2:12" x14ac:dyDescent="0.3">
      <c r="B2" s="177" t="s">
        <v>555</v>
      </c>
      <c r="C2" s="176" t="s">
        <v>793</v>
      </c>
      <c r="E2" s="176"/>
      <c r="G2" s="176"/>
      <c r="I2" s="177"/>
      <c r="J2" s="177"/>
      <c r="K2" s="176"/>
      <c r="L2" s="176"/>
    </row>
    <row r="3" spans="2:12" ht="15" x14ac:dyDescent="0.25">
      <c r="B3" s="176"/>
      <c r="C3" s="176" t="s">
        <v>268</v>
      </c>
      <c r="E3" s="176"/>
      <c r="G3" s="176"/>
      <c r="I3" s="177"/>
      <c r="J3" s="177"/>
      <c r="K3" s="176"/>
      <c r="L3" s="176"/>
    </row>
    <row r="4" spans="2:12" ht="15" x14ac:dyDescent="0.25">
      <c r="B4" s="176"/>
      <c r="C4" s="176" t="s">
        <v>628</v>
      </c>
      <c r="E4" s="176"/>
      <c r="G4" s="176"/>
      <c r="I4" s="177"/>
      <c r="J4" s="177"/>
      <c r="K4" s="176"/>
      <c r="L4" s="176"/>
    </row>
    <row r="5" spans="2:12" x14ac:dyDescent="0.3">
      <c r="B5" s="177" t="s">
        <v>555</v>
      </c>
      <c r="C5" s="445" t="s">
        <v>626</v>
      </c>
      <c r="D5" s="446"/>
      <c r="E5" s="445"/>
      <c r="F5" s="446"/>
      <c r="G5" s="445"/>
      <c r="H5" s="446"/>
      <c r="I5" s="445"/>
      <c r="J5" s="177"/>
      <c r="K5" s="176"/>
      <c r="L5" s="176"/>
    </row>
    <row r="6" spans="2:12" ht="14.4" customHeight="1" x14ac:dyDescent="0.25">
      <c r="B6" s="176"/>
      <c r="C6" s="445" t="s">
        <v>627</v>
      </c>
      <c r="D6" s="446"/>
      <c r="E6" s="445"/>
      <c r="F6" s="446"/>
      <c r="G6" s="445"/>
      <c r="H6" s="446"/>
      <c r="I6" s="445"/>
      <c r="J6" s="177"/>
      <c r="K6" s="176"/>
      <c r="L6" s="176"/>
    </row>
    <row r="7" spans="2:12" ht="14.4" customHeight="1" x14ac:dyDescent="0.3">
      <c r="B7" s="177" t="s">
        <v>555</v>
      </c>
      <c r="C7" s="445" t="s">
        <v>1029</v>
      </c>
      <c r="D7" s="446"/>
      <c r="E7" s="445"/>
      <c r="F7" s="446"/>
      <c r="G7" s="445"/>
      <c r="H7" s="446"/>
      <c r="I7" s="445"/>
      <c r="J7" s="177"/>
      <c r="K7" s="176"/>
      <c r="L7" s="176"/>
    </row>
    <row r="8" spans="2:12" ht="14.4" customHeight="1" x14ac:dyDescent="0.3">
      <c r="B8" s="177" t="s">
        <v>555</v>
      </c>
      <c r="C8" s="176" t="s">
        <v>1039</v>
      </c>
      <c r="D8" s="447"/>
      <c r="E8" s="809"/>
      <c r="F8" s="447"/>
      <c r="G8" s="809"/>
      <c r="H8" s="447"/>
      <c r="I8" s="809"/>
      <c r="J8" s="177"/>
      <c r="K8" s="176"/>
      <c r="L8" s="176"/>
    </row>
    <row r="9" spans="2:12" ht="13.2" customHeight="1" x14ac:dyDescent="0.3">
      <c r="B9" s="177" t="s">
        <v>555</v>
      </c>
      <c r="C9" s="175" t="s">
        <v>509</v>
      </c>
      <c r="D9" s="223" t="s">
        <v>291</v>
      </c>
      <c r="E9" s="176"/>
      <c r="F9" s="223" t="s">
        <v>291</v>
      </c>
      <c r="G9" s="176"/>
      <c r="H9" s="223" t="s">
        <v>291</v>
      </c>
      <c r="I9" s="177"/>
      <c r="J9" s="177"/>
      <c r="K9" s="176"/>
      <c r="L9" s="208"/>
    </row>
    <row r="10" spans="2:12" ht="15.75" thickBot="1" x14ac:dyDescent="0.3">
      <c r="D10" s="223"/>
      <c r="F10" s="223"/>
      <c r="H10" s="223"/>
      <c r="L10" s="45"/>
    </row>
    <row r="11" spans="2:12" ht="28.95" customHeight="1" thickBot="1" x14ac:dyDescent="0.3">
      <c r="C11" s="89" t="s">
        <v>40</v>
      </c>
      <c r="D11" s="448" t="s">
        <v>40</v>
      </c>
      <c r="E11" s="436" t="s">
        <v>0</v>
      </c>
      <c r="F11" s="453" t="s">
        <v>0</v>
      </c>
      <c r="G11" s="437" t="s">
        <v>30</v>
      </c>
      <c r="H11" s="456" t="s">
        <v>351</v>
      </c>
      <c r="I11" s="1419" t="s">
        <v>59</v>
      </c>
      <c r="J11" s="1420"/>
      <c r="K11" s="438" t="s">
        <v>60</v>
      </c>
      <c r="L11" s="90" t="s">
        <v>134</v>
      </c>
    </row>
    <row r="12" spans="2:12" ht="15" x14ac:dyDescent="0.25">
      <c r="C12" s="369" t="s">
        <v>37</v>
      </c>
      <c r="D12" s="449" t="s">
        <v>37</v>
      </c>
      <c r="E12" s="374" t="s">
        <v>2</v>
      </c>
      <c r="F12" s="454" t="s">
        <v>2</v>
      </c>
      <c r="G12" s="374" t="s">
        <v>115</v>
      </c>
      <c r="H12" s="454" t="str">
        <f>D12&amp;"-"&amp;F12</f>
        <v>Restrooms-Toilets</v>
      </c>
      <c r="I12" s="459" t="s">
        <v>64</v>
      </c>
      <c r="J12" s="1315">
        <v>3.5</v>
      </c>
      <c r="K12" s="460" t="s">
        <v>68</v>
      </c>
      <c r="L12" s="185"/>
    </row>
    <row r="13" spans="2:12" ht="15" x14ac:dyDescent="0.25">
      <c r="C13" s="377"/>
      <c r="D13" s="397" t="s">
        <v>37</v>
      </c>
      <c r="E13" s="382"/>
      <c r="F13" s="450" t="s">
        <v>2</v>
      </c>
      <c r="G13" s="382"/>
      <c r="H13" s="450" t="str">
        <f t="shared" ref="H13:H59" si="0">D13&amp;"-"&amp;F13</f>
        <v>Restrooms-Toilets</v>
      </c>
      <c r="I13" s="461" t="s">
        <v>65</v>
      </c>
      <c r="J13" s="1316">
        <v>1.6</v>
      </c>
      <c r="K13" s="431" t="s">
        <v>68</v>
      </c>
      <c r="L13" s="183"/>
    </row>
    <row r="14" spans="2:12" ht="15" x14ac:dyDescent="0.25">
      <c r="C14" s="377"/>
      <c r="D14" s="397" t="s">
        <v>37</v>
      </c>
      <c r="E14" s="382"/>
      <c r="F14" s="450" t="s">
        <v>2</v>
      </c>
      <c r="G14" s="384"/>
      <c r="H14" s="450" t="str">
        <f t="shared" si="0"/>
        <v>Restrooms-Toilets</v>
      </c>
      <c r="I14" s="462" t="s">
        <v>66</v>
      </c>
      <c r="J14" s="1316">
        <v>1.28</v>
      </c>
      <c r="K14" s="431" t="s">
        <v>68</v>
      </c>
      <c r="L14" s="407"/>
    </row>
    <row r="15" spans="2:12" ht="15" x14ac:dyDescent="0.25">
      <c r="C15" s="377"/>
      <c r="D15" s="397" t="s">
        <v>37</v>
      </c>
      <c r="E15" s="389" t="s">
        <v>4</v>
      </c>
      <c r="F15" s="403" t="s">
        <v>4</v>
      </c>
      <c r="G15" s="389" t="s">
        <v>115</v>
      </c>
      <c r="H15" s="450" t="str">
        <f t="shared" si="0"/>
        <v>Restrooms-Urinals</v>
      </c>
      <c r="I15" s="463" t="s">
        <v>64</v>
      </c>
      <c r="J15" s="1316">
        <v>2</v>
      </c>
      <c r="K15" s="431" t="s">
        <v>68</v>
      </c>
      <c r="L15" s="426" t="s">
        <v>126</v>
      </c>
    </row>
    <row r="16" spans="2:12" ht="15" x14ac:dyDescent="0.25">
      <c r="C16" s="377"/>
      <c r="D16" s="397" t="s">
        <v>37</v>
      </c>
      <c r="E16" s="382"/>
      <c r="F16" s="397" t="s">
        <v>4</v>
      </c>
      <c r="G16" s="382"/>
      <c r="H16" s="450" t="str">
        <f t="shared" si="0"/>
        <v>Restrooms-Urinals</v>
      </c>
      <c r="I16" s="461" t="s">
        <v>65</v>
      </c>
      <c r="J16" s="1316">
        <v>1</v>
      </c>
      <c r="K16" s="431" t="s">
        <v>68</v>
      </c>
      <c r="L16" s="426" t="s">
        <v>125</v>
      </c>
    </row>
    <row r="17" spans="3:12" ht="15" x14ac:dyDescent="0.25">
      <c r="C17" s="377"/>
      <c r="D17" s="397" t="s">
        <v>37</v>
      </c>
      <c r="E17" s="384"/>
      <c r="F17" s="397" t="s">
        <v>4</v>
      </c>
      <c r="G17" s="384"/>
      <c r="H17" s="450" t="str">
        <f t="shared" si="0"/>
        <v>Restrooms-Urinals</v>
      </c>
      <c r="I17" s="462" t="s">
        <v>66</v>
      </c>
      <c r="J17" s="1316">
        <v>0.125</v>
      </c>
      <c r="K17" s="431" t="s">
        <v>68</v>
      </c>
      <c r="L17" s="426" t="s">
        <v>472</v>
      </c>
    </row>
    <row r="18" spans="3:12" ht="15" x14ac:dyDescent="0.25">
      <c r="C18" s="377"/>
      <c r="D18" s="397" t="s">
        <v>37</v>
      </c>
      <c r="E18" s="382" t="s">
        <v>33</v>
      </c>
      <c r="F18" s="403" t="s">
        <v>33</v>
      </c>
      <c r="G18" s="382" t="s">
        <v>115</v>
      </c>
      <c r="H18" s="450" t="str">
        <f t="shared" si="0"/>
        <v>Restrooms-Faucets</v>
      </c>
      <c r="I18" s="463" t="s">
        <v>64</v>
      </c>
      <c r="J18" s="1316">
        <v>2</v>
      </c>
      <c r="K18" s="431" t="s">
        <v>78</v>
      </c>
      <c r="L18" s="464" t="s">
        <v>679</v>
      </c>
    </row>
    <row r="19" spans="3:12" ht="15" x14ac:dyDescent="0.25">
      <c r="C19" s="377"/>
      <c r="D19" s="397" t="s">
        <v>37</v>
      </c>
      <c r="E19" s="382"/>
      <c r="F19" s="397" t="s">
        <v>33</v>
      </c>
      <c r="G19" s="382"/>
      <c r="H19" s="450" t="str">
        <f t="shared" si="0"/>
        <v>Restrooms-Faucets</v>
      </c>
      <c r="I19" s="461" t="s">
        <v>65</v>
      </c>
      <c r="J19" s="1316">
        <v>1</v>
      </c>
      <c r="K19" s="431" t="s">
        <v>78</v>
      </c>
      <c r="L19" s="426" t="s">
        <v>680</v>
      </c>
    </row>
    <row r="20" spans="3:12" ht="15" x14ac:dyDescent="0.25">
      <c r="C20" s="393"/>
      <c r="D20" s="421" t="s">
        <v>37</v>
      </c>
      <c r="E20" s="384"/>
      <c r="F20" s="397" t="s">
        <v>33</v>
      </c>
      <c r="G20" s="384"/>
      <c r="H20" s="450" t="str">
        <f t="shared" si="0"/>
        <v>Restrooms-Faucets</v>
      </c>
      <c r="I20" s="462" t="s">
        <v>66</v>
      </c>
      <c r="J20" s="1316">
        <v>0.5</v>
      </c>
      <c r="K20" s="431" t="s">
        <v>78</v>
      </c>
      <c r="L20" s="407"/>
    </row>
    <row r="21" spans="3:12" ht="15" x14ac:dyDescent="0.25">
      <c r="C21" s="396" t="s">
        <v>5</v>
      </c>
      <c r="D21" s="403" t="s">
        <v>5</v>
      </c>
      <c r="E21" s="382" t="s">
        <v>33</v>
      </c>
      <c r="F21" s="403" t="s">
        <v>33</v>
      </c>
      <c r="G21" s="382" t="s">
        <v>6</v>
      </c>
      <c r="H21" s="450" t="str">
        <f t="shared" si="0"/>
        <v>Break rooms-Faucets</v>
      </c>
      <c r="I21" s="463" t="s">
        <v>64</v>
      </c>
      <c r="J21" s="1316">
        <v>2</v>
      </c>
      <c r="K21" s="431" t="s">
        <v>78</v>
      </c>
      <c r="L21" s="183"/>
    </row>
    <row r="22" spans="3:12" ht="15" x14ac:dyDescent="0.25">
      <c r="C22" s="398"/>
      <c r="D22" s="397" t="s">
        <v>5</v>
      </c>
      <c r="E22" s="382"/>
      <c r="F22" s="397" t="s">
        <v>33</v>
      </c>
      <c r="G22" s="382"/>
      <c r="H22" s="450" t="str">
        <f t="shared" si="0"/>
        <v>Break rooms-Faucets</v>
      </c>
      <c r="I22" s="461" t="s">
        <v>65</v>
      </c>
      <c r="J22" s="1316">
        <v>1</v>
      </c>
      <c r="K22" s="431" t="s">
        <v>78</v>
      </c>
      <c r="L22" s="183"/>
    </row>
    <row r="23" spans="3:12" ht="15" x14ac:dyDescent="0.25">
      <c r="C23" s="399"/>
      <c r="D23" s="421" t="s">
        <v>5</v>
      </c>
      <c r="E23" s="384"/>
      <c r="F23" s="397" t="s">
        <v>33</v>
      </c>
      <c r="G23" s="384"/>
      <c r="H23" s="450" t="str">
        <f t="shared" si="0"/>
        <v>Break rooms-Faucets</v>
      </c>
      <c r="I23" s="462" t="s">
        <v>66</v>
      </c>
      <c r="J23" s="1317">
        <v>0.5</v>
      </c>
      <c r="K23" s="431" t="s">
        <v>78</v>
      </c>
      <c r="L23" s="407"/>
    </row>
    <row r="24" spans="3:12" ht="15" x14ac:dyDescent="0.25">
      <c r="C24" s="391" t="s">
        <v>45</v>
      </c>
      <c r="D24" s="403" t="s">
        <v>45</v>
      </c>
      <c r="E24" s="389" t="s">
        <v>2</v>
      </c>
      <c r="F24" s="403" t="s">
        <v>2</v>
      </c>
      <c r="G24" s="389" t="s">
        <v>17</v>
      </c>
      <c r="H24" s="450" t="str">
        <f t="shared" si="0"/>
        <v>Guestrooms-Toilets</v>
      </c>
      <c r="I24" s="463" t="s">
        <v>64</v>
      </c>
      <c r="J24" s="1316">
        <v>3.5</v>
      </c>
      <c r="K24" s="431" t="s">
        <v>68</v>
      </c>
      <c r="L24" s="183"/>
    </row>
    <row r="25" spans="3:12" ht="15" x14ac:dyDescent="0.25">
      <c r="C25" s="377"/>
      <c r="D25" s="397" t="s">
        <v>45</v>
      </c>
      <c r="E25" s="382"/>
      <c r="F25" s="397" t="s">
        <v>2</v>
      </c>
      <c r="G25" s="382"/>
      <c r="H25" s="450" t="str">
        <f t="shared" si="0"/>
        <v>Guestrooms-Toilets</v>
      </c>
      <c r="I25" s="461" t="s">
        <v>65</v>
      </c>
      <c r="J25" s="1316">
        <v>1.6</v>
      </c>
      <c r="K25" s="431" t="s">
        <v>68</v>
      </c>
      <c r="L25" s="183"/>
    </row>
    <row r="26" spans="3:12" ht="15" x14ac:dyDescent="0.25">
      <c r="C26" s="377"/>
      <c r="D26" s="397" t="s">
        <v>45</v>
      </c>
      <c r="E26" s="382"/>
      <c r="F26" s="397" t="s">
        <v>2</v>
      </c>
      <c r="G26" s="382"/>
      <c r="H26" s="450" t="str">
        <f t="shared" si="0"/>
        <v>Guestrooms-Toilets</v>
      </c>
      <c r="I26" s="462" t="s">
        <v>66</v>
      </c>
      <c r="J26" s="1316">
        <v>1.28</v>
      </c>
      <c r="K26" s="431" t="s">
        <v>68</v>
      </c>
      <c r="L26" s="407"/>
    </row>
    <row r="27" spans="3:12" ht="15" x14ac:dyDescent="0.25">
      <c r="C27" s="377"/>
      <c r="D27" s="397" t="s">
        <v>45</v>
      </c>
      <c r="E27" s="389" t="s">
        <v>18</v>
      </c>
      <c r="F27" s="403" t="s">
        <v>18</v>
      </c>
      <c r="G27" s="389" t="s">
        <v>17</v>
      </c>
      <c r="H27" s="450" t="str">
        <f t="shared" si="0"/>
        <v>Guestrooms-Showers</v>
      </c>
      <c r="I27" s="463" t="s">
        <v>64</v>
      </c>
      <c r="J27" s="1316">
        <v>3</v>
      </c>
      <c r="K27" s="431" t="s">
        <v>78</v>
      </c>
      <c r="L27" s="426" t="s">
        <v>681</v>
      </c>
    </row>
    <row r="28" spans="3:12" ht="15" x14ac:dyDescent="0.25">
      <c r="C28" s="377"/>
      <c r="D28" s="397" t="s">
        <v>45</v>
      </c>
      <c r="E28" s="382"/>
      <c r="F28" s="397" t="s">
        <v>18</v>
      </c>
      <c r="G28" s="382"/>
      <c r="H28" s="450" t="str">
        <f t="shared" si="0"/>
        <v>Guestrooms-Showers</v>
      </c>
      <c r="I28" s="461" t="s">
        <v>65</v>
      </c>
      <c r="J28" s="1316">
        <v>2</v>
      </c>
      <c r="K28" s="431" t="s">
        <v>78</v>
      </c>
      <c r="L28" s="426" t="s">
        <v>682</v>
      </c>
    </row>
    <row r="29" spans="3:12" ht="15" x14ac:dyDescent="0.25">
      <c r="C29" s="377"/>
      <c r="D29" s="397" t="s">
        <v>45</v>
      </c>
      <c r="E29" s="384"/>
      <c r="F29" s="397" t="s">
        <v>18</v>
      </c>
      <c r="G29" s="384"/>
      <c r="H29" s="450" t="str">
        <f t="shared" si="0"/>
        <v>Guestrooms-Showers</v>
      </c>
      <c r="I29" s="462" t="s">
        <v>66</v>
      </c>
      <c r="J29" s="1316">
        <v>1</v>
      </c>
      <c r="K29" s="431" t="s">
        <v>78</v>
      </c>
      <c r="L29" s="426" t="s">
        <v>683</v>
      </c>
    </row>
    <row r="30" spans="3:12" ht="15" x14ac:dyDescent="0.25">
      <c r="C30" s="377"/>
      <c r="D30" s="397" t="s">
        <v>45</v>
      </c>
      <c r="E30" s="382" t="s">
        <v>33</v>
      </c>
      <c r="F30" s="403" t="s">
        <v>33</v>
      </c>
      <c r="G30" s="389" t="s">
        <v>17</v>
      </c>
      <c r="H30" s="450" t="str">
        <f t="shared" si="0"/>
        <v>Guestrooms-Faucets</v>
      </c>
      <c r="I30" s="463" t="s">
        <v>64</v>
      </c>
      <c r="J30" s="1316">
        <v>2</v>
      </c>
      <c r="K30" s="431" t="s">
        <v>78</v>
      </c>
      <c r="L30" s="183"/>
    </row>
    <row r="31" spans="3:12" ht="15" x14ac:dyDescent="0.25">
      <c r="C31" s="377"/>
      <c r="D31" s="397" t="s">
        <v>45</v>
      </c>
      <c r="E31" s="382"/>
      <c r="F31" s="397" t="s">
        <v>33</v>
      </c>
      <c r="G31" s="382"/>
      <c r="H31" s="450" t="str">
        <f t="shared" si="0"/>
        <v>Guestrooms-Faucets</v>
      </c>
      <c r="I31" s="461" t="s">
        <v>65</v>
      </c>
      <c r="J31" s="1316">
        <v>1</v>
      </c>
      <c r="K31" s="431" t="s">
        <v>78</v>
      </c>
      <c r="L31" s="183"/>
    </row>
    <row r="32" spans="3:12" x14ac:dyDescent="0.3">
      <c r="C32" s="393"/>
      <c r="D32" s="421" t="s">
        <v>45</v>
      </c>
      <c r="E32" s="384"/>
      <c r="F32" s="397" t="s">
        <v>33</v>
      </c>
      <c r="G32" s="384"/>
      <c r="H32" s="450" t="str">
        <f t="shared" si="0"/>
        <v>Guestrooms-Faucets</v>
      </c>
      <c r="I32" s="462" t="s">
        <v>66</v>
      </c>
      <c r="J32" s="1316">
        <v>0.5</v>
      </c>
      <c r="K32" s="431" t="s">
        <v>78</v>
      </c>
      <c r="L32" s="407"/>
    </row>
    <row r="33" spans="3:12" x14ac:dyDescent="0.3">
      <c r="C33" s="391" t="s">
        <v>38</v>
      </c>
      <c r="D33" s="403" t="s">
        <v>38</v>
      </c>
      <c r="E33" s="389" t="s">
        <v>114</v>
      </c>
      <c r="F33" s="403" t="s">
        <v>114</v>
      </c>
      <c r="G33" s="389" t="s">
        <v>118</v>
      </c>
      <c r="H33" s="450" t="str">
        <f t="shared" si="0"/>
        <v>Food Service-Kitchen faucets</v>
      </c>
      <c r="I33" s="463" t="s">
        <v>64</v>
      </c>
      <c r="J33" s="1316">
        <v>2</v>
      </c>
      <c r="K33" s="431" t="s">
        <v>78</v>
      </c>
      <c r="L33" s="183"/>
    </row>
    <row r="34" spans="3:12" x14ac:dyDescent="0.3">
      <c r="C34" s="377"/>
      <c r="D34" s="397" t="s">
        <v>38</v>
      </c>
      <c r="E34" s="382"/>
      <c r="F34" s="397" t="s">
        <v>114</v>
      </c>
      <c r="G34" s="382"/>
      <c r="H34" s="450" t="str">
        <f t="shared" si="0"/>
        <v>Food Service-Kitchen faucets</v>
      </c>
      <c r="I34" s="461" t="s">
        <v>65</v>
      </c>
      <c r="J34" s="1316">
        <v>1</v>
      </c>
      <c r="K34" s="431" t="s">
        <v>78</v>
      </c>
      <c r="L34" s="183"/>
    </row>
    <row r="35" spans="3:12" x14ac:dyDescent="0.3">
      <c r="C35" s="377"/>
      <c r="D35" s="397" t="s">
        <v>38</v>
      </c>
      <c r="E35" s="384"/>
      <c r="F35" s="386" t="s">
        <v>114</v>
      </c>
      <c r="G35" s="382"/>
      <c r="H35" s="450" t="str">
        <f t="shared" si="0"/>
        <v>Food Service-Kitchen faucets</v>
      </c>
      <c r="I35" s="462" t="s">
        <v>66</v>
      </c>
      <c r="J35" s="1316">
        <v>0.5</v>
      </c>
      <c r="K35" s="431" t="s">
        <v>78</v>
      </c>
      <c r="L35" s="407"/>
    </row>
    <row r="36" spans="3:12" x14ac:dyDescent="0.3">
      <c r="C36" s="377"/>
      <c r="D36" s="397" t="s">
        <v>38</v>
      </c>
      <c r="E36" s="382" t="s">
        <v>127</v>
      </c>
      <c r="F36" s="378" t="s">
        <v>127</v>
      </c>
      <c r="G36" s="389" t="s">
        <v>118</v>
      </c>
      <c r="H36" s="450" t="str">
        <f t="shared" si="0"/>
        <v>Food Service-Pre-rinse spray valves</v>
      </c>
      <c r="I36" s="463" t="s">
        <v>64</v>
      </c>
      <c r="J36" s="1316">
        <v>3</v>
      </c>
      <c r="K36" s="431" t="s">
        <v>78</v>
      </c>
      <c r="L36" s="426" t="s">
        <v>684</v>
      </c>
    </row>
    <row r="37" spans="3:12" x14ac:dyDescent="0.3">
      <c r="C37" s="377"/>
      <c r="D37" s="397" t="s">
        <v>38</v>
      </c>
      <c r="E37" s="382"/>
      <c r="F37" s="378" t="s">
        <v>127</v>
      </c>
      <c r="G37" s="382"/>
      <c r="H37" s="450" t="str">
        <f t="shared" si="0"/>
        <v>Food Service-Pre-rinse spray valves</v>
      </c>
      <c r="I37" s="461" t="s">
        <v>65</v>
      </c>
      <c r="J37" s="1316">
        <v>2</v>
      </c>
      <c r="K37" s="431" t="s">
        <v>78</v>
      </c>
      <c r="L37" s="426" t="s">
        <v>685</v>
      </c>
    </row>
    <row r="38" spans="3:12" x14ac:dyDescent="0.3">
      <c r="C38" s="377"/>
      <c r="D38" s="397" t="s">
        <v>38</v>
      </c>
      <c r="E38" s="382"/>
      <c r="F38" s="378" t="s">
        <v>127</v>
      </c>
      <c r="G38" s="382"/>
      <c r="H38" s="450" t="str">
        <f t="shared" si="0"/>
        <v>Food Service-Pre-rinse spray valves</v>
      </c>
      <c r="I38" s="462" t="s">
        <v>66</v>
      </c>
      <c r="J38" s="1316">
        <v>1.28</v>
      </c>
      <c r="K38" s="431" t="s">
        <v>78</v>
      </c>
      <c r="L38" s="426"/>
    </row>
    <row r="39" spans="3:12" x14ac:dyDescent="0.3">
      <c r="C39" s="377"/>
      <c r="D39" s="397" t="s">
        <v>38</v>
      </c>
      <c r="E39" s="389" t="s">
        <v>41</v>
      </c>
      <c r="F39" s="403" t="s">
        <v>41</v>
      </c>
      <c r="G39" s="389" t="s">
        <v>118</v>
      </c>
      <c r="H39" s="450" t="str">
        <f t="shared" si="0"/>
        <v>Food Service-Dishwashers</v>
      </c>
      <c r="I39" s="463" t="s">
        <v>64</v>
      </c>
      <c r="J39" s="1316">
        <v>4.5</v>
      </c>
      <c r="K39" s="431" t="s">
        <v>203</v>
      </c>
      <c r="L39" s="183"/>
    </row>
    <row r="40" spans="3:12" x14ac:dyDescent="0.3">
      <c r="C40" s="377"/>
      <c r="D40" s="397" t="s">
        <v>38</v>
      </c>
      <c r="E40" s="382"/>
      <c r="F40" s="397" t="s">
        <v>41</v>
      </c>
      <c r="G40" s="382"/>
      <c r="H40" s="450" t="str">
        <f t="shared" si="0"/>
        <v>Food Service-Dishwashers</v>
      </c>
      <c r="I40" s="461" t="s">
        <v>65</v>
      </c>
      <c r="J40" s="1316">
        <v>2.5</v>
      </c>
      <c r="K40" s="431" t="s">
        <v>203</v>
      </c>
      <c r="L40" s="183"/>
    </row>
    <row r="41" spans="3:12" x14ac:dyDescent="0.3">
      <c r="C41" s="377"/>
      <c r="D41" s="397" t="s">
        <v>38</v>
      </c>
      <c r="E41" s="384"/>
      <c r="F41" s="397" t="s">
        <v>41</v>
      </c>
      <c r="G41" s="384"/>
      <c r="H41" s="450" t="str">
        <f t="shared" si="0"/>
        <v>Food Service-Dishwashers</v>
      </c>
      <c r="I41" s="462" t="s">
        <v>66</v>
      </c>
      <c r="J41" s="1316">
        <v>1</v>
      </c>
      <c r="K41" s="431" t="s">
        <v>203</v>
      </c>
      <c r="L41" s="407"/>
    </row>
    <row r="42" spans="3:12" x14ac:dyDescent="0.3">
      <c r="C42" s="377"/>
      <c r="D42" s="397" t="s">
        <v>38</v>
      </c>
      <c r="E42" s="382" t="s">
        <v>20</v>
      </c>
      <c r="F42" s="455" t="s">
        <v>20</v>
      </c>
      <c r="G42" s="389" t="s">
        <v>118</v>
      </c>
      <c r="H42" s="450" t="str">
        <f t="shared" si="0"/>
        <v>Food Service-Ice machines</v>
      </c>
      <c r="I42" s="463" t="s">
        <v>64</v>
      </c>
      <c r="J42" s="1316">
        <v>1.5</v>
      </c>
      <c r="K42" s="424" t="s">
        <v>220</v>
      </c>
      <c r="L42" s="426" t="s">
        <v>129</v>
      </c>
    </row>
    <row r="43" spans="3:12" x14ac:dyDescent="0.3">
      <c r="C43" s="377"/>
      <c r="D43" s="397" t="s">
        <v>38</v>
      </c>
      <c r="E43" s="382"/>
      <c r="F43" s="450" t="s">
        <v>20</v>
      </c>
      <c r="G43" s="382" t="s">
        <v>17</v>
      </c>
      <c r="H43" s="450" t="str">
        <f t="shared" si="0"/>
        <v>Food Service-Ice machines</v>
      </c>
      <c r="I43" s="461" t="s">
        <v>65</v>
      </c>
      <c r="J43" s="1316">
        <v>0.25</v>
      </c>
      <c r="K43" s="424" t="s">
        <v>220</v>
      </c>
      <c r="L43" s="426" t="s">
        <v>130</v>
      </c>
    </row>
    <row r="44" spans="3:12" x14ac:dyDescent="0.3">
      <c r="C44" s="393"/>
      <c r="D44" s="421" t="s">
        <v>38</v>
      </c>
      <c r="E44" s="384"/>
      <c r="F44" s="450" t="s">
        <v>20</v>
      </c>
      <c r="G44" s="384"/>
      <c r="H44" s="450" t="str">
        <f t="shared" si="0"/>
        <v>Food Service-Ice machines</v>
      </c>
      <c r="I44" s="462" t="s">
        <v>66</v>
      </c>
      <c r="J44" s="1316">
        <v>0.12</v>
      </c>
      <c r="K44" s="424" t="s">
        <v>220</v>
      </c>
      <c r="L44" s="426" t="s">
        <v>128</v>
      </c>
    </row>
    <row r="45" spans="3:12" x14ac:dyDescent="0.3">
      <c r="C45" s="391" t="s">
        <v>391</v>
      </c>
      <c r="D45" s="450" t="s">
        <v>391</v>
      </c>
      <c r="E45" s="389" t="s">
        <v>114</v>
      </c>
      <c r="F45" s="403" t="s">
        <v>114</v>
      </c>
      <c r="G45" s="389" t="s">
        <v>118</v>
      </c>
      <c r="H45" s="450" t="str">
        <f t="shared" si="0"/>
        <v>Flight kitchens-Kitchen faucets</v>
      </c>
      <c r="I45" s="463" t="s">
        <v>64</v>
      </c>
      <c r="J45" s="1316">
        <v>2</v>
      </c>
      <c r="K45" s="431" t="s">
        <v>78</v>
      </c>
      <c r="L45" s="183"/>
    </row>
    <row r="46" spans="3:12" x14ac:dyDescent="0.3">
      <c r="C46" s="377"/>
      <c r="D46" s="450" t="s">
        <v>391</v>
      </c>
      <c r="E46" s="382"/>
      <c r="F46" s="397" t="s">
        <v>114</v>
      </c>
      <c r="G46" s="382"/>
      <c r="H46" s="450" t="str">
        <f t="shared" si="0"/>
        <v>Flight kitchens-Kitchen faucets</v>
      </c>
      <c r="I46" s="461" t="s">
        <v>65</v>
      </c>
      <c r="J46" s="1316">
        <v>1</v>
      </c>
      <c r="K46" s="431" t="s">
        <v>78</v>
      </c>
      <c r="L46" s="183"/>
    </row>
    <row r="47" spans="3:12" x14ac:dyDescent="0.3">
      <c r="C47" s="377"/>
      <c r="D47" s="450" t="s">
        <v>391</v>
      </c>
      <c r="E47" s="382"/>
      <c r="F47" s="397" t="s">
        <v>114</v>
      </c>
      <c r="G47" s="382"/>
      <c r="H47" s="450" t="str">
        <f t="shared" si="0"/>
        <v>Flight kitchens-Kitchen faucets</v>
      </c>
      <c r="I47" s="462" t="s">
        <v>66</v>
      </c>
      <c r="J47" s="1316">
        <v>0.5</v>
      </c>
      <c r="K47" s="431" t="s">
        <v>78</v>
      </c>
      <c r="L47" s="407"/>
    </row>
    <row r="48" spans="3:12" x14ac:dyDescent="0.3">
      <c r="C48" s="377"/>
      <c r="D48" s="450" t="s">
        <v>391</v>
      </c>
      <c r="E48" s="389" t="s">
        <v>41</v>
      </c>
      <c r="F48" s="403" t="s">
        <v>41</v>
      </c>
      <c r="G48" s="389" t="s">
        <v>118</v>
      </c>
      <c r="H48" s="450" t="str">
        <f t="shared" si="0"/>
        <v>Flight kitchens-Dishwashers</v>
      </c>
      <c r="I48" s="463" t="s">
        <v>64</v>
      </c>
      <c r="J48" s="1316">
        <v>4.5</v>
      </c>
      <c r="K48" s="431" t="s">
        <v>203</v>
      </c>
      <c r="L48" s="183"/>
    </row>
    <row r="49" spans="3:12" x14ac:dyDescent="0.3">
      <c r="C49" s="377"/>
      <c r="D49" s="450" t="s">
        <v>391</v>
      </c>
      <c r="E49" s="382"/>
      <c r="F49" s="397" t="s">
        <v>41</v>
      </c>
      <c r="G49" s="382"/>
      <c r="H49" s="450" t="str">
        <f t="shared" si="0"/>
        <v>Flight kitchens-Dishwashers</v>
      </c>
      <c r="I49" s="461" t="s">
        <v>65</v>
      </c>
      <c r="J49" s="1316">
        <v>2.5</v>
      </c>
      <c r="K49" s="431" t="s">
        <v>203</v>
      </c>
      <c r="L49" s="183"/>
    </row>
    <row r="50" spans="3:12" x14ac:dyDescent="0.3">
      <c r="C50" s="377"/>
      <c r="D50" s="450" t="s">
        <v>391</v>
      </c>
      <c r="E50" s="384"/>
      <c r="F50" s="397" t="s">
        <v>41</v>
      </c>
      <c r="G50" s="384"/>
      <c r="H50" s="450" t="str">
        <f t="shared" si="0"/>
        <v>Flight kitchens-Dishwashers</v>
      </c>
      <c r="I50" s="462" t="s">
        <v>66</v>
      </c>
      <c r="J50" s="1316">
        <v>1</v>
      </c>
      <c r="K50" s="431" t="s">
        <v>203</v>
      </c>
      <c r="L50" s="407"/>
    </row>
    <row r="51" spans="3:12" x14ac:dyDescent="0.3">
      <c r="C51" s="377"/>
      <c r="D51" s="450" t="s">
        <v>391</v>
      </c>
      <c r="E51" s="382" t="s">
        <v>20</v>
      </c>
      <c r="F51" s="403" t="s">
        <v>20</v>
      </c>
      <c r="G51" s="389" t="s">
        <v>118</v>
      </c>
      <c r="H51" s="450" t="str">
        <f t="shared" si="0"/>
        <v>Flight kitchens-Ice machines</v>
      </c>
      <c r="I51" s="463" t="s">
        <v>64</v>
      </c>
      <c r="J51" s="1316">
        <v>1.5</v>
      </c>
      <c r="K51" s="424" t="s">
        <v>220</v>
      </c>
      <c r="L51" s="426" t="s">
        <v>129</v>
      </c>
    </row>
    <row r="52" spans="3:12" x14ac:dyDescent="0.3">
      <c r="C52" s="377"/>
      <c r="D52" s="450" t="s">
        <v>391</v>
      </c>
      <c r="E52" s="382"/>
      <c r="F52" s="397" t="s">
        <v>20</v>
      </c>
      <c r="G52" s="382"/>
      <c r="H52" s="450" t="str">
        <f t="shared" si="0"/>
        <v>Flight kitchens-Ice machines</v>
      </c>
      <c r="I52" s="461" t="s">
        <v>65</v>
      </c>
      <c r="J52" s="1316">
        <v>0.25</v>
      </c>
      <c r="K52" s="424" t="s">
        <v>220</v>
      </c>
      <c r="L52" s="426" t="s">
        <v>130</v>
      </c>
    </row>
    <row r="53" spans="3:12" ht="15" thickBot="1" x14ac:dyDescent="0.35">
      <c r="C53" s="393"/>
      <c r="D53" s="451" t="s">
        <v>391</v>
      </c>
      <c r="E53" s="384"/>
      <c r="F53" s="397" t="s">
        <v>20</v>
      </c>
      <c r="G53" s="384"/>
      <c r="H53" s="450" t="str">
        <f t="shared" si="0"/>
        <v>Flight kitchens-Ice machines</v>
      </c>
      <c r="I53" s="462" t="s">
        <v>66</v>
      </c>
      <c r="J53" s="1316">
        <v>0.12</v>
      </c>
      <c r="K53" s="424" t="s">
        <v>220</v>
      </c>
      <c r="L53" s="426" t="s">
        <v>128</v>
      </c>
    </row>
    <row r="54" spans="3:12" x14ac:dyDescent="0.3">
      <c r="C54" s="391" t="s">
        <v>43</v>
      </c>
      <c r="D54" s="403" t="s">
        <v>43</v>
      </c>
      <c r="E54" s="389" t="s">
        <v>111</v>
      </c>
      <c r="F54" s="403" t="s">
        <v>111</v>
      </c>
      <c r="G54" s="217" t="s">
        <v>424</v>
      </c>
      <c r="H54" s="450" t="str">
        <f t="shared" si="0"/>
        <v>Maintenance-Boiler</v>
      </c>
      <c r="I54" s="463" t="s">
        <v>64</v>
      </c>
      <c r="J54" s="1314">
        <v>100</v>
      </c>
      <c r="K54" s="424" t="s">
        <v>585</v>
      </c>
      <c r="L54" s="426" t="s">
        <v>129</v>
      </c>
    </row>
    <row r="55" spans="3:12" x14ac:dyDescent="0.3">
      <c r="C55" s="377"/>
      <c r="D55" s="397" t="s">
        <v>43</v>
      </c>
      <c r="E55" s="382"/>
      <c r="F55" s="397" t="s">
        <v>111</v>
      </c>
      <c r="G55" s="382"/>
      <c r="H55" s="450" t="str">
        <f t="shared" si="0"/>
        <v>Maintenance-Boiler</v>
      </c>
      <c r="I55" s="461" t="s">
        <v>65</v>
      </c>
      <c r="J55" s="1314">
        <v>75</v>
      </c>
      <c r="K55" s="424" t="s">
        <v>585</v>
      </c>
      <c r="L55" s="426" t="s">
        <v>130</v>
      </c>
    </row>
    <row r="56" spans="3:12" x14ac:dyDescent="0.3">
      <c r="C56" s="377"/>
      <c r="D56" s="397" t="s">
        <v>43</v>
      </c>
      <c r="E56" s="382"/>
      <c r="F56" s="397" t="s">
        <v>111</v>
      </c>
      <c r="G56" s="384"/>
      <c r="H56" s="450" t="str">
        <f t="shared" si="0"/>
        <v>Maintenance-Boiler</v>
      </c>
      <c r="I56" s="462" t="s">
        <v>66</v>
      </c>
      <c r="J56" s="1314">
        <v>50</v>
      </c>
      <c r="K56" s="424" t="s">
        <v>585</v>
      </c>
      <c r="L56" s="426" t="s">
        <v>131</v>
      </c>
    </row>
    <row r="57" spans="3:12" x14ac:dyDescent="0.3">
      <c r="C57" s="377"/>
      <c r="D57" s="397" t="s">
        <v>43</v>
      </c>
      <c r="E57" s="389" t="s">
        <v>7</v>
      </c>
      <c r="F57" s="403" t="s">
        <v>7</v>
      </c>
      <c r="G57" s="215" t="s">
        <v>365</v>
      </c>
      <c r="H57" s="450" t="str">
        <f t="shared" si="0"/>
        <v>Maintenance-Cooling</v>
      </c>
      <c r="I57" s="457" t="s">
        <v>64</v>
      </c>
      <c r="J57" s="1318"/>
      <c r="K57" s="441"/>
      <c r="L57" s="293"/>
    </row>
    <row r="58" spans="3:12" x14ac:dyDescent="0.3">
      <c r="C58" s="377"/>
      <c r="D58" s="397" t="s">
        <v>43</v>
      </c>
      <c r="E58" s="382"/>
      <c r="F58" s="397" t="s">
        <v>7</v>
      </c>
      <c r="G58" s="382"/>
      <c r="H58" s="450" t="str">
        <f t="shared" si="0"/>
        <v>Maintenance-Cooling</v>
      </c>
      <c r="I58" s="440" t="s">
        <v>65</v>
      </c>
      <c r="J58" s="1319"/>
      <c r="K58" s="442" t="s">
        <v>264</v>
      </c>
      <c r="L58" s="293"/>
    </row>
    <row r="59" spans="3:12" x14ac:dyDescent="0.3">
      <c r="C59" s="377"/>
      <c r="D59" s="397" t="s">
        <v>43</v>
      </c>
      <c r="E59" s="384"/>
      <c r="F59" s="397" t="s">
        <v>7</v>
      </c>
      <c r="G59" s="384"/>
      <c r="H59" s="450" t="str">
        <f t="shared" si="0"/>
        <v>Maintenance-Cooling</v>
      </c>
      <c r="I59" s="458" t="s">
        <v>66</v>
      </c>
      <c r="J59" s="1320"/>
      <c r="K59" s="443"/>
      <c r="L59" s="444"/>
    </row>
    <row r="60" spans="3:12" x14ac:dyDescent="0.3">
      <c r="C60" s="377"/>
      <c r="D60" s="397" t="s">
        <v>43</v>
      </c>
      <c r="E60" s="389" t="s">
        <v>34</v>
      </c>
      <c r="F60" s="403" t="s">
        <v>34</v>
      </c>
      <c r="G60" s="389" t="s">
        <v>36</v>
      </c>
      <c r="H60" s="450" t="str">
        <f t="shared" ref="H60:H104" si="1">D60&amp;"-"&amp;F60</f>
        <v>Maintenance-Swimming Pool</v>
      </c>
      <c r="I60" s="463" t="s">
        <v>64</v>
      </c>
      <c r="J60" s="1314">
        <v>10</v>
      </c>
      <c r="K60" s="424" t="s">
        <v>661</v>
      </c>
      <c r="L60" s="465" t="s">
        <v>129</v>
      </c>
    </row>
    <row r="61" spans="3:12" x14ac:dyDescent="0.3">
      <c r="C61" s="377"/>
      <c r="D61" s="397" t="s">
        <v>43</v>
      </c>
      <c r="E61" s="382"/>
      <c r="F61" s="397" t="s">
        <v>34</v>
      </c>
      <c r="G61" s="382"/>
      <c r="H61" s="450" t="str">
        <f t="shared" si="1"/>
        <v>Maintenance-Swimming Pool</v>
      </c>
      <c r="I61" s="461" t="s">
        <v>65</v>
      </c>
      <c r="J61" s="1314">
        <v>7.5</v>
      </c>
      <c r="K61" s="424" t="s">
        <v>661</v>
      </c>
      <c r="L61" s="465" t="s">
        <v>130</v>
      </c>
    </row>
    <row r="62" spans="3:12" x14ac:dyDescent="0.3">
      <c r="C62" s="377"/>
      <c r="D62" s="397" t="s">
        <v>43</v>
      </c>
      <c r="E62" s="384"/>
      <c r="F62" s="397" t="s">
        <v>34</v>
      </c>
      <c r="G62" s="384"/>
      <c r="H62" s="450" t="str">
        <f t="shared" si="1"/>
        <v>Maintenance-Swimming Pool</v>
      </c>
      <c r="I62" s="462" t="s">
        <v>66</v>
      </c>
      <c r="J62" s="1314">
        <v>5</v>
      </c>
      <c r="K62" s="424" t="s">
        <v>661</v>
      </c>
      <c r="L62" s="465" t="s">
        <v>131</v>
      </c>
    </row>
    <row r="63" spans="3:12" x14ac:dyDescent="0.3">
      <c r="C63" s="377"/>
      <c r="D63" s="397" t="s">
        <v>43</v>
      </c>
      <c r="E63" s="389" t="s">
        <v>21</v>
      </c>
      <c r="F63" s="403" t="s">
        <v>21</v>
      </c>
      <c r="G63" s="389" t="s">
        <v>17</v>
      </c>
      <c r="H63" s="450" t="str">
        <f t="shared" si="1"/>
        <v>Maintenance-Laundry</v>
      </c>
      <c r="I63" s="463" t="s">
        <v>64</v>
      </c>
      <c r="J63" s="1316">
        <v>3.5</v>
      </c>
      <c r="K63" s="431" t="s">
        <v>235</v>
      </c>
      <c r="L63" s="465" t="s">
        <v>129</v>
      </c>
    </row>
    <row r="64" spans="3:12" x14ac:dyDescent="0.3">
      <c r="C64" s="377"/>
      <c r="D64" s="397" t="s">
        <v>43</v>
      </c>
      <c r="E64" s="382"/>
      <c r="F64" s="397" t="s">
        <v>21</v>
      </c>
      <c r="G64" s="382"/>
      <c r="H64" s="450" t="str">
        <f t="shared" si="1"/>
        <v>Maintenance-Laundry</v>
      </c>
      <c r="I64" s="461" t="s">
        <v>65</v>
      </c>
      <c r="J64" s="1316">
        <v>2.5</v>
      </c>
      <c r="K64" s="431" t="s">
        <v>235</v>
      </c>
      <c r="L64" s="465" t="s">
        <v>130</v>
      </c>
    </row>
    <row r="65" spans="3:12" x14ac:dyDescent="0.3">
      <c r="C65" s="377"/>
      <c r="D65" s="397" t="s">
        <v>43</v>
      </c>
      <c r="E65" s="384"/>
      <c r="F65" s="397" t="s">
        <v>21</v>
      </c>
      <c r="G65" s="384"/>
      <c r="H65" s="450" t="str">
        <f t="shared" si="1"/>
        <v>Maintenance-Laundry</v>
      </c>
      <c r="I65" s="462" t="s">
        <v>66</v>
      </c>
      <c r="J65" s="1316">
        <v>1.5</v>
      </c>
      <c r="K65" s="431" t="s">
        <v>235</v>
      </c>
      <c r="L65" s="426" t="s">
        <v>131</v>
      </c>
    </row>
    <row r="66" spans="3:12" x14ac:dyDescent="0.3">
      <c r="C66" s="377"/>
      <c r="D66" s="397" t="s">
        <v>43</v>
      </c>
      <c r="E66" s="389" t="s">
        <v>14</v>
      </c>
      <c r="F66" s="403" t="s">
        <v>14</v>
      </c>
      <c r="G66" s="389" t="s">
        <v>15</v>
      </c>
      <c r="H66" s="450" t="str">
        <f t="shared" si="1"/>
        <v>Maintenance-Training</v>
      </c>
      <c r="I66" s="463" t="s">
        <v>64</v>
      </c>
      <c r="J66" s="1316">
        <v>10</v>
      </c>
      <c r="K66" s="424" t="s">
        <v>588</v>
      </c>
      <c r="L66" s="465" t="s">
        <v>129</v>
      </c>
    </row>
    <row r="67" spans="3:12" x14ac:dyDescent="0.3">
      <c r="C67" s="377"/>
      <c r="D67" s="397" t="s">
        <v>43</v>
      </c>
      <c r="E67" s="382"/>
      <c r="F67" s="397" t="s">
        <v>14</v>
      </c>
      <c r="G67" s="382"/>
      <c r="H67" s="450" t="str">
        <f t="shared" si="1"/>
        <v>Maintenance-Training</v>
      </c>
      <c r="I67" s="461" t="s">
        <v>65</v>
      </c>
      <c r="J67" s="1316">
        <v>7.5</v>
      </c>
      <c r="K67" s="424" t="s">
        <v>588</v>
      </c>
      <c r="L67" s="465" t="s">
        <v>130</v>
      </c>
    </row>
    <row r="68" spans="3:12" x14ac:dyDescent="0.3">
      <c r="C68" s="377"/>
      <c r="D68" s="397" t="s">
        <v>43</v>
      </c>
      <c r="E68" s="384"/>
      <c r="F68" s="397" t="s">
        <v>14</v>
      </c>
      <c r="G68" s="384"/>
      <c r="H68" s="450" t="str">
        <f t="shared" si="1"/>
        <v>Maintenance-Training</v>
      </c>
      <c r="I68" s="462" t="s">
        <v>66</v>
      </c>
      <c r="J68" s="1316">
        <v>5</v>
      </c>
      <c r="K68" s="424" t="s">
        <v>588</v>
      </c>
      <c r="L68" s="426" t="s">
        <v>131</v>
      </c>
    </row>
    <row r="69" spans="3:12" x14ac:dyDescent="0.3">
      <c r="C69" s="377"/>
      <c r="D69" s="397" t="s">
        <v>43</v>
      </c>
      <c r="E69" s="382" t="s">
        <v>426</v>
      </c>
      <c r="F69" s="403" t="s">
        <v>426</v>
      </c>
      <c r="G69" s="382" t="s">
        <v>284</v>
      </c>
      <c r="H69" s="450" t="str">
        <f t="shared" si="1"/>
        <v>Maintenance-Pavement cleaning</v>
      </c>
      <c r="I69" s="463" t="s">
        <v>64</v>
      </c>
      <c r="J69" s="1316">
        <v>10</v>
      </c>
      <c r="K69" s="424" t="s">
        <v>588</v>
      </c>
      <c r="L69" s="465" t="s">
        <v>129</v>
      </c>
    </row>
    <row r="70" spans="3:12" x14ac:dyDescent="0.3">
      <c r="C70" s="377"/>
      <c r="D70" s="397" t="s">
        <v>43</v>
      </c>
      <c r="E70" s="382"/>
      <c r="F70" s="397" t="s">
        <v>426</v>
      </c>
      <c r="G70" s="382"/>
      <c r="H70" s="450" t="str">
        <f t="shared" si="1"/>
        <v>Maintenance-Pavement cleaning</v>
      </c>
      <c r="I70" s="461" t="s">
        <v>65</v>
      </c>
      <c r="J70" s="1316">
        <v>7.5</v>
      </c>
      <c r="K70" s="424" t="s">
        <v>588</v>
      </c>
      <c r="L70" s="465" t="s">
        <v>130</v>
      </c>
    </row>
    <row r="71" spans="3:12" x14ac:dyDescent="0.3">
      <c r="C71" s="377"/>
      <c r="D71" s="397" t="s">
        <v>43</v>
      </c>
      <c r="E71" s="384"/>
      <c r="F71" s="397" t="s">
        <v>426</v>
      </c>
      <c r="G71" s="384"/>
      <c r="H71" s="450" t="str">
        <f t="shared" si="1"/>
        <v>Maintenance-Pavement cleaning</v>
      </c>
      <c r="I71" s="462" t="s">
        <v>66</v>
      </c>
      <c r="J71" s="1316">
        <v>5</v>
      </c>
      <c r="K71" s="424" t="s">
        <v>588</v>
      </c>
      <c r="L71" s="426" t="s">
        <v>131</v>
      </c>
    </row>
    <row r="72" spans="3:12" x14ac:dyDescent="0.3">
      <c r="C72" s="377"/>
      <c r="D72" s="397" t="s">
        <v>43</v>
      </c>
      <c r="E72" s="389" t="s">
        <v>9</v>
      </c>
      <c r="F72" s="403" t="s">
        <v>9</v>
      </c>
      <c r="G72" s="389" t="s">
        <v>116</v>
      </c>
      <c r="H72" s="450" t="str">
        <f t="shared" si="1"/>
        <v>Maintenance-Vehicle washing</v>
      </c>
      <c r="I72" s="463" t="s">
        <v>64</v>
      </c>
      <c r="J72" s="1316">
        <v>80</v>
      </c>
      <c r="K72" s="424" t="s">
        <v>588</v>
      </c>
      <c r="L72" s="465" t="s">
        <v>286</v>
      </c>
    </row>
    <row r="73" spans="3:12" x14ac:dyDescent="0.3">
      <c r="C73" s="377"/>
      <c r="D73" s="397" t="s">
        <v>43</v>
      </c>
      <c r="E73" s="382"/>
      <c r="F73" s="397" t="s">
        <v>9</v>
      </c>
      <c r="G73" s="382"/>
      <c r="H73" s="450" t="str">
        <f t="shared" si="1"/>
        <v>Maintenance-Vehicle washing</v>
      </c>
      <c r="I73" s="461" t="s">
        <v>65</v>
      </c>
      <c r="J73" s="1316">
        <v>40</v>
      </c>
      <c r="K73" s="424" t="s">
        <v>588</v>
      </c>
      <c r="L73" s="465" t="s">
        <v>288</v>
      </c>
    </row>
    <row r="74" spans="3:12" x14ac:dyDescent="0.3">
      <c r="C74" s="377"/>
      <c r="D74" s="397" t="s">
        <v>43</v>
      </c>
      <c r="E74" s="384"/>
      <c r="F74" s="397" t="s">
        <v>9</v>
      </c>
      <c r="G74" s="384"/>
      <c r="H74" s="450" t="str">
        <f t="shared" si="1"/>
        <v>Maintenance-Vehicle washing</v>
      </c>
      <c r="I74" s="462" t="s">
        <v>66</v>
      </c>
      <c r="J74" s="1316">
        <v>30</v>
      </c>
      <c r="K74" s="424" t="s">
        <v>588</v>
      </c>
      <c r="L74" s="426" t="s">
        <v>287</v>
      </c>
    </row>
    <row r="75" spans="3:12" x14ac:dyDescent="0.3">
      <c r="C75" s="377"/>
      <c r="D75" s="397" t="s">
        <v>43</v>
      </c>
      <c r="E75" s="389" t="s">
        <v>24</v>
      </c>
      <c r="F75" s="403" t="s">
        <v>24</v>
      </c>
      <c r="G75" s="382" t="s">
        <v>10</v>
      </c>
      <c r="H75" s="450" t="str">
        <f t="shared" si="1"/>
        <v>Maintenance-Snow removal</v>
      </c>
      <c r="I75" s="463" t="s">
        <v>64</v>
      </c>
      <c r="J75" s="1314">
        <v>10</v>
      </c>
      <c r="K75" s="466" t="s">
        <v>583</v>
      </c>
      <c r="L75" s="465" t="s">
        <v>587</v>
      </c>
    </row>
    <row r="76" spans="3:12" x14ac:dyDescent="0.3">
      <c r="C76" s="377"/>
      <c r="D76" s="397" t="s">
        <v>43</v>
      </c>
      <c r="E76" s="382"/>
      <c r="F76" s="397" t="s">
        <v>24</v>
      </c>
      <c r="G76" s="382"/>
      <c r="H76" s="450" t="str">
        <f t="shared" si="1"/>
        <v>Maintenance-Snow removal</v>
      </c>
      <c r="I76" s="461" t="s">
        <v>65</v>
      </c>
      <c r="J76" s="1314">
        <v>7.5</v>
      </c>
      <c r="K76" s="466" t="s">
        <v>583</v>
      </c>
      <c r="L76" s="465" t="s">
        <v>130</v>
      </c>
    </row>
    <row r="77" spans="3:12" x14ac:dyDescent="0.3">
      <c r="C77" s="377"/>
      <c r="D77" s="397" t="s">
        <v>43</v>
      </c>
      <c r="E77" s="384"/>
      <c r="F77" s="397" t="s">
        <v>24</v>
      </c>
      <c r="G77" s="384"/>
      <c r="H77" s="450" t="str">
        <f t="shared" si="1"/>
        <v>Maintenance-Snow removal</v>
      </c>
      <c r="I77" s="462" t="s">
        <v>66</v>
      </c>
      <c r="J77" s="1314">
        <v>5</v>
      </c>
      <c r="K77" s="466" t="s">
        <v>583</v>
      </c>
      <c r="L77" s="465" t="s">
        <v>131</v>
      </c>
    </row>
    <row r="78" spans="3:12" x14ac:dyDescent="0.3">
      <c r="C78" s="377"/>
      <c r="D78" s="397" t="s">
        <v>43</v>
      </c>
      <c r="E78" s="382" t="s">
        <v>25</v>
      </c>
      <c r="F78" s="403" t="s">
        <v>25</v>
      </c>
      <c r="G78" s="382" t="s">
        <v>10</v>
      </c>
      <c r="H78" s="450" t="str">
        <f t="shared" si="1"/>
        <v>Maintenance-Fleet vehicle washing</v>
      </c>
      <c r="I78" s="463" t="s">
        <v>64</v>
      </c>
      <c r="J78" s="1314">
        <v>10</v>
      </c>
      <c r="K78" s="466" t="s">
        <v>583</v>
      </c>
      <c r="L78" s="465" t="s">
        <v>587</v>
      </c>
    </row>
    <row r="79" spans="3:12" x14ac:dyDescent="0.3">
      <c r="C79" s="377"/>
      <c r="D79" s="397" t="s">
        <v>43</v>
      </c>
      <c r="E79" s="382"/>
      <c r="F79" s="397" t="s">
        <v>25</v>
      </c>
      <c r="G79" s="382"/>
      <c r="H79" s="450" t="str">
        <f t="shared" si="1"/>
        <v>Maintenance-Fleet vehicle washing</v>
      </c>
      <c r="I79" s="461" t="s">
        <v>65</v>
      </c>
      <c r="J79" s="1314">
        <v>7.5</v>
      </c>
      <c r="K79" s="466" t="s">
        <v>583</v>
      </c>
      <c r="L79" s="465" t="s">
        <v>130</v>
      </c>
    </row>
    <row r="80" spans="3:12" x14ac:dyDescent="0.3">
      <c r="C80" s="377"/>
      <c r="D80" s="397" t="s">
        <v>43</v>
      </c>
      <c r="E80" s="382"/>
      <c r="F80" s="397" t="s">
        <v>25</v>
      </c>
      <c r="G80" s="382"/>
      <c r="H80" s="450" t="str">
        <f t="shared" si="1"/>
        <v>Maintenance-Fleet vehicle washing</v>
      </c>
      <c r="I80" s="462" t="s">
        <v>66</v>
      </c>
      <c r="J80" s="1314">
        <v>5</v>
      </c>
      <c r="K80" s="466" t="s">
        <v>583</v>
      </c>
      <c r="L80" s="465" t="s">
        <v>131</v>
      </c>
    </row>
    <row r="81" spans="3:17" x14ac:dyDescent="0.3">
      <c r="C81" s="377"/>
      <c r="D81" s="397" t="s">
        <v>43</v>
      </c>
      <c r="E81" s="389" t="s">
        <v>26</v>
      </c>
      <c r="F81" s="403" t="s">
        <v>26</v>
      </c>
      <c r="G81" s="389" t="s">
        <v>10</v>
      </c>
      <c r="H81" s="450" t="str">
        <f t="shared" si="1"/>
        <v xml:space="preserve">Maintenance-Runway rubber removal </v>
      </c>
      <c r="I81" s="463" t="s">
        <v>64</v>
      </c>
      <c r="J81" s="1314">
        <v>10</v>
      </c>
      <c r="K81" s="466" t="s">
        <v>583</v>
      </c>
      <c r="L81" s="465" t="s">
        <v>587</v>
      </c>
    </row>
    <row r="82" spans="3:17" x14ac:dyDescent="0.3">
      <c r="C82" s="377"/>
      <c r="D82" s="397" t="s">
        <v>43</v>
      </c>
      <c r="E82" s="382"/>
      <c r="F82" s="397" t="s">
        <v>26</v>
      </c>
      <c r="G82" s="382"/>
      <c r="H82" s="450" t="str">
        <f t="shared" si="1"/>
        <v xml:space="preserve">Maintenance-Runway rubber removal </v>
      </c>
      <c r="I82" s="461" t="s">
        <v>65</v>
      </c>
      <c r="J82" s="1314">
        <v>7.5</v>
      </c>
      <c r="K82" s="466" t="s">
        <v>583</v>
      </c>
      <c r="L82" s="465" t="s">
        <v>130</v>
      </c>
    </row>
    <row r="83" spans="3:17" x14ac:dyDescent="0.3">
      <c r="C83" s="393"/>
      <c r="D83" s="421" t="s">
        <v>43</v>
      </c>
      <c r="E83" s="384"/>
      <c r="F83" s="397" t="s">
        <v>26</v>
      </c>
      <c r="G83" s="384"/>
      <c r="H83" s="450" t="str">
        <f t="shared" si="1"/>
        <v xml:space="preserve">Maintenance-Runway rubber removal </v>
      </c>
      <c r="I83" s="462" t="s">
        <v>66</v>
      </c>
      <c r="J83" s="1314">
        <v>5</v>
      </c>
      <c r="K83" s="466" t="s">
        <v>583</v>
      </c>
      <c r="L83" s="465" t="s">
        <v>131</v>
      </c>
    </row>
    <row r="84" spans="3:17" x14ac:dyDescent="0.3">
      <c r="C84" s="391" t="s">
        <v>44</v>
      </c>
      <c r="D84" s="403" t="s">
        <v>44</v>
      </c>
      <c r="E84" s="389" t="s">
        <v>27</v>
      </c>
      <c r="F84" s="403" t="s">
        <v>27</v>
      </c>
      <c r="G84" s="389" t="s">
        <v>10</v>
      </c>
      <c r="H84" s="450" t="str">
        <f t="shared" si="1"/>
        <v xml:space="preserve">Aircraft-Aircraft cleaning </v>
      </c>
      <c r="I84" s="463" t="s">
        <v>64</v>
      </c>
      <c r="J84" s="1314">
        <v>10</v>
      </c>
      <c r="K84" s="466" t="s">
        <v>583</v>
      </c>
      <c r="L84" s="465" t="s">
        <v>587</v>
      </c>
    </row>
    <row r="85" spans="3:17" x14ac:dyDescent="0.3">
      <c r="C85" s="377"/>
      <c r="D85" s="397" t="s">
        <v>44</v>
      </c>
      <c r="E85" s="382"/>
      <c r="F85" s="397" t="s">
        <v>27</v>
      </c>
      <c r="G85" s="382"/>
      <c r="H85" s="450" t="str">
        <f t="shared" si="1"/>
        <v xml:space="preserve">Aircraft-Aircraft cleaning </v>
      </c>
      <c r="I85" s="461" t="s">
        <v>65</v>
      </c>
      <c r="J85" s="1314">
        <v>7.5</v>
      </c>
      <c r="K85" s="466" t="s">
        <v>583</v>
      </c>
      <c r="L85" s="465" t="s">
        <v>130</v>
      </c>
    </row>
    <row r="86" spans="3:17" x14ac:dyDescent="0.3">
      <c r="C86" s="377"/>
      <c r="D86" s="397" t="s">
        <v>44</v>
      </c>
      <c r="E86" s="384"/>
      <c r="F86" s="397" t="s">
        <v>27</v>
      </c>
      <c r="G86" s="384"/>
      <c r="H86" s="450" t="str">
        <f t="shared" si="1"/>
        <v xml:space="preserve">Aircraft-Aircraft cleaning </v>
      </c>
      <c r="I86" s="462" t="s">
        <v>66</v>
      </c>
      <c r="J86" s="1314">
        <v>5</v>
      </c>
      <c r="K86" s="466" t="s">
        <v>583</v>
      </c>
      <c r="L86" s="465" t="s">
        <v>131</v>
      </c>
    </row>
    <row r="87" spans="3:17" x14ac:dyDescent="0.3">
      <c r="C87" s="377"/>
      <c r="D87" s="397" t="s">
        <v>44</v>
      </c>
      <c r="E87" s="382" t="s">
        <v>28</v>
      </c>
      <c r="F87" s="403" t="s">
        <v>28</v>
      </c>
      <c r="G87" s="382" t="s">
        <v>10</v>
      </c>
      <c r="H87" s="450" t="str">
        <f t="shared" si="1"/>
        <v>Aircraft-Onboard aircraft water</v>
      </c>
      <c r="I87" s="463" t="s">
        <v>64</v>
      </c>
      <c r="J87" s="1314">
        <v>10</v>
      </c>
      <c r="K87" s="466" t="s">
        <v>583</v>
      </c>
      <c r="L87" s="465" t="s">
        <v>587</v>
      </c>
    </row>
    <row r="88" spans="3:17" x14ac:dyDescent="0.3">
      <c r="C88" s="377"/>
      <c r="D88" s="397" t="s">
        <v>44</v>
      </c>
      <c r="E88" s="382"/>
      <c r="F88" s="397" t="s">
        <v>28</v>
      </c>
      <c r="G88" s="382"/>
      <c r="H88" s="450" t="str">
        <f t="shared" si="1"/>
        <v>Aircraft-Onboard aircraft water</v>
      </c>
      <c r="I88" s="461" t="s">
        <v>65</v>
      </c>
      <c r="J88" s="1314">
        <v>7.5</v>
      </c>
      <c r="K88" s="466" t="s">
        <v>583</v>
      </c>
      <c r="L88" s="465" t="s">
        <v>130</v>
      </c>
    </row>
    <row r="89" spans="3:17" x14ac:dyDescent="0.3">
      <c r="C89" s="377"/>
      <c r="D89" s="397" t="s">
        <v>44</v>
      </c>
      <c r="E89" s="384"/>
      <c r="F89" s="397" t="s">
        <v>28</v>
      </c>
      <c r="G89" s="384"/>
      <c r="H89" s="450" t="str">
        <f t="shared" si="1"/>
        <v>Aircraft-Onboard aircraft water</v>
      </c>
      <c r="I89" s="462" t="s">
        <v>66</v>
      </c>
      <c r="J89" s="1314">
        <v>5</v>
      </c>
      <c r="K89" s="466" t="s">
        <v>583</v>
      </c>
      <c r="L89" s="465" t="s">
        <v>131</v>
      </c>
    </row>
    <row r="90" spans="3:17" x14ac:dyDescent="0.3">
      <c r="C90" s="377"/>
      <c r="D90" s="397" t="s">
        <v>44</v>
      </c>
      <c r="E90" s="382" t="s">
        <v>29</v>
      </c>
      <c r="F90" s="403" t="s">
        <v>29</v>
      </c>
      <c r="G90" s="382" t="s">
        <v>10</v>
      </c>
      <c r="H90" s="450" t="str">
        <f t="shared" si="1"/>
        <v>Aircraft-Deicing</v>
      </c>
      <c r="I90" s="463" t="s">
        <v>64</v>
      </c>
      <c r="J90" s="1314">
        <v>20</v>
      </c>
      <c r="K90" s="466" t="s">
        <v>583</v>
      </c>
      <c r="L90" s="465" t="s">
        <v>587</v>
      </c>
      <c r="N90" s="6"/>
      <c r="O90" s="45"/>
      <c r="P90" s="45"/>
      <c r="Q90" s="45"/>
    </row>
    <row r="91" spans="3:17" x14ac:dyDescent="0.3">
      <c r="C91" s="377"/>
      <c r="D91" s="397" t="s">
        <v>44</v>
      </c>
      <c r="E91" s="382"/>
      <c r="F91" s="397" t="s">
        <v>29</v>
      </c>
      <c r="G91" s="382"/>
      <c r="H91" s="450" t="str">
        <f t="shared" si="1"/>
        <v>Aircraft-Deicing</v>
      </c>
      <c r="I91" s="461" t="s">
        <v>65</v>
      </c>
      <c r="J91" s="1314">
        <v>10</v>
      </c>
      <c r="K91" s="466" t="s">
        <v>583</v>
      </c>
      <c r="L91" s="465" t="s">
        <v>130</v>
      </c>
      <c r="N91" s="211"/>
      <c r="O91" s="211"/>
      <c r="P91" s="211"/>
      <c r="Q91" s="211"/>
    </row>
    <row r="92" spans="3:17" x14ac:dyDescent="0.3">
      <c r="C92" s="393"/>
      <c r="D92" s="421" t="s">
        <v>44</v>
      </c>
      <c r="E92" s="384"/>
      <c r="F92" s="397" t="s">
        <v>29</v>
      </c>
      <c r="G92" s="384"/>
      <c r="H92" s="450" t="str">
        <f t="shared" si="1"/>
        <v>Aircraft-Deicing</v>
      </c>
      <c r="I92" s="462" t="s">
        <v>66</v>
      </c>
      <c r="J92" s="1314">
        <v>5</v>
      </c>
      <c r="K92" s="466" t="s">
        <v>583</v>
      </c>
      <c r="L92" s="465" t="s">
        <v>131</v>
      </c>
      <c r="N92" s="1421"/>
      <c r="O92" s="1421"/>
      <c r="P92" s="1421"/>
      <c r="Q92" s="1421"/>
    </row>
    <row r="93" spans="3:17" x14ac:dyDescent="0.3">
      <c r="C93" s="391" t="s">
        <v>39</v>
      </c>
      <c r="D93" s="397" t="s">
        <v>39</v>
      </c>
      <c r="E93" s="389" t="s">
        <v>42</v>
      </c>
      <c r="F93" s="403" t="s">
        <v>42</v>
      </c>
      <c r="G93" s="389" t="s">
        <v>32</v>
      </c>
      <c r="H93" s="450" t="str">
        <f t="shared" si="1"/>
        <v>Landscaping-Outdoor irrigation</v>
      </c>
      <c r="I93" s="463" t="s">
        <v>64</v>
      </c>
      <c r="J93" s="1321">
        <f>Irrigation!K74</f>
        <v>28.6</v>
      </c>
      <c r="K93" s="424" t="s">
        <v>816</v>
      </c>
      <c r="L93" s="1286" t="s">
        <v>840</v>
      </c>
      <c r="N93" s="1421"/>
      <c r="O93" s="926"/>
      <c r="P93" s="926"/>
      <c r="Q93" s="926"/>
    </row>
    <row r="94" spans="3:17" x14ac:dyDescent="0.3">
      <c r="C94" s="377"/>
      <c r="D94" s="397" t="s">
        <v>39</v>
      </c>
      <c r="E94" s="382"/>
      <c r="F94" s="397" t="s">
        <v>42</v>
      </c>
      <c r="G94" s="382"/>
      <c r="H94" s="450" t="str">
        <f t="shared" si="1"/>
        <v>Landscaping-Outdoor irrigation</v>
      </c>
      <c r="I94" s="461" t="s">
        <v>65</v>
      </c>
      <c r="J94" s="1321">
        <f>Irrigation!K75</f>
        <v>13.980821518350929</v>
      </c>
      <c r="K94" s="424" t="s">
        <v>816</v>
      </c>
      <c r="L94" s="1286" t="s">
        <v>842</v>
      </c>
      <c r="N94" s="211"/>
      <c r="O94" s="440"/>
      <c r="P94" s="440"/>
      <c r="Q94" s="440"/>
    </row>
    <row r="95" spans="3:17" x14ac:dyDescent="0.3">
      <c r="C95" s="393"/>
      <c r="D95" s="421" t="s">
        <v>39</v>
      </c>
      <c r="E95" s="384"/>
      <c r="F95" s="397" t="s">
        <v>42</v>
      </c>
      <c r="G95" s="384"/>
      <c r="H95" s="450" t="str">
        <f t="shared" si="1"/>
        <v>Landscaping-Outdoor irrigation</v>
      </c>
      <c r="I95" s="462" t="s">
        <v>66</v>
      </c>
      <c r="J95" s="1321">
        <f>Irrigation!K76</f>
        <v>0.59137254901960778</v>
      </c>
      <c r="K95" s="424" t="s">
        <v>816</v>
      </c>
      <c r="L95" s="1286" t="s">
        <v>841</v>
      </c>
      <c r="N95" s="211"/>
      <c r="O95" s="440"/>
      <c r="P95" s="440"/>
      <c r="Q95" s="440"/>
    </row>
    <row r="96" spans="3:17" x14ac:dyDescent="0.3">
      <c r="C96" s="391" t="s">
        <v>8</v>
      </c>
      <c r="D96" s="403" t="s">
        <v>8</v>
      </c>
      <c r="E96" s="389" t="s">
        <v>52</v>
      </c>
      <c r="F96" s="455" t="s">
        <v>52</v>
      </c>
      <c r="G96" s="387" t="s">
        <v>362</v>
      </c>
      <c r="H96" s="450" t="str">
        <f t="shared" si="1"/>
        <v>Other-Other 1</v>
      </c>
      <c r="I96" s="463" t="s">
        <v>64</v>
      </c>
      <c r="J96" s="1314">
        <v>10</v>
      </c>
      <c r="K96" s="424" t="s">
        <v>588</v>
      </c>
      <c r="L96" s="465" t="s">
        <v>587</v>
      </c>
      <c r="N96" s="211"/>
      <c r="O96" s="440"/>
      <c r="P96" s="440"/>
      <c r="Q96" s="440"/>
    </row>
    <row r="97" spans="3:17" x14ac:dyDescent="0.3">
      <c r="C97" s="377"/>
      <c r="D97" s="397" t="s">
        <v>8</v>
      </c>
      <c r="E97" s="382"/>
      <c r="F97" s="450" t="s">
        <v>52</v>
      </c>
      <c r="G97" s="382"/>
      <c r="H97" s="450" t="str">
        <f t="shared" si="1"/>
        <v>Other-Other 1</v>
      </c>
      <c r="I97" s="461" t="s">
        <v>65</v>
      </c>
      <c r="J97" s="1314">
        <v>7.5</v>
      </c>
      <c r="K97" s="424" t="s">
        <v>588</v>
      </c>
      <c r="L97" s="465" t="s">
        <v>130</v>
      </c>
      <c r="N97" s="211"/>
      <c r="O97" s="440"/>
      <c r="P97" s="440"/>
      <c r="Q97" s="440"/>
    </row>
    <row r="98" spans="3:17" x14ac:dyDescent="0.3">
      <c r="C98" s="377"/>
      <c r="D98" s="397" t="s">
        <v>8</v>
      </c>
      <c r="E98" s="384"/>
      <c r="F98" s="450" t="s">
        <v>52</v>
      </c>
      <c r="G98" s="384"/>
      <c r="H98" s="450" t="str">
        <f t="shared" si="1"/>
        <v>Other-Other 1</v>
      </c>
      <c r="I98" s="462" t="s">
        <v>66</v>
      </c>
      <c r="J98" s="1314">
        <v>5</v>
      </c>
      <c r="K98" s="424" t="s">
        <v>588</v>
      </c>
      <c r="L98" s="465" t="s">
        <v>131</v>
      </c>
      <c r="N98" s="211"/>
      <c r="O98" s="440"/>
      <c r="P98" s="440"/>
      <c r="Q98" s="440"/>
    </row>
    <row r="99" spans="3:17" x14ac:dyDescent="0.3">
      <c r="C99" s="377"/>
      <c r="D99" s="397" t="s">
        <v>8</v>
      </c>
      <c r="E99" s="389" t="s">
        <v>53</v>
      </c>
      <c r="F99" s="455" t="s">
        <v>53</v>
      </c>
      <c r="G99" s="379" t="s">
        <v>363</v>
      </c>
      <c r="H99" s="450" t="str">
        <f t="shared" si="1"/>
        <v>Other-Other 2</v>
      </c>
      <c r="I99" s="463" t="s">
        <v>64</v>
      </c>
      <c r="J99" s="1314">
        <v>10</v>
      </c>
      <c r="K99" s="424" t="s">
        <v>588</v>
      </c>
      <c r="L99" s="465" t="s">
        <v>587</v>
      </c>
      <c r="N99" s="211"/>
      <c r="O99" s="45"/>
      <c r="P99" s="45"/>
      <c r="Q99" s="45"/>
    </row>
    <row r="100" spans="3:17" x14ac:dyDescent="0.3">
      <c r="C100" s="377"/>
      <c r="D100" s="397" t="s">
        <v>8</v>
      </c>
      <c r="E100" s="382"/>
      <c r="F100" s="450" t="s">
        <v>53</v>
      </c>
      <c r="G100" s="382"/>
      <c r="H100" s="450" t="str">
        <f t="shared" si="1"/>
        <v>Other-Other 2</v>
      </c>
      <c r="I100" s="461" t="s">
        <v>65</v>
      </c>
      <c r="J100" s="1314">
        <v>7.5</v>
      </c>
      <c r="K100" s="424" t="s">
        <v>588</v>
      </c>
      <c r="L100" s="465" t="s">
        <v>130</v>
      </c>
      <c r="N100" s="114"/>
      <c r="O100" s="45"/>
      <c r="P100" s="45"/>
      <c r="Q100" s="45"/>
    </row>
    <row r="101" spans="3:17" x14ac:dyDescent="0.3">
      <c r="C101" s="377"/>
      <c r="D101" s="397" t="s">
        <v>8</v>
      </c>
      <c r="E101" s="384"/>
      <c r="F101" s="450" t="s">
        <v>53</v>
      </c>
      <c r="G101" s="384"/>
      <c r="H101" s="450" t="str">
        <f t="shared" si="1"/>
        <v>Other-Other 2</v>
      </c>
      <c r="I101" s="462" t="s">
        <v>66</v>
      </c>
      <c r="J101" s="1314">
        <v>5</v>
      </c>
      <c r="K101" s="424" t="s">
        <v>588</v>
      </c>
      <c r="L101" s="465" t="s">
        <v>131</v>
      </c>
      <c r="N101" s="114"/>
      <c r="O101" s="45"/>
      <c r="P101" s="45"/>
      <c r="Q101" s="45"/>
    </row>
    <row r="102" spans="3:17" x14ac:dyDescent="0.3">
      <c r="C102" s="377"/>
      <c r="D102" s="397" t="s">
        <v>8</v>
      </c>
      <c r="E102" s="389" t="s">
        <v>54</v>
      </c>
      <c r="F102" s="455" t="s">
        <v>54</v>
      </c>
      <c r="G102" s="387" t="s">
        <v>364</v>
      </c>
      <c r="H102" s="450" t="str">
        <f t="shared" si="1"/>
        <v>Other-Other 3</v>
      </c>
      <c r="I102" s="463" t="s">
        <v>64</v>
      </c>
      <c r="J102" s="1314">
        <v>10</v>
      </c>
      <c r="K102" s="424" t="s">
        <v>588</v>
      </c>
      <c r="L102" s="465" t="s">
        <v>587</v>
      </c>
    </row>
    <row r="103" spans="3:17" x14ac:dyDescent="0.3">
      <c r="C103" s="377"/>
      <c r="D103" s="397" t="s">
        <v>8</v>
      </c>
      <c r="E103" s="382"/>
      <c r="F103" s="450" t="s">
        <v>54</v>
      </c>
      <c r="G103" s="382"/>
      <c r="H103" s="450" t="str">
        <f t="shared" si="1"/>
        <v>Other-Other 3</v>
      </c>
      <c r="I103" s="461" t="s">
        <v>65</v>
      </c>
      <c r="J103" s="1314">
        <v>7.5</v>
      </c>
      <c r="K103" s="424" t="s">
        <v>588</v>
      </c>
      <c r="L103" s="465" t="s">
        <v>130</v>
      </c>
    </row>
    <row r="104" spans="3:17" ht="15" thickBot="1" x14ac:dyDescent="0.35">
      <c r="C104" s="409"/>
      <c r="D104" s="452" t="s">
        <v>8</v>
      </c>
      <c r="E104" s="412"/>
      <c r="F104" s="451" t="s">
        <v>54</v>
      </c>
      <c r="G104" s="412"/>
      <c r="H104" s="451" t="str">
        <f t="shared" si="1"/>
        <v>Other-Other 3</v>
      </c>
      <c r="I104" s="468" t="s">
        <v>66</v>
      </c>
      <c r="J104" s="1322">
        <v>5</v>
      </c>
      <c r="K104" s="469" t="s">
        <v>588</v>
      </c>
      <c r="L104" s="470" t="s">
        <v>131</v>
      </c>
    </row>
    <row r="105" spans="3:17" x14ac:dyDescent="0.3">
      <c r="I105" s="440"/>
      <c r="J105" s="440"/>
    </row>
    <row r="106" spans="3:17" x14ac:dyDescent="0.3">
      <c r="I106" s="440"/>
      <c r="J106" s="440"/>
    </row>
    <row r="107" spans="3:17" x14ac:dyDescent="0.3">
      <c r="C107" s="182"/>
      <c r="D107" s="181"/>
      <c r="E107" s="182"/>
      <c r="F107" s="181"/>
      <c r="G107" s="182"/>
      <c r="H107" s="181"/>
      <c r="I107" s="440"/>
      <c r="J107" s="440"/>
      <c r="K107" s="182"/>
    </row>
    <row r="108" spans="3:17" x14ac:dyDescent="0.3">
      <c r="I108" s="440"/>
      <c r="J108" s="440"/>
    </row>
    <row r="109" spans="3:17" x14ac:dyDescent="0.3">
      <c r="I109" s="440"/>
      <c r="J109" s="440"/>
    </row>
    <row r="110" spans="3:17" x14ac:dyDescent="0.3">
      <c r="I110" s="440"/>
      <c r="J110" s="440"/>
    </row>
    <row r="111" spans="3:17" x14ac:dyDescent="0.3">
      <c r="I111" s="440"/>
      <c r="J111" s="440"/>
    </row>
    <row r="112" spans="3:17" x14ac:dyDescent="0.3">
      <c r="I112" s="440"/>
      <c r="J112" s="440"/>
    </row>
    <row r="113" spans="3:11" x14ac:dyDescent="0.3">
      <c r="I113" s="440"/>
      <c r="J113" s="440"/>
    </row>
    <row r="114" spans="3:11" x14ac:dyDescent="0.3">
      <c r="I114" s="440"/>
      <c r="J114" s="440"/>
    </row>
    <row r="115" spans="3:11" x14ac:dyDescent="0.3">
      <c r="I115" s="440"/>
      <c r="J115" s="440"/>
    </row>
    <row r="116" spans="3:11" x14ac:dyDescent="0.3">
      <c r="I116" s="440"/>
      <c r="J116" s="440"/>
    </row>
    <row r="117" spans="3:11" x14ac:dyDescent="0.3">
      <c r="I117" s="440"/>
      <c r="J117" s="440"/>
    </row>
    <row r="118" spans="3:11" x14ac:dyDescent="0.3">
      <c r="I118" s="440"/>
      <c r="J118" s="440"/>
    </row>
    <row r="119" spans="3:11" x14ac:dyDescent="0.3">
      <c r="I119" s="440"/>
      <c r="J119" s="440"/>
    </row>
    <row r="120" spans="3:11" x14ac:dyDescent="0.3">
      <c r="I120" s="440"/>
      <c r="J120" s="440"/>
    </row>
    <row r="121" spans="3:11" x14ac:dyDescent="0.3">
      <c r="C121" s="182"/>
      <c r="D121" s="181"/>
      <c r="E121" s="182"/>
      <c r="F121" s="181"/>
      <c r="G121" s="182"/>
      <c r="H121" s="181"/>
      <c r="I121" s="440"/>
      <c r="J121" s="440"/>
      <c r="K121" s="182"/>
    </row>
    <row r="122" spans="3:11" x14ac:dyDescent="0.3">
      <c r="I122" s="440"/>
      <c r="J122" s="440"/>
    </row>
    <row r="123" spans="3:11" x14ac:dyDescent="0.3">
      <c r="I123" s="440"/>
      <c r="J123" s="440"/>
    </row>
    <row r="124" spans="3:11" x14ac:dyDescent="0.3">
      <c r="I124" s="440"/>
      <c r="J124" s="440"/>
    </row>
    <row r="125" spans="3:11" x14ac:dyDescent="0.3">
      <c r="I125" s="440"/>
      <c r="J125" s="440"/>
    </row>
    <row r="126" spans="3:11" x14ac:dyDescent="0.3">
      <c r="I126" s="440"/>
      <c r="J126" s="440"/>
    </row>
    <row r="127" spans="3:11" x14ac:dyDescent="0.3">
      <c r="I127" s="440"/>
      <c r="J127" s="440"/>
    </row>
    <row r="128" spans="3:11" x14ac:dyDescent="0.3">
      <c r="I128" s="440"/>
      <c r="J128" s="440"/>
    </row>
    <row r="129" spans="9:10" x14ac:dyDescent="0.3">
      <c r="I129" s="440"/>
      <c r="J129" s="440"/>
    </row>
    <row r="130" spans="9:10" x14ac:dyDescent="0.3">
      <c r="I130" s="440"/>
      <c r="J130" s="440"/>
    </row>
    <row r="131" spans="9:10" x14ac:dyDescent="0.3">
      <c r="I131" s="440"/>
      <c r="J131" s="440"/>
    </row>
    <row r="132" spans="9:10" x14ac:dyDescent="0.3">
      <c r="I132" s="440"/>
      <c r="J132" s="440"/>
    </row>
    <row r="133" spans="9:10" x14ac:dyDescent="0.3">
      <c r="I133" s="440"/>
      <c r="J133" s="440"/>
    </row>
    <row r="134" spans="9:10" x14ac:dyDescent="0.3">
      <c r="I134" s="440"/>
      <c r="J134" s="440"/>
    </row>
    <row r="135" spans="9:10" x14ac:dyDescent="0.3">
      <c r="I135" s="440"/>
      <c r="J135" s="440"/>
    </row>
    <row r="136" spans="9:10" x14ac:dyDescent="0.3">
      <c r="I136" s="440"/>
      <c r="J136" s="440"/>
    </row>
    <row r="137" spans="9:10" x14ac:dyDescent="0.3">
      <c r="I137" s="440"/>
      <c r="J137" s="440"/>
    </row>
    <row r="138" spans="9:10" x14ac:dyDescent="0.3">
      <c r="I138" s="440"/>
      <c r="J138" s="440"/>
    </row>
    <row r="139" spans="9:10" x14ac:dyDescent="0.3">
      <c r="I139" s="440"/>
      <c r="J139" s="440"/>
    </row>
    <row r="140" spans="9:10" x14ac:dyDescent="0.3">
      <c r="I140" s="440"/>
      <c r="J140" s="440"/>
    </row>
    <row r="141" spans="9:10" x14ac:dyDescent="0.3">
      <c r="I141" s="440"/>
      <c r="J141" s="440"/>
    </row>
    <row r="142" spans="9:10" x14ac:dyDescent="0.3">
      <c r="I142" s="440"/>
      <c r="J142" s="440"/>
    </row>
    <row r="143" spans="9:10" x14ac:dyDescent="0.3">
      <c r="I143" s="440"/>
      <c r="J143" s="440"/>
    </row>
    <row r="144" spans="9:10" x14ac:dyDescent="0.3">
      <c r="I144" s="440"/>
      <c r="J144" s="440"/>
    </row>
    <row r="145" spans="9:10" x14ac:dyDescent="0.3">
      <c r="I145" s="440"/>
      <c r="J145" s="440"/>
    </row>
    <row r="146" spans="9:10" x14ac:dyDescent="0.3">
      <c r="I146" s="440"/>
      <c r="J146" s="440"/>
    </row>
    <row r="147" spans="9:10" x14ac:dyDescent="0.3">
      <c r="I147" s="440"/>
      <c r="J147" s="440"/>
    </row>
    <row r="148" spans="9:10" x14ac:dyDescent="0.3">
      <c r="I148" s="440"/>
      <c r="J148" s="440"/>
    </row>
    <row r="149" spans="9:10" x14ac:dyDescent="0.3">
      <c r="I149" s="440"/>
      <c r="J149" s="440"/>
    </row>
    <row r="150" spans="9:10" x14ac:dyDescent="0.3">
      <c r="I150" s="440"/>
      <c r="J150" s="440"/>
    </row>
    <row r="151" spans="9:10" x14ac:dyDescent="0.3">
      <c r="I151" s="440"/>
      <c r="J151" s="440"/>
    </row>
    <row r="152" spans="9:10" x14ac:dyDescent="0.3">
      <c r="I152" s="440"/>
      <c r="J152" s="440"/>
    </row>
    <row r="153" spans="9:10" x14ac:dyDescent="0.3">
      <c r="I153" s="440"/>
      <c r="J153" s="440"/>
    </row>
    <row r="154" spans="9:10" x14ac:dyDescent="0.3">
      <c r="I154" s="440"/>
      <c r="J154" s="440"/>
    </row>
    <row r="155" spans="9:10" x14ac:dyDescent="0.3">
      <c r="I155" s="440"/>
      <c r="J155" s="440"/>
    </row>
    <row r="156" spans="9:10" x14ac:dyDescent="0.3">
      <c r="I156" s="440"/>
      <c r="J156" s="440"/>
    </row>
    <row r="157" spans="9:10" x14ac:dyDescent="0.3">
      <c r="I157" s="440"/>
      <c r="J157" s="440"/>
    </row>
    <row r="158" spans="9:10" x14ac:dyDescent="0.3">
      <c r="I158" s="440"/>
      <c r="J158" s="440"/>
    </row>
    <row r="159" spans="9:10" x14ac:dyDescent="0.3">
      <c r="I159" s="440"/>
      <c r="J159" s="440"/>
    </row>
    <row r="160" spans="9:10" x14ac:dyDescent="0.3">
      <c r="I160" s="440"/>
      <c r="J160" s="440"/>
    </row>
    <row r="161" spans="9:10" x14ac:dyDescent="0.3">
      <c r="I161" s="440"/>
      <c r="J161" s="440"/>
    </row>
    <row r="162" spans="9:10" x14ac:dyDescent="0.3">
      <c r="I162" s="440"/>
      <c r="J162" s="440"/>
    </row>
    <row r="163" spans="9:10" x14ac:dyDescent="0.3">
      <c r="I163" s="440"/>
      <c r="J163" s="440"/>
    </row>
    <row r="164" spans="9:10" x14ac:dyDescent="0.3">
      <c r="I164" s="440"/>
      <c r="J164" s="440"/>
    </row>
    <row r="165" spans="9:10" x14ac:dyDescent="0.3">
      <c r="I165" s="440"/>
      <c r="J165" s="440"/>
    </row>
    <row r="166" spans="9:10" x14ac:dyDescent="0.3">
      <c r="I166" s="440"/>
      <c r="J166" s="440"/>
    </row>
    <row r="167" spans="9:10" x14ac:dyDescent="0.3">
      <c r="I167" s="440"/>
      <c r="J167" s="440"/>
    </row>
    <row r="168" spans="9:10" x14ac:dyDescent="0.3">
      <c r="I168" s="440"/>
      <c r="J168" s="440"/>
    </row>
    <row r="169" spans="9:10" x14ac:dyDescent="0.3">
      <c r="I169" s="440"/>
      <c r="J169" s="440"/>
    </row>
    <row r="170" spans="9:10" x14ac:dyDescent="0.3">
      <c r="I170" s="440"/>
      <c r="J170" s="440"/>
    </row>
    <row r="171" spans="9:10" x14ac:dyDescent="0.3">
      <c r="I171" s="440"/>
      <c r="J171" s="440"/>
    </row>
    <row r="172" spans="9:10" x14ac:dyDescent="0.3">
      <c r="I172" s="440"/>
      <c r="J172" s="440"/>
    </row>
    <row r="173" spans="9:10" x14ac:dyDescent="0.3">
      <c r="I173" s="440"/>
      <c r="J173" s="440"/>
    </row>
    <row r="174" spans="9:10" x14ac:dyDescent="0.3">
      <c r="I174" s="440"/>
      <c r="J174" s="440"/>
    </row>
    <row r="175" spans="9:10" x14ac:dyDescent="0.3">
      <c r="I175" s="440"/>
      <c r="J175" s="440"/>
    </row>
    <row r="176" spans="9:10" x14ac:dyDescent="0.3">
      <c r="I176" s="440"/>
      <c r="J176" s="440"/>
    </row>
    <row r="177" spans="9:10" x14ac:dyDescent="0.3">
      <c r="I177" s="440"/>
      <c r="J177" s="440"/>
    </row>
    <row r="178" spans="9:10" x14ac:dyDescent="0.3">
      <c r="I178" s="440"/>
      <c r="J178" s="440"/>
    </row>
    <row r="179" spans="9:10" x14ac:dyDescent="0.3">
      <c r="I179" s="440"/>
      <c r="J179" s="440"/>
    </row>
    <row r="180" spans="9:10" x14ac:dyDescent="0.3">
      <c r="I180" s="440"/>
      <c r="J180" s="440"/>
    </row>
    <row r="181" spans="9:10" x14ac:dyDescent="0.3">
      <c r="I181" s="440"/>
      <c r="J181" s="440"/>
    </row>
    <row r="182" spans="9:10" x14ac:dyDescent="0.3">
      <c r="I182" s="440"/>
      <c r="J182" s="440"/>
    </row>
    <row r="183" spans="9:10" x14ac:dyDescent="0.3">
      <c r="I183" s="440"/>
      <c r="J183" s="440"/>
    </row>
    <row r="184" spans="9:10" x14ac:dyDescent="0.3">
      <c r="I184" s="440"/>
      <c r="J184" s="440"/>
    </row>
    <row r="185" spans="9:10" x14ac:dyDescent="0.3">
      <c r="I185" s="440"/>
      <c r="J185" s="440"/>
    </row>
    <row r="186" spans="9:10" x14ac:dyDescent="0.3">
      <c r="I186" s="440"/>
      <c r="J186" s="440"/>
    </row>
    <row r="187" spans="9:10" x14ac:dyDescent="0.3">
      <c r="I187" s="440"/>
      <c r="J187" s="440"/>
    </row>
    <row r="188" spans="9:10" x14ac:dyDescent="0.3">
      <c r="I188" s="440"/>
      <c r="J188" s="440"/>
    </row>
    <row r="189" spans="9:10" x14ac:dyDescent="0.3">
      <c r="I189" s="440"/>
      <c r="J189" s="440"/>
    </row>
    <row r="190" spans="9:10" x14ac:dyDescent="0.3">
      <c r="I190" s="440"/>
      <c r="J190" s="440"/>
    </row>
    <row r="191" spans="9:10" x14ac:dyDescent="0.3">
      <c r="I191" s="440"/>
      <c r="J191" s="440"/>
    </row>
    <row r="192" spans="9:10" x14ac:dyDescent="0.3">
      <c r="I192" s="440"/>
      <c r="J192" s="440"/>
    </row>
    <row r="193" spans="9:10" x14ac:dyDescent="0.3">
      <c r="I193" s="440"/>
      <c r="J193" s="440"/>
    </row>
    <row r="194" spans="9:10" x14ac:dyDescent="0.3">
      <c r="I194" s="440"/>
      <c r="J194" s="440"/>
    </row>
    <row r="195" spans="9:10" x14ac:dyDescent="0.3">
      <c r="I195" s="440"/>
      <c r="J195" s="440"/>
    </row>
    <row r="196" spans="9:10" x14ac:dyDescent="0.3">
      <c r="I196" s="440"/>
      <c r="J196" s="440"/>
    </row>
    <row r="197" spans="9:10" x14ac:dyDescent="0.3">
      <c r="I197" s="440"/>
      <c r="J197" s="440"/>
    </row>
    <row r="198" spans="9:10" x14ac:dyDescent="0.3">
      <c r="I198" s="440"/>
      <c r="J198" s="440"/>
    </row>
    <row r="199" spans="9:10" x14ac:dyDescent="0.3">
      <c r="I199" s="440"/>
      <c r="J199" s="440"/>
    </row>
    <row r="200" spans="9:10" x14ac:dyDescent="0.3">
      <c r="I200" s="440"/>
      <c r="J200" s="440"/>
    </row>
    <row r="201" spans="9:10" x14ac:dyDescent="0.3">
      <c r="I201" s="440"/>
      <c r="J201" s="440"/>
    </row>
    <row r="202" spans="9:10" x14ac:dyDescent="0.3">
      <c r="I202" s="440"/>
      <c r="J202" s="440"/>
    </row>
    <row r="203" spans="9:10" x14ac:dyDescent="0.3">
      <c r="I203" s="440"/>
      <c r="J203" s="440"/>
    </row>
    <row r="204" spans="9:10" x14ac:dyDescent="0.3">
      <c r="I204" s="440"/>
      <c r="J204" s="440"/>
    </row>
    <row r="205" spans="9:10" x14ac:dyDescent="0.3">
      <c r="I205" s="440"/>
      <c r="J205" s="440"/>
    </row>
    <row r="206" spans="9:10" x14ac:dyDescent="0.3">
      <c r="I206" s="440"/>
      <c r="J206" s="440"/>
    </row>
    <row r="207" spans="9:10" x14ac:dyDescent="0.3">
      <c r="I207" s="440"/>
      <c r="J207" s="440"/>
    </row>
    <row r="208" spans="9:10" x14ac:dyDescent="0.3">
      <c r="I208" s="440"/>
      <c r="J208" s="440"/>
    </row>
    <row r="209" spans="9:10" x14ac:dyDescent="0.3">
      <c r="I209" s="440"/>
      <c r="J209" s="440"/>
    </row>
    <row r="210" spans="9:10" x14ac:dyDescent="0.3">
      <c r="I210" s="440"/>
      <c r="J210" s="440"/>
    </row>
    <row r="211" spans="9:10" x14ac:dyDescent="0.3">
      <c r="I211" s="440"/>
      <c r="J211" s="440"/>
    </row>
    <row r="212" spans="9:10" x14ac:dyDescent="0.3">
      <c r="I212" s="440"/>
      <c r="J212" s="440"/>
    </row>
    <row r="213" spans="9:10" x14ac:dyDescent="0.3">
      <c r="I213" s="440"/>
      <c r="J213" s="440"/>
    </row>
    <row r="214" spans="9:10" x14ac:dyDescent="0.3">
      <c r="I214" s="440"/>
      <c r="J214" s="440"/>
    </row>
    <row r="215" spans="9:10" x14ac:dyDescent="0.3">
      <c r="I215" s="440"/>
      <c r="J215" s="440"/>
    </row>
    <row r="216" spans="9:10" x14ac:dyDescent="0.3">
      <c r="I216" s="440"/>
      <c r="J216" s="440"/>
    </row>
    <row r="217" spans="9:10" x14ac:dyDescent="0.3">
      <c r="I217" s="440"/>
      <c r="J217" s="440"/>
    </row>
    <row r="218" spans="9:10" x14ac:dyDescent="0.3">
      <c r="I218" s="440"/>
      <c r="J218" s="440"/>
    </row>
    <row r="219" spans="9:10" x14ac:dyDescent="0.3">
      <c r="I219" s="440"/>
      <c r="J219" s="440"/>
    </row>
    <row r="220" spans="9:10" x14ac:dyDescent="0.3">
      <c r="I220" s="440"/>
      <c r="J220" s="440"/>
    </row>
    <row r="221" spans="9:10" x14ac:dyDescent="0.3">
      <c r="I221" s="440"/>
      <c r="J221" s="440"/>
    </row>
    <row r="222" spans="9:10" x14ac:dyDescent="0.3">
      <c r="I222" s="440"/>
      <c r="J222" s="440"/>
    </row>
    <row r="223" spans="9:10" x14ac:dyDescent="0.3">
      <c r="I223" s="440"/>
      <c r="J223" s="440"/>
    </row>
    <row r="224" spans="9:10" x14ac:dyDescent="0.3">
      <c r="I224" s="440"/>
      <c r="J224" s="440"/>
    </row>
    <row r="225" spans="9:10" x14ac:dyDescent="0.3">
      <c r="I225" s="440"/>
      <c r="J225" s="440"/>
    </row>
    <row r="226" spans="9:10" x14ac:dyDescent="0.3">
      <c r="I226" s="440"/>
      <c r="J226" s="440"/>
    </row>
    <row r="227" spans="9:10" x14ac:dyDescent="0.3">
      <c r="I227" s="440"/>
      <c r="J227" s="440"/>
    </row>
    <row r="228" spans="9:10" x14ac:dyDescent="0.3">
      <c r="I228" s="440"/>
      <c r="J228" s="440"/>
    </row>
    <row r="229" spans="9:10" x14ac:dyDescent="0.3">
      <c r="I229" s="440"/>
      <c r="J229" s="440"/>
    </row>
    <row r="230" spans="9:10" x14ac:dyDescent="0.3">
      <c r="I230" s="440"/>
      <c r="J230" s="440"/>
    </row>
    <row r="231" spans="9:10" x14ac:dyDescent="0.3">
      <c r="I231" s="440"/>
      <c r="J231" s="440"/>
    </row>
    <row r="232" spans="9:10" x14ac:dyDescent="0.3">
      <c r="I232" s="440"/>
      <c r="J232" s="440"/>
    </row>
    <row r="233" spans="9:10" x14ac:dyDescent="0.3">
      <c r="I233" s="440"/>
      <c r="J233" s="440"/>
    </row>
    <row r="234" spans="9:10" x14ac:dyDescent="0.3">
      <c r="I234" s="440"/>
      <c r="J234" s="440"/>
    </row>
    <row r="235" spans="9:10" x14ac:dyDescent="0.3">
      <c r="I235" s="440"/>
      <c r="J235" s="440"/>
    </row>
    <row r="236" spans="9:10" x14ac:dyDescent="0.3">
      <c r="I236" s="440"/>
      <c r="J236" s="440"/>
    </row>
    <row r="237" spans="9:10" x14ac:dyDescent="0.3">
      <c r="I237" s="440"/>
      <c r="J237" s="440"/>
    </row>
    <row r="238" spans="9:10" x14ac:dyDescent="0.3">
      <c r="I238" s="440"/>
      <c r="J238" s="440"/>
    </row>
    <row r="239" spans="9:10" x14ac:dyDescent="0.3">
      <c r="I239" s="440"/>
      <c r="J239" s="440"/>
    </row>
    <row r="240" spans="9:10" x14ac:dyDescent="0.3">
      <c r="I240" s="440"/>
      <c r="J240" s="440"/>
    </row>
    <row r="241" spans="9:10" x14ac:dyDescent="0.3">
      <c r="I241" s="440"/>
      <c r="J241" s="440"/>
    </row>
    <row r="242" spans="9:10" x14ac:dyDescent="0.3">
      <c r="I242" s="440"/>
      <c r="J242" s="440"/>
    </row>
    <row r="243" spans="9:10" x14ac:dyDescent="0.3">
      <c r="I243" s="440"/>
      <c r="J243" s="440"/>
    </row>
    <row r="244" spans="9:10" x14ac:dyDescent="0.3">
      <c r="I244" s="440"/>
      <c r="J244" s="440"/>
    </row>
    <row r="245" spans="9:10" x14ac:dyDescent="0.3">
      <c r="I245" s="440"/>
      <c r="J245" s="440"/>
    </row>
    <row r="246" spans="9:10" x14ac:dyDescent="0.3">
      <c r="I246" s="440"/>
      <c r="J246" s="440"/>
    </row>
    <row r="247" spans="9:10" x14ac:dyDescent="0.3">
      <c r="I247" s="440"/>
      <c r="J247" s="440"/>
    </row>
    <row r="248" spans="9:10" x14ac:dyDescent="0.3">
      <c r="I248" s="440"/>
      <c r="J248" s="440"/>
    </row>
    <row r="249" spans="9:10" x14ac:dyDescent="0.3">
      <c r="I249" s="440"/>
      <c r="J249" s="440"/>
    </row>
    <row r="250" spans="9:10" x14ac:dyDescent="0.3">
      <c r="I250" s="440"/>
      <c r="J250" s="440"/>
    </row>
    <row r="251" spans="9:10" x14ac:dyDescent="0.3">
      <c r="I251" s="440"/>
      <c r="J251" s="440"/>
    </row>
    <row r="252" spans="9:10" x14ac:dyDescent="0.3">
      <c r="I252" s="440"/>
      <c r="J252" s="440"/>
    </row>
    <row r="253" spans="9:10" x14ac:dyDescent="0.3">
      <c r="I253" s="440"/>
      <c r="J253" s="440"/>
    </row>
    <row r="254" spans="9:10" x14ac:dyDescent="0.3">
      <c r="I254" s="440"/>
      <c r="J254" s="440"/>
    </row>
    <row r="255" spans="9:10" x14ac:dyDescent="0.3">
      <c r="I255" s="440"/>
      <c r="J255" s="440"/>
    </row>
    <row r="256" spans="9:10" x14ac:dyDescent="0.3">
      <c r="I256" s="440"/>
      <c r="J256" s="440"/>
    </row>
    <row r="257" spans="9:10" x14ac:dyDescent="0.3">
      <c r="I257" s="440"/>
      <c r="J257" s="440"/>
    </row>
    <row r="258" spans="9:10" x14ac:dyDescent="0.3">
      <c r="I258" s="440"/>
      <c r="J258" s="440"/>
    </row>
    <row r="259" spans="9:10" x14ac:dyDescent="0.3">
      <c r="I259" s="440"/>
      <c r="J259" s="440"/>
    </row>
    <row r="260" spans="9:10" x14ac:dyDescent="0.3">
      <c r="I260" s="440"/>
      <c r="J260" s="440"/>
    </row>
    <row r="261" spans="9:10" x14ac:dyDescent="0.3">
      <c r="I261" s="440"/>
      <c r="J261" s="440"/>
    </row>
    <row r="262" spans="9:10" x14ac:dyDescent="0.3">
      <c r="I262" s="440"/>
      <c r="J262" s="440"/>
    </row>
    <row r="263" spans="9:10" x14ac:dyDescent="0.3">
      <c r="I263" s="440"/>
      <c r="J263" s="440"/>
    </row>
    <row r="264" spans="9:10" x14ac:dyDescent="0.3">
      <c r="I264" s="440"/>
      <c r="J264" s="440"/>
    </row>
    <row r="265" spans="9:10" x14ac:dyDescent="0.3">
      <c r="I265" s="440"/>
      <c r="J265" s="440"/>
    </row>
    <row r="266" spans="9:10" x14ac:dyDescent="0.3">
      <c r="I266" s="440"/>
      <c r="J266" s="440"/>
    </row>
    <row r="267" spans="9:10" x14ac:dyDescent="0.3">
      <c r="I267" s="440"/>
      <c r="J267" s="440"/>
    </row>
    <row r="268" spans="9:10" x14ac:dyDescent="0.3">
      <c r="I268" s="440"/>
      <c r="J268" s="440"/>
    </row>
    <row r="269" spans="9:10" x14ac:dyDescent="0.3">
      <c r="I269" s="440"/>
      <c r="J269" s="440"/>
    </row>
    <row r="270" spans="9:10" x14ac:dyDescent="0.3">
      <c r="I270" s="440"/>
      <c r="J270" s="440"/>
    </row>
    <row r="271" spans="9:10" x14ac:dyDescent="0.3">
      <c r="I271" s="440"/>
      <c r="J271" s="440"/>
    </row>
    <row r="272" spans="9:10" x14ac:dyDescent="0.3">
      <c r="I272" s="440"/>
      <c r="J272" s="440"/>
    </row>
    <row r="273" spans="9:10" x14ac:dyDescent="0.3">
      <c r="I273" s="440"/>
      <c r="J273" s="440"/>
    </row>
    <row r="274" spans="9:10" x14ac:dyDescent="0.3">
      <c r="I274" s="440"/>
      <c r="J274" s="440"/>
    </row>
    <row r="275" spans="9:10" x14ac:dyDescent="0.3">
      <c r="I275" s="440"/>
      <c r="J275" s="440"/>
    </row>
    <row r="276" spans="9:10" x14ac:dyDescent="0.3">
      <c r="I276" s="440"/>
      <c r="J276" s="440"/>
    </row>
    <row r="277" spans="9:10" x14ac:dyDescent="0.3">
      <c r="I277" s="440"/>
      <c r="J277" s="440"/>
    </row>
    <row r="278" spans="9:10" x14ac:dyDescent="0.3">
      <c r="I278" s="440"/>
      <c r="J278" s="440"/>
    </row>
    <row r="279" spans="9:10" x14ac:dyDescent="0.3">
      <c r="I279" s="440"/>
      <c r="J279" s="440"/>
    </row>
    <row r="280" spans="9:10" x14ac:dyDescent="0.3">
      <c r="I280" s="440"/>
      <c r="J280" s="440"/>
    </row>
    <row r="281" spans="9:10" x14ac:dyDescent="0.3">
      <c r="I281" s="440"/>
      <c r="J281" s="440"/>
    </row>
    <row r="282" spans="9:10" x14ac:dyDescent="0.3">
      <c r="I282" s="440"/>
      <c r="J282" s="440"/>
    </row>
    <row r="283" spans="9:10" x14ac:dyDescent="0.3">
      <c r="I283" s="440"/>
      <c r="J283" s="440"/>
    </row>
    <row r="284" spans="9:10" x14ac:dyDescent="0.3">
      <c r="I284" s="440"/>
      <c r="J284" s="440"/>
    </row>
    <row r="285" spans="9:10" x14ac:dyDescent="0.3">
      <c r="I285" s="440"/>
      <c r="J285" s="440"/>
    </row>
    <row r="286" spans="9:10" x14ac:dyDescent="0.3">
      <c r="I286" s="440"/>
      <c r="J286" s="440"/>
    </row>
    <row r="287" spans="9:10" x14ac:dyDescent="0.3">
      <c r="I287" s="440"/>
      <c r="J287" s="440"/>
    </row>
    <row r="288" spans="9:10" x14ac:dyDescent="0.3">
      <c r="I288" s="440"/>
      <c r="J288" s="440"/>
    </row>
    <row r="289" spans="9:10" x14ac:dyDescent="0.3">
      <c r="I289" s="440"/>
      <c r="J289" s="440"/>
    </row>
    <row r="290" spans="9:10" x14ac:dyDescent="0.3">
      <c r="I290" s="440"/>
      <c r="J290" s="440"/>
    </row>
    <row r="291" spans="9:10" x14ac:dyDescent="0.3">
      <c r="I291" s="440"/>
      <c r="J291" s="440"/>
    </row>
    <row r="292" spans="9:10" x14ac:dyDescent="0.3">
      <c r="I292" s="440"/>
      <c r="J292" s="440"/>
    </row>
    <row r="293" spans="9:10" x14ac:dyDescent="0.3">
      <c r="I293" s="440"/>
      <c r="J293" s="440"/>
    </row>
    <row r="294" spans="9:10" x14ac:dyDescent="0.3">
      <c r="I294" s="440"/>
      <c r="J294" s="440"/>
    </row>
    <row r="295" spans="9:10" x14ac:dyDescent="0.3">
      <c r="I295" s="440"/>
      <c r="J295" s="440"/>
    </row>
    <row r="296" spans="9:10" x14ac:dyDescent="0.3">
      <c r="I296" s="440"/>
      <c r="J296" s="440"/>
    </row>
    <row r="297" spans="9:10" x14ac:dyDescent="0.3">
      <c r="I297" s="440"/>
      <c r="J297" s="440"/>
    </row>
    <row r="298" spans="9:10" x14ac:dyDescent="0.3">
      <c r="I298" s="440"/>
      <c r="J298" s="440"/>
    </row>
    <row r="299" spans="9:10" x14ac:dyDescent="0.3">
      <c r="I299" s="440"/>
      <c r="J299" s="440"/>
    </row>
    <row r="300" spans="9:10" x14ac:dyDescent="0.3">
      <c r="I300" s="440"/>
      <c r="J300" s="440"/>
    </row>
    <row r="301" spans="9:10" x14ac:dyDescent="0.3">
      <c r="I301" s="440"/>
      <c r="J301" s="440"/>
    </row>
    <row r="302" spans="9:10" x14ac:dyDescent="0.3">
      <c r="I302" s="440"/>
      <c r="J302" s="440"/>
    </row>
    <row r="303" spans="9:10" x14ac:dyDescent="0.3">
      <c r="I303" s="440"/>
      <c r="J303" s="440"/>
    </row>
    <row r="304" spans="9:10" x14ac:dyDescent="0.3">
      <c r="I304" s="440"/>
      <c r="J304" s="440"/>
    </row>
    <row r="305" spans="9:10" x14ac:dyDescent="0.3">
      <c r="I305" s="440"/>
      <c r="J305" s="440"/>
    </row>
    <row r="306" spans="9:10" x14ac:dyDescent="0.3">
      <c r="I306" s="440"/>
      <c r="J306" s="440"/>
    </row>
    <row r="307" spans="9:10" x14ac:dyDescent="0.3">
      <c r="I307" s="440"/>
      <c r="J307" s="440"/>
    </row>
    <row r="308" spans="9:10" x14ac:dyDescent="0.3">
      <c r="I308" s="440"/>
      <c r="J308" s="440"/>
    </row>
    <row r="309" spans="9:10" x14ac:dyDescent="0.3">
      <c r="I309" s="440"/>
      <c r="J309" s="440"/>
    </row>
    <row r="310" spans="9:10" x14ac:dyDescent="0.3">
      <c r="I310" s="440"/>
      <c r="J310" s="440"/>
    </row>
    <row r="311" spans="9:10" x14ac:dyDescent="0.3">
      <c r="I311" s="440"/>
      <c r="J311" s="440"/>
    </row>
    <row r="312" spans="9:10" x14ac:dyDescent="0.3">
      <c r="I312" s="440"/>
      <c r="J312" s="440"/>
    </row>
    <row r="313" spans="9:10" x14ac:dyDescent="0.3">
      <c r="I313" s="440"/>
      <c r="J313" s="440"/>
    </row>
    <row r="314" spans="9:10" x14ac:dyDescent="0.3">
      <c r="I314" s="440"/>
      <c r="J314" s="440"/>
    </row>
    <row r="315" spans="9:10" x14ac:dyDescent="0.3">
      <c r="I315" s="440"/>
      <c r="J315" s="440"/>
    </row>
    <row r="316" spans="9:10" x14ac:dyDescent="0.3">
      <c r="I316" s="440"/>
      <c r="J316" s="440"/>
    </row>
    <row r="317" spans="9:10" x14ac:dyDescent="0.3">
      <c r="I317" s="440"/>
      <c r="J317" s="440"/>
    </row>
    <row r="318" spans="9:10" x14ac:dyDescent="0.3">
      <c r="I318" s="440"/>
      <c r="J318" s="440"/>
    </row>
    <row r="319" spans="9:10" x14ac:dyDescent="0.3">
      <c r="I319" s="440"/>
      <c r="J319" s="440"/>
    </row>
    <row r="320" spans="9:10" x14ac:dyDescent="0.3">
      <c r="I320" s="440"/>
      <c r="J320" s="440"/>
    </row>
    <row r="321" spans="9:10" x14ac:dyDescent="0.3">
      <c r="I321" s="440"/>
      <c r="J321" s="440"/>
    </row>
    <row r="322" spans="9:10" x14ac:dyDescent="0.3">
      <c r="I322" s="440"/>
      <c r="J322" s="440"/>
    </row>
    <row r="323" spans="9:10" x14ac:dyDescent="0.3">
      <c r="I323" s="440"/>
      <c r="J323" s="440"/>
    </row>
    <row r="324" spans="9:10" x14ac:dyDescent="0.3">
      <c r="I324" s="440"/>
      <c r="J324" s="440"/>
    </row>
    <row r="325" spans="9:10" x14ac:dyDescent="0.3">
      <c r="I325" s="440"/>
      <c r="J325" s="440"/>
    </row>
    <row r="326" spans="9:10" x14ac:dyDescent="0.3">
      <c r="I326" s="440"/>
      <c r="J326" s="440"/>
    </row>
    <row r="327" spans="9:10" x14ac:dyDescent="0.3">
      <c r="I327" s="440"/>
      <c r="J327" s="440"/>
    </row>
    <row r="328" spans="9:10" x14ac:dyDescent="0.3">
      <c r="I328" s="440"/>
      <c r="J328" s="440"/>
    </row>
    <row r="329" spans="9:10" x14ac:dyDescent="0.3">
      <c r="I329" s="440"/>
      <c r="J329" s="440"/>
    </row>
    <row r="330" spans="9:10" x14ac:dyDescent="0.3">
      <c r="I330" s="440"/>
      <c r="J330" s="440"/>
    </row>
    <row r="331" spans="9:10" x14ac:dyDescent="0.3">
      <c r="I331" s="440"/>
      <c r="J331" s="440"/>
    </row>
    <row r="332" spans="9:10" x14ac:dyDescent="0.3">
      <c r="I332" s="440"/>
      <c r="J332" s="440"/>
    </row>
    <row r="333" spans="9:10" x14ac:dyDescent="0.3">
      <c r="I333" s="440"/>
      <c r="J333" s="440"/>
    </row>
    <row r="334" spans="9:10" x14ac:dyDescent="0.3">
      <c r="I334" s="440"/>
      <c r="J334" s="440"/>
    </row>
    <row r="335" spans="9:10" x14ac:dyDescent="0.3">
      <c r="I335" s="440"/>
      <c r="J335" s="440"/>
    </row>
    <row r="336" spans="9:10" x14ac:dyDescent="0.3">
      <c r="I336" s="440"/>
      <c r="J336" s="440"/>
    </row>
    <row r="337" spans="9:10" x14ac:dyDescent="0.3">
      <c r="I337" s="440"/>
      <c r="J337" s="440"/>
    </row>
    <row r="338" spans="9:10" x14ac:dyDescent="0.3">
      <c r="I338" s="440"/>
      <c r="J338" s="440"/>
    </row>
    <row r="339" spans="9:10" x14ac:dyDescent="0.3">
      <c r="I339" s="440"/>
      <c r="J339" s="440"/>
    </row>
    <row r="340" spans="9:10" x14ac:dyDescent="0.3">
      <c r="I340" s="440"/>
      <c r="J340" s="440"/>
    </row>
    <row r="341" spans="9:10" x14ac:dyDescent="0.3">
      <c r="I341" s="440"/>
      <c r="J341" s="440"/>
    </row>
    <row r="342" spans="9:10" x14ac:dyDescent="0.3">
      <c r="I342" s="440"/>
      <c r="J342" s="440"/>
    </row>
    <row r="343" spans="9:10" x14ac:dyDescent="0.3">
      <c r="I343" s="440"/>
      <c r="J343" s="440"/>
    </row>
    <row r="344" spans="9:10" x14ac:dyDescent="0.3">
      <c r="I344" s="440"/>
      <c r="J344" s="440"/>
    </row>
    <row r="345" spans="9:10" x14ac:dyDescent="0.3">
      <c r="I345" s="440"/>
      <c r="J345" s="440"/>
    </row>
    <row r="346" spans="9:10" x14ac:dyDescent="0.3">
      <c r="I346" s="440"/>
      <c r="J346" s="440"/>
    </row>
    <row r="347" spans="9:10" x14ac:dyDescent="0.3">
      <c r="I347" s="440"/>
      <c r="J347" s="440"/>
    </row>
    <row r="348" spans="9:10" x14ac:dyDescent="0.3">
      <c r="I348" s="440"/>
      <c r="J348" s="440"/>
    </row>
    <row r="349" spans="9:10" x14ac:dyDescent="0.3">
      <c r="I349" s="440"/>
      <c r="J349" s="440"/>
    </row>
    <row r="350" spans="9:10" x14ac:dyDescent="0.3">
      <c r="I350" s="440"/>
      <c r="J350" s="440"/>
    </row>
    <row r="351" spans="9:10" x14ac:dyDescent="0.3">
      <c r="I351" s="440"/>
      <c r="J351" s="440"/>
    </row>
    <row r="352" spans="9:10" x14ac:dyDescent="0.3">
      <c r="I352" s="440"/>
      <c r="J352" s="440"/>
    </row>
    <row r="353" spans="9:10" x14ac:dyDescent="0.3">
      <c r="I353" s="440"/>
      <c r="J353" s="440"/>
    </row>
    <row r="354" spans="9:10" x14ac:dyDescent="0.3">
      <c r="I354" s="440"/>
      <c r="J354" s="440"/>
    </row>
    <row r="355" spans="9:10" x14ac:dyDescent="0.3">
      <c r="I355" s="440"/>
      <c r="J355" s="440"/>
    </row>
    <row r="356" spans="9:10" x14ac:dyDescent="0.3">
      <c r="I356" s="440"/>
      <c r="J356" s="440"/>
    </row>
    <row r="357" spans="9:10" x14ac:dyDescent="0.3">
      <c r="I357" s="440"/>
      <c r="J357" s="440"/>
    </row>
    <row r="358" spans="9:10" x14ac:dyDescent="0.3">
      <c r="I358" s="440"/>
      <c r="J358" s="440"/>
    </row>
    <row r="359" spans="9:10" x14ac:dyDescent="0.3">
      <c r="I359" s="440"/>
      <c r="J359" s="440"/>
    </row>
    <row r="360" spans="9:10" x14ac:dyDescent="0.3">
      <c r="I360" s="440"/>
      <c r="J360" s="440"/>
    </row>
    <row r="361" spans="9:10" x14ac:dyDescent="0.3">
      <c r="I361" s="440"/>
      <c r="J361" s="440"/>
    </row>
    <row r="362" spans="9:10" x14ac:dyDescent="0.3">
      <c r="I362" s="440"/>
      <c r="J362" s="440"/>
    </row>
    <row r="363" spans="9:10" x14ac:dyDescent="0.3">
      <c r="I363" s="440"/>
      <c r="J363" s="440"/>
    </row>
    <row r="364" spans="9:10" x14ac:dyDescent="0.3">
      <c r="I364" s="440"/>
      <c r="J364" s="440"/>
    </row>
    <row r="365" spans="9:10" x14ac:dyDescent="0.3">
      <c r="I365" s="440"/>
      <c r="J365" s="440"/>
    </row>
    <row r="366" spans="9:10" x14ac:dyDescent="0.3">
      <c r="I366" s="440"/>
      <c r="J366" s="440"/>
    </row>
    <row r="367" spans="9:10" x14ac:dyDescent="0.3">
      <c r="I367" s="440"/>
      <c r="J367" s="440"/>
    </row>
    <row r="368" spans="9:10" x14ac:dyDescent="0.3">
      <c r="I368" s="440"/>
      <c r="J368" s="440"/>
    </row>
    <row r="369" spans="9:10" x14ac:dyDescent="0.3">
      <c r="I369" s="440"/>
      <c r="J369" s="440"/>
    </row>
    <row r="370" spans="9:10" x14ac:dyDescent="0.3">
      <c r="I370" s="440"/>
      <c r="J370" s="440"/>
    </row>
    <row r="371" spans="9:10" x14ac:dyDescent="0.3">
      <c r="I371" s="440"/>
      <c r="J371" s="440"/>
    </row>
    <row r="372" spans="9:10" x14ac:dyDescent="0.3">
      <c r="I372" s="440"/>
      <c r="J372" s="440"/>
    </row>
    <row r="373" spans="9:10" x14ac:dyDescent="0.3">
      <c r="I373" s="440"/>
      <c r="J373" s="440"/>
    </row>
    <row r="374" spans="9:10" x14ac:dyDescent="0.3">
      <c r="I374" s="440"/>
      <c r="J374" s="440"/>
    </row>
    <row r="375" spans="9:10" x14ac:dyDescent="0.3">
      <c r="I375" s="440"/>
      <c r="J375" s="440"/>
    </row>
    <row r="376" spans="9:10" x14ac:dyDescent="0.3">
      <c r="I376" s="440"/>
      <c r="J376" s="440"/>
    </row>
    <row r="377" spans="9:10" x14ac:dyDescent="0.3">
      <c r="I377" s="440"/>
      <c r="J377" s="440"/>
    </row>
    <row r="378" spans="9:10" x14ac:dyDescent="0.3">
      <c r="I378" s="440"/>
      <c r="J378" s="440"/>
    </row>
    <row r="379" spans="9:10" x14ac:dyDescent="0.3">
      <c r="I379" s="440"/>
      <c r="J379" s="440"/>
    </row>
    <row r="380" spans="9:10" x14ac:dyDescent="0.3">
      <c r="I380" s="440"/>
      <c r="J380" s="440"/>
    </row>
    <row r="381" spans="9:10" x14ac:dyDescent="0.3">
      <c r="I381" s="440"/>
      <c r="J381" s="440"/>
    </row>
    <row r="382" spans="9:10" x14ac:dyDescent="0.3">
      <c r="I382" s="440"/>
      <c r="J382" s="440"/>
    </row>
    <row r="383" spans="9:10" x14ac:dyDescent="0.3">
      <c r="I383" s="440"/>
      <c r="J383" s="440"/>
    </row>
    <row r="384" spans="9:10" x14ac:dyDescent="0.3">
      <c r="I384" s="440"/>
      <c r="J384" s="440"/>
    </row>
    <row r="385" spans="9:10" x14ac:dyDescent="0.3">
      <c r="I385" s="440"/>
      <c r="J385" s="440"/>
    </row>
    <row r="386" spans="9:10" x14ac:dyDescent="0.3">
      <c r="I386" s="440"/>
      <c r="J386" s="440"/>
    </row>
    <row r="387" spans="9:10" x14ac:dyDescent="0.3">
      <c r="I387" s="440"/>
      <c r="J387" s="440"/>
    </row>
    <row r="388" spans="9:10" x14ac:dyDescent="0.3">
      <c r="I388" s="440"/>
      <c r="J388" s="440"/>
    </row>
    <row r="389" spans="9:10" x14ac:dyDescent="0.3">
      <c r="I389" s="440"/>
      <c r="J389" s="440"/>
    </row>
    <row r="390" spans="9:10" x14ac:dyDescent="0.3">
      <c r="I390" s="440"/>
      <c r="J390" s="440"/>
    </row>
    <row r="391" spans="9:10" x14ac:dyDescent="0.3">
      <c r="I391" s="440"/>
      <c r="J391" s="440"/>
    </row>
    <row r="392" spans="9:10" x14ac:dyDescent="0.3">
      <c r="I392" s="440"/>
      <c r="J392" s="440"/>
    </row>
    <row r="393" spans="9:10" x14ac:dyDescent="0.3">
      <c r="I393" s="440"/>
      <c r="J393" s="440"/>
    </row>
    <row r="394" spans="9:10" x14ac:dyDescent="0.3">
      <c r="I394" s="440"/>
      <c r="J394" s="440"/>
    </row>
    <row r="395" spans="9:10" x14ac:dyDescent="0.3">
      <c r="I395" s="440"/>
      <c r="J395" s="440"/>
    </row>
    <row r="396" spans="9:10" x14ac:dyDescent="0.3">
      <c r="I396" s="440"/>
      <c r="J396" s="440"/>
    </row>
    <row r="397" spans="9:10" x14ac:dyDescent="0.3">
      <c r="I397" s="440"/>
      <c r="J397" s="440"/>
    </row>
    <row r="398" spans="9:10" x14ac:dyDescent="0.3">
      <c r="I398" s="440"/>
      <c r="J398" s="440"/>
    </row>
    <row r="399" spans="9:10" x14ac:dyDescent="0.3">
      <c r="I399" s="440"/>
      <c r="J399" s="440"/>
    </row>
    <row r="400" spans="9:10" x14ac:dyDescent="0.3">
      <c r="I400" s="440"/>
      <c r="J400" s="440"/>
    </row>
    <row r="401" spans="9:10" x14ac:dyDescent="0.3">
      <c r="I401" s="440"/>
      <c r="J401" s="440"/>
    </row>
    <row r="402" spans="9:10" x14ac:dyDescent="0.3">
      <c r="I402" s="440"/>
      <c r="J402" s="440"/>
    </row>
    <row r="403" spans="9:10" x14ac:dyDescent="0.3">
      <c r="I403" s="440"/>
      <c r="J403" s="440"/>
    </row>
    <row r="404" spans="9:10" x14ac:dyDescent="0.3">
      <c r="I404" s="440"/>
      <c r="J404" s="440"/>
    </row>
    <row r="405" spans="9:10" x14ac:dyDescent="0.3">
      <c r="I405" s="440"/>
      <c r="J405" s="440"/>
    </row>
    <row r="406" spans="9:10" x14ac:dyDescent="0.3">
      <c r="I406" s="440"/>
      <c r="J406" s="440"/>
    </row>
    <row r="407" spans="9:10" x14ac:dyDescent="0.3">
      <c r="I407" s="440"/>
      <c r="J407" s="440"/>
    </row>
    <row r="408" spans="9:10" x14ac:dyDescent="0.3">
      <c r="I408" s="440"/>
      <c r="J408" s="440"/>
    </row>
    <row r="409" spans="9:10" x14ac:dyDescent="0.3">
      <c r="I409" s="440"/>
      <c r="J409" s="440"/>
    </row>
    <row r="410" spans="9:10" x14ac:dyDescent="0.3">
      <c r="I410" s="440"/>
      <c r="J410" s="440"/>
    </row>
    <row r="411" spans="9:10" x14ac:dyDescent="0.3">
      <c r="I411" s="440"/>
      <c r="J411" s="440"/>
    </row>
    <row r="412" spans="9:10" x14ac:dyDescent="0.3">
      <c r="I412" s="440"/>
      <c r="J412" s="440"/>
    </row>
    <row r="413" spans="9:10" x14ac:dyDescent="0.3">
      <c r="I413" s="440"/>
      <c r="J413" s="440"/>
    </row>
    <row r="414" spans="9:10" x14ac:dyDescent="0.3">
      <c r="I414" s="440"/>
      <c r="J414" s="440"/>
    </row>
    <row r="415" spans="9:10" x14ac:dyDescent="0.3">
      <c r="I415" s="440"/>
      <c r="J415" s="440"/>
    </row>
    <row r="416" spans="9:10" x14ac:dyDescent="0.3">
      <c r="I416" s="440"/>
      <c r="J416" s="440"/>
    </row>
    <row r="417" spans="9:10" x14ac:dyDescent="0.3">
      <c r="I417" s="440"/>
      <c r="J417" s="440"/>
    </row>
    <row r="418" spans="9:10" x14ac:dyDescent="0.3">
      <c r="I418" s="440"/>
      <c r="J418" s="440"/>
    </row>
    <row r="419" spans="9:10" x14ac:dyDescent="0.3">
      <c r="I419" s="440"/>
      <c r="J419" s="440"/>
    </row>
    <row r="420" spans="9:10" x14ac:dyDescent="0.3">
      <c r="I420" s="440"/>
      <c r="J420" s="440"/>
    </row>
    <row r="421" spans="9:10" x14ac:dyDescent="0.3">
      <c r="I421" s="440"/>
      <c r="J421" s="440"/>
    </row>
    <row r="422" spans="9:10" x14ac:dyDescent="0.3">
      <c r="I422" s="440"/>
      <c r="J422" s="440"/>
    </row>
    <row r="423" spans="9:10" x14ac:dyDescent="0.3">
      <c r="I423" s="440"/>
      <c r="J423" s="440"/>
    </row>
    <row r="424" spans="9:10" x14ac:dyDescent="0.3">
      <c r="I424" s="440"/>
      <c r="J424" s="440"/>
    </row>
    <row r="425" spans="9:10" x14ac:dyDescent="0.3">
      <c r="I425" s="440"/>
      <c r="J425" s="440"/>
    </row>
    <row r="426" spans="9:10" x14ac:dyDescent="0.3">
      <c r="I426" s="440"/>
      <c r="J426" s="440"/>
    </row>
    <row r="427" spans="9:10" x14ac:dyDescent="0.3">
      <c r="I427" s="440"/>
      <c r="J427" s="440"/>
    </row>
    <row r="428" spans="9:10" x14ac:dyDescent="0.3">
      <c r="I428" s="440"/>
      <c r="J428" s="440"/>
    </row>
    <row r="429" spans="9:10" x14ac:dyDescent="0.3">
      <c r="I429" s="440"/>
      <c r="J429" s="440"/>
    </row>
    <row r="430" spans="9:10" x14ac:dyDescent="0.3">
      <c r="I430" s="440"/>
      <c r="J430" s="440"/>
    </row>
    <row r="431" spans="9:10" x14ac:dyDescent="0.3">
      <c r="I431" s="440"/>
      <c r="J431" s="440"/>
    </row>
    <row r="432" spans="9:10" x14ac:dyDescent="0.3">
      <c r="I432" s="440"/>
      <c r="J432" s="440"/>
    </row>
    <row r="433" spans="9:10" x14ac:dyDescent="0.3">
      <c r="I433" s="440"/>
      <c r="J433" s="440"/>
    </row>
    <row r="434" spans="9:10" x14ac:dyDescent="0.3">
      <c r="I434" s="440"/>
      <c r="J434" s="440"/>
    </row>
    <row r="435" spans="9:10" x14ac:dyDescent="0.3">
      <c r="I435" s="440"/>
      <c r="J435" s="440"/>
    </row>
    <row r="436" spans="9:10" x14ac:dyDescent="0.3">
      <c r="I436" s="440"/>
      <c r="J436" s="440"/>
    </row>
    <row r="437" spans="9:10" x14ac:dyDescent="0.3">
      <c r="I437" s="440"/>
      <c r="J437" s="440"/>
    </row>
    <row r="438" spans="9:10" x14ac:dyDescent="0.3">
      <c r="I438" s="440"/>
      <c r="J438" s="440"/>
    </row>
    <row r="439" spans="9:10" x14ac:dyDescent="0.3">
      <c r="I439" s="440"/>
      <c r="J439" s="440"/>
    </row>
    <row r="440" spans="9:10" x14ac:dyDescent="0.3">
      <c r="I440" s="440"/>
      <c r="J440" s="440"/>
    </row>
    <row r="441" spans="9:10" x14ac:dyDescent="0.3">
      <c r="I441" s="440"/>
      <c r="J441" s="440"/>
    </row>
    <row r="442" spans="9:10" x14ac:dyDescent="0.3">
      <c r="I442" s="440"/>
      <c r="J442" s="440"/>
    </row>
    <row r="443" spans="9:10" x14ac:dyDescent="0.3">
      <c r="I443" s="440"/>
      <c r="J443" s="440"/>
    </row>
    <row r="444" spans="9:10" x14ac:dyDescent="0.3">
      <c r="I444" s="440"/>
      <c r="J444" s="440"/>
    </row>
    <row r="445" spans="9:10" x14ac:dyDescent="0.3">
      <c r="I445" s="440"/>
      <c r="J445" s="440"/>
    </row>
    <row r="446" spans="9:10" x14ac:dyDescent="0.3">
      <c r="I446" s="440"/>
      <c r="J446" s="440"/>
    </row>
    <row r="447" spans="9:10" x14ac:dyDescent="0.3">
      <c r="I447" s="440"/>
      <c r="J447" s="440"/>
    </row>
    <row r="448" spans="9:10" x14ac:dyDescent="0.3">
      <c r="I448" s="440"/>
      <c r="J448" s="440"/>
    </row>
    <row r="449" spans="9:10" x14ac:dyDescent="0.3">
      <c r="I449" s="440"/>
      <c r="J449" s="440"/>
    </row>
    <row r="450" spans="9:10" x14ac:dyDescent="0.3">
      <c r="I450" s="440"/>
      <c r="J450" s="440"/>
    </row>
    <row r="451" spans="9:10" x14ac:dyDescent="0.3">
      <c r="I451" s="440"/>
      <c r="J451" s="440"/>
    </row>
    <row r="452" spans="9:10" x14ac:dyDescent="0.3">
      <c r="I452" s="440"/>
      <c r="J452" s="440"/>
    </row>
    <row r="453" spans="9:10" x14ac:dyDescent="0.3">
      <c r="I453" s="440"/>
      <c r="J453" s="440"/>
    </row>
    <row r="454" spans="9:10" x14ac:dyDescent="0.3">
      <c r="I454" s="440"/>
      <c r="J454" s="440"/>
    </row>
    <row r="455" spans="9:10" x14ac:dyDescent="0.3">
      <c r="I455" s="440"/>
      <c r="J455" s="440"/>
    </row>
    <row r="456" spans="9:10" x14ac:dyDescent="0.3">
      <c r="I456" s="440"/>
      <c r="J456" s="440"/>
    </row>
    <row r="457" spans="9:10" x14ac:dyDescent="0.3">
      <c r="I457" s="440"/>
      <c r="J457" s="440"/>
    </row>
    <row r="458" spans="9:10" x14ac:dyDescent="0.3">
      <c r="I458" s="440"/>
      <c r="J458" s="440"/>
    </row>
    <row r="459" spans="9:10" x14ac:dyDescent="0.3">
      <c r="I459" s="440"/>
      <c r="J459" s="440"/>
    </row>
    <row r="460" spans="9:10" x14ac:dyDescent="0.3">
      <c r="I460" s="440"/>
      <c r="J460" s="440"/>
    </row>
    <row r="461" spans="9:10" x14ac:dyDescent="0.3">
      <c r="I461" s="440"/>
      <c r="J461" s="440"/>
    </row>
    <row r="462" spans="9:10" x14ac:dyDescent="0.3">
      <c r="I462" s="440"/>
      <c r="J462" s="440"/>
    </row>
    <row r="463" spans="9:10" x14ac:dyDescent="0.3">
      <c r="I463" s="440"/>
      <c r="J463" s="440"/>
    </row>
    <row r="464" spans="9:10" x14ac:dyDescent="0.3">
      <c r="I464" s="440"/>
      <c r="J464" s="440"/>
    </row>
    <row r="465" spans="9:10" x14ac:dyDescent="0.3">
      <c r="I465" s="440"/>
      <c r="J465" s="440"/>
    </row>
    <row r="466" spans="9:10" x14ac:dyDescent="0.3">
      <c r="I466" s="440"/>
      <c r="J466" s="440"/>
    </row>
    <row r="467" spans="9:10" x14ac:dyDescent="0.3">
      <c r="I467" s="440"/>
      <c r="J467" s="440"/>
    </row>
    <row r="468" spans="9:10" x14ac:dyDescent="0.3">
      <c r="I468" s="440"/>
      <c r="J468" s="440"/>
    </row>
    <row r="469" spans="9:10" x14ac:dyDescent="0.3">
      <c r="I469" s="440"/>
      <c r="J469" s="440"/>
    </row>
    <row r="470" spans="9:10" x14ac:dyDescent="0.3">
      <c r="I470" s="440"/>
      <c r="J470" s="440"/>
    </row>
    <row r="471" spans="9:10" x14ac:dyDescent="0.3">
      <c r="I471" s="440"/>
      <c r="J471" s="440"/>
    </row>
    <row r="472" spans="9:10" x14ac:dyDescent="0.3">
      <c r="I472" s="440"/>
      <c r="J472" s="440"/>
    </row>
    <row r="473" spans="9:10" x14ac:dyDescent="0.3">
      <c r="I473" s="440"/>
      <c r="J473" s="440"/>
    </row>
    <row r="474" spans="9:10" x14ac:dyDescent="0.3">
      <c r="I474" s="440"/>
      <c r="J474" s="440"/>
    </row>
    <row r="475" spans="9:10" x14ac:dyDescent="0.3">
      <c r="I475" s="440"/>
      <c r="J475" s="440"/>
    </row>
    <row r="476" spans="9:10" x14ac:dyDescent="0.3">
      <c r="I476" s="440"/>
      <c r="J476" s="440"/>
    </row>
    <row r="477" spans="9:10" x14ac:dyDescent="0.3">
      <c r="I477" s="440"/>
      <c r="J477" s="440"/>
    </row>
    <row r="478" spans="9:10" x14ac:dyDescent="0.3">
      <c r="I478" s="440"/>
      <c r="J478" s="440"/>
    </row>
    <row r="479" spans="9:10" x14ac:dyDescent="0.3">
      <c r="I479" s="440"/>
      <c r="J479" s="440"/>
    </row>
    <row r="480" spans="9:10" x14ac:dyDescent="0.3">
      <c r="I480" s="440"/>
      <c r="J480" s="440"/>
    </row>
    <row r="481" spans="9:10" x14ac:dyDescent="0.3">
      <c r="I481" s="440"/>
      <c r="J481" s="440"/>
    </row>
    <row r="482" spans="9:10" x14ac:dyDescent="0.3">
      <c r="I482" s="440"/>
      <c r="J482" s="440"/>
    </row>
    <row r="483" spans="9:10" x14ac:dyDescent="0.3">
      <c r="I483" s="440"/>
      <c r="J483" s="440"/>
    </row>
    <row r="484" spans="9:10" x14ac:dyDescent="0.3">
      <c r="I484" s="440"/>
      <c r="J484" s="440"/>
    </row>
    <row r="485" spans="9:10" x14ac:dyDescent="0.3">
      <c r="I485" s="440"/>
      <c r="J485" s="440"/>
    </row>
    <row r="486" spans="9:10" x14ac:dyDescent="0.3">
      <c r="I486" s="440"/>
      <c r="J486" s="440"/>
    </row>
    <row r="487" spans="9:10" x14ac:dyDescent="0.3">
      <c r="I487" s="440"/>
      <c r="J487" s="440"/>
    </row>
    <row r="488" spans="9:10" x14ac:dyDescent="0.3">
      <c r="I488" s="440"/>
      <c r="J488" s="440"/>
    </row>
    <row r="489" spans="9:10" x14ac:dyDescent="0.3">
      <c r="I489" s="440"/>
      <c r="J489" s="440"/>
    </row>
    <row r="490" spans="9:10" x14ac:dyDescent="0.3">
      <c r="I490" s="440"/>
      <c r="J490" s="440"/>
    </row>
    <row r="491" spans="9:10" x14ac:dyDescent="0.3">
      <c r="I491" s="440"/>
      <c r="J491" s="440"/>
    </row>
    <row r="492" spans="9:10" x14ac:dyDescent="0.3">
      <c r="I492" s="440"/>
      <c r="J492" s="440"/>
    </row>
    <row r="493" spans="9:10" x14ac:dyDescent="0.3">
      <c r="I493" s="440"/>
      <c r="J493" s="440"/>
    </row>
    <row r="494" spans="9:10" x14ac:dyDescent="0.3">
      <c r="I494" s="440"/>
      <c r="J494" s="440"/>
    </row>
    <row r="495" spans="9:10" x14ac:dyDescent="0.3">
      <c r="I495" s="440"/>
      <c r="J495" s="440"/>
    </row>
    <row r="496" spans="9:10" x14ac:dyDescent="0.3">
      <c r="I496" s="440"/>
      <c r="J496" s="440"/>
    </row>
    <row r="497" spans="9:10" x14ac:dyDescent="0.3">
      <c r="I497" s="440"/>
      <c r="J497" s="440"/>
    </row>
    <row r="498" spans="9:10" x14ac:dyDescent="0.3">
      <c r="I498" s="440"/>
      <c r="J498" s="440"/>
    </row>
    <row r="499" spans="9:10" x14ac:dyDescent="0.3">
      <c r="I499" s="440"/>
      <c r="J499" s="440"/>
    </row>
    <row r="500" spans="9:10" x14ac:dyDescent="0.3">
      <c r="I500" s="440"/>
      <c r="J500" s="440"/>
    </row>
    <row r="501" spans="9:10" x14ac:dyDescent="0.3">
      <c r="I501" s="440"/>
      <c r="J501" s="440"/>
    </row>
    <row r="502" spans="9:10" x14ac:dyDescent="0.3">
      <c r="I502" s="440"/>
      <c r="J502" s="440"/>
    </row>
    <row r="503" spans="9:10" x14ac:dyDescent="0.3">
      <c r="I503" s="440"/>
      <c r="J503" s="440"/>
    </row>
    <row r="504" spans="9:10" x14ac:dyDescent="0.3">
      <c r="I504" s="440"/>
      <c r="J504" s="440"/>
    </row>
    <row r="505" spans="9:10" x14ac:dyDescent="0.3">
      <c r="I505" s="440"/>
      <c r="J505" s="440"/>
    </row>
    <row r="506" spans="9:10" x14ac:dyDescent="0.3">
      <c r="I506" s="440"/>
      <c r="J506" s="440"/>
    </row>
    <row r="507" spans="9:10" x14ac:dyDescent="0.3">
      <c r="I507" s="440"/>
      <c r="J507" s="440"/>
    </row>
    <row r="508" spans="9:10" x14ac:dyDescent="0.3">
      <c r="I508" s="440"/>
      <c r="J508" s="440"/>
    </row>
    <row r="509" spans="9:10" x14ac:dyDescent="0.3">
      <c r="I509" s="440"/>
      <c r="J509" s="440"/>
    </row>
    <row r="510" spans="9:10" x14ac:dyDescent="0.3">
      <c r="I510" s="440"/>
      <c r="J510" s="440"/>
    </row>
    <row r="511" spans="9:10" x14ac:dyDescent="0.3">
      <c r="I511" s="440"/>
      <c r="J511" s="440"/>
    </row>
    <row r="512" spans="9:10" x14ac:dyDescent="0.3">
      <c r="I512" s="440"/>
      <c r="J512" s="440"/>
    </row>
    <row r="513" spans="9:10" x14ac:dyDescent="0.3">
      <c r="I513" s="440"/>
      <c r="J513" s="440"/>
    </row>
    <row r="514" spans="9:10" x14ac:dyDescent="0.3">
      <c r="I514" s="440"/>
      <c r="J514" s="440"/>
    </row>
    <row r="515" spans="9:10" x14ac:dyDescent="0.3">
      <c r="I515" s="440"/>
      <c r="J515" s="440"/>
    </row>
    <row r="516" spans="9:10" x14ac:dyDescent="0.3">
      <c r="I516" s="440"/>
      <c r="J516" s="440"/>
    </row>
    <row r="517" spans="9:10" x14ac:dyDescent="0.3">
      <c r="I517" s="440"/>
      <c r="J517" s="440"/>
    </row>
    <row r="518" spans="9:10" x14ac:dyDescent="0.3">
      <c r="I518" s="440"/>
      <c r="J518" s="440"/>
    </row>
    <row r="519" spans="9:10" x14ac:dyDescent="0.3">
      <c r="I519" s="440"/>
      <c r="J519" s="440"/>
    </row>
    <row r="520" spans="9:10" x14ac:dyDescent="0.3">
      <c r="I520" s="440"/>
      <c r="J520" s="440"/>
    </row>
    <row r="521" spans="9:10" x14ac:dyDescent="0.3">
      <c r="I521" s="440"/>
      <c r="J521" s="440"/>
    </row>
    <row r="522" spans="9:10" x14ac:dyDescent="0.3">
      <c r="I522" s="440"/>
      <c r="J522" s="440"/>
    </row>
    <row r="523" spans="9:10" x14ac:dyDescent="0.3">
      <c r="I523" s="440"/>
      <c r="J523" s="440"/>
    </row>
    <row r="524" spans="9:10" x14ac:dyDescent="0.3">
      <c r="I524" s="440"/>
      <c r="J524" s="440"/>
    </row>
    <row r="525" spans="9:10" x14ac:dyDescent="0.3">
      <c r="I525" s="440"/>
      <c r="J525" s="440"/>
    </row>
    <row r="526" spans="9:10" x14ac:dyDescent="0.3">
      <c r="I526" s="440"/>
      <c r="J526" s="440"/>
    </row>
    <row r="527" spans="9:10" x14ac:dyDescent="0.3">
      <c r="I527" s="440"/>
      <c r="J527" s="440"/>
    </row>
    <row r="528" spans="9:10" x14ac:dyDescent="0.3">
      <c r="I528" s="440"/>
      <c r="J528" s="440"/>
    </row>
    <row r="529" spans="9:10" x14ac:dyDescent="0.3">
      <c r="I529" s="440"/>
      <c r="J529" s="440"/>
    </row>
    <row r="530" spans="9:10" x14ac:dyDescent="0.3">
      <c r="I530" s="440"/>
      <c r="J530" s="440"/>
    </row>
    <row r="531" spans="9:10" x14ac:dyDescent="0.3">
      <c r="I531" s="440"/>
      <c r="J531" s="440"/>
    </row>
    <row r="532" spans="9:10" x14ac:dyDescent="0.3">
      <c r="I532" s="440"/>
      <c r="J532" s="440"/>
    </row>
    <row r="533" spans="9:10" x14ac:dyDescent="0.3">
      <c r="I533" s="440"/>
      <c r="J533" s="440"/>
    </row>
    <row r="534" spans="9:10" x14ac:dyDescent="0.3">
      <c r="I534" s="440"/>
      <c r="J534" s="440"/>
    </row>
    <row r="535" spans="9:10" x14ac:dyDescent="0.3">
      <c r="I535" s="440"/>
      <c r="J535" s="440"/>
    </row>
    <row r="536" spans="9:10" x14ac:dyDescent="0.3">
      <c r="I536" s="440"/>
      <c r="J536" s="440"/>
    </row>
    <row r="537" spans="9:10" x14ac:dyDescent="0.3">
      <c r="I537" s="440"/>
      <c r="J537" s="440"/>
    </row>
    <row r="538" spans="9:10" x14ac:dyDescent="0.3">
      <c r="I538" s="440"/>
      <c r="J538" s="440"/>
    </row>
    <row r="539" spans="9:10" x14ac:dyDescent="0.3">
      <c r="I539" s="440"/>
      <c r="J539" s="440"/>
    </row>
    <row r="540" spans="9:10" x14ac:dyDescent="0.3">
      <c r="I540" s="440"/>
      <c r="J540" s="440"/>
    </row>
    <row r="541" spans="9:10" x14ac:dyDescent="0.3">
      <c r="I541" s="440"/>
      <c r="J541" s="440"/>
    </row>
    <row r="542" spans="9:10" x14ac:dyDescent="0.3">
      <c r="I542" s="440"/>
      <c r="J542" s="440"/>
    </row>
    <row r="543" spans="9:10" x14ac:dyDescent="0.3">
      <c r="I543" s="440"/>
      <c r="J543" s="440"/>
    </row>
    <row r="544" spans="9:10" x14ac:dyDescent="0.3">
      <c r="I544" s="440"/>
      <c r="J544" s="440"/>
    </row>
    <row r="545" spans="9:10" x14ac:dyDescent="0.3">
      <c r="I545" s="440"/>
      <c r="J545" s="440"/>
    </row>
    <row r="546" spans="9:10" x14ac:dyDescent="0.3">
      <c r="I546" s="440"/>
      <c r="J546" s="440"/>
    </row>
    <row r="547" spans="9:10" x14ac:dyDescent="0.3">
      <c r="I547" s="440"/>
      <c r="J547" s="440"/>
    </row>
    <row r="548" spans="9:10" x14ac:dyDescent="0.3">
      <c r="I548" s="440"/>
      <c r="J548" s="440"/>
    </row>
    <row r="549" spans="9:10" x14ac:dyDescent="0.3">
      <c r="I549" s="440"/>
      <c r="J549" s="440"/>
    </row>
    <row r="550" spans="9:10" x14ac:dyDescent="0.3">
      <c r="I550" s="440"/>
      <c r="J550" s="440"/>
    </row>
    <row r="551" spans="9:10" x14ac:dyDescent="0.3">
      <c r="I551" s="440"/>
      <c r="J551" s="440"/>
    </row>
    <row r="552" spans="9:10" x14ac:dyDescent="0.3">
      <c r="I552" s="440"/>
      <c r="J552" s="440"/>
    </row>
    <row r="553" spans="9:10" x14ac:dyDescent="0.3">
      <c r="I553" s="440"/>
      <c r="J553" s="440"/>
    </row>
    <row r="554" spans="9:10" x14ac:dyDescent="0.3">
      <c r="I554" s="440"/>
      <c r="J554" s="440"/>
    </row>
    <row r="555" spans="9:10" x14ac:dyDescent="0.3">
      <c r="I555" s="440"/>
      <c r="J555" s="440"/>
    </row>
    <row r="556" spans="9:10" x14ac:dyDescent="0.3">
      <c r="I556" s="440"/>
      <c r="J556" s="440"/>
    </row>
    <row r="557" spans="9:10" x14ac:dyDescent="0.3">
      <c r="I557" s="440"/>
      <c r="J557" s="440"/>
    </row>
    <row r="558" spans="9:10" x14ac:dyDescent="0.3">
      <c r="I558" s="440"/>
      <c r="J558" s="440"/>
    </row>
    <row r="559" spans="9:10" x14ac:dyDescent="0.3">
      <c r="I559" s="440"/>
      <c r="J559" s="440"/>
    </row>
    <row r="560" spans="9:10" x14ac:dyDescent="0.3">
      <c r="I560" s="440"/>
      <c r="J560" s="440"/>
    </row>
    <row r="561" spans="9:10" x14ac:dyDescent="0.3">
      <c r="I561" s="440"/>
      <c r="J561" s="440"/>
    </row>
    <row r="562" spans="9:10" x14ac:dyDescent="0.3">
      <c r="I562" s="440"/>
      <c r="J562" s="440"/>
    </row>
    <row r="563" spans="9:10" x14ac:dyDescent="0.3">
      <c r="I563" s="440"/>
      <c r="J563" s="440"/>
    </row>
    <row r="564" spans="9:10" x14ac:dyDescent="0.3">
      <c r="I564" s="440"/>
      <c r="J564" s="440"/>
    </row>
    <row r="565" spans="9:10" x14ac:dyDescent="0.3">
      <c r="I565" s="440"/>
      <c r="J565" s="440"/>
    </row>
    <row r="566" spans="9:10" x14ac:dyDescent="0.3">
      <c r="I566" s="440"/>
      <c r="J566" s="440"/>
    </row>
    <row r="567" spans="9:10" x14ac:dyDescent="0.3">
      <c r="I567" s="440"/>
      <c r="J567" s="440"/>
    </row>
    <row r="568" spans="9:10" x14ac:dyDescent="0.3">
      <c r="I568" s="440"/>
      <c r="J568" s="440"/>
    </row>
    <row r="569" spans="9:10" x14ac:dyDescent="0.3">
      <c r="I569" s="440"/>
      <c r="J569" s="440"/>
    </row>
    <row r="570" spans="9:10" x14ac:dyDescent="0.3">
      <c r="I570" s="440"/>
      <c r="J570" s="440"/>
    </row>
    <row r="571" spans="9:10" x14ac:dyDescent="0.3">
      <c r="I571" s="440"/>
      <c r="J571" s="440"/>
    </row>
    <row r="572" spans="9:10" x14ac:dyDescent="0.3">
      <c r="I572" s="440"/>
      <c r="J572" s="440"/>
    </row>
    <row r="573" spans="9:10" x14ac:dyDescent="0.3">
      <c r="I573" s="440"/>
      <c r="J573" s="440"/>
    </row>
    <row r="574" spans="9:10" x14ac:dyDescent="0.3">
      <c r="I574" s="440"/>
      <c r="J574" s="440"/>
    </row>
    <row r="575" spans="9:10" x14ac:dyDescent="0.3">
      <c r="I575" s="440"/>
      <c r="J575" s="440"/>
    </row>
    <row r="576" spans="9:10" x14ac:dyDescent="0.3">
      <c r="I576" s="440"/>
      <c r="J576" s="440"/>
    </row>
    <row r="577" spans="9:10" x14ac:dyDescent="0.3">
      <c r="I577" s="440"/>
      <c r="J577" s="440"/>
    </row>
    <row r="578" spans="9:10" x14ac:dyDescent="0.3">
      <c r="I578" s="440"/>
      <c r="J578" s="440"/>
    </row>
    <row r="579" spans="9:10" x14ac:dyDescent="0.3">
      <c r="I579" s="440"/>
      <c r="J579" s="440"/>
    </row>
    <row r="580" spans="9:10" x14ac:dyDescent="0.3">
      <c r="I580" s="440"/>
      <c r="J580" s="440"/>
    </row>
    <row r="581" spans="9:10" x14ac:dyDescent="0.3">
      <c r="I581" s="440"/>
      <c r="J581" s="440"/>
    </row>
    <row r="582" spans="9:10" x14ac:dyDescent="0.3">
      <c r="I582" s="440"/>
      <c r="J582" s="440"/>
    </row>
    <row r="583" spans="9:10" x14ac:dyDescent="0.3">
      <c r="I583" s="440"/>
      <c r="J583" s="440"/>
    </row>
    <row r="584" spans="9:10" x14ac:dyDescent="0.3">
      <c r="I584" s="440"/>
      <c r="J584" s="440"/>
    </row>
    <row r="585" spans="9:10" x14ac:dyDescent="0.3">
      <c r="I585" s="440"/>
      <c r="J585" s="440"/>
    </row>
    <row r="586" spans="9:10" x14ac:dyDescent="0.3">
      <c r="I586" s="440"/>
      <c r="J586" s="440"/>
    </row>
    <row r="587" spans="9:10" x14ac:dyDescent="0.3">
      <c r="I587" s="440"/>
      <c r="J587" s="440"/>
    </row>
    <row r="588" spans="9:10" x14ac:dyDescent="0.3">
      <c r="I588" s="440"/>
      <c r="J588" s="440"/>
    </row>
    <row r="589" spans="9:10" x14ac:dyDescent="0.3">
      <c r="I589" s="440"/>
      <c r="J589" s="440"/>
    </row>
    <row r="590" spans="9:10" x14ac:dyDescent="0.3">
      <c r="I590" s="440"/>
      <c r="J590" s="440"/>
    </row>
    <row r="591" spans="9:10" x14ac:dyDescent="0.3">
      <c r="I591" s="440"/>
      <c r="J591" s="440"/>
    </row>
    <row r="592" spans="9:10" x14ac:dyDescent="0.3">
      <c r="I592" s="440"/>
      <c r="J592" s="440"/>
    </row>
    <row r="593" spans="9:10" x14ac:dyDescent="0.3">
      <c r="I593" s="440"/>
      <c r="J593" s="440"/>
    </row>
    <row r="594" spans="9:10" x14ac:dyDescent="0.3">
      <c r="I594" s="440"/>
      <c r="J594" s="440"/>
    </row>
    <row r="595" spans="9:10" x14ac:dyDescent="0.3">
      <c r="I595" s="440"/>
      <c r="J595" s="440"/>
    </row>
    <row r="596" spans="9:10" x14ac:dyDescent="0.3">
      <c r="I596" s="440"/>
      <c r="J596" s="440"/>
    </row>
    <row r="597" spans="9:10" x14ac:dyDescent="0.3">
      <c r="I597" s="440"/>
      <c r="J597" s="440"/>
    </row>
    <row r="598" spans="9:10" x14ac:dyDescent="0.3">
      <c r="I598" s="440"/>
      <c r="J598" s="440"/>
    </row>
    <row r="599" spans="9:10" x14ac:dyDescent="0.3">
      <c r="I599" s="440"/>
      <c r="J599" s="440"/>
    </row>
    <row r="600" spans="9:10" x14ac:dyDescent="0.3">
      <c r="I600" s="440"/>
      <c r="J600" s="440"/>
    </row>
    <row r="601" spans="9:10" x14ac:dyDescent="0.3">
      <c r="I601" s="440"/>
      <c r="J601" s="440"/>
    </row>
    <row r="602" spans="9:10" x14ac:dyDescent="0.3">
      <c r="I602" s="440"/>
      <c r="J602" s="440"/>
    </row>
    <row r="603" spans="9:10" x14ac:dyDescent="0.3">
      <c r="I603" s="440"/>
      <c r="J603" s="440"/>
    </row>
    <row r="604" spans="9:10" x14ac:dyDescent="0.3">
      <c r="I604" s="440"/>
      <c r="J604" s="440"/>
    </row>
    <row r="605" spans="9:10" x14ac:dyDescent="0.3">
      <c r="I605" s="440"/>
      <c r="J605" s="440"/>
    </row>
    <row r="606" spans="9:10" x14ac:dyDescent="0.3">
      <c r="I606" s="440"/>
      <c r="J606" s="440"/>
    </row>
    <row r="607" spans="9:10" x14ac:dyDescent="0.3">
      <c r="I607" s="440"/>
      <c r="J607" s="440"/>
    </row>
    <row r="608" spans="9:10" x14ac:dyDescent="0.3">
      <c r="I608" s="440"/>
      <c r="J608" s="440"/>
    </row>
    <row r="609" spans="9:10" x14ac:dyDescent="0.3">
      <c r="I609" s="440"/>
      <c r="J609" s="440"/>
    </row>
    <row r="610" spans="9:10" x14ac:dyDescent="0.3">
      <c r="I610" s="440"/>
      <c r="J610" s="440"/>
    </row>
    <row r="611" spans="9:10" x14ac:dyDescent="0.3">
      <c r="I611" s="440"/>
      <c r="J611" s="440"/>
    </row>
    <row r="612" spans="9:10" x14ac:dyDescent="0.3">
      <c r="I612" s="440"/>
      <c r="J612" s="440"/>
    </row>
    <row r="613" spans="9:10" x14ac:dyDescent="0.3">
      <c r="I613" s="440"/>
      <c r="J613" s="440"/>
    </row>
    <row r="614" spans="9:10" x14ac:dyDescent="0.3">
      <c r="I614" s="440"/>
      <c r="J614" s="440"/>
    </row>
    <row r="615" spans="9:10" x14ac:dyDescent="0.3">
      <c r="I615" s="440"/>
      <c r="J615" s="440"/>
    </row>
    <row r="616" spans="9:10" x14ac:dyDescent="0.3">
      <c r="I616" s="440"/>
      <c r="J616" s="440"/>
    </row>
    <row r="617" spans="9:10" x14ac:dyDescent="0.3">
      <c r="I617" s="440"/>
      <c r="J617" s="440"/>
    </row>
    <row r="618" spans="9:10" x14ac:dyDescent="0.3">
      <c r="I618" s="440"/>
      <c r="J618" s="440"/>
    </row>
    <row r="619" spans="9:10" x14ac:dyDescent="0.3">
      <c r="I619" s="440"/>
      <c r="J619" s="440"/>
    </row>
    <row r="620" spans="9:10" x14ac:dyDescent="0.3">
      <c r="I620" s="440"/>
      <c r="J620" s="440"/>
    </row>
    <row r="621" spans="9:10" x14ac:dyDescent="0.3">
      <c r="I621" s="440"/>
      <c r="J621" s="440"/>
    </row>
    <row r="622" spans="9:10" x14ac:dyDescent="0.3">
      <c r="I622" s="440"/>
      <c r="J622" s="440"/>
    </row>
    <row r="623" spans="9:10" x14ac:dyDescent="0.3">
      <c r="I623" s="440"/>
      <c r="J623" s="440"/>
    </row>
    <row r="624" spans="9:10" x14ac:dyDescent="0.3">
      <c r="I624" s="440"/>
      <c r="J624" s="440"/>
    </row>
    <row r="625" spans="9:10" x14ac:dyDescent="0.3">
      <c r="I625" s="440"/>
      <c r="J625" s="440"/>
    </row>
    <row r="626" spans="9:10" x14ac:dyDescent="0.3">
      <c r="I626" s="440"/>
      <c r="J626" s="440"/>
    </row>
    <row r="627" spans="9:10" x14ac:dyDescent="0.3">
      <c r="I627" s="440"/>
      <c r="J627" s="440"/>
    </row>
    <row r="628" spans="9:10" x14ac:dyDescent="0.3">
      <c r="I628" s="440"/>
      <c r="J628" s="440"/>
    </row>
    <row r="629" spans="9:10" x14ac:dyDescent="0.3">
      <c r="I629" s="440"/>
      <c r="J629" s="440"/>
    </row>
    <row r="630" spans="9:10" x14ac:dyDescent="0.3">
      <c r="I630" s="440"/>
      <c r="J630" s="440"/>
    </row>
    <row r="631" spans="9:10" x14ac:dyDescent="0.3">
      <c r="I631" s="440"/>
      <c r="J631" s="440"/>
    </row>
    <row r="632" spans="9:10" x14ac:dyDescent="0.3">
      <c r="I632" s="440"/>
      <c r="J632" s="440"/>
    </row>
    <row r="633" spans="9:10" x14ac:dyDescent="0.3">
      <c r="I633" s="440"/>
      <c r="J633" s="440"/>
    </row>
    <row r="634" spans="9:10" x14ac:dyDescent="0.3">
      <c r="I634" s="440"/>
      <c r="J634" s="440"/>
    </row>
    <row r="635" spans="9:10" x14ac:dyDescent="0.3">
      <c r="I635" s="440"/>
      <c r="J635" s="440"/>
    </row>
    <row r="636" spans="9:10" x14ac:dyDescent="0.3">
      <c r="I636" s="440"/>
      <c r="J636" s="440"/>
    </row>
    <row r="637" spans="9:10" x14ac:dyDescent="0.3">
      <c r="I637" s="440"/>
      <c r="J637" s="440"/>
    </row>
    <row r="638" spans="9:10" x14ac:dyDescent="0.3">
      <c r="I638" s="440"/>
      <c r="J638" s="440"/>
    </row>
    <row r="639" spans="9:10" x14ac:dyDescent="0.3">
      <c r="I639" s="440"/>
      <c r="J639" s="440"/>
    </row>
    <row r="640" spans="9:10" x14ac:dyDescent="0.3">
      <c r="I640" s="440"/>
      <c r="J640" s="440"/>
    </row>
    <row r="641" spans="9:10" x14ac:dyDescent="0.3">
      <c r="I641" s="440"/>
      <c r="J641" s="440"/>
    </row>
    <row r="642" spans="9:10" x14ac:dyDescent="0.3">
      <c r="I642" s="440"/>
      <c r="J642" s="440"/>
    </row>
    <row r="643" spans="9:10" x14ac:dyDescent="0.3">
      <c r="I643" s="440"/>
      <c r="J643" s="440"/>
    </row>
    <row r="644" spans="9:10" x14ac:dyDescent="0.3">
      <c r="I644" s="440"/>
      <c r="J644" s="440"/>
    </row>
    <row r="645" spans="9:10" x14ac:dyDescent="0.3">
      <c r="I645" s="440"/>
      <c r="J645" s="440"/>
    </row>
    <row r="646" spans="9:10" x14ac:dyDescent="0.3">
      <c r="I646" s="440"/>
      <c r="J646" s="440"/>
    </row>
    <row r="647" spans="9:10" x14ac:dyDescent="0.3">
      <c r="I647" s="440"/>
      <c r="J647" s="440"/>
    </row>
    <row r="648" spans="9:10" x14ac:dyDescent="0.3">
      <c r="I648" s="440"/>
      <c r="J648" s="440"/>
    </row>
    <row r="649" spans="9:10" x14ac:dyDescent="0.3">
      <c r="I649" s="440"/>
      <c r="J649" s="440"/>
    </row>
    <row r="650" spans="9:10" x14ac:dyDescent="0.3">
      <c r="I650" s="440"/>
      <c r="J650" s="440"/>
    </row>
    <row r="651" spans="9:10" x14ac:dyDescent="0.3">
      <c r="I651" s="440"/>
      <c r="J651" s="440"/>
    </row>
    <row r="652" spans="9:10" x14ac:dyDescent="0.3">
      <c r="I652" s="440"/>
      <c r="J652" s="440"/>
    </row>
    <row r="653" spans="9:10" x14ac:dyDescent="0.3">
      <c r="I653" s="440"/>
      <c r="J653" s="440"/>
    </row>
    <row r="654" spans="9:10" x14ac:dyDescent="0.3">
      <c r="I654" s="440"/>
      <c r="J654" s="440"/>
    </row>
    <row r="655" spans="9:10" x14ac:dyDescent="0.3">
      <c r="I655" s="440"/>
      <c r="J655" s="440"/>
    </row>
    <row r="656" spans="9:10" x14ac:dyDescent="0.3">
      <c r="I656" s="440"/>
      <c r="J656" s="440"/>
    </row>
    <row r="657" spans="9:10" x14ac:dyDescent="0.3">
      <c r="I657" s="440"/>
      <c r="J657" s="440"/>
    </row>
    <row r="658" spans="9:10" x14ac:dyDescent="0.3">
      <c r="I658" s="440"/>
      <c r="J658" s="440"/>
    </row>
    <row r="659" spans="9:10" x14ac:dyDescent="0.3">
      <c r="I659" s="440"/>
      <c r="J659" s="440"/>
    </row>
    <row r="660" spans="9:10" x14ac:dyDescent="0.3">
      <c r="I660" s="440"/>
      <c r="J660" s="440"/>
    </row>
    <row r="661" spans="9:10" x14ac:dyDescent="0.3">
      <c r="I661" s="440"/>
      <c r="J661" s="440"/>
    </row>
    <row r="662" spans="9:10" x14ac:dyDescent="0.3">
      <c r="I662" s="440"/>
      <c r="J662" s="440"/>
    </row>
    <row r="663" spans="9:10" x14ac:dyDescent="0.3">
      <c r="I663" s="440"/>
      <c r="J663" s="440"/>
    </row>
    <row r="664" spans="9:10" x14ac:dyDescent="0.3">
      <c r="I664" s="440"/>
      <c r="J664" s="440"/>
    </row>
    <row r="665" spans="9:10" x14ac:dyDescent="0.3">
      <c r="I665" s="440"/>
      <c r="J665" s="440"/>
    </row>
    <row r="666" spans="9:10" x14ac:dyDescent="0.3">
      <c r="I666" s="440"/>
      <c r="J666" s="440"/>
    </row>
    <row r="667" spans="9:10" x14ac:dyDescent="0.3">
      <c r="I667" s="440"/>
      <c r="J667" s="440"/>
    </row>
    <row r="668" spans="9:10" x14ac:dyDescent="0.3">
      <c r="I668" s="440"/>
      <c r="J668" s="440"/>
    </row>
    <row r="669" spans="9:10" x14ac:dyDescent="0.3">
      <c r="I669" s="440"/>
      <c r="J669" s="440"/>
    </row>
    <row r="670" spans="9:10" x14ac:dyDescent="0.3">
      <c r="I670" s="440"/>
      <c r="J670" s="440"/>
    </row>
    <row r="671" spans="9:10" x14ac:dyDescent="0.3">
      <c r="I671" s="440"/>
      <c r="J671" s="440"/>
    </row>
    <row r="672" spans="9:10" x14ac:dyDescent="0.3">
      <c r="I672" s="440"/>
      <c r="J672" s="440"/>
    </row>
    <row r="673" spans="9:10" x14ac:dyDescent="0.3">
      <c r="I673" s="440"/>
      <c r="J673" s="440"/>
    </row>
    <row r="674" spans="9:10" x14ac:dyDescent="0.3">
      <c r="I674" s="440"/>
      <c r="J674" s="440"/>
    </row>
    <row r="675" spans="9:10" x14ac:dyDescent="0.3">
      <c r="I675" s="440"/>
      <c r="J675" s="440"/>
    </row>
    <row r="676" spans="9:10" x14ac:dyDescent="0.3">
      <c r="I676" s="440"/>
      <c r="J676" s="440"/>
    </row>
    <row r="677" spans="9:10" x14ac:dyDescent="0.3">
      <c r="I677" s="440"/>
      <c r="J677" s="440"/>
    </row>
    <row r="678" spans="9:10" x14ac:dyDescent="0.3">
      <c r="I678" s="440"/>
      <c r="J678" s="440"/>
    </row>
    <row r="679" spans="9:10" x14ac:dyDescent="0.3">
      <c r="I679" s="440"/>
      <c r="J679" s="440"/>
    </row>
    <row r="680" spans="9:10" x14ac:dyDescent="0.3">
      <c r="I680" s="440"/>
      <c r="J680" s="440"/>
    </row>
    <row r="681" spans="9:10" x14ac:dyDescent="0.3">
      <c r="I681" s="440"/>
      <c r="J681" s="440"/>
    </row>
    <row r="682" spans="9:10" x14ac:dyDescent="0.3">
      <c r="I682" s="440"/>
      <c r="J682" s="440"/>
    </row>
    <row r="683" spans="9:10" x14ac:dyDescent="0.3">
      <c r="I683" s="440"/>
      <c r="J683" s="440"/>
    </row>
    <row r="684" spans="9:10" x14ac:dyDescent="0.3">
      <c r="I684" s="440"/>
      <c r="J684" s="440"/>
    </row>
    <row r="685" spans="9:10" x14ac:dyDescent="0.3">
      <c r="I685" s="440"/>
      <c r="J685" s="440"/>
    </row>
    <row r="686" spans="9:10" x14ac:dyDescent="0.3">
      <c r="I686" s="440"/>
      <c r="J686" s="440"/>
    </row>
    <row r="687" spans="9:10" x14ac:dyDescent="0.3">
      <c r="I687" s="440"/>
      <c r="J687" s="440"/>
    </row>
    <row r="688" spans="9:10" x14ac:dyDescent="0.3">
      <c r="I688" s="440"/>
      <c r="J688" s="440"/>
    </row>
    <row r="689" spans="9:10" x14ac:dyDescent="0.3">
      <c r="I689" s="440"/>
      <c r="J689" s="440"/>
    </row>
    <row r="690" spans="9:10" x14ac:dyDescent="0.3">
      <c r="I690" s="440"/>
      <c r="J690" s="440"/>
    </row>
    <row r="691" spans="9:10" x14ac:dyDescent="0.3">
      <c r="I691" s="440"/>
      <c r="J691" s="440"/>
    </row>
    <row r="692" spans="9:10" x14ac:dyDescent="0.3">
      <c r="I692" s="440"/>
      <c r="J692" s="440"/>
    </row>
    <row r="693" spans="9:10" x14ac:dyDescent="0.3">
      <c r="I693" s="440"/>
      <c r="J693" s="440"/>
    </row>
    <row r="694" spans="9:10" x14ac:dyDescent="0.3">
      <c r="I694" s="440"/>
      <c r="J694" s="440"/>
    </row>
    <row r="695" spans="9:10" x14ac:dyDescent="0.3">
      <c r="I695" s="440"/>
      <c r="J695" s="440"/>
    </row>
    <row r="696" spans="9:10" x14ac:dyDescent="0.3">
      <c r="I696" s="440"/>
      <c r="J696" s="440"/>
    </row>
    <row r="697" spans="9:10" x14ac:dyDescent="0.3">
      <c r="I697" s="440"/>
      <c r="J697" s="440"/>
    </row>
    <row r="698" spans="9:10" x14ac:dyDescent="0.3">
      <c r="I698" s="440"/>
      <c r="J698" s="440"/>
    </row>
    <row r="699" spans="9:10" x14ac:dyDescent="0.3">
      <c r="I699" s="440"/>
      <c r="J699" s="440"/>
    </row>
    <row r="700" spans="9:10" x14ac:dyDescent="0.3">
      <c r="I700" s="440"/>
      <c r="J700" s="440"/>
    </row>
    <row r="701" spans="9:10" x14ac:dyDescent="0.3">
      <c r="I701" s="440"/>
      <c r="J701" s="440"/>
    </row>
    <row r="702" spans="9:10" x14ac:dyDescent="0.3">
      <c r="I702" s="440"/>
      <c r="J702" s="440"/>
    </row>
    <row r="703" spans="9:10" x14ac:dyDescent="0.3">
      <c r="I703" s="440"/>
      <c r="J703" s="440"/>
    </row>
    <row r="704" spans="9:10" x14ac:dyDescent="0.3">
      <c r="I704" s="440"/>
      <c r="J704" s="440"/>
    </row>
    <row r="705" spans="9:10" x14ac:dyDescent="0.3">
      <c r="I705" s="440"/>
      <c r="J705" s="440"/>
    </row>
    <row r="706" spans="9:10" x14ac:dyDescent="0.3">
      <c r="I706" s="440"/>
      <c r="J706" s="440"/>
    </row>
    <row r="707" spans="9:10" x14ac:dyDescent="0.3">
      <c r="I707" s="440"/>
      <c r="J707" s="440"/>
    </row>
    <row r="708" spans="9:10" x14ac:dyDescent="0.3">
      <c r="I708" s="440"/>
      <c r="J708" s="440"/>
    </row>
    <row r="709" spans="9:10" x14ac:dyDescent="0.3">
      <c r="I709" s="440"/>
      <c r="J709" s="440"/>
    </row>
    <row r="710" spans="9:10" x14ac:dyDescent="0.3">
      <c r="I710" s="440"/>
      <c r="J710" s="440"/>
    </row>
    <row r="711" spans="9:10" x14ac:dyDescent="0.3">
      <c r="I711" s="440"/>
      <c r="J711" s="440"/>
    </row>
    <row r="712" spans="9:10" x14ac:dyDescent="0.3">
      <c r="I712" s="440"/>
      <c r="J712" s="440"/>
    </row>
    <row r="713" spans="9:10" x14ac:dyDescent="0.3">
      <c r="I713" s="440"/>
      <c r="J713" s="440"/>
    </row>
    <row r="714" spans="9:10" x14ac:dyDescent="0.3">
      <c r="I714" s="440"/>
      <c r="J714" s="440"/>
    </row>
    <row r="715" spans="9:10" x14ac:dyDescent="0.3">
      <c r="I715" s="440"/>
      <c r="J715" s="440"/>
    </row>
    <row r="716" spans="9:10" x14ac:dyDescent="0.3">
      <c r="I716" s="440"/>
      <c r="J716" s="440"/>
    </row>
    <row r="717" spans="9:10" x14ac:dyDescent="0.3">
      <c r="I717" s="440"/>
      <c r="J717" s="440"/>
    </row>
    <row r="718" spans="9:10" x14ac:dyDescent="0.3">
      <c r="I718" s="440"/>
      <c r="J718" s="440"/>
    </row>
    <row r="719" spans="9:10" x14ac:dyDescent="0.3">
      <c r="I719" s="440"/>
      <c r="J719" s="440"/>
    </row>
    <row r="720" spans="9:10" x14ac:dyDescent="0.3">
      <c r="I720" s="440"/>
      <c r="J720" s="440"/>
    </row>
    <row r="721" spans="9:10" x14ac:dyDescent="0.3">
      <c r="I721" s="440"/>
      <c r="J721" s="440"/>
    </row>
    <row r="722" spans="9:10" x14ac:dyDescent="0.3">
      <c r="I722" s="440"/>
      <c r="J722" s="440"/>
    </row>
    <row r="723" spans="9:10" x14ac:dyDescent="0.3">
      <c r="I723" s="440"/>
      <c r="J723" s="440"/>
    </row>
    <row r="724" spans="9:10" x14ac:dyDescent="0.3">
      <c r="I724" s="440"/>
      <c r="J724" s="440"/>
    </row>
    <row r="725" spans="9:10" x14ac:dyDescent="0.3">
      <c r="I725" s="440"/>
      <c r="J725" s="440"/>
    </row>
    <row r="726" spans="9:10" x14ac:dyDescent="0.3">
      <c r="I726" s="440"/>
      <c r="J726" s="440"/>
    </row>
    <row r="727" spans="9:10" x14ac:dyDescent="0.3">
      <c r="I727" s="440"/>
      <c r="J727" s="440"/>
    </row>
    <row r="728" spans="9:10" x14ac:dyDescent="0.3">
      <c r="I728" s="440"/>
      <c r="J728" s="440"/>
    </row>
    <row r="729" spans="9:10" x14ac:dyDescent="0.3">
      <c r="I729" s="440"/>
      <c r="J729" s="440"/>
    </row>
    <row r="730" spans="9:10" x14ac:dyDescent="0.3">
      <c r="I730" s="440"/>
      <c r="J730" s="440"/>
    </row>
    <row r="731" spans="9:10" x14ac:dyDescent="0.3">
      <c r="I731" s="440"/>
      <c r="J731" s="440"/>
    </row>
    <row r="732" spans="9:10" x14ac:dyDescent="0.3">
      <c r="I732" s="440"/>
      <c r="J732" s="440"/>
    </row>
    <row r="733" spans="9:10" x14ac:dyDescent="0.3">
      <c r="I733" s="440"/>
      <c r="J733" s="440"/>
    </row>
    <row r="734" spans="9:10" x14ac:dyDescent="0.3">
      <c r="I734" s="440"/>
      <c r="J734" s="440"/>
    </row>
    <row r="735" spans="9:10" x14ac:dyDescent="0.3">
      <c r="I735" s="440"/>
      <c r="J735" s="440"/>
    </row>
    <row r="736" spans="9:10" x14ac:dyDescent="0.3">
      <c r="I736" s="440"/>
      <c r="J736" s="440"/>
    </row>
    <row r="737" spans="9:10" x14ac:dyDescent="0.3">
      <c r="I737" s="440"/>
      <c r="J737" s="440"/>
    </row>
    <row r="738" spans="9:10" x14ac:dyDescent="0.3">
      <c r="I738" s="440"/>
      <c r="J738" s="440"/>
    </row>
    <row r="739" spans="9:10" x14ac:dyDescent="0.3">
      <c r="I739" s="440"/>
      <c r="J739" s="440"/>
    </row>
    <row r="740" spans="9:10" x14ac:dyDescent="0.3">
      <c r="I740" s="440"/>
      <c r="J740" s="440"/>
    </row>
    <row r="741" spans="9:10" x14ac:dyDescent="0.3">
      <c r="I741" s="440"/>
      <c r="J741" s="440"/>
    </row>
    <row r="742" spans="9:10" x14ac:dyDescent="0.3">
      <c r="I742" s="440"/>
      <c r="J742" s="440"/>
    </row>
    <row r="743" spans="9:10" x14ac:dyDescent="0.3">
      <c r="I743" s="440"/>
      <c r="J743" s="440"/>
    </row>
    <row r="744" spans="9:10" x14ac:dyDescent="0.3">
      <c r="I744" s="440"/>
      <c r="J744" s="440"/>
    </row>
    <row r="745" spans="9:10" x14ac:dyDescent="0.3">
      <c r="I745" s="440"/>
      <c r="J745" s="440"/>
    </row>
    <row r="746" spans="9:10" x14ac:dyDescent="0.3">
      <c r="I746" s="440"/>
      <c r="J746" s="440"/>
    </row>
    <row r="747" spans="9:10" x14ac:dyDescent="0.3">
      <c r="I747" s="440"/>
      <c r="J747" s="440"/>
    </row>
    <row r="748" spans="9:10" x14ac:dyDescent="0.3">
      <c r="I748" s="440"/>
      <c r="J748" s="440"/>
    </row>
    <row r="749" spans="9:10" x14ac:dyDescent="0.3">
      <c r="I749" s="440"/>
      <c r="J749" s="440"/>
    </row>
    <row r="750" spans="9:10" x14ac:dyDescent="0.3">
      <c r="I750" s="440"/>
      <c r="J750" s="440"/>
    </row>
    <row r="751" spans="9:10" x14ac:dyDescent="0.3">
      <c r="I751" s="440"/>
      <c r="J751" s="440"/>
    </row>
    <row r="752" spans="9:10" x14ac:dyDescent="0.3">
      <c r="I752" s="440"/>
      <c r="J752" s="440"/>
    </row>
    <row r="753" spans="9:10" x14ac:dyDescent="0.3">
      <c r="I753" s="440"/>
      <c r="J753" s="440"/>
    </row>
    <row r="754" spans="9:10" x14ac:dyDescent="0.3">
      <c r="I754" s="440"/>
      <c r="J754" s="440"/>
    </row>
    <row r="755" spans="9:10" x14ac:dyDescent="0.3">
      <c r="I755" s="440"/>
      <c r="J755" s="440"/>
    </row>
    <row r="756" spans="9:10" x14ac:dyDescent="0.3">
      <c r="I756" s="440"/>
      <c r="J756" s="440"/>
    </row>
    <row r="757" spans="9:10" x14ac:dyDescent="0.3">
      <c r="I757" s="440"/>
      <c r="J757" s="440"/>
    </row>
    <row r="758" spans="9:10" x14ac:dyDescent="0.3">
      <c r="I758" s="440"/>
      <c r="J758" s="440"/>
    </row>
    <row r="759" spans="9:10" x14ac:dyDescent="0.3">
      <c r="I759" s="440"/>
      <c r="J759" s="440"/>
    </row>
    <row r="760" spans="9:10" x14ac:dyDescent="0.3">
      <c r="I760" s="440"/>
      <c r="J760" s="440"/>
    </row>
    <row r="761" spans="9:10" x14ac:dyDescent="0.3">
      <c r="I761" s="440"/>
      <c r="J761" s="440"/>
    </row>
    <row r="762" spans="9:10" x14ac:dyDescent="0.3">
      <c r="I762" s="440"/>
      <c r="J762" s="440"/>
    </row>
    <row r="763" spans="9:10" x14ac:dyDescent="0.3">
      <c r="I763" s="440"/>
      <c r="J763" s="440"/>
    </row>
    <row r="764" spans="9:10" x14ac:dyDescent="0.3">
      <c r="I764" s="440"/>
      <c r="J764" s="440"/>
    </row>
    <row r="765" spans="9:10" x14ac:dyDescent="0.3">
      <c r="I765" s="440"/>
      <c r="J765" s="440"/>
    </row>
    <row r="766" spans="9:10" x14ac:dyDescent="0.3">
      <c r="I766" s="440"/>
      <c r="J766" s="440"/>
    </row>
    <row r="767" spans="9:10" x14ac:dyDescent="0.3">
      <c r="I767" s="440"/>
      <c r="J767" s="440"/>
    </row>
    <row r="768" spans="9:10" x14ac:dyDescent="0.3">
      <c r="I768" s="440"/>
      <c r="J768" s="440"/>
    </row>
    <row r="769" spans="9:10" x14ac:dyDescent="0.3">
      <c r="I769" s="440"/>
      <c r="J769" s="440"/>
    </row>
    <row r="770" spans="9:10" x14ac:dyDescent="0.3">
      <c r="I770" s="440"/>
      <c r="J770" s="440"/>
    </row>
    <row r="771" spans="9:10" x14ac:dyDescent="0.3">
      <c r="I771" s="440"/>
      <c r="J771" s="440"/>
    </row>
    <row r="772" spans="9:10" x14ac:dyDescent="0.3">
      <c r="I772" s="440"/>
      <c r="J772" s="440"/>
    </row>
    <row r="773" spans="9:10" x14ac:dyDescent="0.3">
      <c r="I773" s="440"/>
      <c r="J773" s="440"/>
    </row>
    <row r="774" spans="9:10" x14ac:dyDescent="0.3">
      <c r="I774" s="440"/>
      <c r="J774" s="440"/>
    </row>
    <row r="775" spans="9:10" x14ac:dyDescent="0.3">
      <c r="I775" s="440"/>
      <c r="J775" s="440"/>
    </row>
    <row r="776" spans="9:10" x14ac:dyDescent="0.3">
      <c r="I776" s="440"/>
      <c r="J776" s="440"/>
    </row>
    <row r="777" spans="9:10" x14ac:dyDescent="0.3">
      <c r="I777" s="440"/>
      <c r="J777" s="440"/>
    </row>
    <row r="778" spans="9:10" x14ac:dyDescent="0.3">
      <c r="I778" s="440"/>
      <c r="J778" s="440"/>
    </row>
    <row r="779" spans="9:10" x14ac:dyDescent="0.3">
      <c r="I779" s="440"/>
      <c r="J779" s="440"/>
    </row>
    <row r="780" spans="9:10" x14ac:dyDescent="0.3">
      <c r="I780" s="440"/>
      <c r="J780" s="440"/>
    </row>
    <row r="781" spans="9:10" x14ac:dyDescent="0.3">
      <c r="I781" s="440"/>
      <c r="J781" s="440"/>
    </row>
    <row r="782" spans="9:10" x14ac:dyDescent="0.3">
      <c r="I782" s="440"/>
      <c r="J782" s="440"/>
    </row>
    <row r="783" spans="9:10" x14ac:dyDescent="0.3">
      <c r="I783" s="440"/>
      <c r="J783" s="440"/>
    </row>
    <row r="784" spans="9:10" x14ac:dyDescent="0.3">
      <c r="I784" s="440"/>
      <c r="J784" s="440"/>
    </row>
    <row r="785" spans="9:10" x14ac:dyDescent="0.3">
      <c r="I785" s="440"/>
      <c r="J785" s="440"/>
    </row>
    <row r="786" spans="9:10" x14ac:dyDescent="0.3">
      <c r="I786" s="440"/>
      <c r="J786" s="440"/>
    </row>
    <row r="787" spans="9:10" x14ac:dyDescent="0.3">
      <c r="I787" s="440"/>
      <c r="J787" s="440"/>
    </row>
    <row r="788" spans="9:10" x14ac:dyDescent="0.3">
      <c r="I788" s="440"/>
      <c r="J788" s="440"/>
    </row>
    <row r="789" spans="9:10" x14ac:dyDescent="0.3">
      <c r="I789" s="440"/>
      <c r="J789" s="440"/>
    </row>
    <row r="790" spans="9:10" x14ac:dyDescent="0.3">
      <c r="I790" s="440"/>
      <c r="J790" s="440"/>
    </row>
    <row r="791" spans="9:10" x14ac:dyDescent="0.3">
      <c r="I791" s="440"/>
      <c r="J791" s="440"/>
    </row>
    <row r="792" spans="9:10" x14ac:dyDescent="0.3">
      <c r="I792" s="440"/>
      <c r="J792" s="440"/>
    </row>
    <row r="793" spans="9:10" x14ac:dyDescent="0.3">
      <c r="I793" s="440"/>
      <c r="J793" s="440"/>
    </row>
    <row r="794" spans="9:10" x14ac:dyDescent="0.3">
      <c r="I794" s="440"/>
      <c r="J794" s="440"/>
    </row>
    <row r="795" spans="9:10" x14ac:dyDescent="0.3">
      <c r="I795" s="440"/>
      <c r="J795" s="440"/>
    </row>
    <row r="796" spans="9:10" x14ac:dyDescent="0.3">
      <c r="I796" s="440"/>
      <c r="J796" s="440"/>
    </row>
    <row r="797" spans="9:10" x14ac:dyDescent="0.3">
      <c r="I797" s="440"/>
      <c r="J797" s="440"/>
    </row>
    <row r="798" spans="9:10" x14ac:dyDescent="0.3">
      <c r="I798" s="440"/>
      <c r="J798" s="440"/>
    </row>
    <row r="799" spans="9:10" x14ac:dyDescent="0.3">
      <c r="I799" s="440"/>
      <c r="J799" s="440"/>
    </row>
    <row r="800" spans="9:10" x14ac:dyDescent="0.3">
      <c r="I800" s="440"/>
      <c r="J800" s="440"/>
    </row>
    <row r="801" spans="9:10" x14ac:dyDescent="0.3">
      <c r="I801" s="440"/>
      <c r="J801" s="440"/>
    </row>
    <row r="802" spans="9:10" x14ac:dyDescent="0.3">
      <c r="I802" s="440"/>
      <c r="J802" s="440"/>
    </row>
    <row r="803" spans="9:10" x14ac:dyDescent="0.3">
      <c r="I803" s="440"/>
      <c r="J803" s="440"/>
    </row>
    <row r="804" spans="9:10" x14ac:dyDescent="0.3">
      <c r="I804" s="440"/>
      <c r="J804" s="440"/>
    </row>
    <row r="805" spans="9:10" x14ac:dyDescent="0.3">
      <c r="I805" s="440"/>
      <c r="J805" s="440"/>
    </row>
    <row r="806" spans="9:10" x14ac:dyDescent="0.3">
      <c r="I806" s="440"/>
      <c r="J806" s="440"/>
    </row>
    <row r="807" spans="9:10" x14ac:dyDescent="0.3">
      <c r="I807" s="440"/>
      <c r="J807" s="440"/>
    </row>
    <row r="808" spans="9:10" x14ac:dyDescent="0.3">
      <c r="I808" s="440"/>
      <c r="J808" s="440"/>
    </row>
    <row r="809" spans="9:10" x14ac:dyDescent="0.3">
      <c r="I809" s="440"/>
      <c r="J809" s="440"/>
    </row>
    <row r="810" spans="9:10" x14ac:dyDescent="0.3">
      <c r="I810" s="440"/>
      <c r="J810" s="440"/>
    </row>
    <row r="811" spans="9:10" x14ac:dyDescent="0.3">
      <c r="I811" s="440"/>
      <c r="J811" s="440"/>
    </row>
    <row r="812" spans="9:10" x14ac:dyDescent="0.3">
      <c r="I812" s="440"/>
      <c r="J812" s="440"/>
    </row>
    <row r="813" spans="9:10" x14ac:dyDescent="0.3">
      <c r="I813" s="440"/>
      <c r="J813" s="440"/>
    </row>
    <row r="814" spans="9:10" x14ac:dyDescent="0.3">
      <c r="I814" s="440"/>
      <c r="J814" s="440"/>
    </row>
    <row r="815" spans="9:10" x14ac:dyDescent="0.3">
      <c r="I815" s="440"/>
      <c r="J815" s="440"/>
    </row>
    <row r="816" spans="9:10" x14ac:dyDescent="0.3">
      <c r="I816" s="440"/>
      <c r="J816" s="440"/>
    </row>
    <row r="817" spans="9:10" x14ac:dyDescent="0.3">
      <c r="I817" s="440"/>
      <c r="J817" s="440"/>
    </row>
    <row r="818" spans="9:10" x14ac:dyDescent="0.3">
      <c r="I818" s="440"/>
      <c r="J818" s="440"/>
    </row>
    <row r="819" spans="9:10" x14ac:dyDescent="0.3">
      <c r="I819" s="440"/>
      <c r="J819" s="440"/>
    </row>
    <row r="820" spans="9:10" x14ac:dyDescent="0.3">
      <c r="I820" s="440"/>
      <c r="J820" s="440"/>
    </row>
    <row r="821" spans="9:10" x14ac:dyDescent="0.3">
      <c r="I821" s="440"/>
      <c r="J821" s="440"/>
    </row>
    <row r="822" spans="9:10" x14ac:dyDescent="0.3">
      <c r="I822" s="440"/>
      <c r="J822" s="440"/>
    </row>
    <row r="823" spans="9:10" x14ac:dyDescent="0.3">
      <c r="I823" s="440"/>
      <c r="J823" s="440"/>
    </row>
    <row r="824" spans="9:10" x14ac:dyDescent="0.3">
      <c r="I824" s="440"/>
      <c r="J824" s="440"/>
    </row>
    <row r="825" spans="9:10" x14ac:dyDescent="0.3">
      <c r="I825" s="440"/>
      <c r="J825" s="440"/>
    </row>
    <row r="826" spans="9:10" x14ac:dyDescent="0.3">
      <c r="I826" s="440"/>
      <c r="J826" s="440"/>
    </row>
    <row r="827" spans="9:10" x14ac:dyDescent="0.3">
      <c r="I827" s="440"/>
      <c r="J827" s="440"/>
    </row>
    <row r="828" spans="9:10" x14ac:dyDescent="0.3">
      <c r="I828" s="440"/>
      <c r="J828" s="440"/>
    </row>
    <row r="829" spans="9:10" x14ac:dyDescent="0.3">
      <c r="I829" s="440"/>
      <c r="J829" s="440"/>
    </row>
    <row r="830" spans="9:10" x14ac:dyDescent="0.3">
      <c r="I830" s="440"/>
      <c r="J830" s="440"/>
    </row>
    <row r="831" spans="9:10" x14ac:dyDescent="0.3">
      <c r="I831" s="440"/>
      <c r="J831" s="440"/>
    </row>
    <row r="832" spans="9:10" x14ac:dyDescent="0.3">
      <c r="I832" s="440"/>
      <c r="J832" s="440"/>
    </row>
    <row r="833" spans="9:10" x14ac:dyDescent="0.3">
      <c r="I833" s="440"/>
      <c r="J833" s="440"/>
    </row>
    <row r="834" spans="9:10" x14ac:dyDescent="0.3">
      <c r="I834" s="440"/>
      <c r="J834" s="440"/>
    </row>
    <row r="835" spans="9:10" x14ac:dyDescent="0.3">
      <c r="I835" s="440"/>
      <c r="J835" s="440"/>
    </row>
    <row r="836" spans="9:10" x14ac:dyDescent="0.3">
      <c r="I836" s="440"/>
      <c r="J836" s="440"/>
    </row>
    <row r="837" spans="9:10" x14ac:dyDescent="0.3">
      <c r="I837" s="440"/>
      <c r="J837" s="440"/>
    </row>
    <row r="838" spans="9:10" x14ac:dyDescent="0.3">
      <c r="I838" s="440"/>
      <c r="J838" s="440"/>
    </row>
    <row r="839" spans="9:10" x14ac:dyDescent="0.3">
      <c r="I839" s="440"/>
      <c r="J839" s="440"/>
    </row>
    <row r="840" spans="9:10" x14ac:dyDescent="0.3">
      <c r="I840" s="440"/>
      <c r="J840" s="440"/>
    </row>
    <row r="841" spans="9:10" x14ac:dyDescent="0.3">
      <c r="I841" s="440"/>
      <c r="J841" s="440"/>
    </row>
    <row r="842" spans="9:10" x14ac:dyDescent="0.3">
      <c r="I842" s="440"/>
      <c r="J842" s="440"/>
    </row>
    <row r="843" spans="9:10" x14ac:dyDescent="0.3">
      <c r="I843" s="440"/>
      <c r="J843" s="440"/>
    </row>
    <row r="844" spans="9:10" x14ac:dyDescent="0.3">
      <c r="I844" s="440"/>
      <c r="J844" s="440"/>
    </row>
    <row r="845" spans="9:10" x14ac:dyDescent="0.3">
      <c r="I845" s="440"/>
      <c r="J845" s="440"/>
    </row>
    <row r="846" spans="9:10" x14ac:dyDescent="0.3">
      <c r="I846" s="440"/>
      <c r="J846" s="440"/>
    </row>
    <row r="847" spans="9:10" x14ac:dyDescent="0.3">
      <c r="I847" s="440"/>
      <c r="J847" s="440"/>
    </row>
    <row r="848" spans="9:10" x14ac:dyDescent="0.3">
      <c r="I848" s="440"/>
      <c r="J848" s="440"/>
    </row>
    <row r="849" spans="9:10" x14ac:dyDescent="0.3">
      <c r="I849" s="440"/>
      <c r="J849" s="440"/>
    </row>
    <row r="850" spans="9:10" x14ac:dyDescent="0.3">
      <c r="I850" s="440"/>
      <c r="J850" s="440"/>
    </row>
    <row r="851" spans="9:10" x14ac:dyDescent="0.3">
      <c r="I851" s="440"/>
      <c r="J851" s="440"/>
    </row>
    <row r="852" spans="9:10" x14ac:dyDescent="0.3">
      <c r="I852" s="440"/>
      <c r="J852" s="440"/>
    </row>
    <row r="853" spans="9:10" x14ac:dyDescent="0.3">
      <c r="I853" s="440"/>
      <c r="J853" s="440"/>
    </row>
    <row r="854" spans="9:10" x14ac:dyDescent="0.3">
      <c r="I854" s="440"/>
      <c r="J854" s="440"/>
    </row>
    <row r="855" spans="9:10" x14ac:dyDescent="0.3">
      <c r="I855" s="440"/>
      <c r="J855" s="440"/>
    </row>
    <row r="856" spans="9:10" x14ac:dyDescent="0.3">
      <c r="I856" s="440"/>
      <c r="J856" s="440"/>
    </row>
    <row r="857" spans="9:10" x14ac:dyDescent="0.3">
      <c r="I857" s="440"/>
      <c r="J857" s="440"/>
    </row>
    <row r="858" spans="9:10" x14ac:dyDescent="0.3">
      <c r="I858" s="440"/>
      <c r="J858" s="440"/>
    </row>
    <row r="859" spans="9:10" x14ac:dyDescent="0.3">
      <c r="I859" s="440"/>
      <c r="J859" s="440"/>
    </row>
    <row r="860" spans="9:10" x14ac:dyDescent="0.3">
      <c r="I860" s="440"/>
      <c r="J860" s="440"/>
    </row>
    <row r="861" spans="9:10" x14ac:dyDescent="0.3">
      <c r="I861" s="440"/>
      <c r="J861" s="440"/>
    </row>
    <row r="862" spans="9:10" x14ac:dyDescent="0.3">
      <c r="I862" s="440"/>
      <c r="J862" s="440"/>
    </row>
    <row r="863" spans="9:10" x14ac:dyDescent="0.3">
      <c r="I863" s="440"/>
      <c r="J863" s="440"/>
    </row>
    <row r="864" spans="9:10" x14ac:dyDescent="0.3">
      <c r="I864" s="440"/>
      <c r="J864" s="440"/>
    </row>
    <row r="865" spans="9:10" x14ac:dyDescent="0.3">
      <c r="I865" s="440"/>
      <c r="J865" s="440"/>
    </row>
    <row r="866" spans="9:10" x14ac:dyDescent="0.3">
      <c r="I866" s="440"/>
      <c r="J866" s="440"/>
    </row>
    <row r="867" spans="9:10" x14ac:dyDescent="0.3">
      <c r="I867" s="440"/>
      <c r="J867" s="440"/>
    </row>
    <row r="868" spans="9:10" x14ac:dyDescent="0.3">
      <c r="I868" s="440"/>
      <c r="J868" s="440"/>
    </row>
    <row r="869" spans="9:10" x14ac:dyDescent="0.3">
      <c r="I869" s="440"/>
      <c r="J869" s="440"/>
    </row>
    <row r="870" spans="9:10" x14ac:dyDescent="0.3">
      <c r="I870" s="440"/>
      <c r="J870" s="440"/>
    </row>
    <row r="871" spans="9:10" x14ac:dyDescent="0.3">
      <c r="I871" s="440"/>
      <c r="J871" s="440"/>
    </row>
    <row r="872" spans="9:10" x14ac:dyDescent="0.3">
      <c r="I872" s="440"/>
      <c r="J872" s="440"/>
    </row>
    <row r="873" spans="9:10" x14ac:dyDescent="0.3">
      <c r="I873" s="440"/>
      <c r="J873" s="440"/>
    </row>
    <row r="874" spans="9:10" x14ac:dyDescent="0.3">
      <c r="I874" s="440"/>
      <c r="J874" s="440"/>
    </row>
    <row r="875" spans="9:10" x14ac:dyDescent="0.3">
      <c r="I875" s="440"/>
      <c r="J875" s="440"/>
    </row>
    <row r="876" spans="9:10" x14ac:dyDescent="0.3">
      <c r="I876" s="440"/>
      <c r="J876" s="440"/>
    </row>
    <row r="877" spans="9:10" x14ac:dyDescent="0.3">
      <c r="I877" s="440"/>
      <c r="J877" s="440"/>
    </row>
    <row r="878" spans="9:10" x14ac:dyDescent="0.3">
      <c r="I878" s="440"/>
      <c r="J878" s="440"/>
    </row>
    <row r="879" spans="9:10" x14ac:dyDescent="0.3">
      <c r="I879" s="440"/>
      <c r="J879" s="440"/>
    </row>
    <row r="880" spans="9:10" x14ac:dyDescent="0.3">
      <c r="I880" s="440"/>
      <c r="J880" s="440"/>
    </row>
    <row r="881" spans="9:10" x14ac:dyDescent="0.3">
      <c r="I881" s="440"/>
      <c r="J881" s="440"/>
    </row>
    <row r="882" spans="9:10" x14ac:dyDescent="0.3">
      <c r="I882" s="440"/>
      <c r="J882" s="440"/>
    </row>
    <row r="883" spans="9:10" x14ac:dyDescent="0.3">
      <c r="I883" s="440"/>
      <c r="J883" s="440"/>
    </row>
    <row r="884" spans="9:10" x14ac:dyDescent="0.3">
      <c r="I884" s="440"/>
      <c r="J884" s="440"/>
    </row>
    <row r="885" spans="9:10" x14ac:dyDescent="0.3">
      <c r="I885" s="440"/>
      <c r="J885" s="440"/>
    </row>
    <row r="886" spans="9:10" x14ac:dyDescent="0.3">
      <c r="I886" s="440"/>
      <c r="J886" s="440"/>
    </row>
    <row r="887" spans="9:10" x14ac:dyDescent="0.3">
      <c r="I887" s="440"/>
      <c r="J887" s="440"/>
    </row>
    <row r="888" spans="9:10" x14ac:dyDescent="0.3">
      <c r="I888" s="440"/>
      <c r="J888" s="440"/>
    </row>
    <row r="889" spans="9:10" x14ac:dyDescent="0.3">
      <c r="I889" s="440"/>
      <c r="J889" s="440"/>
    </row>
    <row r="890" spans="9:10" x14ac:dyDescent="0.3">
      <c r="I890" s="440"/>
      <c r="J890" s="440"/>
    </row>
    <row r="891" spans="9:10" x14ac:dyDescent="0.3">
      <c r="I891" s="440"/>
      <c r="J891" s="440"/>
    </row>
    <row r="892" spans="9:10" x14ac:dyDescent="0.3">
      <c r="I892" s="440"/>
      <c r="J892" s="440"/>
    </row>
    <row r="893" spans="9:10" x14ac:dyDescent="0.3">
      <c r="I893" s="440"/>
      <c r="J893" s="440"/>
    </row>
    <row r="894" spans="9:10" x14ac:dyDescent="0.3">
      <c r="I894" s="440"/>
      <c r="J894" s="440"/>
    </row>
    <row r="895" spans="9:10" x14ac:dyDescent="0.3">
      <c r="I895" s="440"/>
      <c r="J895" s="440"/>
    </row>
    <row r="896" spans="9:10" x14ac:dyDescent="0.3">
      <c r="I896" s="440"/>
      <c r="J896" s="440"/>
    </row>
    <row r="897" spans="9:10" x14ac:dyDescent="0.3">
      <c r="I897" s="440"/>
      <c r="J897" s="440"/>
    </row>
    <row r="898" spans="9:10" x14ac:dyDescent="0.3">
      <c r="I898" s="440"/>
      <c r="J898" s="440"/>
    </row>
    <row r="899" spans="9:10" x14ac:dyDescent="0.3">
      <c r="I899" s="440"/>
      <c r="J899" s="440"/>
    </row>
    <row r="900" spans="9:10" x14ac:dyDescent="0.3">
      <c r="I900" s="440"/>
      <c r="J900" s="440"/>
    </row>
    <row r="901" spans="9:10" x14ac:dyDescent="0.3">
      <c r="I901" s="440"/>
      <c r="J901" s="440"/>
    </row>
    <row r="902" spans="9:10" x14ac:dyDescent="0.3">
      <c r="I902" s="440"/>
      <c r="J902" s="440"/>
    </row>
    <row r="903" spans="9:10" x14ac:dyDescent="0.3">
      <c r="I903" s="440"/>
      <c r="J903" s="440"/>
    </row>
    <row r="904" spans="9:10" x14ac:dyDescent="0.3">
      <c r="I904" s="440"/>
      <c r="J904" s="440"/>
    </row>
    <row r="905" spans="9:10" x14ac:dyDescent="0.3">
      <c r="I905" s="440"/>
      <c r="J905" s="440"/>
    </row>
    <row r="906" spans="9:10" x14ac:dyDescent="0.3">
      <c r="I906" s="440"/>
      <c r="J906" s="440"/>
    </row>
    <row r="907" spans="9:10" x14ac:dyDescent="0.3">
      <c r="I907" s="440"/>
      <c r="J907" s="440"/>
    </row>
    <row r="908" spans="9:10" x14ac:dyDescent="0.3">
      <c r="I908" s="440"/>
      <c r="J908" s="440"/>
    </row>
    <row r="909" spans="9:10" x14ac:dyDescent="0.3">
      <c r="I909" s="440"/>
      <c r="J909" s="440"/>
    </row>
    <row r="910" spans="9:10" x14ac:dyDescent="0.3">
      <c r="I910" s="440"/>
      <c r="J910" s="440"/>
    </row>
    <row r="911" spans="9:10" x14ac:dyDescent="0.3">
      <c r="I911" s="440"/>
      <c r="J911" s="440"/>
    </row>
    <row r="912" spans="9:10" x14ac:dyDescent="0.3">
      <c r="I912" s="440"/>
      <c r="J912" s="440"/>
    </row>
    <row r="913" spans="9:10" x14ac:dyDescent="0.3">
      <c r="I913" s="440"/>
      <c r="J913" s="440"/>
    </row>
    <row r="914" spans="9:10" x14ac:dyDescent="0.3">
      <c r="I914" s="440"/>
      <c r="J914" s="440"/>
    </row>
    <row r="915" spans="9:10" x14ac:dyDescent="0.3">
      <c r="I915" s="440"/>
      <c r="J915" s="440"/>
    </row>
    <row r="916" spans="9:10" x14ac:dyDescent="0.3">
      <c r="I916" s="440"/>
      <c r="J916" s="440"/>
    </row>
    <row r="917" spans="9:10" x14ac:dyDescent="0.3">
      <c r="I917" s="440"/>
      <c r="J917" s="440"/>
    </row>
    <row r="918" spans="9:10" x14ac:dyDescent="0.3">
      <c r="I918" s="440"/>
      <c r="J918" s="440"/>
    </row>
    <row r="919" spans="9:10" x14ac:dyDescent="0.3">
      <c r="I919" s="440"/>
      <c r="J919" s="440"/>
    </row>
    <row r="920" spans="9:10" x14ac:dyDescent="0.3">
      <c r="I920" s="440"/>
      <c r="J920" s="440"/>
    </row>
    <row r="921" spans="9:10" x14ac:dyDescent="0.3">
      <c r="I921" s="440"/>
      <c r="J921" s="440"/>
    </row>
    <row r="922" spans="9:10" x14ac:dyDescent="0.3">
      <c r="I922" s="440"/>
      <c r="J922" s="440"/>
    </row>
    <row r="923" spans="9:10" x14ac:dyDescent="0.3">
      <c r="I923" s="440"/>
      <c r="J923" s="440"/>
    </row>
    <row r="924" spans="9:10" x14ac:dyDescent="0.3">
      <c r="I924" s="440"/>
      <c r="J924" s="440"/>
    </row>
    <row r="925" spans="9:10" x14ac:dyDescent="0.3">
      <c r="I925" s="440"/>
      <c r="J925" s="440"/>
    </row>
    <row r="926" spans="9:10" x14ac:dyDescent="0.3">
      <c r="I926" s="440"/>
      <c r="J926" s="440"/>
    </row>
    <row r="927" spans="9:10" x14ac:dyDescent="0.3">
      <c r="I927" s="440"/>
      <c r="J927" s="440"/>
    </row>
    <row r="928" spans="9:10" x14ac:dyDescent="0.3">
      <c r="I928" s="440"/>
      <c r="J928" s="440"/>
    </row>
    <row r="929" spans="9:10" x14ac:dyDescent="0.3">
      <c r="I929" s="440"/>
      <c r="J929" s="440"/>
    </row>
    <row r="930" spans="9:10" x14ac:dyDescent="0.3">
      <c r="I930" s="440"/>
      <c r="J930" s="440"/>
    </row>
    <row r="931" spans="9:10" x14ac:dyDescent="0.3">
      <c r="I931" s="440"/>
      <c r="J931" s="440"/>
    </row>
    <row r="932" spans="9:10" x14ac:dyDescent="0.3">
      <c r="I932" s="440"/>
      <c r="J932" s="440"/>
    </row>
    <row r="933" spans="9:10" x14ac:dyDescent="0.3">
      <c r="I933" s="440"/>
      <c r="J933" s="440"/>
    </row>
    <row r="934" spans="9:10" x14ac:dyDescent="0.3">
      <c r="I934" s="440"/>
      <c r="J934" s="440"/>
    </row>
    <row r="935" spans="9:10" x14ac:dyDescent="0.3">
      <c r="I935" s="440"/>
      <c r="J935" s="440"/>
    </row>
    <row r="936" spans="9:10" x14ac:dyDescent="0.3">
      <c r="I936" s="440"/>
      <c r="J936" s="440"/>
    </row>
    <row r="937" spans="9:10" x14ac:dyDescent="0.3">
      <c r="I937" s="440"/>
      <c r="J937" s="440"/>
    </row>
    <row r="938" spans="9:10" x14ac:dyDescent="0.3">
      <c r="I938" s="440"/>
      <c r="J938" s="440"/>
    </row>
    <row r="939" spans="9:10" x14ac:dyDescent="0.3">
      <c r="I939" s="440"/>
      <c r="J939" s="440"/>
    </row>
    <row r="940" spans="9:10" x14ac:dyDescent="0.3">
      <c r="I940" s="440"/>
      <c r="J940" s="440"/>
    </row>
    <row r="941" spans="9:10" x14ac:dyDescent="0.3">
      <c r="I941" s="440"/>
      <c r="J941" s="440"/>
    </row>
    <row r="942" spans="9:10" x14ac:dyDescent="0.3">
      <c r="I942" s="440"/>
      <c r="J942" s="440"/>
    </row>
    <row r="943" spans="9:10" x14ac:dyDescent="0.3">
      <c r="I943" s="440"/>
      <c r="J943" s="440"/>
    </row>
    <row r="944" spans="9:10" x14ac:dyDescent="0.3">
      <c r="I944" s="440"/>
      <c r="J944" s="440"/>
    </row>
    <row r="945" spans="9:10" x14ac:dyDescent="0.3">
      <c r="I945" s="440"/>
      <c r="J945" s="440"/>
    </row>
    <row r="946" spans="9:10" x14ac:dyDescent="0.3">
      <c r="I946" s="440"/>
      <c r="J946" s="440"/>
    </row>
    <row r="947" spans="9:10" x14ac:dyDescent="0.3">
      <c r="I947" s="440"/>
      <c r="J947" s="440"/>
    </row>
    <row r="948" spans="9:10" x14ac:dyDescent="0.3">
      <c r="I948" s="440"/>
      <c r="J948" s="440"/>
    </row>
    <row r="949" spans="9:10" x14ac:dyDescent="0.3">
      <c r="I949" s="440"/>
      <c r="J949" s="440"/>
    </row>
    <row r="950" spans="9:10" x14ac:dyDescent="0.3">
      <c r="I950" s="440"/>
      <c r="J950" s="440"/>
    </row>
    <row r="951" spans="9:10" x14ac:dyDescent="0.3">
      <c r="I951" s="440"/>
      <c r="J951" s="440"/>
    </row>
    <row r="952" spans="9:10" x14ac:dyDescent="0.3">
      <c r="I952" s="440"/>
      <c r="J952" s="440"/>
    </row>
    <row r="953" spans="9:10" x14ac:dyDescent="0.3">
      <c r="I953" s="440"/>
      <c r="J953" s="440"/>
    </row>
    <row r="954" spans="9:10" x14ac:dyDescent="0.3">
      <c r="I954" s="440"/>
      <c r="J954" s="440"/>
    </row>
    <row r="955" spans="9:10" x14ac:dyDescent="0.3">
      <c r="I955" s="440"/>
      <c r="J955" s="440"/>
    </row>
    <row r="956" spans="9:10" x14ac:dyDescent="0.3">
      <c r="I956" s="440"/>
      <c r="J956" s="440"/>
    </row>
    <row r="957" spans="9:10" x14ac:dyDescent="0.3">
      <c r="I957" s="440"/>
      <c r="J957" s="440"/>
    </row>
    <row r="958" spans="9:10" x14ac:dyDescent="0.3">
      <c r="I958" s="440"/>
      <c r="J958" s="440"/>
    </row>
    <row r="959" spans="9:10" x14ac:dyDescent="0.3">
      <c r="I959" s="440"/>
      <c r="J959" s="440"/>
    </row>
    <row r="960" spans="9:10" x14ac:dyDescent="0.3">
      <c r="I960" s="440"/>
      <c r="J960" s="440"/>
    </row>
    <row r="961" spans="9:10" x14ac:dyDescent="0.3">
      <c r="I961" s="440"/>
      <c r="J961" s="440"/>
    </row>
    <row r="962" spans="9:10" x14ac:dyDescent="0.3">
      <c r="I962" s="440"/>
      <c r="J962" s="440"/>
    </row>
    <row r="963" spans="9:10" x14ac:dyDescent="0.3">
      <c r="I963" s="440"/>
      <c r="J963" s="440"/>
    </row>
    <row r="964" spans="9:10" x14ac:dyDescent="0.3">
      <c r="I964" s="440"/>
      <c r="J964" s="440"/>
    </row>
    <row r="965" spans="9:10" x14ac:dyDescent="0.3">
      <c r="I965" s="440"/>
      <c r="J965" s="440"/>
    </row>
    <row r="966" spans="9:10" x14ac:dyDescent="0.3">
      <c r="I966" s="440"/>
      <c r="J966" s="440"/>
    </row>
    <row r="967" spans="9:10" x14ac:dyDescent="0.3">
      <c r="I967" s="440"/>
      <c r="J967" s="440"/>
    </row>
    <row r="968" spans="9:10" x14ac:dyDescent="0.3">
      <c r="I968" s="440"/>
      <c r="J968" s="440"/>
    </row>
    <row r="969" spans="9:10" x14ac:dyDescent="0.3">
      <c r="I969" s="440"/>
      <c r="J969" s="440"/>
    </row>
    <row r="970" spans="9:10" x14ac:dyDescent="0.3">
      <c r="I970" s="440"/>
      <c r="J970" s="440"/>
    </row>
    <row r="971" spans="9:10" x14ac:dyDescent="0.3">
      <c r="I971" s="440"/>
      <c r="J971" s="440"/>
    </row>
    <row r="972" spans="9:10" x14ac:dyDescent="0.3">
      <c r="I972" s="440"/>
      <c r="J972" s="440"/>
    </row>
    <row r="973" spans="9:10" x14ac:dyDescent="0.3">
      <c r="I973" s="440"/>
      <c r="J973" s="440"/>
    </row>
    <row r="974" spans="9:10" x14ac:dyDescent="0.3">
      <c r="I974" s="440"/>
      <c r="J974" s="440"/>
    </row>
    <row r="975" spans="9:10" x14ac:dyDescent="0.3">
      <c r="I975" s="440"/>
      <c r="J975" s="440"/>
    </row>
    <row r="976" spans="9:10" x14ac:dyDescent="0.3">
      <c r="I976" s="440"/>
      <c r="J976" s="440"/>
    </row>
    <row r="977" spans="9:10" x14ac:dyDescent="0.3">
      <c r="I977" s="440"/>
      <c r="J977" s="440"/>
    </row>
    <row r="978" spans="9:10" x14ac:dyDescent="0.3">
      <c r="I978" s="440"/>
      <c r="J978" s="440"/>
    </row>
    <row r="979" spans="9:10" x14ac:dyDescent="0.3">
      <c r="I979" s="440"/>
      <c r="J979" s="440"/>
    </row>
    <row r="980" spans="9:10" x14ac:dyDescent="0.3">
      <c r="I980" s="440"/>
      <c r="J980" s="440"/>
    </row>
    <row r="981" spans="9:10" x14ac:dyDescent="0.3">
      <c r="I981" s="440"/>
      <c r="J981" s="440"/>
    </row>
    <row r="982" spans="9:10" x14ac:dyDescent="0.3">
      <c r="I982" s="440"/>
      <c r="J982" s="440"/>
    </row>
    <row r="983" spans="9:10" x14ac:dyDescent="0.3">
      <c r="I983" s="440"/>
      <c r="J983" s="440"/>
    </row>
    <row r="984" spans="9:10" x14ac:dyDescent="0.3">
      <c r="I984" s="440"/>
      <c r="J984" s="440"/>
    </row>
    <row r="985" spans="9:10" x14ac:dyDescent="0.3">
      <c r="I985" s="440"/>
      <c r="J985" s="440"/>
    </row>
    <row r="986" spans="9:10" x14ac:dyDescent="0.3">
      <c r="I986" s="440"/>
      <c r="J986" s="440"/>
    </row>
    <row r="987" spans="9:10" x14ac:dyDescent="0.3">
      <c r="I987" s="440"/>
      <c r="J987" s="440"/>
    </row>
    <row r="988" spans="9:10" x14ac:dyDescent="0.3">
      <c r="I988" s="440"/>
      <c r="J988" s="440"/>
    </row>
    <row r="989" spans="9:10" x14ac:dyDescent="0.3">
      <c r="I989" s="440"/>
      <c r="J989" s="440"/>
    </row>
    <row r="990" spans="9:10" x14ac:dyDescent="0.3">
      <c r="I990" s="440"/>
      <c r="J990" s="440"/>
    </row>
    <row r="991" spans="9:10" x14ac:dyDescent="0.3">
      <c r="I991" s="440"/>
      <c r="J991" s="440"/>
    </row>
    <row r="992" spans="9:10" x14ac:dyDescent="0.3">
      <c r="I992" s="440"/>
      <c r="J992" s="440"/>
    </row>
    <row r="993" spans="9:10" x14ac:dyDescent="0.3">
      <c r="I993" s="440"/>
      <c r="J993" s="440"/>
    </row>
    <row r="994" spans="9:10" x14ac:dyDescent="0.3">
      <c r="I994" s="440"/>
      <c r="J994" s="440"/>
    </row>
    <row r="995" spans="9:10" x14ac:dyDescent="0.3">
      <c r="I995" s="440"/>
      <c r="J995" s="440"/>
    </row>
    <row r="996" spans="9:10" x14ac:dyDescent="0.3">
      <c r="I996" s="440"/>
      <c r="J996" s="440"/>
    </row>
    <row r="997" spans="9:10" x14ac:dyDescent="0.3">
      <c r="I997" s="440"/>
      <c r="J997" s="440"/>
    </row>
    <row r="998" spans="9:10" x14ac:dyDescent="0.3">
      <c r="I998" s="440"/>
      <c r="J998" s="440"/>
    </row>
    <row r="999" spans="9:10" x14ac:dyDescent="0.3">
      <c r="I999" s="440"/>
      <c r="J999" s="440"/>
    </row>
    <row r="1000" spans="9:10" x14ac:dyDescent="0.3">
      <c r="I1000" s="440"/>
      <c r="J1000" s="440"/>
    </row>
    <row r="1001" spans="9:10" x14ac:dyDescent="0.3">
      <c r="I1001" s="440"/>
      <c r="J1001" s="440"/>
    </row>
    <row r="1002" spans="9:10" x14ac:dyDescent="0.3">
      <c r="I1002" s="440"/>
      <c r="J1002" s="440"/>
    </row>
    <row r="1003" spans="9:10" x14ac:dyDescent="0.3">
      <c r="I1003" s="440"/>
      <c r="J1003" s="440"/>
    </row>
    <row r="1004" spans="9:10" x14ac:dyDescent="0.3">
      <c r="I1004" s="440"/>
      <c r="J1004" s="440"/>
    </row>
    <row r="1005" spans="9:10" x14ac:dyDescent="0.3">
      <c r="I1005" s="440"/>
      <c r="J1005" s="440"/>
    </row>
    <row r="1006" spans="9:10" x14ac:dyDescent="0.3">
      <c r="I1006" s="440"/>
      <c r="J1006" s="440"/>
    </row>
    <row r="1007" spans="9:10" x14ac:dyDescent="0.3">
      <c r="I1007" s="440"/>
      <c r="J1007" s="440"/>
    </row>
    <row r="1008" spans="9:10" x14ac:dyDescent="0.3">
      <c r="I1008" s="440"/>
      <c r="J1008" s="440"/>
    </row>
    <row r="1009" spans="9:10" x14ac:dyDescent="0.3">
      <c r="I1009" s="440"/>
      <c r="J1009" s="440"/>
    </row>
    <row r="1010" spans="9:10" x14ac:dyDescent="0.3">
      <c r="I1010" s="440"/>
      <c r="J1010" s="440"/>
    </row>
    <row r="1011" spans="9:10" x14ac:dyDescent="0.3">
      <c r="I1011" s="440"/>
      <c r="J1011" s="440"/>
    </row>
    <row r="1012" spans="9:10" x14ac:dyDescent="0.3">
      <c r="I1012" s="440"/>
      <c r="J1012" s="440"/>
    </row>
    <row r="1013" spans="9:10" x14ac:dyDescent="0.3">
      <c r="I1013" s="440"/>
      <c r="J1013" s="440"/>
    </row>
    <row r="1014" spans="9:10" x14ac:dyDescent="0.3">
      <c r="I1014" s="440"/>
      <c r="J1014" s="440"/>
    </row>
    <row r="1015" spans="9:10" x14ac:dyDescent="0.3">
      <c r="I1015" s="440"/>
      <c r="J1015" s="440"/>
    </row>
    <row r="1016" spans="9:10" x14ac:dyDescent="0.3">
      <c r="I1016" s="440"/>
      <c r="J1016" s="440"/>
    </row>
    <row r="1017" spans="9:10" x14ac:dyDescent="0.3">
      <c r="I1017" s="440"/>
      <c r="J1017" s="440"/>
    </row>
    <row r="1018" spans="9:10" x14ac:dyDescent="0.3">
      <c r="I1018" s="440"/>
      <c r="J1018" s="440"/>
    </row>
    <row r="1019" spans="9:10" x14ac:dyDescent="0.3">
      <c r="I1019" s="440"/>
      <c r="J1019" s="440"/>
    </row>
    <row r="1020" spans="9:10" x14ac:dyDescent="0.3">
      <c r="I1020" s="440"/>
      <c r="J1020" s="440"/>
    </row>
    <row r="1021" spans="9:10" x14ac:dyDescent="0.3">
      <c r="I1021" s="440"/>
      <c r="J1021" s="440"/>
    </row>
    <row r="1022" spans="9:10" x14ac:dyDescent="0.3">
      <c r="I1022" s="440"/>
      <c r="J1022" s="440"/>
    </row>
    <row r="1023" spans="9:10" x14ac:dyDescent="0.3">
      <c r="I1023" s="440"/>
      <c r="J1023" s="440"/>
    </row>
    <row r="1024" spans="9:10" x14ac:dyDescent="0.3">
      <c r="I1024" s="440"/>
      <c r="J1024" s="440"/>
    </row>
    <row r="1025" spans="9:10" x14ac:dyDescent="0.3">
      <c r="I1025" s="440"/>
      <c r="J1025" s="440"/>
    </row>
    <row r="1026" spans="9:10" x14ac:dyDescent="0.3">
      <c r="I1026" s="440"/>
      <c r="J1026" s="440"/>
    </row>
    <row r="1027" spans="9:10" x14ac:dyDescent="0.3">
      <c r="I1027" s="440"/>
      <c r="J1027" s="440"/>
    </row>
    <row r="1028" spans="9:10" x14ac:dyDescent="0.3">
      <c r="I1028" s="440"/>
      <c r="J1028" s="440"/>
    </row>
    <row r="1029" spans="9:10" x14ac:dyDescent="0.3">
      <c r="I1029" s="440"/>
      <c r="J1029" s="440"/>
    </row>
    <row r="1030" spans="9:10" x14ac:dyDescent="0.3">
      <c r="I1030" s="440"/>
      <c r="J1030" s="440"/>
    </row>
    <row r="1031" spans="9:10" x14ac:dyDescent="0.3">
      <c r="I1031" s="440"/>
      <c r="J1031" s="440"/>
    </row>
    <row r="1032" spans="9:10" x14ac:dyDescent="0.3">
      <c r="I1032" s="440"/>
      <c r="J1032" s="440"/>
    </row>
    <row r="1033" spans="9:10" x14ac:dyDescent="0.3">
      <c r="I1033" s="440"/>
      <c r="J1033" s="440"/>
    </row>
    <row r="1034" spans="9:10" x14ac:dyDescent="0.3">
      <c r="I1034" s="440"/>
      <c r="J1034" s="440"/>
    </row>
    <row r="1035" spans="9:10" x14ac:dyDescent="0.3">
      <c r="I1035" s="440"/>
      <c r="J1035" s="440"/>
    </row>
    <row r="1036" spans="9:10" x14ac:dyDescent="0.3">
      <c r="I1036" s="440"/>
      <c r="J1036" s="440"/>
    </row>
    <row r="1037" spans="9:10" x14ac:dyDescent="0.3">
      <c r="I1037" s="440"/>
      <c r="J1037" s="440"/>
    </row>
    <row r="1038" spans="9:10" x14ac:dyDescent="0.3">
      <c r="I1038" s="440"/>
      <c r="J1038" s="440"/>
    </row>
    <row r="1039" spans="9:10" x14ac:dyDescent="0.3">
      <c r="I1039" s="440"/>
      <c r="J1039" s="440"/>
    </row>
    <row r="1040" spans="9:10" x14ac:dyDescent="0.3">
      <c r="I1040" s="440"/>
      <c r="J1040" s="440"/>
    </row>
    <row r="1041" spans="9:10" x14ac:dyDescent="0.3">
      <c r="I1041" s="440"/>
      <c r="J1041" s="440"/>
    </row>
    <row r="1042" spans="9:10" x14ac:dyDescent="0.3">
      <c r="I1042" s="440"/>
      <c r="J1042" s="440"/>
    </row>
    <row r="1043" spans="9:10" x14ac:dyDescent="0.3">
      <c r="I1043" s="440"/>
      <c r="J1043" s="440"/>
    </row>
    <row r="1044" spans="9:10" x14ac:dyDescent="0.3">
      <c r="I1044" s="440"/>
      <c r="J1044" s="440"/>
    </row>
    <row r="1045" spans="9:10" x14ac:dyDescent="0.3">
      <c r="I1045" s="440"/>
      <c r="J1045" s="440"/>
    </row>
    <row r="1046" spans="9:10" x14ac:dyDescent="0.3">
      <c r="I1046" s="440"/>
      <c r="J1046" s="440"/>
    </row>
    <row r="1047" spans="9:10" x14ac:dyDescent="0.3">
      <c r="I1047" s="440"/>
      <c r="J1047" s="440"/>
    </row>
    <row r="1048" spans="9:10" x14ac:dyDescent="0.3">
      <c r="I1048" s="440"/>
      <c r="J1048" s="440"/>
    </row>
    <row r="1049" spans="9:10" x14ac:dyDescent="0.3">
      <c r="I1049" s="440"/>
      <c r="J1049" s="440"/>
    </row>
    <row r="1050" spans="9:10" x14ac:dyDescent="0.3">
      <c r="I1050" s="440"/>
      <c r="J1050" s="440"/>
    </row>
    <row r="1051" spans="9:10" x14ac:dyDescent="0.3">
      <c r="I1051" s="440"/>
      <c r="J1051" s="440"/>
    </row>
    <row r="1052" spans="9:10" x14ac:dyDescent="0.3">
      <c r="I1052" s="440"/>
      <c r="J1052" s="440"/>
    </row>
    <row r="1053" spans="9:10" x14ac:dyDescent="0.3">
      <c r="I1053" s="440"/>
      <c r="J1053" s="440"/>
    </row>
    <row r="1054" spans="9:10" x14ac:dyDescent="0.3">
      <c r="I1054" s="440"/>
      <c r="J1054" s="440"/>
    </row>
    <row r="1055" spans="9:10" x14ac:dyDescent="0.3">
      <c r="I1055" s="440"/>
      <c r="J1055" s="440"/>
    </row>
    <row r="1056" spans="9:10" x14ac:dyDescent="0.3">
      <c r="I1056" s="440"/>
      <c r="J1056" s="440"/>
    </row>
    <row r="1057" spans="9:10" x14ac:dyDescent="0.3">
      <c r="I1057" s="440"/>
      <c r="J1057" s="440"/>
    </row>
    <row r="1058" spans="9:10" x14ac:dyDescent="0.3">
      <c r="I1058" s="440"/>
      <c r="J1058" s="440"/>
    </row>
    <row r="1059" spans="9:10" x14ac:dyDescent="0.3">
      <c r="I1059" s="440"/>
      <c r="J1059" s="440"/>
    </row>
    <row r="1060" spans="9:10" x14ac:dyDescent="0.3">
      <c r="I1060" s="440"/>
      <c r="J1060" s="440"/>
    </row>
    <row r="1061" spans="9:10" x14ac:dyDescent="0.3">
      <c r="I1061" s="440"/>
      <c r="J1061" s="440"/>
    </row>
    <row r="1062" spans="9:10" x14ac:dyDescent="0.3">
      <c r="I1062" s="440"/>
      <c r="J1062" s="440"/>
    </row>
    <row r="1063" spans="9:10" x14ac:dyDescent="0.3">
      <c r="I1063" s="440"/>
      <c r="J1063" s="440"/>
    </row>
    <row r="1064" spans="9:10" x14ac:dyDescent="0.3">
      <c r="I1064" s="440"/>
      <c r="J1064" s="440"/>
    </row>
    <row r="1065" spans="9:10" x14ac:dyDescent="0.3">
      <c r="I1065" s="440"/>
      <c r="J1065" s="440"/>
    </row>
    <row r="1066" spans="9:10" x14ac:dyDescent="0.3">
      <c r="I1066" s="440"/>
      <c r="J1066" s="440"/>
    </row>
    <row r="1067" spans="9:10" x14ac:dyDescent="0.3">
      <c r="I1067" s="440"/>
      <c r="J1067" s="440"/>
    </row>
    <row r="1068" spans="9:10" x14ac:dyDescent="0.3">
      <c r="I1068" s="440"/>
      <c r="J1068" s="440"/>
    </row>
    <row r="1069" spans="9:10" x14ac:dyDescent="0.3">
      <c r="I1069" s="440"/>
      <c r="J1069" s="440"/>
    </row>
    <row r="1070" spans="9:10" x14ac:dyDescent="0.3">
      <c r="I1070" s="440"/>
      <c r="J1070" s="440"/>
    </row>
    <row r="1071" spans="9:10" x14ac:dyDescent="0.3">
      <c r="I1071" s="440"/>
      <c r="J1071" s="440"/>
    </row>
    <row r="1072" spans="9:10" x14ac:dyDescent="0.3">
      <c r="I1072" s="440"/>
      <c r="J1072" s="440"/>
    </row>
    <row r="1073" spans="9:10" x14ac:dyDescent="0.3">
      <c r="I1073" s="440"/>
      <c r="J1073" s="440"/>
    </row>
    <row r="1074" spans="9:10" x14ac:dyDescent="0.3">
      <c r="I1074" s="440"/>
      <c r="J1074" s="440"/>
    </row>
    <row r="1075" spans="9:10" x14ac:dyDescent="0.3">
      <c r="I1075" s="440"/>
      <c r="J1075" s="440"/>
    </row>
    <row r="1076" spans="9:10" x14ac:dyDescent="0.3">
      <c r="I1076" s="440"/>
      <c r="J1076" s="440"/>
    </row>
    <row r="1077" spans="9:10" x14ac:dyDescent="0.3">
      <c r="I1077" s="440"/>
      <c r="J1077" s="440"/>
    </row>
    <row r="1078" spans="9:10" x14ac:dyDescent="0.3">
      <c r="I1078" s="440"/>
      <c r="J1078" s="440"/>
    </row>
    <row r="1079" spans="9:10" x14ac:dyDescent="0.3">
      <c r="I1079" s="440"/>
      <c r="J1079" s="440"/>
    </row>
    <row r="1080" spans="9:10" x14ac:dyDescent="0.3">
      <c r="I1080" s="440"/>
      <c r="J1080" s="440"/>
    </row>
    <row r="1081" spans="9:10" x14ac:dyDescent="0.3">
      <c r="I1081" s="440"/>
      <c r="J1081" s="440"/>
    </row>
    <row r="1082" spans="9:10" x14ac:dyDescent="0.3">
      <c r="I1082" s="440"/>
      <c r="J1082" s="440"/>
    </row>
    <row r="1083" spans="9:10" x14ac:dyDescent="0.3">
      <c r="I1083" s="440"/>
      <c r="J1083" s="440"/>
    </row>
    <row r="1084" spans="9:10" x14ac:dyDescent="0.3">
      <c r="I1084" s="440"/>
      <c r="J1084" s="440"/>
    </row>
    <row r="1085" spans="9:10" x14ac:dyDescent="0.3">
      <c r="I1085" s="440"/>
      <c r="J1085" s="440"/>
    </row>
    <row r="1086" spans="9:10" x14ac:dyDescent="0.3">
      <c r="I1086" s="440"/>
      <c r="J1086" s="440"/>
    </row>
    <row r="1087" spans="9:10" x14ac:dyDescent="0.3">
      <c r="I1087" s="440"/>
      <c r="J1087" s="440"/>
    </row>
    <row r="1088" spans="9:10" x14ac:dyDescent="0.3">
      <c r="I1088" s="440"/>
      <c r="J1088" s="440"/>
    </row>
    <row r="1089" spans="9:10" x14ac:dyDescent="0.3">
      <c r="I1089" s="440"/>
      <c r="J1089" s="440"/>
    </row>
    <row r="1090" spans="9:10" x14ac:dyDescent="0.3">
      <c r="I1090" s="440"/>
      <c r="J1090" s="440"/>
    </row>
    <row r="1091" spans="9:10" x14ac:dyDescent="0.3">
      <c r="I1091" s="440"/>
      <c r="J1091" s="440"/>
    </row>
    <row r="1092" spans="9:10" x14ac:dyDescent="0.3">
      <c r="I1092" s="440"/>
      <c r="J1092" s="440"/>
    </row>
    <row r="1093" spans="9:10" x14ac:dyDescent="0.3">
      <c r="I1093" s="440"/>
      <c r="J1093" s="440"/>
    </row>
    <row r="1094" spans="9:10" x14ac:dyDescent="0.3">
      <c r="I1094" s="440"/>
      <c r="J1094" s="440"/>
    </row>
    <row r="1095" spans="9:10" x14ac:dyDescent="0.3">
      <c r="I1095" s="440"/>
      <c r="J1095" s="440"/>
    </row>
    <row r="1096" spans="9:10" x14ac:dyDescent="0.3">
      <c r="I1096" s="440"/>
      <c r="J1096" s="440"/>
    </row>
    <row r="1097" spans="9:10" x14ac:dyDescent="0.3">
      <c r="I1097" s="440"/>
      <c r="J1097" s="440"/>
    </row>
    <row r="1098" spans="9:10" x14ac:dyDescent="0.3">
      <c r="I1098" s="440"/>
      <c r="J1098" s="440"/>
    </row>
    <row r="1099" spans="9:10" x14ac:dyDescent="0.3">
      <c r="I1099" s="440"/>
      <c r="J1099" s="440"/>
    </row>
    <row r="1100" spans="9:10" x14ac:dyDescent="0.3">
      <c r="I1100" s="440"/>
      <c r="J1100" s="440"/>
    </row>
    <row r="1101" spans="9:10" x14ac:dyDescent="0.3">
      <c r="I1101" s="440"/>
      <c r="J1101" s="440"/>
    </row>
    <row r="1102" spans="9:10" x14ac:dyDescent="0.3">
      <c r="I1102" s="440"/>
      <c r="J1102" s="440"/>
    </row>
    <row r="1103" spans="9:10" x14ac:dyDescent="0.3">
      <c r="I1103" s="440"/>
      <c r="J1103" s="440"/>
    </row>
    <row r="1104" spans="9:10" x14ac:dyDescent="0.3">
      <c r="I1104" s="440"/>
      <c r="J1104" s="440"/>
    </row>
    <row r="1105" spans="9:10" x14ac:dyDescent="0.3">
      <c r="I1105" s="440"/>
      <c r="J1105" s="440"/>
    </row>
    <row r="1106" spans="9:10" x14ac:dyDescent="0.3">
      <c r="I1106" s="440"/>
      <c r="J1106" s="440"/>
    </row>
    <row r="1107" spans="9:10" x14ac:dyDescent="0.3">
      <c r="I1107" s="440"/>
      <c r="J1107" s="440"/>
    </row>
    <row r="1108" spans="9:10" x14ac:dyDescent="0.3">
      <c r="I1108" s="440"/>
      <c r="J1108" s="440"/>
    </row>
    <row r="1109" spans="9:10" x14ac:dyDescent="0.3">
      <c r="I1109" s="440"/>
      <c r="J1109" s="440"/>
    </row>
    <row r="1110" spans="9:10" x14ac:dyDescent="0.3">
      <c r="I1110" s="440"/>
      <c r="J1110" s="440"/>
    </row>
    <row r="1111" spans="9:10" x14ac:dyDescent="0.3">
      <c r="I1111" s="440"/>
      <c r="J1111" s="440"/>
    </row>
    <row r="1112" spans="9:10" x14ac:dyDescent="0.3">
      <c r="I1112" s="440"/>
      <c r="J1112" s="440"/>
    </row>
    <row r="1113" spans="9:10" x14ac:dyDescent="0.3">
      <c r="I1113" s="440"/>
      <c r="J1113" s="440"/>
    </row>
    <row r="1114" spans="9:10" x14ac:dyDescent="0.3">
      <c r="I1114" s="440"/>
      <c r="J1114" s="440"/>
    </row>
    <row r="1115" spans="9:10" x14ac:dyDescent="0.3">
      <c r="I1115" s="440"/>
      <c r="J1115" s="440"/>
    </row>
    <row r="1116" spans="9:10" x14ac:dyDescent="0.3">
      <c r="I1116" s="440"/>
      <c r="J1116" s="440"/>
    </row>
    <row r="1117" spans="9:10" x14ac:dyDescent="0.3">
      <c r="I1117" s="440"/>
      <c r="J1117" s="440"/>
    </row>
    <row r="1118" spans="9:10" x14ac:dyDescent="0.3">
      <c r="I1118" s="440"/>
      <c r="J1118" s="440"/>
    </row>
    <row r="1119" spans="9:10" x14ac:dyDescent="0.3">
      <c r="I1119" s="440"/>
      <c r="J1119" s="440"/>
    </row>
    <row r="1120" spans="9:10" x14ac:dyDescent="0.3">
      <c r="I1120" s="440"/>
      <c r="J1120" s="440"/>
    </row>
    <row r="1121" spans="9:10" x14ac:dyDescent="0.3">
      <c r="I1121" s="440"/>
      <c r="J1121" s="440"/>
    </row>
    <row r="1122" spans="9:10" x14ac:dyDescent="0.3">
      <c r="I1122" s="440"/>
      <c r="J1122" s="440"/>
    </row>
    <row r="1123" spans="9:10" x14ac:dyDescent="0.3">
      <c r="I1123" s="440"/>
      <c r="J1123" s="440"/>
    </row>
    <row r="1124" spans="9:10" x14ac:dyDescent="0.3">
      <c r="I1124" s="440"/>
      <c r="J1124" s="440"/>
    </row>
    <row r="1125" spans="9:10" x14ac:dyDescent="0.3">
      <c r="I1125" s="440"/>
      <c r="J1125" s="440"/>
    </row>
    <row r="1126" spans="9:10" x14ac:dyDescent="0.3">
      <c r="I1126" s="440"/>
      <c r="J1126" s="440"/>
    </row>
    <row r="1127" spans="9:10" x14ac:dyDescent="0.3">
      <c r="I1127" s="440"/>
      <c r="J1127" s="440"/>
    </row>
    <row r="1128" spans="9:10" x14ac:dyDescent="0.3">
      <c r="I1128" s="440"/>
      <c r="J1128" s="440"/>
    </row>
    <row r="1129" spans="9:10" x14ac:dyDescent="0.3">
      <c r="I1129" s="440"/>
      <c r="J1129" s="440"/>
    </row>
    <row r="1130" spans="9:10" x14ac:dyDescent="0.3">
      <c r="I1130" s="440"/>
      <c r="J1130" s="440"/>
    </row>
    <row r="1131" spans="9:10" x14ac:dyDescent="0.3">
      <c r="I1131" s="440"/>
      <c r="J1131" s="440"/>
    </row>
    <row r="1132" spans="9:10" x14ac:dyDescent="0.3">
      <c r="I1132" s="440"/>
      <c r="J1132" s="440"/>
    </row>
    <row r="1133" spans="9:10" x14ac:dyDescent="0.3">
      <c r="I1133" s="440"/>
      <c r="J1133" s="440"/>
    </row>
    <row r="1134" spans="9:10" x14ac:dyDescent="0.3">
      <c r="I1134" s="440"/>
      <c r="J1134" s="440"/>
    </row>
    <row r="1135" spans="9:10" x14ac:dyDescent="0.3">
      <c r="I1135" s="440"/>
      <c r="J1135" s="440"/>
    </row>
    <row r="1136" spans="9:10" x14ac:dyDescent="0.3">
      <c r="I1136" s="440"/>
      <c r="J1136" s="440"/>
    </row>
    <row r="1137" spans="9:10" x14ac:dyDescent="0.3">
      <c r="I1137" s="440"/>
      <c r="J1137" s="440"/>
    </row>
    <row r="1138" spans="9:10" x14ac:dyDescent="0.3">
      <c r="I1138" s="440"/>
      <c r="J1138" s="440"/>
    </row>
    <row r="1139" spans="9:10" x14ac:dyDescent="0.3">
      <c r="I1139" s="440"/>
      <c r="J1139" s="440"/>
    </row>
    <row r="1140" spans="9:10" x14ac:dyDescent="0.3">
      <c r="I1140" s="440"/>
      <c r="J1140" s="440"/>
    </row>
    <row r="1141" spans="9:10" x14ac:dyDescent="0.3">
      <c r="I1141" s="440"/>
      <c r="J1141" s="440"/>
    </row>
    <row r="1142" spans="9:10" x14ac:dyDescent="0.3">
      <c r="I1142" s="440"/>
      <c r="J1142" s="440"/>
    </row>
    <row r="1143" spans="9:10" x14ac:dyDescent="0.3">
      <c r="I1143" s="440"/>
      <c r="J1143" s="440"/>
    </row>
    <row r="1144" spans="9:10" x14ac:dyDescent="0.3">
      <c r="I1144" s="440"/>
      <c r="J1144" s="440"/>
    </row>
    <row r="1145" spans="9:10" x14ac:dyDescent="0.3">
      <c r="I1145" s="440"/>
      <c r="J1145" s="440"/>
    </row>
    <row r="1146" spans="9:10" x14ac:dyDescent="0.3">
      <c r="I1146" s="440"/>
      <c r="J1146" s="440"/>
    </row>
    <row r="1147" spans="9:10" x14ac:dyDescent="0.3">
      <c r="I1147" s="440"/>
      <c r="J1147" s="440"/>
    </row>
    <row r="1148" spans="9:10" x14ac:dyDescent="0.3">
      <c r="I1148" s="440"/>
      <c r="J1148" s="440"/>
    </row>
    <row r="1149" spans="9:10" x14ac:dyDescent="0.3">
      <c r="I1149" s="440"/>
      <c r="J1149" s="440"/>
    </row>
    <row r="1150" spans="9:10" x14ac:dyDescent="0.3">
      <c r="I1150" s="440"/>
      <c r="J1150" s="440"/>
    </row>
    <row r="1151" spans="9:10" x14ac:dyDescent="0.3">
      <c r="I1151" s="440"/>
      <c r="J1151" s="440"/>
    </row>
    <row r="1152" spans="9:10" x14ac:dyDescent="0.3">
      <c r="I1152" s="440"/>
      <c r="J1152" s="440"/>
    </row>
    <row r="1153" spans="9:10" x14ac:dyDescent="0.3">
      <c r="I1153" s="440"/>
      <c r="J1153" s="440"/>
    </row>
    <row r="1154" spans="9:10" x14ac:dyDescent="0.3">
      <c r="I1154" s="440"/>
      <c r="J1154" s="440"/>
    </row>
    <row r="1155" spans="9:10" x14ac:dyDescent="0.3">
      <c r="I1155" s="440"/>
      <c r="J1155" s="440"/>
    </row>
    <row r="1156" spans="9:10" x14ac:dyDescent="0.3">
      <c r="I1156" s="440"/>
      <c r="J1156" s="440"/>
    </row>
    <row r="1157" spans="9:10" x14ac:dyDescent="0.3">
      <c r="I1157" s="440"/>
      <c r="J1157" s="440"/>
    </row>
    <row r="1158" spans="9:10" x14ac:dyDescent="0.3">
      <c r="I1158" s="440"/>
      <c r="J1158" s="440"/>
    </row>
    <row r="1159" spans="9:10" x14ac:dyDescent="0.3">
      <c r="I1159" s="440"/>
      <c r="J1159" s="440"/>
    </row>
    <row r="1160" spans="9:10" x14ac:dyDescent="0.3">
      <c r="I1160" s="440"/>
      <c r="J1160" s="440"/>
    </row>
    <row r="1161" spans="9:10" x14ac:dyDescent="0.3">
      <c r="I1161" s="440"/>
      <c r="J1161" s="440"/>
    </row>
    <row r="1162" spans="9:10" x14ac:dyDescent="0.3">
      <c r="I1162" s="440"/>
      <c r="J1162" s="440"/>
    </row>
    <row r="1163" spans="9:10" x14ac:dyDescent="0.3">
      <c r="I1163" s="440"/>
      <c r="J1163" s="440"/>
    </row>
    <row r="1164" spans="9:10" x14ac:dyDescent="0.3">
      <c r="I1164" s="440"/>
      <c r="J1164" s="440"/>
    </row>
    <row r="1165" spans="9:10" x14ac:dyDescent="0.3">
      <c r="I1165" s="440"/>
      <c r="J1165" s="440"/>
    </row>
    <row r="1166" spans="9:10" x14ac:dyDescent="0.3">
      <c r="I1166" s="440"/>
      <c r="J1166" s="440"/>
    </row>
    <row r="1167" spans="9:10" x14ac:dyDescent="0.3">
      <c r="I1167" s="440"/>
      <c r="J1167" s="440"/>
    </row>
    <row r="1168" spans="9:10" x14ac:dyDescent="0.3">
      <c r="I1168" s="440"/>
      <c r="J1168" s="440"/>
    </row>
    <row r="1169" spans="9:10" x14ac:dyDescent="0.3">
      <c r="I1169" s="440"/>
      <c r="J1169" s="440"/>
    </row>
    <row r="1170" spans="9:10" x14ac:dyDescent="0.3">
      <c r="I1170" s="440"/>
      <c r="J1170" s="440"/>
    </row>
    <row r="1171" spans="9:10" x14ac:dyDescent="0.3">
      <c r="I1171" s="440"/>
      <c r="J1171" s="440"/>
    </row>
    <row r="1172" spans="9:10" x14ac:dyDescent="0.3">
      <c r="I1172" s="440"/>
      <c r="J1172" s="440"/>
    </row>
    <row r="1173" spans="9:10" x14ac:dyDescent="0.3">
      <c r="I1173" s="440"/>
      <c r="J1173" s="440"/>
    </row>
    <row r="1174" spans="9:10" x14ac:dyDescent="0.3">
      <c r="I1174" s="440"/>
      <c r="J1174" s="440"/>
    </row>
    <row r="1175" spans="9:10" x14ac:dyDescent="0.3">
      <c r="I1175" s="440"/>
      <c r="J1175" s="440"/>
    </row>
    <row r="1176" spans="9:10" x14ac:dyDescent="0.3">
      <c r="I1176" s="440"/>
      <c r="J1176" s="440"/>
    </row>
    <row r="1177" spans="9:10" x14ac:dyDescent="0.3">
      <c r="I1177" s="440"/>
      <c r="J1177" s="440"/>
    </row>
    <row r="1178" spans="9:10" x14ac:dyDescent="0.3">
      <c r="I1178" s="440"/>
      <c r="J1178" s="440"/>
    </row>
    <row r="1179" spans="9:10" x14ac:dyDescent="0.3">
      <c r="I1179" s="440"/>
      <c r="J1179" s="440"/>
    </row>
    <row r="1180" spans="9:10" x14ac:dyDescent="0.3">
      <c r="I1180" s="440"/>
      <c r="J1180" s="440"/>
    </row>
    <row r="1181" spans="9:10" x14ac:dyDescent="0.3">
      <c r="I1181" s="440"/>
      <c r="J1181" s="440"/>
    </row>
  </sheetData>
  <sheetProtection algorithmName="SHA-512" hashValue="QCrK0SSYvqV0kmFNEXz49EVOsfPCuLMDqF1rbUNGEjB+Y/BNr534hp6s/29u1AB4P1AhQISF7q/a2UK5m2WYyQ==" saltValue="mGs5wOzE1tdaqABv5kAy6A==" spinCount="100000" sheet="1" objects="1" scenarios="1"/>
  <mergeCells count="3">
    <mergeCell ref="I11:J11"/>
    <mergeCell ref="N92:N93"/>
    <mergeCell ref="O92:Q92"/>
  </mergeCells>
  <pageMargins left="0.45" right="0.45" top="0.25" bottom="0.5" header="0.3" footer="0.3"/>
  <pageSetup scale="63" fitToHeight="0" orientation="landscape" r:id="rId1"/>
  <headerFooter>
    <oddHeader>&amp;C&amp;"-,Bold"&amp;12&amp;F, &amp;A</oddHeader>
    <oddFooter>&amp;R&amp;10Page &amp;P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WorkLead xmlns="dc75c247-7f53-4913-864a-4160aff1c458">
      <UserInfo>
        <DisplayName/>
        <AccountId xsi:nil="true"/>
        <AccountType/>
      </UserInfo>
    </WorkLead>
    <Managers xmlns="dc75c247-7f53-4913-864a-4160aff1c458">
      <UserInfo>
        <DisplayName/>
        <AccountId xsi:nil="true"/>
        <AccountType/>
      </UserInfo>
    </Managers>
    <Project_x0020_Period_x0020_of_x0020_Performance_x0020_Start_x0020_Date xmlns="dc75c247-7f53-4913-864a-4160aff1c458" xsi:nil="true"/>
    <RetentionExemption xmlns="dc75c247-7f53-4913-864a-4160aff1c458">false</RetentionExemption>
    <PhaseName xmlns="dc75c247-7f53-4913-864a-4160aff1c458">Audit Tool</PhaseName>
    <ProjectTOWAName xmlns="dc75c247-7f53-4913-864a-4160aff1c458" xsi:nil="true"/>
    <ProjectTask xmlns="dc75c247-7f53-4913-864a-4160aff1c458">Not in Use</ProjectTask>
    <o862737f445746b494e2139aeb29e646 xmlns="dc75c247-7f53-4913-864a-4160aff1c458">
      <Terms xmlns="http://schemas.microsoft.com/office/infopath/2007/PartnerControls"/>
    </o862737f445746b494e2139aeb29e646>
    <g50616bc87614647a90e999144457760 xmlns="dc75c247-7f53-4913-864a-4160aff1c458">
      <Terms xmlns="http://schemas.microsoft.com/office/infopath/2007/PartnerControls"/>
    </g50616bc87614647a90e999144457760>
    <m5f81a6254e44a55996bb6356c849e0c xmlns="dc75c247-7f53-4913-864a-4160aff1c458">
      <Terms xmlns="http://schemas.microsoft.com/office/infopath/2007/PartnerControls"/>
    </m5f81a6254e44a55996bb6356c849e0c>
    <b5df6f1f3e23409d9f5e1fce19348e51 xmlns="dc75c247-7f53-4913-864a-4160aff1c458">
      <Terms xmlns="http://schemas.microsoft.com/office/infopath/2007/PartnerControls"/>
    </b5df6f1f3e23409d9f5e1fce19348e51>
    <TaxCatchAll xmlns="dc75c247-7f53-4913-864a-4160aff1c458"/>
    <Project_x0020_Period_x0020_of_x0020_Performance_x0020_End_x0020_Date xmlns="dc75c247-7f53-4913-864a-4160aff1c458" xsi:nil="true"/>
    <a6be725d576043378de6f214f0e78ee4 xmlns="dc75c247-7f53-4913-864a-4160aff1c458">
      <Terms xmlns="http://schemas.microsoft.com/office/infopath/2007/PartnerControls"/>
    </a6be725d576043378de6f214f0e78ee4>
    <od8879f902fd47c7bc2aee162c9e5240 xmlns="dc75c247-7f53-4913-864a-4160aff1c458">
      <Terms xmlns="http://schemas.microsoft.com/office/infopath/2007/PartnerControls"/>
    </od8879f902fd47c7bc2aee162c9e5240>
    <j996553e0ae54d4984db0606efb6351c xmlns="dc75c247-7f53-4913-864a-4160aff1c458">
      <Terms xmlns="http://schemas.microsoft.com/office/infopath/2007/PartnerControls"/>
    </j996553e0ae54d4984db0606efb6351c>
    <TaxKeywordTaxHTField xmlns="dc75c247-7f53-4913-864a-4160aff1c458">
      <Terms xmlns="http://schemas.microsoft.com/office/infopath/2007/PartnerControls"/>
    </TaxKeywordTaxHTField>
    <if0a8aeaad58489cbaf27eea2233913d xmlns="dc75c247-7f53-4913-864a-4160aff1c458">
      <Terms xmlns="http://schemas.microsoft.com/office/infopath/2007/PartnerControls"/>
    </if0a8aeaad58489cbaf27eea2233913d>
    <ContractName xmlns="dc75c247-7f53-4913-864a-4160aff1c458">4553</ContractName>
    <ContractNumber xmlns="dc75c247-7f53-4913-864a-4160aff1c458" xsi:nil="true"/>
    <a6d0b0f5ac9d4fa8b2e660c59fbea416 xmlns="dc75c247-7f53-4913-864a-4160aff1c458">
      <Terms xmlns="http://schemas.microsoft.com/office/infopath/2007/PartnerControls"/>
    </a6d0b0f5ac9d4fa8b2e660c59fbea416>
    <ProjectOwner_PrincipalInvestigator xmlns="dc75c247-7f53-4913-864a-4160aff1c458">
      <UserInfo>
        <DisplayName/>
        <AccountId xsi:nil="true"/>
        <AccountType/>
      </UserInfo>
    </ProjectOwner_PrincipalInvestigator>
    <ContractCostPointNumber xmlns="dc75c247-7f53-4913-864a-4160aff1c458" xsi:nil="true"/>
    <ProgramName xmlns="dc75c247-7f53-4913-864a-4160aff1c458">Not in Use</ProgramName>
    <f579045f93c34d4baadb74be2d3a98b1 xmlns="dc75c247-7f53-4913-864a-4160aff1c458">
      <Terms xmlns="http://schemas.microsoft.com/office/infopath/2007/PartnerControls"/>
    </f579045f93c34d4baadb74be2d3a98b1>
    <ProjectName xmlns="dc75c247-7f53-4913-864a-4160aff1c458">ACRP 02-59 Water Efficien</ProjectName>
  </documentManagement>
</p:properties>
</file>

<file path=customXml/item2.xml><?xml version="1.0" encoding="utf-8"?>
<?mso-contentType ?>
<SharedContentType xmlns="Microsoft.SharePoint.Taxonomy.ContentTypeSync" SourceId="3d0ec70f-4850-419e-ba88-1a2e9ef4e89e" ContentTypeId="0x010100B80CB6684E0D2F408D230F308CBB847F0302"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Technical Document" ma:contentTypeID="0x010100B80CB6684E0D2F408D230F308CBB847F030200E715B6E330FF214B95C030E04D08231E" ma:contentTypeVersion="55" ma:contentTypeDescription="" ma:contentTypeScope="" ma:versionID="3732b48e0534f8ada1c5365198209ace">
  <xsd:schema xmlns:xsd="http://www.w3.org/2001/XMLSchema" xmlns:xs="http://www.w3.org/2001/XMLSchema" xmlns:p="http://schemas.microsoft.com/office/2006/metadata/properties" xmlns:ns2="dc75c247-7f53-4913-864a-4160aff1c458" targetNamespace="http://schemas.microsoft.com/office/2006/metadata/properties" ma:root="true" ma:fieldsID="b81ce0542b1b7e8f8df367ed20342faa" ns2:_="">
    <xsd:import namespace="dc75c247-7f53-4913-864a-4160aff1c458"/>
    <xsd:element name="properties">
      <xsd:complexType>
        <xsd:sequence>
          <xsd:element name="documentManagement">
            <xsd:complexType>
              <xsd:all>
                <xsd:element ref="ns2:PhaseName" minOccurs="0"/>
                <xsd:element ref="ns2:ProjectName" minOccurs="0"/>
                <xsd:element ref="ns2:ProjectOwner_PrincipalInvestigator" minOccurs="0"/>
                <xsd:element ref="ns2:Managers" minOccurs="0"/>
                <xsd:element ref="ns2:Project_x0020_Period_x0020_of_x0020_Performance_x0020_Start_x0020_Date" minOccurs="0"/>
                <xsd:element ref="ns2:Project_x0020_Period_x0020_of_x0020_Performance_x0020_End_x0020_Date" minOccurs="0"/>
                <xsd:element ref="ns2:ProjectTOWAName" minOccurs="0"/>
                <xsd:element ref="ns2:ContractName" minOccurs="0"/>
                <xsd:element ref="ns2:ContractNumber" minOccurs="0"/>
                <xsd:element ref="ns2:ContractCostPointNumber" minOccurs="0"/>
                <xsd:element ref="ns2:ProjectTask" minOccurs="0"/>
                <xsd:element ref="ns2:ProgramName" minOccurs="0"/>
                <xsd:element ref="ns2:WorkLead" minOccurs="0"/>
                <xsd:element ref="ns2:RetentionExemption" minOccurs="0"/>
                <xsd:element ref="ns2:a6be725d576043378de6f214f0e78ee4" minOccurs="0"/>
                <xsd:element ref="ns2:od8879f902fd47c7bc2aee162c9e5240" minOccurs="0"/>
                <xsd:element ref="ns2:j996553e0ae54d4984db0606efb6351c" minOccurs="0"/>
                <xsd:element ref="ns2:if0a8aeaad58489cbaf27eea2233913d" minOccurs="0"/>
                <xsd:element ref="ns2:f579045f93c34d4baadb74be2d3a98b1" minOccurs="0"/>
                <xsd:element ref="ns2:m5f81a6254e44a55996bb6356c849e0c" minOccurs="0"/>
                <xsd:element ref="ns2:TaxKeywordTaxHTField" minOccurs="0"/>
                <xsd:element ref="ns2:o862737f445746b494e2139aeb29e646" minOccurs="0"/>
                <xsd:element ref="ns2:g50616bc87614647a90e999144457760" minOccurs="0"/>
                <xsd:element ref="ns2:a6d0b0f5ac9d4fa8b2e660c59fbea416" minOccurs="0"/>
                <xsd:element ref="ns2:TaxCatchAll" minOccurs="0"/>
                <xsd:element ref="ns2:TaxCatchAllLabel" minOccurs="0"/>
                <xsd:element ref="ns2:b5df6f1f3e23409d9f5e1fce19348e51"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75c247-7f53-4913-864a-4160aff1c458" elementFormDefault="qualified">
    <xsd:import namespace="http://schemas.microsoft.com/office/2006/documentManagement/types"/>
    <xsd:import namespace="http://schemas.microsoft.com/office/infopath/2007/PartnerControls"/>
    <xsd:element name="PhaseName" ma:index="1" nillable="true" ma:displayName="Phase Name" ma:default="Audit Tool" ma:internalName="PhaseName">
      <xsd:simpleType>
        <xsd:restriction base="dms:Text">
          <xsd:maxLength value="255"/>
        </xsd:restriction>
      </xsd:simpleType>
    </xsd:element>
    <xsd:element name="ProjectName" ma:index="2" nillable="true" ma:displayName="Project Name" ma:default="ACRP 02-59 Water Efficien" ma:internalName="ProjectName">
      <xsd:simpleType>
        <xsd:restriction base="dms:Text">
          <xsd:maxLength value="255"/>
        </xsd:restriction>
      </xsd:simpleType>
    </xsd:element>
    <xsd:element name="ProjectOwner_PrincipalInvestigator" ma:index="4" nillable="true" ma:displayName="Project Owner(s)/Principal Investigator(s)" ma:default="" ma:list="UserInfo" ma:SearchPeopleOnly="false" ma:SharePointGroup="0" ma:internalName="ProjectOwner_PrincipalInvestigato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anagers" ma:index="5" nillable="true" ma:displayName="Project Manager(s)" ma:default="" ma:description="Users or Groups that will be the Project Managers for this Project." ma:list="UserInfo" ma:SearchPeopleOnly="false" ma:SharePointGroup="0" ma:internalName="Managers"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_x0020_Period_x0020_of_x0020_Performance_x0020_Start_x0020_Date" ma:index="6" nillable="true" ma:displayName="Project Period of Performance Start Date" ma:default="" ma:format="DateOnly" ma:internalName="Project_x0020_Period_x0020_of_x0020_Performance_x0020_Start_x0020_Date">
      <xsd:simpleType>
        <xsd:restriction base="dms:DateTime"/>
      </xsd:simpleType>
    </xsd:element>
    <xsd:element name="Project_x0020_Period_x0020_of_x0020_Performance_x0020_End_x0020_Date" ma:index="7" nillable="true" ma:displayName="Project Period of Performance End Date" ma:default="" ma:format="DateOnly" ma:internalName="Project_x0020_Period_x0020_of_x0020_Performance_x0020_End_x0020_Date">
      <xsd:simpleType>
        <xsd:restriction base="dms:DateTime"/>
      </xsd:simpleType>
    </xsd:element>
    <xsd:element name="ProjectTOWAName" ma:index="11" nillable="true" ma:displayName="Project Cost Point Name" ma:default="" ma:internalName="ProjectTOWAName">
      <xsd:simpleType>
        <xsd:restriction base="dms:Text">
          <xsd:maxLength value="255"/>
        </xsd:restriction>
      </xsd:simpleType>
    </xsd:element>
    <xsd:element name="ContractName" ma:index="12" nillable="true" ma:displayName="Contract Name" ma:default="4553" ma:internalName="ContractName">
      <xsd:simpleType>
        <xsd:restriction base="dms:Text">
          <xsd:maxLength value="255"/>
        </xsd:restriction>
      </xsd:simpleType>
    </xsd:element>
    <xsd:element name="ContractNumber" ma:index="13" nillable="true" ma:displayName="Contract Number" ma:default="" ma:internalName="ContractNumber">
      <xsd:simpleType>
        <xsd:restriction base="dms:Text">
          <xsd:maxLength value="255"/>
        </xsd:restriction>
      </xsd:simpleType>
    </xsd:element>
    <xsd:element name="ContractCostPointNumber" ma:index="14" nillable="true" ma:displayName="Contract CostPoint Number" ma:default="" ma:internalName="ContractCostPointNumber">
      <xsd:simpleType>
        <xsd:restriction base="dms:Text">
          <xsd:maxLength value="255"/>
        </xsd:restriction>
      </xsd:simpleType>
    </xsd:element>
    <xsd:element name="ProjectTask" ma:index="18" nillable="true" ma:displayName="Project Task" ma:default="Not in Use" ma:format="Dropdown" ma:indexed="true" ma:internalName="ProjectTask">
      <xsd:simpleType>
        <xsd:restriction base="dms:Choice">
          <xsd:enumeration value="Not in Use"/>
          <xsd:enumeration value="Task 1"/>
          <xsd:enumeration value="Task 2"/>
          <xsd:enumeration value="Task 3"/>
          <xsd:enumeration value="Task 4"/>
          <xsd:enumeration value="Task 5"/>
          <xsd:enumeration value="Task 6"/>
          <xsd:enumeration value="Task 7"/>
          <xsd:enumeration value="Task 8"/>
          <xsd:enumeration value="Task 9"/>
          <xsd:enumeration value="Task 10"/>
        </xsd:restriction>
      </xsd:simpleType>
    </xsd:element>
    <xsd:element name="ProgramName" ma:index="20" nillable="true" ma:displayName="Program Name" ma:default="Not in Use" ma:format="Dropdown" ma:internalName="ProgramName">
      <xsd:simpleType>
        <xsd:restriction base="dms:Choice">
          <xsd:enumeration value="Not in Use"/>
          <xsd:enumeration value="Program 1"/>
          <xsd:enumeration value="Program 2"/>
        </xsd:restriction>
      </xsd:simpleType>
    </xsd:element>
    <xsd:element name="WorkLead" ma:index="21" nillable="true" ma:displayName="Work Lead" ma:list="UserInfo" ma:SearchPeopleOnly="false" ma:SharePointGroup="0" ma:internalName="WorkLead"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etentionExemption" ma:index="22" nillable="true" ma:displayName="Retention Exemption" ma:default="false" ma:description="Does this item is exempt to retention policies?" ma:format="Dropdown" ma:internalName="RetentionExemption">
      <xsd:simpleType>
        <xsd:restriction base="dms:Choice">
          <xsd:enumeration value="true"/>
          <xsd:enumeration value="false"/>
        </xsd:restriction>
      </xsd:simpleType>
    </xsd:element>
    <xsd:element name="a6be725d576043378de6f214f0e78ee4" ma:index="27" nillable="true" ma:taxonomy="true" ma:internalName="a6be725d576043378de6f214f0e78ee4" ma:taxonomyFieldName="ProjectClients" ma:displayName="Project Client(s)" ma:default="" ma:fieldId="{a6be725d-5760-4337-8de6-f214f0e78ee4}" ma:taxonomyMulti="true" ma:sspId="3d0ec70f-4850-419e-ba88-1a2e9ef4e89e" ma:termSetId="44d4987f-3adc-455a-8868-f708304dd18a" ma:anchorId="00000000-0000-0000-0000-000000000000" ma:open="false" ma:isKeyword="false">
      <xsd:complexType>
        <xsd:sequence>
          <xsd:element ref="pc:Terms" minOccurs="0" maxOccurs="1"/>
        </xsd:sequence>
      </xsd:complexType>
    </xsd:element>
    <xsd:element name="od8879f902fd47c7bc2aee162c9e5240" ma:index="28" nillable="true" ma:taxonomy="true" ma:internalName="od8879f902fd47c7bc2aee162c9e5240" ma:taxonomyFieldName="Locations" ma:displayName="Location(s)" ma:default="" ma:fieldId="{8d8879f9-02fd-47c7-bc2a-ee162c9e5240}" ma:taxonomyMulti="true" ma:sspId="3d0ec70f-4850-419e-ba88-1a2e9ef4e89e" ma:termSetId="854112e3-27c0-4f0c-944e-8c1118097f96" ma:anchorId="00000000-0000-0000-0000-000000000000" ma:open="false" ma:isKeyword="false">
      <xsd:complexType>
        <xsd:sequence>
          <xsd:element ref="pc:Terms" minOccurs="0" maxOccurs="1"/>
        </xsd:sequence>
      </xsd:complexType>
    </xsd:element>
    <xsd:element name="j996553e0ae54d4984db0606efb6351c" ma:index="29" nillable="true" ma:taxonomy="true" ma:internalName="j996553e0ae54d4984db0606efb6351c" ma:taxonomyFieldName="ProjectServiceSectors" ma:displayName="Project Service Sector(s)" ma:default="" ma:fieldId="{3996553e-0ae5-4d49-84db-0606efb6351c}" ma:taxonomyMulti="true" ma:sspId="3d0ec70f-4850-419e-ba88-1a2e9ef4e89e" ma:termSetId="cf4f7acd-60cb-4231-b591-055b3c5379d9" ma:anchorId="00000000-0000-0000-0000-000000000000" ma:open="false" ma:isKeyword="false">
      <xsd:complexType>
        <xsd:sequence>
          <xsd:element ref="pc:Terms" minOccurs="0" maxOccurs="1"/>
        </xsd:sequence>
      </xsd:complexType>
    </xsd:element>
    <xsd:element name="if0a8aeaad58489cbaf27eea2233913d" ma:index="32" nillable="true" ma:taxonomy="true" ma:internalName="if0a8aeaad58489cbaf27eea2233913d" ma:taxonomyFieldName="ProjectLocations" ma:displayName="Project Location(s)" ma:default="" ma:fieldId="{2f0a8aea-ad58-489c-baf2-7eea2233913d}" ma:taxonomyMulti="true" ma:sspId="3d0ec70f-4850-419e-ba88-1a2e9ef4e89e" ma:termSetId="854112e3-27c0-4f0c-944e-8c1118097f96" ma:anchorId="00000000-0000-0000-0000-000000000000" ma:open="false" ma:isKeyword="false">
      <xsd:complexType>
        <xsd:sequence>
          <xsd:element ref="pc:Terms" minOccurs="0" maxOccurs="1"/>
        </xsd:sequence>
      </xsd:complexType>
    </xsd:element>
    <xsd:element name="f579045f93c34d4baadb74be2d3a98b1" ma:index="34" nillable="true" ma:taxonomy="true" ma:internalName="f579045f93c34d4baadb74be2d3a98b1" ma:taxonomyFieldName="ProjectSubjectAreas" ma:displayName="Project Subject Area(s)" ma:default="" ma:fieldId="{f579045f-93c3-4d4b-aadb-74be2d3a98b1}" ma:taxonomyMulti="true" ma:sspId="3d0ec70f-4850-419e-ba88-1a2e9ef4e89e" ma:termSetId="f080a943-eb78-43ab-9400-12a16134994c" ma:anchorId="00000000-0000-0000-0000-000000000000" ma:open="false" ma:isKeyword="false">
      <xsd:complexType>
        <xsd:sequence>
          <xsd:element ref="pc:Terms" minOccurs="0" maxOccurs="1"/>
        </xsd:sequence>
      </xsd:complexType>
    </xsd:element>
    <xsd:element name="m5f81a6254e44a55996bb6356c849e0c" ma:index="35" nillable="true" ma:taxonomy="true" ma:internalName="m5f81a6254e44a55996bb6356c849e0c" ma:taxonomyFieldName="WorkType" ma:displayName="Work Type" ma:indexed="true" ma:default="" ma:fieldId="{65f81a62-54e4-4a55-996b-b6356c849e0c}" ma:sspId="3d0ec70f-4850-419e-ba88-1a2e9ef4e89e" ma:termSetId="71bc965d-f6c0-4fc0-acc6-7dbe60bc6319" ma:anchorId="00000000-0000-0000-0000-000000000000" ma:open="false" ma:isKeyword="false">
      <xsd:complexType>
        <xsd:sequence>
          <xsd:element ref="pc:Terms" minOccurs="0" maxOccurs="1"/>
        </xsd:sequence>
      </xsd:complexType>
    </xsd:element>
    <xsd:element name="TaxKeywordTaxHTField" ma:index="38" nillable="true" ma:taxonomy="true" ma:internalName="TaxKeywordTaxHTField" ma:taxonomyFieldName="TaxKeyword" ma:displayName="Enterprise Keywords" ma:fieldId="{23f27201-bee3-471e-b2e7-b64fd8b7ca38}" ma:taxonomyMulti="true" ma:sspId="3d0ec70f-4850-419e-ba88-1a2e9ef4e89e" ma:termSetId="00000000-0000-0000-0000-000000000000" ma:anchorId="00000000-0000-0000-0000-000000000000" ma:open="true" ma:isKeyword="true">
      <xsd:complexType>
        <xsd:sequence>
          <xsd:element ref="pc:Terms" minOccurs="0" maxOccurs="1"/>
        </xsd:sequence>
      </xsd:complexType>
    </xsd:element>
    <xsd:element name="o862737f445746b494e2139aeb29e646" ma:index="39" nillable="true" ma:taxonomy="true" ma:internalName="o862737f445746b494e2139aeb29e646" ma:taxonomyFieldName="ContractClients" ma:displayName="Contract Client(s)" ma:default="" ma:fieldId="{8862737f-4457-46b4-94e2-139aeb29e646}" ma:taxonomyMulti="true" ma:sspId="3d0ec70f-4850-419e-ba88-1a2e9ef4e89e" ma:termSetId="44d4987f-3adc-455a-8868-f708304dd18a" ma:anchorId="00000000-0000-0000-0000-000000000000" ma:open="false" ma:isKeyword="false">
      <xsd:complexType>
        <xsd:sequence>
          <xsd:element ref="pc:Terms" minOccurs="0" maxOccurs="1"/>
        </xsd:sequence>
      </xsd:complexType>
    </xsd:element>
    <xsd:element name="g50616bc87614647a90e999144457760" ma:index="40" nillable="true" ma:taxonomy="true" ma:internalName="g50616bc87614647a90e999144457760" ma:taxonomyFieldName="AreaOfExpertise" ma:displayName="Area of Expertise" ma:default="" ma:fieldId="{050616bc-8761-4647-a90e-999144457760}" ma:sspId="3d0ec70f-4850-419e-ba88-1a2e9ef4e89e" ma:termSetId="feb27233-c7ec-44e4-a9ed-cbe7bef49228" ma:anchorId="00000000-0000-0000-0000-000000000000" ma:open="false" ma:isKeyword="false">
      <xsd:complexType>
        <xsd:sequence>
          <xsd:element ref="pc:Terms" minOccurs="0" maxOccurs="1"/>
        </xsd:sequence>
      </xsd:complexType>
    </xsd:element>
    <xsd:element name="a6d0b0f5ac9d4fa8b2e660c59fbea416" ma:index="41" nillable="true" ma:taxonomy="true" ma:internalName="a6d0b0f5ac9d4fa8b2e660c59fbea416" ma:taxonomyFieldName="ContractDivisions" ma:displayName="Contract Division(s)" ma:default="" ma:fieldId="{a6d0b0f5-ac9d-4fa8-b2e6-60c59fbea416}" ma:taxonomyMulti="true" ma:sspId="3d0ec70f-4850-419e-ba88-1a2e9ef4e89e" ma:termSetId="6c598dca-fe5d-4256-b9f9-32eb57bf3049" ma:anchorId="00000000-0000-0000-0000-000000000000" ma:open="false" ma:isKeyword="false">
      <xsd:complexType>
        <xsd:sequence>
          <xsd:element ref="pc:Terms" minOccurs="0" maxOccurs="1"/>
        </xsd:sequence>
      </xsd:complexType>
    </xsd:element>
    <xsd:element name="TaxCatchAll" ma:index="42" nillable="true" ma:displayName="Taxonomy Catch All Column" ma:hidden="true" ma:list="{d20f6ca9-d846-49b1-856a-72b5800527c6}" ma:internalName="TaxCatchAll" ma:showField="CatchAllData" ma:web="d7e346d9-5337-4613-89a4-4818bbe8c050">
      <xsd:complexType>
        <xsd:complexContent>
          <xsd:extension base="dms:MultiChoiceLookup">
            <xsd:sequence>
              <xsd:element name="Value" type="dms:Lookup" maxOccurs="unbounded" minOccurs="0" nillable="true"/>
            </xsd:sequence>
          </xsd:extension>
        </xsd:complexContent>
      </xsd:complexType>
    </xsd:element>
    <xsd:element name="TaxCatchAllLabel" ma:index="43" nillable="true" ma:displayName="Taxonomy Catch All Column1" ma:hidden="true" ma:list="{d20f6ca9-d846-49b1-856a-72b5800527c6}" ma:internalName="TaxCatchAllLabel" ma:readOnly="true" ma:showField="CatchAllDataLabel" ma:web="d7e346d9-5337-4613-89a4-4818bbe8c050">
      <xsd:complexType>
        <xsd:complexContent>
          <xsd:extension base="dms:MultiChoiceLookup">
            <xsd:sequence>
              <xsd:element name="Value" type="dms:Lookup" maxOccurs="unbounded" minOccurs="0" nillable="true"/>
            </xsd:sequence>
          </xsd:extension>
        </xsd:complexContent>
      </xsd:complexType>
    </xsd:element>
    <xsd:element name="b5df6f1f3e23409d9f5e1fce19348e51" ma:index="45" nillable="true" ma:taxonomy="true" ma:internalName="b5df6f1f3e23409d9f5e1fce19348e51" ma:taxonomyFieldName="ServiceSectors" ma:displayName="Service Sector(s)" ma:default="" ma:fieldId="{b5df6f1f-3e23-409d-9f5e-1fce19348e51}" ma:taxonomyMulti="true" ma:sspId="3d0ec70f-4850-419e-ba88-1a2e9ef4e89e" ma:termSetId="cf4f7acd-60cb-4231-b591-055b3c5379d9"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7"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68B854D-E291-4BCF-8858-19125E5624DF}">
  <ds:schemaRefs>
    <ds:schemaRef ds:uri="http://purl.org/dc/dcmitype/"/>
    <ds:schemaRef ds:uri="http://purl.org/dc/terms/"/>
    <ds:schemaRef ds:uri="http://www.w3.org/XML/1998/namespace"/>
    <ds:schemaRef ds:uri="http://schemas.microsoft.com/office/2006/documentManagement/types"/>
    <ds:schemaRef ds:uri="http://schemas.openxmlformats.org/package/2006/metadata/core-properties"/>
    <ds:schemaRef ds:uri="http://purl.org/dc/elements/1.1/"/>
    <ds:schemaRef ds:uri="dc75c247-7f53-4913-864a-4160aff1c458"/>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5498C6A-0BDF-41C6-BE5A-8139D0E4E544}">
  <ds:schemaRefs>
    <ds:schemaRef ds:uri="Microsoft.SharePoint.Taxonomy.ContentTypeSync"/>
  </ds:schemaRefs>
</ds:datastoreItem>
</file>

<file path=customXml/itemProps3.xml><?xml version="1.0" encoding="utf-8"?>
<ds:datastoreItem xmlns:ds="http://schemas.openxmlformats.org/officeDocument/2006/customXml" ds:itemID="{706D3B7F-5830-4A40-8193-F5B0CEFFF2DF}">
  <ds:schemaRefs>
    <ds:schemaRef ds:uri="http://schemas.microsoft.com/sharepoint/v3/contenttype/forms"/>
  </ds:schemaRefs>
</ds:datastoreItem>
</file>

<file path=customXml/itemProps4.xml><?xml version="1.0" encoding="utf-8"?>
<ds:datastoreItem xmlns:ds="http://schemas.openxmlformats.org/officeDocument/2006/customXml" ds:itemID="{CEF78A37-8DA5-46EB-BD55-B8A594BF9A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75c247-7f53-4913-864a-4160aff1c4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64</vt:i4>
      </vt:variant>
    </vt:vector>
  </HeadingPairs>
  <TitlesOfParts>
    <vt:vector size="87" baseType="lpstr">
      <vt:lpstr>Introduction</vt:lpstr>
      <vt:lpstr>Airport Activities</vt:lpstr>
      <vt:lpstr>Start Data Entry</vt:lpstr>
      <vt:lpstr>Data Entry</vt:lpstr>
      <vt:lpstr>Detailed Fixture Data</vt:lpstr>
      <vt:lpstr>Irrigation</vt:lpstr>
      <vt:lpstr>Cooling Data</vt:lpstr>
      <vt:lpstr>Intensity of Use Assumptions</vt:lpstr>
      <vt:lpstr>Level of Efficiency Assumptions</vt:lpstr>
      <vt:lpstr>Calibrate &amp; Verify</vt:lpstr>
      <vt:lpstr>Water Use Calcs</vt:lpstr>
      <vt:lpstr>End Uses</vt:lpstr>
      <vt:lpstr>Summary Tables</vt:lpstr>
      <vt:lpstr>Summary Graphics</vt:lpstr>
      <vt:lpstr>Scratch Sheets</vt:lpstr>
      <vt:lpstr>Meter Data Template</vt:lpstr>
      <vt:lpstr>Water Use Data Template</vt:lpstr>
      <vt:lpstr>Fixture Data Template</vt:lpstr>
      <vt:lpstr>Climate Zones</vt:lpstr>
      <vt:lpstr>Airport Mapping</vt:lpstr>
      <vt:lpstr>Airport Statistics</vt:lpstr>
      <vt:lpstr>list</vt:lpstr>
      <vt:lpstr>listA</vt:lpstr>
      <vt:lpstr>'Airport Activities'!_Ref426057056</vt:lpstr>
      <vt:lpstr>building</vt:lpstr>
      <vt:lpstr>buildingsYN</vt:lpstr>
      <vt:lpstr>facility</vt:lpstr>
      <vt:lpstr>facility_type</vt:lpstr>
      <vt:lpstr>facility10</vt:lpstr>
      <vt:lpstr>facility11</vt:lpstr>
      <vt:lpstr>facility12</vt:lpstr>
      <vt:lpstr>facility13</vt:lpstr>
      <vt:lpstr>facility14</vt:lpstr>
      <vt:lpstr>facility15</vt:lpstr>
      <vt:lpstr>facility16</vt:lpstr>
      <vt:lpstr>facility17</vt:lpstr>
      <vt:lpstr>facility18</vt:lpstr>
      <vt:lpstr>facility19</vt:lpstr>
      <vt:lpstr>facility2</vt:lpstr>
      <vt:lpstr>facility20</vt:lpstr>
      <vt:lpstr>facility21</vt:lpstr>
      <vt:lpstr>facility22</vt:lpstr>
      <vt:lpstr>facility23</vt:lpstr>
      <vt:lpstr>facility24</vt:lpstr>
      <vt:lpstr>facility25</vt:lpstr>
      <vt:lpstr>facility26</vt:lpstr>
      <vt:lpstr>facility27</vt:lpstr>
      <vt:lpstr>facility28</vt:lpstr>
      <vt:lpstr>facility29</vt:lpstr>
      <vt:lpstr>facility3</vt:lpstr>
      <vt:lpstr>facility30</vt:lpstr>
      <vt:lpstr>facility31</vt:lpstr>
      <vt:lpstr>facility32</vt:lpstr>
      <vt:lpstr>facility4</vt:lpstr>
      <vt:lpstr>facility5</vt:lpstr>
      <vt:lpstr>facility6</vt:lpstr>
      <vt:lpstr>facility7</vt:lpstr>
      <vt:lpstr>facility8</vt:lpstr>
      <vt:lpstr>facility9</vt:lpstr>
      <vt:lpstr>onethrusix</vt:lpstr>
      <vt:lpstr>onetotwo</vt:lpstr>
      <vt:lpstr>'Airport Activities'!Print_Area</vt:lpstr>
      <vt:lpstr>'Calibrate &amp; Verify'!Print_Area</vt:lpstr>
      <vt:lpstr>'Cooling Data'!Print_Area</vt:lpstr>
      <vt:lpstr>'Data Entry'!Print_Area</vt:lpstr>
      <vt:lpstr>'Detailed Fixture Data'!Print_Area</vt:lpstr>
      <vt:lpstr>'End Uses'!Print_Area</vt:lpstr>
      <vt:lpstr>'Fixture Data Template'!Print_Area</vt:lpstr>
      <vt:lpstr>'Intensity of Use Assumptions'!Print_Area</vt:lpstr>
      <vt:lpstr>Introduction!Print_Area</vt:lpstr>
      <vt:lpstr>'Level of Efficiency Assumptions'!Print_Area</vt:lpstr>
      <vt:lpstr>'Meter Data Template'!Print_Area</vt:lpstr>
      <vt:lpstr>'Start Data Entry'!Print_Area</vt:lpstr>
      <vt:lpstr>'Summary Tables'!Print_Area</vt:lpstr>
      <vt:lpstr>'Water Use Calcs'!Print_Area</vt:lpstr>
      <vt:lpstr>'Water Use Data Template'!Print_Area</vt:lpstr>
      <vt:lpstr>'Airport Activities'!Print_Titles</vt:lpstr>
      <vt:lpstr>'Detailed Fixture Data'!Print_Titles</vt:lpstr>
      <vt:lpstr>'End Uses'!Print_Titles</vt:lpstr>
      <vt:lpstr>'Fixture Data Template'!Print_Titles</vt:lpstr>
      <vt:lpstr>'Intensity of Use Assumptions'!Print_Titles</vt:lpstr>
      <vt:lpstr>'Level of Efficiency Assumptions'!Print_Titles</vt:lpstr>
      <vt:lpstr>'Meter Data Template'!Print_Titles</vt:lpstr>
      <vt:lpstr>'Summary Tables'!Print_Titles</vt:lpstr>
      <vt:lpstr>'Water Use Calcs'!Print_Titles</vt:lpstr>
      <vt:lpstr>Table2</vt:lpstr>
      <vt:lpstr>terminalsYN</vt:lpstr>
    </vt:vector>
  </TitlesOfParts>
  <Company>CDM Smith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Davis, William Y.</dc:creator>
  <cp:lastModifiedBy>Natalie Barnes</cp:lastModifiedBy>
  <cp:lastPrinted>2015-09-22T22:20:08Z</cp:lastPrinted>
  <dcterms:created xsi:type="dcterms:W3CDTF">2014-09-11T15:40:43Z</dcterms:created>
  <dcterms:modified xsi:type="dcterms:W3CDTF">2016-03-18T19:59:33Z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0x010100B80CB6684E0D2F408D230F308CBB847F030200E715B6E330FF214B95C030E04D08231E</vt:lpwstr>
  </property>
  <property fmtid="{D5CDD505-2E9C-101B-9397-08002B2CF9AE}" pid="3" name="TaxKeyword">
    <vt:lpwstr/>
  </property>
  <property fmtid="{D5CDD505-2E9C-101B-9397-08002B2CF9AE}" pid="4" name="Locations">
    <vt:lpwstr/>
  </property>
  <property fmtid="{D5CDD505-2E9C-101B-9397-08002B2CF9AE}" pid="5" name="ContractDivisions">
    <vt:lpwstr/>
  </property>
  <property fmtid="{D5CDD505-2E9C-101B-9397-08002B2CF9AE}" pid="6" name="ContractClients">
    <vt:lpwstr/>
  </property>
  <property fmtid="{D5CDD505-2E9C-101B-9397-08002B2CF9AE}" pid="7" name="ProjectClients">
    <vt:lpwstr/>
  </property>
  <property fmtid="{D5CDD505-2E9C-101B-9397-08002B2CF9AE}" pid="8" name="ProjectServiceSectors">
    <vt:lpwstr/>
  </property>
  <property fmtid="{D5CDD505-2E9C-101B-9397-08002B2CF9AE}" pid="9" name="AreaOfExpertise">
    <vt:lpwstr/>
  </property>
  <property fmtid="{D5CDD505-2E9C-101B-9397-08002B2CF9AE}" pid="10" name="ProjectLocations">
    <vt:lpwstr/>
  </property>
  <property fmtid="{D5CDD505-2E9C-101B-9397-08002B2CF9AE}" pid="11" name="ProjectSubjectAreas">
    <vt:lpwstr/>
  </property>
  <property fmtid="{D5CDD505-2E9C-101B-9397-08002B2CF9AE}" pid="12" name="ServiceSectors">
    <vt:lpwstr/>
  </property>
  <property fmtid="{D5CDD505-2E9C-101B-9397-08002B2CF9AE}" pid="13" name="WorkType">
    <vt:lpwstr/>
  </property>
</Properties>
</file>